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Request 4" sheetId="1" r:id="GemRid681824"/>
    <sheet name="Session Details" sheetId="2" r:id="GemRid355021"/>
  </sheets>
  <definedNames/>
  <calcPr calcId="124519"/>
</workbook>
</file>

<file path=xl/sharedStrings.xml><?xml version="1.0" encoding="utf-8"?>
<sst xmlns="http://schemas.openxmlformats.org/spreadsheetml/2006/main" count="19274" uniqueCount="19274">
  <si>
    <t xml:space="preserve"> Filing
  Date</t>
  </si>
  <si>
    <t>Issue
Date</t>
  </si>
  <si>
    <t>Issuer</t>
  </si>
  <si>
    <t>Main
SIC
Code</t>
  </si>
  <si>
    <t>Nation</t>
  </si>
  <si>
    <t>Ticker
Symbol</t>
  </si>
  <si>
    <t>Bookrunner(s)</t>
  </si>
  <si>
    <t xml:space="preserve">  Gross
 Spread
   ($)</t>
  </si>
  <si>
    <t>Gross Spread
as % of 
Prncpl Amt -
in this Mkt</t>
  </si>
  <si>
    <t>Proceeds
Amt - in 
this Mkt
($ mil)</t>
  </si>
  <si>
    <t xml:space="preserve">   Offer
   Price</t>
  </si>
  <si>
    <t>Type
of
Security</t>
  </si>
  <si>
    <t>IPO
Flag
(Y/N)</t>
  </si>
  <si>
    <t>9-Digit
CUSIP</t>
  </si>
  <si>
    <t>Primary
Exchange
Where
Issuer's
Stock
Trades</t>
  </si>
  <si>
    <t>All Managers</t>
  </si>
  <si>
    <t>Management
Fee as % 
of Prncpl
Amt - in 
this Mkt</t>
  </si>
  <si>
    <t>Underwriting
Fee as % of 
Prncpl Amt -
in this Mkt</t>
  </si>
  <si>
    <t>Selling 
Concession 
as % of 
Prncpl Amt -
in this Mkt</t>
  </si>
  <si>
    <t>Marketplace</t>
  </si>
  <si>
    <t>Original
  High
 Filing
 Price</t>
  </si>
  <si>
    <t>Original
  Low
 Filing
 Price</t>
  </si>
  <si>
    <t>Shares 
Filed - 
in this Mkt</t>
  </si>
  <si>
    <t>Amt Filed - 
in this Mkt 
($ mil)</t>
  </si>
  <si>
    <t xml:space="preserve"> Primary 
 Shares 
 Offered 
 - in 
 this Mkt</t>
  </si>
  <si>
    <t>Secondary 
Shs Ofrd - 
in this Mkt</t>
  </si>
  <si>
    <t>Lock Up
Expiration
Date</t>
  </si>
  <si>
    <t>Percent of
Shares
Outstanding
Subject to
Lockup
Agreement</t>
  </si>
  <si>
    <t>Lockup Days</t>
  </si>
  <si>
    <t>Lockup Shares</t>
  </si>
  <si>
    <t>Depos-
itary</t>
  </si>
  <si>
    <t>Units</t>
  </si>
  <si>
    <t>Venture
Backed</t>
  </si>
  <si>
    <t>Spin-
Off
Parent
Ticker</t>
  </si>
  <si>
    <t>Spinoff's Parent</t>
  </si>
  <si>
    <t>Number
of
Bookrunners</t>
  </si>
  <si>
    <t>RANK_NO_LEADS</t>
  </si>
  <si>
    <t>Number of Lead,
Co-Lead
&amp;
Co-Managers</t>
  </si>
  <si>
    <t>Stock
Price
at Close
of Offer/
1st Trade</t>
  </si>
  <si>
    <t>Opening
Stock Price
at First Trade</t>
  </si>
  <si>
    <t>Lead Manager</t>
  </si>
  <si>
    <t>Managers</t>
  </si>
  <si>
    <t>Neoforma.com Inc</t>
  </si>
  <si>
    <t>United States</t>
  </si>
  <si>
    <t>NEOF</t>
  </si>
  <si>
    <t>MERRILL</t>
  </si>
  <si>
    <t>Common Shares</t>
  </si>
  <si>
    <t>Yes</t>
  </si>
  <si>
    <t>Nasdaq</t>
  </si>
  <si>
    <t>Merrill Lynch
Bear Stearns &amp; Co Inc
William Blair &amp; Co
Fleet Boston Corp
Barrington Associates
Needham &amp; Co LLC
Wedbush, Noble, Cooke
Dain Rauscher Corp
US Bancorp Piper Jaffray
E*Offering Corp
Gruntal &amp; Co Inc
Hambrecht &amp; Quist
Merrill Lynch</t>
  </si>
  <si>
    <t>U.S. Public</t>
  </si>
  <si>
    <t>No</t>
  </si>
  <si>
    <t>001</t>
  </si>
  <si>
    <t>MERRILL//BEAR/WM-BLAIR/FLEET-BOSTON
//BARRINGTON/NEEDHAM/WEDBUSH
/DAIN-RAUSCHER/US-PIPER/E*OFFERING
/GRUNTAL/HAMBRECHT//MERRILL(GC)</t>
  </si>
  <si>
    <t>MERRILL
BEAR
WM-BLAIR
FLEET-BOSTON</t>
  </si>
  <si>
    <t>Merrill Lynch &amp; Co Inc
Bear Stearns &amp; Co Inc
William Blair &amp; Co
Fleet Boston Corp,Boston,Massachusetts</t>
  </si>
  <si>
    <t>ML</t>
  </si>
  <si>
    <t>na</t>
  </si>
  <si>
    <t>Ord/Common Shs.</t>
  </si>
  <si>
    <t>Merrill Lynch, Pierce, Fenner
Bear Stearns &amp; Co Inc
FleetBoston Robertson Stephens
William Blair &amp; Co
Merrill Lynch, Pierce, Fenner</t>
  </si>
  <si>
    <t>Euro Public</t>
  </si>
  <si>
    <t>ML//BEAR//FLEET-ROB-STEPH/WM-BLAIR
//ML(GC)</t>
  </si>
  <si>
    <t>ML
BEAR</t>
  </si>
  <si>
    <t>Merrill Lynch Pierce Fenner &amp; Smith
Bear Stearns &amp; Co Inc</t>
  </si>
  <si>
    <t>Regent Communications Inc</t>
  </si>
  <si>
    <t>RGCI</t>
  </si>
  <si>
    <t>PSI</t>
  </si>
  <si>
    <t>Pink Sheet</t>
  </si>
  <si>
    <t>Prudential Securities Inc
Morgan Stanley Dean Witter
Schroder &amp; Co Inc
Banc of America Securities LLC
Bear Stearns &amp; Co Inc
CIBC World Markets Inc
CS First Boston Corp
Deutsche Banc Alex Brown
Donaldson Lufkin &amp; Jenrette
Dresdner Kleinwort Benson
AG Edwards &amp; Sons Inc
First Union National Bancorp
ING Barings
Lazard Freres &amp; Co LLC
Salomon Smith Barney
SG Cowen Securities Corp
Crowell Weedon &amp; Co
Josephthal &amp; Co Inc
Legg Mason Wood Walker
McDonald Investments
Raymond James &amp; Associates Inc
Sanders &amp; Beckingham
Sutro &amp; Co Inc
Tucker Anthony Inc
Williams Capital Group LP
Morgan Keegan Inc</t>
  </si>
  <si>
    <t>Jacor Communications Inc</t>
  </si>
  <si>
    <t>PSI//MSDW/SCHRODER-CO//BA-SEC-LLC/BEAR
/CIBC-WORLD/CS-FB/DEUTSCHE-ALEX-B/DLJ
/DRESDNER-KLEINW/A-G-EDWARDS
/FIRST-UNION/ING-BARINGS/LAZ
/SALOMON-SMITH/SG-COWEN/CROWELL
/JOSEPHTHAL/LEGG-MASON-WW/MCDONALD
/RAYMOND/SANDERS/SUTRO/TUCKER
/WILLIAMS-CAP/MORGAN-KEEGAN</t>
  </si>
  <si>
    <t>PSI
MSDW
SCHRODER-CO</t>
  </si>
  <si>
    <t>Prudential Securities Inc
Morgan Stanley Dean Witter &amp; Co
Schroder &amp; Co Inc</t>
  </si>
  <si>
    <t>HealthGate Data Corp</t>
  </si>
  <si>
    <t>HGAT</t>
  </si>
  <si>
    <t>SG-COWEN</t>
  </si>
  <si>
    <t>42222H106</t>
  </si>
  <si>
    <t>OTC</t>
  </si>
  <si>
    <t>SG Cowen Securities Corp
Prudential Volpe Technology Gr
Warburg Dillon Read Inc
Deutsche Banc Alex Brown
Chase H&amp;Q
Donaldson Lufkin &amp; Jenrette
ING Barings
Lehman Brothers
Thomas Weisel Partners
Gruntal &amp; Co Inc
US Bancorp Piper Jaffray
Raymond James &amp; Associates Inc
Robinson-Humphrey Co
Scott &amp; Stringfellow Financial
SunTrust Equitable Securities
Tucker Anthony Inc</t>
  </si>
  <si>
    <t>SG-COWEN//PRUD-VOLPE/WARBURG-DR
//DEUTSCHE-ALEX-B/CHASE-HQ/DLJ
/ING-BARINGS/LEH/THOMAS-WEISEL/GRUNTAL
/US-PIPER/RAYMOND/ROBINSON/SCOTT-STRING
/SUNTRUST-EQUI/TUCKER</t>
  </si>
  <si>
    <t>SG-COWEN
PRUD-VOLPE
WARBURG-DR</t>
  </si>
  <si>
    <t>SG Cowen Securities Corp
Prudential Volpe Technology Group
Warburg Dillon Read Inc</t>
  </si>
  <si>
    <t>Atlas Pipeline Partners LP</t>
  </si>
  <si>
    <t>APL</t>
  </si>
  <si>
    <t>FRIEDMAN-B</t>
  </si>
  <si>
    <t>Ltd Prtnr Int</t>
  </si>
  <si>
    <t>049392103</t>
  </si>
  <si>
    <t>American</t>
  </si>
  <si>
    <t>Friedman Billings Ramsey Group
McDonald Investments
Advest Inc
Crowell Weedon &amp; Co
Dominick &amp; Dominick Inc
Fahnestock &amp; Co
First Southwest
JJB Hilliard WL Lyons Inc
Janney Montgomery Scott Inc
Parker-Hunter Inc
Pennsylvania Merchant Group
Raymond James &amp; Associates Inc
Sanders Morris Mundy Inc
Scott &amp; Stringfellow Financial
Stifel Nicolaus &amp; Co Inc
SunTrust Equitable Securities
Sutro &amp; Co Inc
Tucker Anthony Inc</t>
  </si>
  <si>
    <t>002</t>
  </si>
  <si>
    <t>FRIEDMAN-B/MCDONALD(JOINT)//ADVEST
/CROWELL/DOMINICK/FAHNESTOCK/FIRST-SW
/HILLIARD/JANNEY/PARKER-HUNTER
/PENN-MER-GROUP/RAYMOND/SANDERS-MORRIS
/SCOTT-STRING/STIFEL/SUNTRUST-EQUI
/SUTRO/TUCKER</t>
  </si>
  <si>
    <t>FRIEDMAN-B/MCDONALD</t>
  </si>
  <si>
    <t>FRIEDMAN-B
/MCDONALD(JOINT)</t>
  </si>
  <si>
    <t>Friedman Billings Ramsey Group
McDonald Investments Inc</t>
  </si>
  <si>
    <t>Extensity Inc</t>
  </si>
  <si>
    <t>EXTN</t>
  </si>
  <si>
    <t>DEUTSCHE-ALEX-B</t>
  </si>
  <si>
    <t>Deutsche Banc Alex Brown
Bear Stearns &amp; Co Inc
Chase H&amp;Q
Banc of America Securities LLC
Donaldson Lufkin &amp; Jenrette
Fleet Boston Corp
Goldman Sachs &amp; Co
Prudential Securities Inc
Soundview Technology (OLD)
Adams Harkness &amp; Hill Inc
FAC/Equities
Josephthal &amp; Co Inc
Legg Mason Wood Walker
Edgar M. Norris &amp; Co
US Bancorp Piper Jaffray
Raymond James &amp; Associates Inc
Sands Brothers &amp; Co Ltd
Shields Securities
Tucker Anthony Inc
Wedbush Securities
Deutsche Banc Alex Brown</t>
  </si>
  <si>
    <t>DEUTSCHE-ALEX-B//BEAR/CHASE-HQ
//BA-SEC-LLC/DLJ/FLEET-BOSTON/GS/PSI
/SOUNDVIEW-TECH/ADAMS-HARKNESS
/FAC-EQUITIES/JOSEPHTHAL/LEGG-MASON-WW
/EDGAR-NORRIS/US-PIPER/RAYMOND/SANDS
/SHIELDS-SEC/TUCKER/WEDBUSH-M
//DEUTSCHE-ALEX-B(GC)</t>
  </si>
  <si>
    <t>DEUTSCHE-ALEX-B
BEAR
CHASE-HQ</t>
  </si>
  <si>
    <t>Deutsche Banc Alex Brown
Bear Stearns &amp; Co Inc
Chase H&amp;Q</t>
  </si>
  <si>
    <t>Deutsche Banc Alex Brown
Bear Stearns &amp; Co Inc
Chase H&amp;Q
Deutsche Banc Alex Brown</t>
  </si>
  <si>
    <t>DEUTSCHE-ALEX-B//BEAR/CHASE-HQ
//DEUTSCHE-ALEX-B(GC)</t>
  </si>
  <si>
    <t>Deutsche Banc Alex Brown</t>
  </si>
  <si>
    <t>John Hancock Finl Svcs Inc</t>
  </si>
  <si>
    <t>JHF</t>
  </si>
  <si>
    <t>MSDW</t>
  </si>
  <si>
    <t>41014S106</t>
  </si>
  <si>
    <t>New York</t>
  </si>
  <si>
    <t>Morgan Stanley Dean Witter
Merrill Lynch
Salomon Smith Barney
CS First Boston Corp
Donaldson Lufkin &amp; Jenrette
Goldman Sachs &amp; Co
Fox-Pitt Kelton
ABN-AMRO Holding NV
AG Edwards &amp; Sons Inc
Janney Montgomery Scott Inc
Melvin Securities Corporation
Nesbitt Burns Securities
Prudential Securities Inc
Samuel A. Ramirez &amp; Co.
Muriel Siebert &amp; Co
Scotia Capital Markets
Warburg Dillon Read Inc
Wachovia Bank NA
Utendahl Capital Partners
Tucker Anthony Inc
Pryor Govan Counts &amp; Co Inc
Paribas SA
JP Morgan
Lehman Brothers
First Union Securities Inc
Chatsworth Securities LLC
Morgan Stanley Dean Witter</t>
  </si>
  <si>
    <t>003</t>
  </si>
  <si>
    <t>MSDW/MERRILL/SALOMON-SMITH(JOINT)
//CS-FB/DLJ/GS/FOX-PITT//ABN-AMRO
/A-G-EDWARDS/JANNEY/MELVIN-SEC
/NESBITT-SEC/PSI/RAMIREZ/MURIEL
/SCOTIA-CAP-USA/WARBURG-DR/WACHOVIA
/UTENDAHL-CAP/TUCKER/PRYOR/PARIBAS/JPM
/LEH/FIRST-UNION-SEC/CHATSWORTH
//MSDW(GC)</t>
  </si>
  <si>
    <t>MSDW/MERRILL/SALOMON-SMITH</t>
  </si>
  <si>
    <t>MSDW
/MERRILL
/SALOMON-SMITH(JOINT)
CS-FB
DLJ
GS
FOX-PITT</t>
  </si>
  <si>
    <t>Morgan Stanley Dean Witter &amp; Co
Merrill Lynch &amp; Co Inc
Salomon Smith Barney
CS First Boston Corp
Donaldson Lufkin &amp; Jenrette Inc
Goldman Sachs &amp; Co
Fox-Pitt Kelton</t>
  </si>
  <si>
    <t>Morgan Stanley Dean Witter
Merrill Lynch Intl Ltd
Salomon Smith Barney
Credit Suisse First Boston Inc
Donaldson Lufkin &amp; Jenrette
Goldman Sachs International
Fox-Pitt Kelton
BNP Paribas SA
Morgan Stanley Dean Witter</t>
  </si>
  <si>
    <t>MSDW/ML-I/SALOMON-SMITH(JOINT)
//CSFB-INC/DLJ/GS-I/FOX-PITT
//BNP-PARIBAS//MSDW(GC)</t>
  </si>
  <si>
    <t>MSDW/ML-I/SALOMON-SMITH</t>
  </si>
  <si>
    <t>MSDW
/ML-I
/SALOMON-SMITH(JOINT)
CSFB-INC
DLJ
GS-I
FOX-PITT</t>
  </si>
  <si>
    <t>Morgan Stanley Dean Witter &amp; Co
Merrill Lynch International Ltd
Salomon Smith Barney
Credit Suisse First Boston Inc
Donaldson Lufkin &amp; Jenrette Inc
Goldman Sachs International
Fox-Pitt Kelton</t>
  </si>
  <si>
    <t>T/R Systems Inc</t>
  </si>
  <si>
    <t>TRSI</t>
  </si>
  <si>
    <t>FLEET-BOSTON</t>
  </si>
  <si>
    <t>87263U102</t>
  </si>
  <si>
    <t>Fleet Boston Corp
US Bancorp Piper Jaffray
Raymond James &amp; Associates Inc</t>
  </si>
  <si>
    <t>FLEET-BOSTON//US-PIPER/RAYMOND</t>
  </si>
  <si>
    <t>FLEET-BOSTON
US-PIPER
RAYMOND</t>
  </si>
  <si>
    <t>Fleet Boston Corp,Boston,Massachusetts
US Bancorp Piper Jaffray Inc
Raymond James &amp; Associates Inc</t>
  </si>
  <si>
    <t>Allegiance Telecom Inc</t>
  </si>
  <si>
    <t>ALGX</t>
  </si>
  <si>
    <t>GS/SALOMON-SMITH(JB)</t>
  </si>
  <si>
    <t>01747T102</t>
  </si>
  <si>
    <t>Goldman Sachs &amp; Co
Salomon Smith Barney
Bear Stearns &amp; Co Inc
Morgan Stanley Dean Witter
Donaldson Lufkin &amp; Jenrette
Warburg Dillon Read (UK)
Credit Lyonnais SA
First Union Corp
FleetBoston Robertson Stephens
JJB Hilliard WL Lyons Inc
ING Barings
TD Securities (UK)
Goldman Sachs &amp; Co
Salomon Smith Barney</t>
  </si>
  <si>
    <t>GS(JB)/SALOMON-SMITH(JB)//BEAR//MSDW
/DLJ/WDR-UK/CRED-LYONNAIS/FIRUC
/FLEET-ROB-STEPH/HILLIARD/ING-BARINGS
/TD-SEC-UK//GS(GC)/SALOMON-SMITH(GC)</t>
  </si>
  <si>
    <t>GS/SALOMON-SMITH</t>
  </si>
  <si>
    <t>GS
(JB)/SALOMON-SMITH(JB)
BEAR</t>
  </si>
  <si>
    <t>Goldman Sachs &amp; Co
Salomon Smith Barney
Bear Stearns &amp; Co Inc</t>
  </si>
  <si>
    <t>Aspect Medical Systems Inc</t>
  </si>
  <si>
    <t>ASPM</t>
  </si>
  <si>
    <t>045235108</t>
  </si>
  <si>
    <t>Morgan Stanley Dean Witter
Deutsche Banc Alex Brown
US Bancorp Piper Jaffray
Advest Inc
Brean Murray &amp; Co Inc
First Union Securities Inc
Raymond James &amp; Associates Inc
Gerard Klauer Mattison &amp; Co
ING Barings
Edward D Jones &amp; Co
Leerink Swann &amp; Co
McDonald Investments
SG Cowen Securities Corp
Morgan Stanley Dean Witter</t>
  </si>
  <si>
    <t>MSDW//DEUTSCHE-ALEX-B/US-PIPER//ADVEST
/BREAN/FIRST-UNION-SEC/RAYMOND
/GERARD-KLAUER/ING-BARINGS/ED-JONES
/LEERINK-SWANN/MCDONALD/SG-COWEN
//MSDW(GC)</t>
  </si>
  <si>
    <t>MSDW
DEUTSCHE-ALEX-B
US-PIPER</t>
  </si>
  <si>
    <t>Morgan Stanley Dean Witter &amp; Co
Deutsche Banc Alex Brown
US Bancorp Piper Jaffray Inc</t>
  </si>
  <si>
    <t>Morgan Stanley Dean Witter
Deutsche Bank
US Bancorp Piper Jaffray
Morgan Stanley Dean Witter</t>
  </si>
  <si>
    <t>Comb.</t>
  </si>
  <si>
    <t>MSDW//DEUTSCHE-BANK/US-PIPER//MSDW(GC)</t>
  </si>
  <si>
    <t>MSDW
DEUTSCHE-BANK
US-PIPER</t>
  </si>
  <si>
    <t>Morgan Stanley Dean Witter &amp; Co
Deutsche Bank
US Bancorp Piper Jaffray Inc</t>
  </si>
  <si>
    <t>NATCO Group Inc</t>
  </si>
  <si>
    <t>NTG</t>
  </si>
  <si>
    <t>DLJ</t>
  </si>
  <si>
    <t>Class A Shares</t>
  </si>
  <si>
    <t>63227W203</t>
  </si>
  <si>
    <t>Donaldson Lufkin &amp; Jenrette
Salomon Smith Barney
DLJdirect
Simmons &amp; Co International
Dain Rauscher Wessels
Raymond James &amp; Associates Inc</t>
  </si>
  <si>
    <t>DLJ//SALOMON-SMITH/DLJ-DIRECT/SIMMONS
//DAIN-R-WESSELS/RAYMOND</t>
  </si>
  <si>
    <t>DLJ
SALOMON-SMITH
DLJ-DIRECT
SIMMONS</t>
  </si>
  <si>
    <t>Donaldson Lufkin &amp; Jenrette Inc
Salomon Smith Barney
DLJdirect
Simmons &amp; Co International</t>
  </si>
  <si>
    <t>Packaging Corp of America</t>
  </si>
  <si>
    <t>PKG</t>
  </si>
  <si>
    <t>GS</t>
  </si>
  <si>
    <t>Goldman Sachs &amp; Co
Morgan Stanley Dean Witter
Deutsche Banc Alex Brown
JP Morgan
Salomon Smith Barney
Robert W Baird &amp; Co Inc
Neuberger Berman Inc
McDonald Investments
Wit Capital Group Inc
Wasserstein Perella Securities
Warburg Dillon Read Inc
Wachovia Bank NA
US Bancorp Piper Jaffray
Raymond James &amp; Associates Inc
Bear Stearns &amp; Co Inc
AG Edwards &amp; Sons Inc
First Union National Bancorp
Loop Capital Markets
Donaldson Lufkin &amp; Jenrette
Banc of America Securities LLC
Goldman Sachs &amp; Co</t>
  </si>
  <si>
    <t>GS//MSDW/DEUTSCHE-ALEX-B/JPM
/SALOMON-SMITH//BAIRD/NEUBERGER
/MCDONALD/WIT-CAPITAL/WP-SEC/WARBURG-DR
/WACHOVIA/US-PIPER/RAYMOND/BEAR
/A-G-EDWARDS/FIRST-UNION/LOOP/DLJ
/BA-SEC-LLC//GS(GC)</t>
  </si>
  <si>
    <t>GS
MSDW
DEUTSCHE-ALEX-B
JPM
SALOMON-SMITH</t>
  </si>
  <si>
    <t>Goldman Sachs &amp; Co
Morgan Stanley Dean Witter &amp; Co
Deutsche Banc Alex Brown
JP Morgan &amp; Co Inc
Salomon Smith Barney</t>
  </si>
  <si>
    <t>724 Solutions Inc</t>
  </si>
  <si>
    <t>Canada</t>
  </si>
  <si>
    <t>SVNX</t>
  </si>
  <si>
    <t>CS-FB-CS</t>
  </si>
  <si>
    <t>81788Q100</t>
  </si>
  <si>
    <t>Credit Suisse First Boston
Credit Suisse First Boston</t>
  </si>
  <si>
    <t>CS-FB-CS//CS-FB-CS(GC)</t>
  </si>
  <si>
    <t>Credit Suisse First Boston Corp</t>
  </si>
  <si>
    <t>BMO-NES-INC</t>
  </si>
  <si>
    <t>BMO Nesbitt Burns Inc
Credit Suisse First Boston
Credit Suisse First Boston</t>
  </si>
  <si>
    <t>Can. Public</t>
  </si>
  <si>
    <t>BMO-NES-INC//CS-FB-CS//CS-FB-CS(GC)</t>
  </si>
  <si>
    <t>BMO-NES-INC
CS-FB-CS</t>
  </si>
  <si>
    <t>BMO Nesbitt Burns Inc
Credit Suisse First Boston Corp</t>
  </si>
  <si>
    <t>CSFB-INC</t>
  </si>
  <si>
    <t>Credit Suisse First Boston Inc
FleetBoston Robertson Stephens
Thomas Weisel Partners
Credit Suisse First Boston Inc</t>
  </si>
  <si>
    <t>CSFB-INC//FLEET-ROB-STEPH/THOMAS-WEISEL
//CSFB-INC(GC)</t>
  </si>
  <si>
    <t>CSFB-INC
FLEET-ROB-STEPH
THOMAS-WEISEL</t>
  </si>
  <si>
    <t>Credit Suisse First Boston Inc
FleetBoston Robertson Stephens Inc
Thomas Weisel Partners</t>
  </si>
  <si>
    <t>Turnstone Systems Inc.</t>
  </si>
  <si>
    <t>Goldman Sachs &amp; Co
Dain Rauscher Wessels
FleetBoston Robertson Stephens
Goldman Sachs &amp; Co</t>
  </si>
  <si>
    <t>GS//DAIN-R-WESSELS/FLEET-ROB-STEPH
//GS(GC)</t>
  </si>
  <si>
    <t>Goldman Sachs &amp; Co</t>
  </si>
  <si>
    <t>Caminus Corp</t>
  </si>
  <si>
    <t>CAMZ</t>
  </si>
  <si>
    <t>Deutsche Banc Alex Brown
Bear Stearns &amp; Co Inc
CIBC World Markets Inc
Banc of America Securities LLC
Chase H&amp;Q
Donaldson Lufkin &amp; Jenrette
Fleet Boston Corp
Morgan Stanley Dean Witter
Salomon Smith Barney
SG Cowen Securities Corp
Soundview Technology (OLD)
Adams Harkness &amp; Hill Inc
Jefferies &amp; Co Inc
Josephthal &amp; Co Inc
CL King &amp; Associates Inc
McDonald Investments
Parker-Hunter Inc
Pennsylvania Merchant Group
Raymond James &amp; Associates Inc
SunTrust Equitable Securities
Van Kasper &amp; Co
Wedbush Securities
Deutsche Banc Alex Brown</t>
  </si>
  <si>
    <t>DEUTSCHE-ALEX-B//BEAR/CIBC-WORLD
//BA-SEC-LLC/CHASE-HQ/DLJ/FLEET-BOSTON
/MSDW/SALOMON-SMITH/SG-COWEN
/SOUNDVIEW-TECH/ADAMS-HARKNESS
/JEFFERIES/JOSEPHTHAL/CL-KING/MCDONALD
/PARKER-HUNTER/PENN-MER-GROUP/RAYMOND
/SUNTRUST-EQUI/VAN-KASPER/WEDBUSH-M
//DEUTSCHE-ALEX-B(GC)</t>
  </si>
  <si>
    <t>DEUTSCHE-ALEX-B
BEAR
CIBC-WORLD</t>
  </si>
  <si>
    <t>Deutsche Banc Alex Brown
Bear Stearns &amp; Co Inc
CIBC World Markets Inc</t>
  </si>
  <si>
    <t>Deutsche Banc Alex Brown
Bear Stearns &amp; Co Inc
CIBC Oppenheimer
Deutsche Banc Alex Brown</t>
  </si>
  <si>
    <t>DEUTSCHE-ALEX-B//BEAR/CIBC-OPPEN
//DEUTSCHE-ALEX-B(GC)</t>
  </si>
  <si>
    <t>L90 Inc</t>
  </si>
  <si>
    <t>LNTY</t>
  </si>
  <si>
    <t>SG Cowen Securities Corp
Banc of America Securities LLC
Wit Capital Group Inc
CIBC World Markets Inc
ABN AMRO Rothschild
Cruttenden Roth Inc
Jefferies &amp; Co Inc
Stephens Inc
Raymond James &amp; Associates Inc
Sutro &amp; Co Inc
Janney Montgomery Scott Inc
Crowell Weedon &amp; Co
Thomas Weisel Partners
William Blair &amp; Co
CE Unterberg Towbin
Fleet Boston Corp</t>
  </si>
  <si>
    <t>SG-COWEN//BA-SEC-LLC/WIT-CAPITAL
/CIBC-WORLD//ABN-ROTHSCHILD
/CRUTTENDEN-ROTH/JEFFERIES/STEPHENS
/RAYMOND/SUTRO/JANNEY/CROWELL
/THOMAS-WEISEL/WM-BLAIR/UNTERBERG
/FLEET-BOSTON</t>
  </si>
  <si>
    <t>SG-COWEN
BA-SEC-LLC
WIT-CAPITAL
CIBC-WORLD</t>
  </si>
  <si>
    <t>SG Cowen Securities Corp
Banc of America Securities LLC
Wit Capital Group Inc
CIBC World Markets Inc</t>
  </si>
  <si>
    <t>interWAVE Communications</t>
  </si>
  <si>
    <t>IWAV</t>
  </si>
  <si>
    <t>SALOMON-SMITH</t>
  </si>
  <si>
    <t>G4911N102</t>
  </si>
  <si>
    <t>Salomon Smith Barney
Banc of America Securities LLC
SG Cowen Securities Corp</t>
  </si>
  <si>
    <t>SALOMON-SMITH//BA-SEC-LLC/SG-COWEN</t>
  </si>
  <si>
    <t>SALOMON-SMITH
BA-SEC-LLC
SG-COWEN</t>
  </si>
  <si>
    <t>IMPSAT Fiber Networks Inc</t>
  </si>
  <si>
    <t>Argentina</t>
  </si>
  <si>
    <t>IMFN</t>
  </si>
  <si>
    <t>Morgan Stanley Dean Witter
Goldman Sachs &amp; Co
Salomon Smith Barney
Arnhold and S Bleichroeder Inc
Donaldson Lufkin Jenrette Intl
AG Edwards &amp; Sons Inc
First Union Securities Inc
Janney Montgomery Scott LLC
Edward D Jones &amp; Co LP
Merrill Lynch, Pierce, Fenner
Brad Peery Inc
Samuel A. Ramirez &amp; Co.
Wasserstein Perella Securities</t>
  </si>
  <si>
    <t>MSDW//GS/SALOMON-SMITH/ARNHOLD/DLJI
/A-G-EDWARDS/FIRST-UNION-SEC/JANNEY-LLC
/ED-JONES-LP/ML/BRADPE/RAMIREZ/WP-SEC</t>
  </si>
  <si>
    <t>Morgan Stanley Dean Witter &amp; Co</t>
  </si>
  <si>
    <t>Quantum Effect Devices Inc</t>
  </si>
  <si>
    <t>QEDI</t>
  </si>
  <si>
    <t>74764T107</t>
  </si>
  <si>
    <t>Morgan Stanley Dean Witter
Lehman Brothers
Fleet Boston Corp
First Union Securities Inc
Edward D Jones &amp; Co
Raymond James &amp; Associates Inc
SG Cowen Securities Corp
Soundview Technology (OLD)
Wasserstein Perella Securities
Morgan Stanley Dean Witter</t>
  </si>
  <si>
    <t>MSDW//LEH/FLEET-BOSTON//FIRST-UNION-SEC
/ED-JONES/RAYMOND/SG-COWEN
/SOUNDVIEW-TECH/WP-SEC//MSDW(GC)</t>
  </si>
  <si>
    <t>MSDW
LEH
FLEET-BOSTON</t>
  </si>
  <si>
    <t>Morgan Stanley Dean Witter &amp; Co
Lehman Brothers
Fleet Boston Corp,Boston,Massachusetts</t>
  </si>
  <si>
    <t>Morgan Stanley Dean Witter
Lehman Brothers
FleetBoston Robertson Stephens
Morgan Stanley Dean Witter</t>
  </si>
  <si>
    <t>MSDW//LEH/FLEET-ROB-STEPH//MSDW(GC)</t>
  </si>
  <si>
    <t>MSDW
LEH
FLEET-ROB-STEPH</t>
  </si>
  <si>
    <t>Morgan Stanley Dean Witter &amp; Co
Lehman Brothers
FleetBoston Robertson Stephens Inc</t>
  </si>
  <si>
    <t>Sequenom Inc</t>
  </si>
  <si>
    <t>SQNM</t>
  </si>
  <si>
    <t>WARBURG-DR</t>
  </si>
  <si>
    <t>Warburg Dillon Read Inc
Fleet Boston Corp
SG Cowen Securities Corp
Banc of America Securities LLC
Bear Stearns &amp; Co Inc
Cantor Fitzgerald Inc
Deutsche Banc Alex Brown
Donaldson Lufkin &amp; Jenrette
Dresdner Kleinwort Benson
Chase H&amp;Q
ING Barings
Lehman Brothers
Merrill Lynch
Morgan Stanley Dean Witter
Warburg Dillon Read Inc</t>
  </si>
  <si>
    <t>WARBURG-DR//FLEET-BOSTON/SG-COWEN
//BA-SEC-LLC/BEAR/CANTOR
/DEUTSCHE-ALEX-B/DLJ/DRESDNER-KLEINW
/CHASE-HQ/ING-BARINGS/LEH/MERRILL/MSDW
//WARBURG-DR(GC)</t>
  </si>
  <si>
    <t>WARBURG-DR
FLEET-BOSTON
SG-COWEN</t>
  </si>
  <si>
    <t>Warburg Dillon Read Inc
Fleet Boston Corp,Boston,Massachusetts
SG Cowen Securities Corp</t>
  </si>
  <si>
    <t>WDR-UK</t>
  </si>
  <si>
    <t>Warburg Dillon Read (UK)
FleetBoston Robertson Stephens
SG Cowen Securities Corp
Warburg Dillon Read (UK)</t>
  </si>
  <si>
    <t>WDR-UK//FLEET-ROB-STEPH/SG-COWEN
//WDR-UK(GC)</t>
  </si>
  <si>
    <t>Warburg Dillon Read (UK)</t>
  </si>
  <si>
    <t>SkillSoft Corp</t>
  </si>
  <si>
    <t>SKIL</t>
  </si>
  <si>
    <t>CS-FB</t>
  </si>
  <si>
    <t>83066P101</t>
  </si>
  <si>
    <t>CS First Boston Corp
Banc of America Securities LLC
Thomas Weisel Partners
Dain Rauscher Wessels
E*Offering Corp
First Union Securities Inc
Invemed Associates Inc
Toronto Dominion Sec. (USA)
Wasserstein Perella Securities
CS First Boston Corp</t>
  </si>
  <si>
    <t>Warburg Pincus Ventures Intl</t>
  </si>
  <si>
    <t>CS-FB//BA-SEC-LLC/THOMAS-WEISEL
//DAIN-R-WESSELS/E*OFFERING
/FIRST-UNION-SEC/INVEMED
/TORONTO-DOM-USA/WP-SEC//CS-FB(GC)</t>
  </si>
  <si>
    <t>CS-FB
BA-SEC-LLC
THOMAS-WEISEL</t>
  </si>
  <si>
    <t>CS First Boston Corp
Banc of America Securities LLC
Thomas Weisel Partners</t>
  </si>
  <si>
    <t>Credit Suisse First Boston Inc
Banc of America Securities LLC
Thomas Weisel Partners
Credit Suisse First Boston Inc</t>
  </si>
  <si>
    <t>CSFB-INC//BA-SEC-LLC/THOMAS-WEISEL
//CSFB-INC(GC)</t>
  </si>
  <si>
    <t>CSFB-INC
BA-SEC-LLC
THOMAS-WEISEL</t>
  </si>
  <si>
    <t>Credit Suisse First Boston Inc
Banc of America Securities LLC
Thomas Weisel Partners</t>
  </si>
  <si>
    <t>Turnstone Systems Inc</t>
  </si>
  <si>
    <t>TSTN</t>
  </si>
  <si>
    <t>Goldman Sachs &amp; Co
Dain Rauscher Wessels
BancBoston Robertson Stephens
Robert W Baird &amp; Co Inc
Wachovia Securities Inc
AG Edwards &amp; Sons Inc
Wasserstein Perella Securities
Ferris Baker Watts
Edward D Jones &amp; Co
W. E. Kaufman
Nutmeg Securities Ltd
Raymond James &amp; Associates Inc
Stephens Inc
Warburg Dillon Read Inc
Wit Capital Group Inc
Goldman Sachs &amp; Co</t>
  </si>
  <si>
    <t>GS//DAIN-R-WESSELS/BOSTON-ROBERTS
//BAIRD/WACHOVIA-SEC/A-G-EDWARDS/WP-SEC
/FERRIS-BAKER/ED-JONES/KAUFMAN
/NUTMEG-SEC/RAYMOND/STEPHENS/WARBURG-DR
/WIT-CAPITAL//GS(GC)</t>
  </si>
  <si>
    <t>GS
DAIN-R-WESSELS
BOSTON-ROBERTS</t>
  </si>
  <si>
    <t>Goldman Sachs &amp; Co
Dain Rauscher Wessels
BancBoston Robertson Stephens Inc</t>
  </si>
  <si>
    <t>Telaxis Communications Corp</t>
  </si>
  <si>
    <t>TLXS</t>
  </si>
  <si>
    <t>CS First Boston Corp
Banc of America Securities LLC
CIBC World Markets Inc
Invemed Associates Inc
Needham &amp; Co LLC
Adams Harkness &amp; Hill Inc
Toronto Dominion Sec. (USA)
Advest Inc
Deutsche Banc Alex Brown
E*Offering Corp
Gabelli &amp; Co Inc
Hambrecht &amp; Quist
JP Morgan
SG Cowen Securities Corp
Warburg Dillon Read Inc
CS First Boston Corp</t>
  </si>
  <si>
    <t>CS-FB//BA-SEC-LLC/CIBC-WORLD//INVEMED
/NEEDHAM/ADAMS-HARKNESS/TORONTO-DOM-USA
/ADVEST/DEUTSCHE-ALEX-B/E*OFFERING
/GABELLI/HAMBRECHT/JPM/SG-COWEN
/WARBURG-DR//CS-FB(GC)</t>
  </si>
  <si>
    <t>CS-FB
BA-SEC-LLC
CIBC-WORLD</t>
  </si>
  <si>
    <t>CS First Boston Corp
Banc of America Securities LLC
CIBC World Markets Inc</t>
  </si>
  <si>
    <t>Credit Suisse First Boston Inc
Banc of America Securities LLC
CIBC World Markets Inc
Credit Suisse First Boston Inc</t>
  </si>
  <si>
    <t>CSFB-INC//BA-SEC-LLC/CIBC-WORLD
//CSFB-INC(GC)</t>
  </si>
  <si>
    <t>CSFB-INC
BA-SEC-LLC
CIBC-WORLD</t>
  </si>
  <si>
    <t>Credit Suisse First Boston Inc
Banc of America Securities LLC
CIBC World Markets Inc</t>
  </si>
  <si>
    <t>Centra Software Inc</t>
  </si>
  <si>
    <t>CTRA</t>
  </si>
  <si>
    <t>15234X103</t>
  </si>
  <si>
    <t>Fleet Boston Corp
Chase H&amp;Q
Dain Rauscher Wessels
Adams Harkness &amp; Hill Inc
E*Offering Corp
Fidelity Bank
Friedman Billings Ramsey Group
SunTrust Equitable Securities
Tucker Anthony Inc
HC Wainwright &amp; Co Inc</t>
  </si>
  <si>
    <t>FLEET-BOSTON//CHASE-HQ/DAIN-R-WESSELS
//ADAMS-HARKNESS/E*OFFERING/FIDELITY
/FRIEDMAN-B/SUNTRUST-EQUI/TUCKER
/H-C-WAINWRIGHT</t>
  </si>
  <si>
    <t>FLEET-BOSTON
CHASE-HQ
DAIN-R-WESSELS</t>
  </si>
  <si>
    <t>Fleet Boston Corp,Boston,Massachusetts
Chase H&amp;Q
Dain Rauscher Wessels</t>
  </si>
  <si>
    <t>Alamosa PCS Holdings Inc</t>
  </si>
  <si>
    <t>APCS</t>
  </si>
  <si>
    <t>LEH/SALOMON-SMITH(JB)</t>
  </si>
  <si>
    <t>Lehman Brothers
Salomon Smith Barney
Credit Suisse First Boston Ltd
Deutsche Banc Alex Brown</t>
  </si>
  <si>
    <t>LEH(JB)/SALOMON-SMITH(JB)//C-S-F-B
/DEUTSCHE-ALEX-B</t>
  </si>
  <si>
    <t>LEH/SALOMON-SMITH</t>
  </si>
  <si>
    <t>LEH
(JB)/SALOMON-SMITH(JB)
C-S-F-B
DEUTSCHE-ALEX-B</t>
  </si>
  <si>
    <t>Antigenics Inc</t>
  </si>
  <si>
    <t>AGEN</t>
  </si>
  <si>
    <t>US-PIPER</t>
  </si>
  <si>
    <t>037032109</t>
  </si>
  <si>
    <t>US Bancorp Piper Jaffray
Fleet Boston Corp
Banc of America Securities LLC
CIBC World Markets Inc
Chase Securities Inc
Lehman Brothers
Merrill Lynch
Morgan Stanley Dean Witter
Prudential Securities Inc
Salomon Smith Barney
SG Cowen Securities Corp
Nessuah Zannex, Ltd.</t>
  </si>
  <si>
    <t>US-PIPER//FLEET-BOSTON//BA-SEC-LLC
/CIBC-WORLD/CHASE-SEC/LEH/MERRILL/MSDW
/PSI/SALOMON-SMITH/SG-COWEN
/NESSUAH-ZANNEX</t>
  </si>
  <si>
    <t>US-PIPER
FLEET-BOSTON</t>
  </si>
  <si>
    <t>US Bancorp Piper Jaffray Inc
Fleet Boston Corp,Boston,Massachusetts</t>
  </si>
  <si>
    <t>Avanex Corp</t>
  </si>
  <si>
    <t>AVNX</t>
  </si>
  <si>
    <t>05348W109</t>
  </si>
  <si>
    <t>Morgan Stanley Dean Witter
Lehman Brothers
US Bancorp Piper Jaffray
Fleet Boston Corp
First Albany
Banc of America Securities LLC
SG Cowen Securities Corp
Dain Rauscher Wessels
First Union Securities Inc
Raymond James &amp; Associates Inc
Edward D Jones &amp; Co
Morgan Stanley Dean Witter</t>
  </si>
  <si>
    <t>MSDW//LEH/US-PIPER/FLEET-BOSTON
//FIRST-ALBANY/BA-SEC-LLC/SG-COWEN
/DAIN-R-WESSELS/FIRST-UNION-SEC/RAYMOND
/ED-JONES//MSDW(GC)</t>
  </si>
  <si>
    <t>MSDW
LEH
US-PIPER
FLEET-BOSTON</t>
  </si>
  <si>
    <t>Morgan Stanley Dean Witter &amp; Co
Lehman Brothers
US Bancorp Piper Jaffray Inc
Fleet Boston Corp,Boston,Massachusetts</t>
  </si>
  <si>
    <t>Morgan Stanley Dean Witter
Lehman Brothers
FleetBoston Robertson Stephens
US Bancorp Piper Jaffray
Morgan Stanley Dean Witter</t>
  </si>
  <si>
    <t>MSDW//LEH/FLEET-ROB-STEPH/US-PIPER
//MSDW(GC)</t>
  </si>
  <si>
    <t>MSDW
LEH
FLEET-ROB-STEPH
US-PIPER</t>
  </si>
  <si>
    <t>Morgan Stanley Dean Witter &amp; Co
Lehman Brothers
FleetBoston Robertson Stephens Inc
US Bancorp Piper Jaffray Inc</t>
  </si>
  <si>
    <t>Dobson Communications Corp</t>
  </si>
  <si>
    <t>DCEL</t>
  </si>
  <si>
    <t>LEH/BA-SEC-LLC(JB)</t>
  </si>
  <si>
    <t>Lehman Brothers
Banc of America Securities LLC
Salomon Smith Barney
Deutsche Banc Alex Brown
Merrill Lynch
Goldman Sachs &amp; Co
Donaldson Lufkin &amp; Jenrette
ABN-AMRO Holding NV
Credit Suisse First Boston
Fidelity Capital Markets
Morgan Stanley Dean Witter
Prudential Securities Inc
Wasserstein Perella Securities
JC Bradford &amp; Co
First Union Securities Inc
Sands Brothers &amp; Co Ltd
Robinson-Humphrey Co
Raymond James &amp; Associates Inc
Neuberger Berman Inc
Needham &amp; Co LLC
JJB Hilliard WL Lyons Inc
Edward D Jones &amp; Co
Janco Partners
Gruntal &amp; Co Inc
Gabelli &amp; Co Inc
First Southwest
Chatsworth Securities LLC
Warburg Dillon Read Inc
PaineWebber
AG Edwards &amp; Sons Inc
CIBC World Markets Inc
Bear Stearns &amp; Co Inc
JP Morgan
Lehman Brothers
Banc of America Securities LLC</t>
  </si>
  <si>
    <t>LEH(JB)/BA-SEC-LLC(JB)
/SALOMON-SMITH(JOINT)//DEUTSCHE-ALEX-B
/MERRILL/GS//DLJ/ABN-AMRO/CS-FB-CS
/FIDELITY-CAP/MSDW/PSI/WP-SEC/BRADFORD
/FIRST-UNION-SEC/SANDS/ROBINSON/RAYMOND
/NEUBERGER/NEEDHAM/HILLIARD/ED-JONES
/JANCO-PARTNERS/GRUNTAL/GABELLI
/FIRST-SW/CHATSWORTH/WARBURG-DR/PAINE-W
/A-G-EDWARDS/CIBC-WORLD/BEAR/JPM
//LEH(GC)/BA-SEC-LLC(GC)</t>
  </si>
  <si>
    <t>LEH/BA-SEC-LLC/SALOMON-SMITH</t>
  </si>
  <si>
    <t>LEH
(JB)/BA-SEC-LLC(JB)
/SALOMON-SMITH(JOINT)
DEUTSCHE-ALEX-B
MERRILL
GS</t>
  </si>
  <si>
    <t>Lehman Brothers
Banc of America Securities LLC
Salomon Smith Barney
Deutsche Banc Alex Brown
Merrill Lynch &amp; Co Inc
Goldman Sachs &amp; Co</t>
  </si>
  <si>
    <t>BA-SEC-LLC/LEH(JB)</t>
  </si>
  <si>
    <t>Banc of America Securities LLC
Lehman Brothers
Salomon Smith Barney
Deutsche Banc Alex Brown
Goldman Sachs &amp; Co
Merrill Lynch
Banc of America Securities LLC
Lehman Brothers</t>
  </si>
  <si>
    <t>BA-SEC-LLC(JB)/LEH(JB)
/SALOMON-SMITH(JOINT)//DEUTSCHE-ALEX-B
//GS/MERRILL//BA-SEC-LLC(GC)/LEH(GC)</t>
  </si>
  <si>
    <t>BA-SEC-LLC/LEH/SALOMON-SMITH</t>
  </si>
  <si>
    <t>BA-SEC-LLC
(JB)/LEH(JB)
/SALOMON-SMITH(JOINT)
DEUTSCHE-ALEX-B</t>
  </si>
  <si>
    <t>Banc of America Securities LLC
Lehman Brothers
Salomon Smith Barney
Deutsche Banc Alex Brown</t>
  </si>
  <si>
    <t>Mediacom Communications Corp</t>
  </si>
  <si>
    <t>MCCC</t>
  </si>
  <si>
    <t>CS-FB/SALOMON-SMITH(JB)</t>
  </si>
  <si>
    <t>58446K105</t>
  </si>
  <si>
    <t>CS First Boston Corp
Salomon Smith Barney
Donaldson Lufkin &amp; Jenrette
Goldman Sachs &amp; Co
Chase Securities Inc
First Union Securities Inc
CIBC World Markets Inc
Merrill Lynch
Banc of America Securities LLC
SG Cowen Securities Corp
Janco Partners
Gabelli &amp; Co Inc
Nesbitt Thomson Securities NY
Dresdner Kleinwort Benson
CS First Boston Corp
Salomon Smith Barney</t>
  </si>
  <si>
    <t>CS-FB(JB)/SALOMON-SMITH(JB)/DLJ(JOINT)
//GS/CHASE-SEC/FIRST-UNION-SEC
/CIBC-WORLD/MERRILL//BA-SEC-LLC
/SG-COWEN/JANCO-PARTNERS/GABELLI
/NESBITT/DRESDNER-KLEINW//CS-FB(GC)
/SALOMON-SMITH(GC)</t>
  </si>
  <si>
    <t>CS-FB/SALOMON-SMITH/DLJ</t>
  </si>
  <si>
    <t>CS-FB
(JB)/SALOMON-SMITH(JB)
/DLJ(JOINT)
GS
CHASE-SEC
FIRST-UNION-SEC
CIBC-WORLD
MERRILL</t>
  </si>
  <si>
    <t>CS First Boston Corp
Salomon Smith Barney
Donaldson Lufkin &amp; Jenrette Inc
Goldman Sachs &amp; Co
Chase Securities Inc
First Union Securities Inc
CIBC World Markets Inc
Merrill Lynch &amp; Co Inc</t>
  </si>
  <si>
    <t>CSFB-INC
/SALOMON-SMITH(JB)</t>
  </si>
  <si>
    <t>Credit Suisse First Boston Inc
Salomon Smith Barney
Donaldson Lufkin &amp; Jenrette
Goldman Sachs &amp; Co
Merrill Lynch Intl Ltd
Chase Securities Inc
CIBC World Markets Inc
First Union Securities Inc
Donaldson Lufkin &amp; Jenrette
Salomon Smith Barney
Credit Suisse First Boston Inc</t>
  </si>
  <si>
    <t>CSFB-INC(JB)/SALOMON-SMITH(JB)//DLJ//GS
/ML-I/CHASE-SEC/CIBC-WORLD
/FIRST-UNION-SEC//DLJ(GC)
/SALOMON-SMITH(GC)/CSFB-INC(GC)</t>
  </si>
  <si>
    <t>CSFB-INC/SALOMON-SMITH</t>
  </si>
  <si>
    <t>CSFB-INC
(JB)/SALOMON-SMITH(JB)
DLJ</t>
  </si>
  <si>
    <t>Credit Suisse First Boston Inc
Salomon Smith Barney
Donaldson Lufkin &amp; Jenrette Inc</t>
  </si>
  <si>
    <t>Therma-Wave Inc</t>
  </si>
  <si>
    <t>88343A108</t>
  </si>
  <si>
    <t>Banc of America Securities LLC
Lehman Brothers
Bear Stearns &amp; Co Inc
AG Edwards &amp; Sons Inc
Fidelity Capital Markets
First Union Securities Inc
Fleet Boston Corp
Merrill Lynch
Morgan Stanley Dean Witter
Needham &amp; Co LLC
Salomon Smith Barney
SG Cowen Securities Corp
Adams Harkness &amp; Hill Inc
Advest Inc
William Blair &amp; Co
Cruttenden Roth Inc
Doft &amp; Co Inc
John G Kinnard &amp; Co
Pacific Crest Securities Inc
Sandler O'Neill Partners
Tucker Anthony Inc
HC Wainwright &amp; Co Inc
Banc of America Securities LLC
Lehman Brothers</t>
  </si>
  <si>
    <t>BA-SEC-LLC(JB)/LEH(JB)//BEAR
/A-G-EDWARDS/FIDELITY-CAP
/FIRST-UNION-SEC/FLEET-BOSTON/MERRILL
/MSDW/NEEDHAM/SALOMON-SMITH/SG-COWEN
/ADAMS-HARKNESS/ADVEST/WM-BLAIR
/CRUTTENDEN-ROTH/DOFT/KINNARD
/PACIFIC-CREST/SANDLER-ONEILL/TUCKER
/H-C-WAINWRIGHT//BA-SEC-LLC(GC)/LEH(GC)</t>
  </si>
  <si>
    <t>BA-SEC-LLC/LEH</t>
  </si>
  <si>
    <t>BA-SEC-LLC
(JB)/LEH(JB)</t>
  </si>
  <si>
    <t>Banc of America Securities LLC
Lehman Brothers</t>
  </si>
  <si>
    <t>Lehman Brothers
Banc of America Securities LLC
Lehman Brothers
Banc of America Securities LLC</t>
  </si>
  <si>
    <t>LEH(JB)/BA-SEC-LLC(JB)//LEH(GC)
/BA-SEC-LLC(GC)</t>
  </si>
  <si>
    <t>LEH/BA-SEC-LLC</t>
  </si>
  <si>
    <t>LEH
(JB)/BA-SEC-LLC(JB)</t>
  </si>
  <si>
    <t>Lehman Brothers
Banc of America Securities LLC</t>
  </si>
  <si>
    <t>eOn Communications Corp</t>
  </si>
  <si>
    <t>EONC</t>
  </si>
  <si>
    <t>NEEDHAM</t>
  </si>
  <si>
    <t>Needham &amp; Co LLC
AG Edwards &amp; Sons Inc
Hambrecht &amp; Quist
Banc of America Securities LLC
CIBC World Markets Inc
Chase H&amp;Q
ING Barings
Adams Harkness &amp; Hill Inc
JC Bradford &amp; Co
Dain Rauscher Wessels
Morgan Keegan Inc
Sanders Morris Mundy Inc
Smeet Verbaet &amp; Co
Stifel Nicolaus &amp; Co Inc
US Bancorp Piper Jaffray</t>
  </si>
  <si>
    <t>NEEDHAM//A-G-EDWARDS/HAMBRECHT
//BA-SEC-LLC/CIBC-WORLD/CHASE-HQ
/ING-BARINGS/ADAMS-HARKNESS/BRADFORD
/DAIN-R-WESSELS/MORGAN-KEEGAN
/SANDERS-MORRIS/SMEET-VERBAET/STIFEL
/US-PIPER</t>
  </si>
  <si>
    <t>NEEDHAM
A-G-EDWARDS
HAMBRECHT</t>
  </si>
  <si>
    <t>Needham &amp; Co LLC
AG Edwards &amp; Sons Inc
Hambrecht &amp; Quist Inc</t>
  </si>
  <si>
    <t>eMerge Interactive Inc</t>
  </si>
  <si>
    <t>EMRG</t>
  </si>
  <si>
    <t>ADAMS-HARKNESS</t>
  </si>
  <si>
    <t>29088W103</t>
  </si>
  <si>
    <t>Adams Harkness &amp; Hill Inc
First Union Securities Inc
FAC/Equities
Banc of America Securities LLC
Hambrecht &amp; Quist
Deutsche Banc Alex Brown
Lehman Brothers
JP Morgan
Prudential Securities Inc
Thomas Weisel Partners
First Montauk Securities
Janney Montgomery Scott Inc
Legg Mason Wood Walker
Parker-Hunter Inc
Pennsylvania Merchant Group
Wedbush, Noble, Cooke</t>
  </si>
  <si>
    <t>ADAMS-HARKNESS//FIRST-UNION-SEC
/FAC-EQUITIES//BA-SEC-LLC/HAMBRECHT
/DEUTSCHE-ALEX-B/LEH/JPM/PSI
/THOMAS-WEISEL/FIRST-MONTAUK/JANNEY
/LEGG-MASON-WW/PARKER-HUNTER
/PENN-MER-GROUP/WEDBUSH</t>
  </si>
  <si>
    <t>ADAMS-HARKNESS
FIRST-UNION-SEC
FAC-EQUITIES</t>
  </si>
  <si>
    <t>Adams Harkness &amp; Hill Inc
First Union Securities Inc
FAC/Equities</t>
  </si>
  <si>
    <t>Firepond Inc</t>
  </si>
  <si>
    <t>FIRE</t>
  </si>
  <si>
    <t>Fleet Boston Corp
Dain Rauscher Wessels
SG Cowen Securities Corp
E*Offering Corp
Fidelity Bank</t>
  </si>
  <si>
    <t>FLEET-BOSTON//DAIN-R-WESSELS/SG-COWEN
/E*OFFERING//FIDELITY</t>
  </si>
  <si>
    <t>FLEET-BOSTON
DAIN-R-WESSELS
SG-COWEN
E*OFFERING</t>
  </si>
  <si>
    <t>Fleet Boston Corp,Boston,Massachusetts
Dain Rauscher Wessels
SG Cowen Securities Corp
E*Offering Corp</t>
  </si>
  <si>
    <t>WorldQuest Networks Inc</t>
  </si>
  <si>
    <t>WQNI</t>
  </si>
  <si>
    <t>KAUFMAN</t>
  </si>
  <si>
    <t>98156W105</t>
  </si>
  <si>
    <t>W. E. Kaufman
John G Kinnard &amp; Co
West Park Capital
Banc of America Securities LLC
Donaldson Lufkin &amp; Jenrette
ING Barings
PaineWebber
SG Cowen Securities Corp
Fahnestock &amp; Co
Jefferies &amp; Co Inc
Pacific Crest Securities Inc
Scott &amp; Stringfellow Financial
Southwest Securities Group Inc
CE Unterberg Towbin
First Security Van Kasper &amp; Co</t>
  </si>
  <si>
    <t>KAUFMAN//KINNARD/WEST-PARK-CAP
//BA-SEC-LLC/DLJ/ING-BARINGS/PAINE-W
/SG-COWEN/FAHNESTOCK/JEFFERIES
/PACIFIC-CREST/SCOTT-STRING
/SOUTHWEST-SEC/UNTERBERG/FIR-VAN-KASPER</t>
  </si>
  <si>
    <t>KAUFMAN
KINNARD
WEST-PARK-CAP</t>
  </si>
  <si>
    <t>W. E. Kaufman &amp; Company
John G Kinnard &amp; Co
West Park Capital</t>
  </si>
  <si>
    <t>Buy.com Inc</t>
  </si>
  <si>
    <t>BUYX</t>
  </si>
  <si>
    <t>Merrill Lynch
Bear Stearns &amp; Co Inc
US Bancorp Piper Jaffray
Chase H&amp;Q
Goldman Sachs &amp; Co
Deutsche Bank
Prudential Securities Inc
Crowell Weedon &amp; Co
Pacific Crest Securities Inc
Dain Rauscher Corp
Utendahl Capital Partners
Soundview Technology (OLD)
PaineWebber
Salomon Smith Barney
Fleet Boston Corp
Merrill Lynch</t>
  </si>
  <si>
    <t>MERRILL//BEAR/US-PIPER/CHASE-HQ//GS
/DEUTSCHE-BANK/PSI/CROWELL
/PACIFIC-CREST/DAIN-RAUSCHER
/UTENDAHL-CAP/SOUNDVIEW-TECH/PAINE-W
/SALOMON-SMITH/FLEET-BOSTON
//MERRILL(GC)</t>
  </si>
  <si>
    <t>MERRILL
BEAR
US-PIPER
CHASE-HQ</t>
  </si>
  <si>
    <t>Merrill Lynch &amp; Co Inc
Bear Stearns &amp; Co Inc
US Bancorp Piper Jaffray Inc
Chase H&amp;Q</t>
  </si>
  <si>
    <t>Merrill Lynch, Pierce, Fenner
Bear Stearns &amp; Co Inc
Chase H&amp;Q
US Bancorp Piper Jaffray
Merrill Lynch, Pierce, Fenner</t>
  </si>
  <si>
    <t>ML//BEAR/CHASE-HQ/US-PIPER//ML(GC)</t>
  </si>
  <si>
    <t>Merrill Lynch Pierce Fenner &amp; Smith</t>
  </si>
  <si>
    <t>FASTNET Corp</t>
  </si>
  <si>
    <t>FSST</t>
  </si>
  <si>
    <t>ING-BARINGS</t>
  </si>
  <si>
    <t>ING Barings
Wit Soundview Group Inc
FAC/Equities
DLJdirect
Bear Stearns &amp; Co Inc
CIBC World Markets Inc
Fleet Boston Corp
PaineWebber
Prudential Securities Inc
SG Cowen Securities Corp
Thomas Weisel Partners
King &amp; Shaxson Holdings
Dominick &amp; Dominick Inc
Jefferies &amp; Co Inc
Janney Montgomery Scott Inc
Pennsylvania Merchant Group
W. E. Kaufman
ING Barings</t>
  </si>
  <si>
    <t>ING-BARINGS//WIT-SOUNDVIEW/FAC-EQUITIES
/DLJ-DIRECT//BEAR/CIBC-WORLD
/FLEET-BOSTON/PAINE-W/PSI/SG-COWEN
/THOMAS-WEISEL/KING/DOMINICK/JEFFERIES
/JANNEY/PENN-MER-GROUP/KAUFMAN
//ING-BARINGS(GC)</t>
  </si>
  <si>
    <t>ING-BARINGS
WIT-SOUNDVIEW
FAC-EQUITIES
DLJ-DIRECT</t>
  </si>
  <si>
    <t>ING Barings
Wit Soundview Group Inc
FAC/Equities
DLJdirect</t>
  </si>
  <si>
    <t>Landacorp Inc</t>
  </si>
  <si>
    <t>LCOR</t>
  </si>
  <si>
    <t>CHASE-HQ</t>
  </si>
  <si>
    <t>Chase H&amp;Q
SG Cowen Securities Corp
Prudential Volpe Technology Gr
Banc of America Securities LLC
CIBC World Markets Inc
Deutsche Banc Alex Brown
Donaldson Lufkin &amp; Jenrette
AG Edwards &amp; Sons Inc
First Union Securities Inc
JC Bradford &amp; Co
Dain Rauscher Wessels
E*Offering Corp
First Southwest
First Security Van Kasper &amp; Co
Needham &amp; Co LLC
Robinson-Humphrey Co
Stephens Inc</t>
  </si>
  <si>
    <t>CHASE-HQ//SG-COWEN/PRUD-VOLPE
//BA-SEC-LLC/CIBC-WORLD/DEUTSCHE-ALEX-B
/DLJ/A-G-EDWARDS/FIRST-UNION-SEC
/BRADFORD/DAIN-R-WESSELS/E*OFFERING
/FIRST-SW/FIR-VAN-KASPER/NEEDHAM
/ROBINSON/STEPHENS</t>
  </si>
  <si>
    <t>CHASE-HQ
SG-COWEN
PRUD-VOLPE</t>
  </si>
  <si>
    <t>Chase H&amp;Q
SG Cowen Securities Corp
Prudential Volpe Technology Group</t>
  </si>
  <si>
    <t>Precis Smart Card Systems Inc</t>
  </si>
  <si>
    <t>BARRON-CHASE</t>
  </si>
  <si>
    <t>Barron Chase Securities
Emerson Bennett &amp; Assoc.</t>
  </si>
  <si>
    <t>BARRON-CHASE//EMERSON-BENNETT</t>
  </si>
  <si>
    <t>BARRON-CHASE
EMERSON-BENNETT</t>
  </si>
  <si>
    <t>Barron Chase Securities
Emerson Bennett &amp; Associates</t>
  </si>
  <si>
    <t>Vicinity Corp</t>
  </si>
  <si>
    <t>VCNT</t>
  </si>
  <si>
    <t>JPM</t>
  </si>
  <si>
    <t>JP Morgan
Bear Stearns &amp; Co Inc
US Bancorp Piper Jaffray
JC Bradford &amp; Co
Chase Securities Inc
Dain Rauscher Wessels
Thomas Weisel Partners
JP Morgan</t>
  </si>
  <si>
    <t>JPM//BEAR/US-PIPER//BRADFORD/CHASE-SEC
/DAIN-R-WESSELS/THOMAS-WEISEL//JPM(GC)</t>
  </si>
  <si>
    <t>JPM
BEAR
US-PIPER</t>
  </si>
  <si>
    <t>JP Morgan &amp; Co Inc
Bear Stearns &amp; Co Inc
US Bancorp Piper Jaffray Inc</t>
  </si>
  <si>
    <t>J-P-MORGAN</t>
  </si>
  <si>
    <t>JP Morgan Securities Inc
Bear Stearns &amp; Co Inc
US Bancorp Piper Jaffray
JP Morgan Securities Inc</t>
  </si>
  <si>
    <t>J-P-MORGAN//BEAR/US-PIPER
//J-P-MORGAN(GC)</t>
  </si>
  <si>
    <t>JP Morgan Securities Inc</t>
  </si>
  <si>
    <t>Cypress Communications Inc</t>
  </si>
  <si>
    <t>CYCO</t>
  </si>
  <si>
    <t>BEAR</t>
  </si>
  <si>
    <t>Bear Stearns &amp; Co Inc
Donaldson Lufkin &amp; Jenrette
JC Bradford &amp; Co
Banc of America Securities LLC
CS First Boston Corp
Lehman Brothers
Merrill Lynch
Morgan Stanley &amp; Co
FleetBoston Robertson Stephens
Salomon Smith Barney
SG Cowen Securities Corp
Warburg Dillon Read Inc
Wasserstein Perella Securities
Thomas Weisel Partners
Blaylock &amp; Partners LP
Corinthian Partners, LLC
Gaines, Berland
Hagerty, Stewart &amp; Associates
Jefferies &amp; Co Inc
Jesup &amp; Lamont Securities
Josephthal &amp; Co Inc
Parker-Hunter Inc
Robinson-Humphrey Co
Sanders Morris Mundy Inc
Sands Brothers &amp; Co Ltd
Stephens Inc
Wachovia Bank NA</t>
  </si>
  <si>
    <t>BEAR//DLJ/BRADFORD//BA-SEC-LLC/CS-FB
/LEH/MERRILL/MS/FLEET-ROB-STEPH
/SALOMON-SMITH/SG-COWEN/WARBURG-DR
/WP-SEC/THOMAS-WEISEL/BLAYLOCK-PTRNS
/CORINTHIAN/GAINES-BERLAND/HAGERTY
/JEFFERIES/JESUP/JOSEPHTHAL
/PARKER-HUNTER/ROBINSON/SANDERS-MORRIS
/SANDS/STEPHENS/WACHOVIA</t>
  </si>
  <si>
    <t>BEAR
DLJ
BRADFORD</t>
  </si>
  <si>
    <t>Bear Stearns &amp; Co Inc
Donaldson Lufkin &amp; Jenrette Inc
JC Bradford &amp; Co</t>
  </si>
  <si>
    <t>Delano Technology Corp</t>
  </si>
  <si>
    <t>DTEC</t>
  </si>
  <si>
    <t>Fleet Boston Corp
US Bancorp Piper Jaffray
First Albany
Griffiths McBurney &amp; Partners
Punk Ziegel &amp; Knoell
CE Unterberg Towbin
Fleet Boston Corp</t>
  </si>
  <si>
    <t>FLEET-BOSTON//US-PIPER//FIRST-ALBANY
/GRIFFITHS/PUNK-ZIEGEL/UNTERBERG
//FLEET-BOSTON(GC)</t>
  </si>
  <si>
    <t>FLEET-BOSTON
US-PIPER</t>
  </si>
  <si>
    <t>Fleet Boston Corp,Boston,Massachusetts
US Bancorp Piper Jaffray Inc</t>
  </si>
  <si>
    <t>GRIFFITHS</t>
  </si>
  <si>
    <t>Griffiths McBurney &amp; Partners</t>
  </si>
  <si>
    <t>Organic Inc</t>
  </si>
  <si>
    <t>OGNC</t>
  </si>
  <si>
    <t>68617E101</t>
  </si>
  <si>
    <t>Goldman Sachs &amp; Co
Donaldson Lufkin &amp; Jenrette
Thomas Weisel Partners
Goldman Sachs &amp; Co</t>
  </si>
  <si>
    <t>GS/DLJ(JOINT)//THOMAS-WEISEL//GS(GC)</t>
  </si>
  <si>
    <t>GS/DLJ</t>
  </si>
  <si>
    <t>GS
/DLJ(JOINT)
THOMAS-WEISEL</t>
  </si>
  <si>
    <t>Goldman Sachs &amp; Co
Donaldson Lufkin &amp; Jenrette Inc
Thomas Weisel Partners</t>
  </si>
  <si>
    <t>GS//DLJ/THOMAS-WEISEL//GS(GC)</t>
  </si>
  <si>
    <t>Witness Systems Inc</t>
  </si>
  <si>
    <t>WITS</t>
  </si>
  <si>
    <t>Chase H&amp;Q
US Bancorp Piper Jaffray
Wit Soundview Group Inc
CIBC World Markets Inc
Deutsche Banc Alex Brown
Donaldson Lufkin &amp; Jenrette
AG Edwards &amp; Sons Inc
Lehman Brothers
Fleet Boston Corp
Adams Harkness &amp; Hill Inc
E*Offering Corp
First Albany
First Security Van Kasper &amp; Co
Robinson-Humphrey Co
SunTrust Equitable Securities
Tucker Anthony Inc
Wachovia Securities Inc</t>
  </si>
  <si>
    <t>CHASE-HQ//US-PIPER/WIT-SOUNDVIEW
//CIBC-WORLD/DEUTSCHE-ALEX-B/DLJ
/A-G-EDWARDS/LEH/FLEET-BOSTON
/ADAMS-HARKNESS/E*OFFERING/FIRST-ALBANY
/FIR-VAN-KASPER/ROBINSON/SUNTRUST-EQUI
/TUCKER/WACHOVIA-SEC</t>
  </si>
  <si>
    <t>CHASE-HQ
US-PIPER
WIT-SOUNDVIEW</t>
  </si>
  <si>
    <t>Chase H&amp;Q
US Bancorp Piper Jaffray Inc
Wit Soundview Group Inc</t>
  </si>
  <si>
    <t>Xcare Net Inc</t>
  </si>
  <si>
    <t>XCAR</t>
  </si>
  <si>
    <t>BOSTON-ROBERTS</t>
  </si>
  <si>
    <t>98388Y101</t>
  </si>
  <si>
    <t>BancBoston Robertson Stephens
SG Cowen Securities Corp
Advest Inc
E*Offering Corp
Prudential Securities Inc
Punk Ziegel &amp; Knoell
Stifel Nicolaus &amp; Co Inc
Needham &amp; Co LLC
First Albany
Fidelity Bank
Gruntal &amp; Co Inc
Thomas Weisel Partners</t>
  </si>
  <si>
    <t>BOSTON-ROBERTS//SG-COWEN/ADVEST
/E*OFFERING//PSI/PUNK-ZIEGEL/STIFEL
/NEEDHAM/FIRST-ALBANY/FIDELITY/GRUNTAL
/THOMAS-WEISEL</t>
  </si>
  <si>
    <t>BOSTON-ROBERTS
SG-COWEN
ADVEST
E*OFFERING</t>
  </si>
  <si>
    <t>BancBoston Robertson Stephens Inc
SG Cowen Securities Corp
Advest Inc
E*Offering Corp</t>
  </si>
  <si>
    <t>Fargo Electronics Inc</t>
  </si>
  <si>
    <t>FRGO</t>
  </si>
  <si>
    <t>30744P102</t>
  </si>
  <si>
    <t>Prudential Securities Inc
Fleet Boston Corp
Raymond James &amp; Associates Inc
Banc of America Securities LLC
Bear Stearns &amp; Co Inc
Chase Securities Inc
CIBC World Markets Inc
Deutsche Banc Alex Brown
Donaldson Lufkin &amp; Jenrette
ING Barings
JP Morgan
Morgan Stanley Dean Witter
Gerard Klauer Mattison &amp; Co
McDonald Investments
Sutro &amp; Co Inc
Tucker Anthony Inc
US Bancorp Piper Jaffray
BC Ziegler &amp; Co</t>
  </si>
  <si>
    <t>PSI//FLEET-BOSTON/RAYMOND//BA-SEC-LLC
/BEAR/CHASE-SEC/CIBC-WORLD
/DEUTSCHE-ALEX-B/DLJ/ING-BARINGS/JPM
/MSDW/GERARD-KLAUER/MCDONALD/SUTRO
/TUCKER/US-PIPER/ZIEGLER</t>
  </si>
  <si>
    <t>PSI
FLEET-BOSTON
RAYMOND</t>
  </si>
  <si>
    <t>Prudential Securities Inc
Fleet Boston Corp,Boston,Massachusetts
Raymond James &amp; Associates Inc</t>
  </si>
  <si>
    <t>Lante Corp</t>
  </si>
  <si>
    <t>LNTE</t>
  </si>
  <si>
    <t>CS First Boston Corp
Deutsche Banc Alex Brown
Friedman Billings Ramsey Group
Thomas Weisel Partners
Adams Harkness &amp; Hill Inc
SG Cowen Securities Corp
Stifel Nicolaus &amp; Co Inc
Soundview Technology (OLD)
TD Securities Inc
Lehman Brothers
Donaldson Lufkin &amp; Jenrette
E*Offering Corp
Invemed Associates Inc
First Union Securities Inc
Barrington Associates
CS First Boston Corp</t>
  </si>
  <si>
    <t>CS-FB//DEUTSCHE-ALEX-B/FRIEDMAN-B
/THOMAS-WEISEL//ADAMS-HARKNESS/SG-COWEN
/STIFEL/SOUNDVIEW-TECH/TD-SECURITIES
/LEH/DLJ/E*OFFERING/INVEMED
/FIRST-UNION-SEC/BARRINGTON//CS-FB(GC)</t>
  </si>
  <si>
    <t>CS-FB
DEUTSCHE-ALEX-B
FRIEDMAN-B
THOMAS-WEISEL</t>
  </si>
  <si>
    <t>CS First Boston Corp
Deutsche Banc Alex Brown
Friedman Billings Ramsey Group
Thomas Weisel Partners</t>
  </si>
  <si>
    <t>Credit Suisse First Boston Inc
Deutsche Banc Alex Brown
Thomas Weisel Partners
Friedman Billings Ramsey Group
Credit Suisse First Boston Inc</t>
  </si>
  <si>
    <t>CSFB-INC//DEUTSCHE-ALEX-B/THOMAS-WEISEL
/FRIEDMAN-B//CSFB-INC(GC)</t>
  </si>
  <si>
    <t>CSFB-INC
DEUTSCHE-ALEX-B
THOMAS-WEISEL
FRIEDMAN-B</t>
  </si>
  <si>
    <t>Credit Suisse First Boston Inc
Deutsche Banc Alex Brown
Thomas Weisel Partners
Friedman Billings Ramsey Group</t>
  </si>
  <si>
    <t>Lightspan Partnership Inc</t>
  </si>
  <si>
    <t>LSPN</t>
  </si>
  <si>
    <t>53226T102</t>
  </si>
  <si>
    <t>CS First Boston Corp
Thomas Weisel Partners
US Bancorp Piper Jaffray
ABN AMRO Rothschild
Deutsche Banc Alex Brown
E*Offering Corp
First Union Securities Inc
Fleet Boston Corp
Invemed Associates Inc
Legg Mason Wood Walker
Toronto Dominion Sec. (USA)
CS First Boston Corp</t>
  </si>
  <si>
    <t>CS-FB//THOMAS-WEISEL/US-PIPER
//ABN-ROTHSCHILD/DEUTSCHE-ALEX-B
/E*OFFERING/FIRST-UNION-SEC
/FLEET-BOSTON/INVEMED/LEGG-MASON-WW
/TORONTO-DOM-USA//CS-FB(GC)</t>
  </si>
  <si>
    <t>CS-FB
THOMAS-WEISEL
US-PIPER</t>
  </si>
  <si>
    <t>CS First Boston Corp
Thomas Weisel Partners
US Bancorp Piper Jaffray Inc</t>
  </si>
  <si>
    <t>Credit Suisse First Boston Inc
Thomas Weisel Partners
US Bancorp Piper Jaffray
Credit Suisse First Boston Inc</t>
  </si>
  <si>
    <t>CSFB-INC//THOMAS-WEISEL/US-PIPER
//CSFB-INC(GC)</t>
  </si>
  <si>
    <t>CSFB-INC
THOMAS-WEISEL
US-PIPER</t>
  </si>
  <si>
    <t>Credit Suisse First Boston Inc
Thomas Weisel Partners
US Bancorp Piper Jaffray Inc</t>
  </si>
  <si>
    <t>Pets.com Inc</t>
  </si>
  <si>
    <t>IPET</t>
  </si>
  <si>
    <t>71676K109</t>
  </si>
  <si>
    <t>Merrill Lynch
Bear Stearns &amp; Co Inc
Warburg Dillon Read Inc
Thomas Weisel Partners
CIBC World Markets Inc
Dain Rauscher Corp
Fahnestock &amp; Co
E*Offering Corp
Utendahl Capital Partners
CE Unterberg Towbin
Robinson-Humphrey Co
Needham &amp; Co LLC
McDonald Investments
Prudential Securities Inc
Deutsche Bank
Fleet Boston Corp
JP Morgan
Lazard Freres &amp; Co LLC
CS First Boston Corp
Merrill Lynch</t>
  </si>
  <si>
    <t>MERRILL//BEAR/WARBURG-DR/THOMAS-WEISEL
//CIBC-WORLD/DAIN-RAUSCHER/FAHNESTOCK
/E*OFFERING/UTENDAHL-CAP/UNTERBERG
/ROBINSON/NEEDHAM/MCDONALD/PSI
/DEUTSCHE-BANK/FLEET-BOSTON/JPM/LAZ
/CS-FB//MERRILL(GC)</t>
  </si>
  <si>
    <t>MERRILL
BEAR
WARBURG-DR
THOMAS-WEISEL</t>
  </si>
  <si>
    <t>Merrill Lynch &amp; Co Inc
Bear Stearns &amp; Co Inc
Warburg Dillon Read Inc
Thomas Weisel Partners</t>
  </si>
  <si>
    <t>ML-I</t>
  </si>
  <si>
    <t>Merrill Lynch Intl Ltd
Warburg Dillon Read (UK)
Bear Stearns International
Thomas Weisel Partners
Merrill Lynch Intl Ltd</t>
  </si>
  <si>
    <t>ML-I//WDR-UK//BSI/THOMAS-WEISEL
//ML-I(GC)</t>
  </si>
  <si>
    <t>ML-I
WDR-UK</t>
  </si>
  <si>
    <t>Merrill Lynch International Ltd
Warburg Dillon Read (UK)</t>
  </si>
  <si>
    <t>webMethods Inc</t>
  </si>
  <si>
    <t>WEBM</t>
  </si>
  <si>
    <t>94768C108</t>
  </si>
  <si>
    <t>Morgan Stanley Dean Witter
Merrill Lynch
Friedman Billings Ramsey Group
Dain Rauscher Wessels
Chase Securities Inc
Edward D Jones &amp; Co
Legg Mason Wood Walker
Soundview Technology (OLD)
McDonald Investments
First Union Securities Inc
Morgan Stanley Dean Witter</t>
  </si>
  <si>
    <t>MSDW//MERRILL/FRIEDMAN-B/DAIN-R-WESSELS
//CHASE-SEC/ED-JONES/LEGG-MASON-WW
/SOUNDVIEW-TECH/MCDONALD
/FIRST-UNION-SEC//MSDW(GC)</t>
  </si>
  <si>
    <t>MSDW
MERRILL
FRIEDMAN-B
DAIN-R-WESSELS</t>
  </si>
  <si>
    <t>Morgan Stanley Dean Witter &amp; Co
Merrill Lynch &amp; Co Inc
Friedman Billings Ramsey Group
Dain Rauscher Wessels</t>
  </si>
  <si>
    <t>Morgan Stanley Dean Witter
Merrill Lynch
Dain Rauscher Wessels
Friedman Billings Ramsey Group
Morgan Stanley Dean Witter</t>
  </si>
  <si>
    <t>MSDW//MERRILL/DAIN-R-WESSELS/FRIEDMAN-B
//MSDW(GC)</t>
  </si>
  <si>
    <t>MSDW
MERRILL
DAIN-R-WESSELS
FRIEDMAN-B</t>
  </si>
  <si>
    <t>Morgan Stanley Dean Witter &amp; Co
Merrill Lynch &amp; Co Inc
Dain Rauscher Wessels
Friedman Billings Ramsey Group</t>
  </si>
  <si>
    <t>Beasley Broadcast Group Inc</t>
  </si>
  <si>
    <t>BBGI</t>
  </si>
  <si>
    <t>074014101</t>
  </si>
  <si>
    <t>CS First Boston Corp
Banc of America Securities LLC
Salomon Smith Barney
Deutsche Banc Alex Brown
E*Offering Corp
Wasserstein Perella Securities
Invemed Associates Inc
J Henry Schroder &amp; Co Ltd
Lazard Freres &amp; Co LLC
TD Securities Inc
Fleet Boston Corp
CS First Boston Corp</t>
  </si>
  <si>
    <t>CS-FB//BA-SEC-LLC/SALOMON-SMITH
/DEUTSCHE-ALEX-B//E*OFFERING/WP-SEC
/INVEMED/SCHRODER/LAZ/TD-SECURITIES
/FLEET-BOSTON//CS-FB(GC)</t>
  </si>
  <si>
    <t>CS-FB
BA-SEC-LLC
SALOMON-SMITH
DEUTSCHE-ALEX-B</t>
  </si>
  <si>
    <t>CS First Boston Corp
Banc of America Securities LLC
Salomon Smith Barney
Deutsche Banc Alex Brown</t>
  </si>
  <si>
    <t>Credit Suisse First Boston Inc
Deutsche Banc Alex Brown
Salomon Smith Barney
Credit Suisse First Boston Inc
Banc of America Securities LLC</t>
  </si>
  <si>
    <t>CSFB-INC//DEUTSCHE-ALEX-B/SALOMON-SMITH
//CSFB-INC(GC)/BA-SEC-LLC(GC)</t>
  </si>
  <si>
    <t>CSFB-INC
DEUTSCHE-ALEX-B
SALOMON-SMITH</t>
  </si>
  <si>
    <t>Credit Suisse First Boston Inc
Deutsche Banc Alex Brown
Salomon Smith Barney</t>
  </si>
  <si>
    <t>VIA NET.WORKS Inc</t>
  </si>
  <si>
    <t>Netherlands</t>
  </si>
  <si>
    <t>VNWI</t>
  </si>
  <si>
    <t>Donaldson Lufkin &amp; Jenrette
Morgan Stanley Dean Witter
Salomon Smith Barney
DLJdirect
Bear Stearns &amp; Co Inc
MeesPierson NV
JP Morgan
Merrill Lynch
First Albany
Chapman Co
JC Bradford &amp; Co
Robert W Baird &amp; Co Inc
Thomas Weisel Partners
Warburg Dillon Read Inc
Wasserstein Perella Securities
SG Cowen Securities Corp
Tucker Anthony Inc
Sutro &amp; Co Inc
SunTrust Equitable Securities
Stifel Nicolaus &amp; Co Inc
Sanders Morris Mundy Inc
Ryan Beck &amp; Co
Raymond James &amp; Associates Inc
Pennsylvania Merchant Group
Wedbush, Noble, Cooke
Brad Peery Inc
Needham &amp; Co LLC
CL King &amp; Associates Inc
W. E. Kaufman
Janney Montgomery Scott Inc
Janco Partners
Gruntal &amp; Co Inc
Gabelli &amp; Co Inc
Sands Brothers &amp; Co Ltd
Lehman Brothers International
Deutsche Banc Alex Brown
AG Edwards &amp; Sons Inc
Lazard Freres &amp; Co LLC
ING Barings
Cazenove &amp; Co
Donaldson Lufkin &amp; Jenrette</t>
  </si>
  <si>
    <t>DLJ//MSDW/SALOMON-SMITH/DLJ-DIRECT
//BEAR/MEES-PIERSON/JPM/MERRILL
/FIRST-ALBANY/CHAPMAN/BRADFORD/BAIRD
/THOMAS-WEISEL/WARBURG-DR/WP-SEC
/SG-COWEN/TUCKER/SUTRO/SUNTRUST-EQUI
/STIFEL/SANDERS-MORRIS/RYAN-BECK
/RAYMOND/PENN-MER-GROUP/WEDBUSH/BRADPE
/NEEDHAM/CL-KING/KAUFMAN/JANNEY
/JANCO-PARTNERS/GRUNTAL/GABELLI/SANDS
/LEHMAN-I/DEUTSCHE-ALEX-B/A-G-EDWARDS
/LAZ/ING-BARINGS/CAZENOVE//DLJ(GC)</t>
  </si>
  <si>
    <t>DLJ
MSDW
SALOMON-SMITH
DLJ-DIRECT</t>
  </si>
  <si>
    <t>Donaldson Lufkin &amp; Jenrette Inc
Morgan Stanley Dean Witter &amp; Co
Salomon Smith Barney
DLJdirect</t>
  </si>
  <si>
    <t>FLAG Telecom Holdings Ltd</t>
  </si>
  <si>
    <t>Bermuda</t>
  </si>
  <si>
    <t>FTHL</t>
  </si>
  <si>
    <t>Salomon Smith Barney
Deutsche Bank
Goldman Sachs &amp; Co
Morgan Stanley Dean Witter
Warburg Dillon Read (UK)
Dresdner Kleinwort Benson (UK)</t>
  </si>
  <si>
    <t>SALOMON-SMITH//DEUTSCHE-BANK//GS/MSDW
/WDR-UK/DBKB</t>
  </si>
  <si>
    <t>SALOMON-SMITH
DEUTSCHE-BANK</t>
  </si>
  <si>
    <t>Salomon Smith Barney
Deutsche Bank</t>
  </si>
  <si>
    <t>Diversa Corp</t>
  </si>
  <si>
    <t>DVSA</t>
  </si>
  <si>
    <t>Bear Stearns &amp; Co Inc
Chase H&amp;Q
Deutsche Banc Alex Brown
Donaldson Lufkin &amp; Jenrette
ING Barings
Merrill Lynch
Morgan Stanley &amp; Co
Fleet Boston Corp
Salomon Smith Barney
SG Cowen Securities Corp
Warburg Dillon Read Inc
Aegis Capital
Dain Rauscher Wessels
Gerard Klauer Mattison &amp; Co
Janney Montgomery Scott Inc
Josephthal &amp; Co Inc
JW Genesis Capital Markets
Needham &amp; Co LLC
Pacific Growth Equities Inc
Punk Ziegel &amp; Knoell
Stephens Inc
Tucker Anthony Inc</t>
  </si>
  <si>
    <t>BEAR//CHASE-HQ/DEUTSCHE-ALEX-B//DLJ
/ING-BARINGS/MERRILL/MS/FLEET-BOSTON
/SALOMON-SMITH/SG-COWEN/WARBURG-DR
/AEGIS-CAP/DAIN-R-WESSELS/GERARD-KLAUER
/JANNEY/JOSEPHTHAL/JW-GENESIS/NEEDHAM
/PACIFIC-GROWTH/PUNK-ZIEGEL/STEPHENS
/TUCKER</t>
  </si>
  <si>
    <t>BEAR
CHASE-HQ
DEUTSCHE-ALEX-B</t>
  </si>
  <si>
    <t>Bear Stearns &amp; Co Inc
Chase H&amp;Q
Deutsche Banc Alex Brown</t>
  </si>
  <si>
    <t>Savvis Communications Corp</t>
  </si>
  <si>
    <t>SVVS</t>
  </si>
  <si>
    <t>MERRILL/MSDW(JB)</t>
  </si>
  <si>
    <t>Merrill Lynch
Morgan Stanley Dean Witter
Bear Stearns &amp; Co Inc
CIBC World Markets Inc
Banc of America Securities LLC
Chase Securities Inc
Utendahl Capital Partners
SunTrust Equitable Securities
Brad Peery Inc
Legg Mason Wood Walker
Josephthal &amp; Co Inc
Janney Montgomery Scott Inc
Edward D Jones &amp; Co
Lazard Freres &amp; Co LLC
Wasserstein Perella Securities
Ferris Baker Watts
Robert W Baird &amp; Co Inc
ING Barings
Donaldson Lufkin &amp; Jenrette
Merrill Lynch
Morgan Stanley Dean Witter</t>
  </si>
  <si>
    <t>Bridge Information Systems Inc</t>
  </si>
  <si>
    <t>MERRILL(JB)/MSDW(JB)//BEAR/CIBC-WORLD
/BA-SEC-LLC//CHASE-SEC/UTENDAHL-CAP
/SUNTRUST-EQUI/BRADPE/LEGG-MASON-WW
/JOSEPHTHAL/JANNEY/ED-JONES/LAZ/WP-SEC
/FERRIS-BAKER/BAIRD/ING-BARINGS/DLJ
//MERRILL(GC)/MSDW(GC)</t>
  </si>
  <si>
    <t>MERRILL/MSDW</t>
  </si>
  <si>
    <t>MERRILL
(JB)/MSDW(JB)
BEAR
CIBC-WORLD
BA-SEC-LLC</t>
  </si>
  <si>
    <t>Merrill Lynch &amp; Co Inc
Morgan Stanley Dean Witter &amp; Co
Bear Stearns &amp; Co Inc
CIBC World Markets Inc
Banc of America Securities LLC</t>
  </si>
  <si>
    <t>MSDW/ML-I(JB)</t>
  </si>
  <si>
    <t>Morgan Stanley Dean Witter
Merrill Lynch Intl Ltd
Bear Stearns International
Banc of America Securities LLC
CIBC World Markets Inc
Morgan Stanley Dean Witter
Merrill Lynch Intl Ltd</t>
  </si>
  <si>
    <t>MSDW(JB)/ML-I(JB)//BSI/BA-SEC-LLC
/CIBC-WORLD//MSDW(GC)/ML-I(GC)</t>
  </si>
  <si>
    <t>MSDW/ML-I</t>
  </si>
  <si>
    <t>MSDW
(JB)/ML-I(JB)
BSI
BA-SEC-LLC
CIBC-WORLD</t>
  </si>
  <si>
    <t>Morgan Stanley Dean Witter &amp; Co
Merrill Lynch International Ltd
Bear Stearns International Ltd
Banc of America Securities LLC
CIBC World Markets Inc</t>
  </si>
  <si>
    <t>Sunhawk.com Corp</t>
  </si>
  <si>
    <t>SDRV</t>
  </si>
  <si>
    <t>GUNNAR</t>
  </si>
  <si>
    <t>86737B104</t>
  </si>
  <si>
    <t>Joseph Gunnar &amp; Co., LLC</t>
  </si>
  <si>
    <t>05/14/00
02/03/02</t>
  </si>
  <si>
    <t>0.315
49.674</t>
  </si>
  <si>
    <t>90
720</t>
  </si>
  <si>
    <t>8829.00
1390551.00</t>
  </si>
  <si>
    <t>b2bstores.com Inc</t>
  </si>
  <si>
    <t>BTBC</t>
  </si>
  <si>
    <t>GAINES-BERLAND
/NOLAN-SEC(JB)</t>
  </si>
  <si>
    <t>11776S107</t>
  </si>
  <si>
    <t>Gaines, Berland
Nolan Securities Corp.
KSH Investment Group, Inc.
GKN Securities Corp
Ladenburg Thalmann &amp; Co
Kirlin Securities Inc.
First Security Van Kasper &amp; Co</t>
  </si>
  <si>
    <t>GAINES-BERLAND(JB)/NOLAN-SEC(JB)
//KSH-INVESTMENT/GKN-SEC/LADENBURG
/KIRLIN/FIR-VAN-KASPER</t>
  </si>
  <si>
    <t>GAINES-BERLAND/NOLAN-SEC</t>
  </si>
  <si>
    <t>GAINES-BERLAND
(JB)/NOLAN-SEC(JB)
KSH-INVESTMENT
GKN-SEC
LADENBURG
KIRLIN
FIR-VAN-KASPER</t>
  </si>
  <si>
    <t>Gaines, Berland, Inc.
Nolan Securities Corp.
KSH Investment Group, Inc.
GKN Securities Corp
Ladenburg Thalmann &amp; Co
Kirlin Securities Inc.
First Security Van Kasper &amp; Co</t>
  </si>
  <si>
    <t>Chordiant Software Inc</t>
  </si>
  <si>
    <t>CHRD</t>
  </si>
  <si>
    <t>BancBoston Robertson Stephens
Dain Rauscher Wessels
Thomas Weisel Partners</t>
  </si>
  <si>
    <t>BOSTON-ROBERTS//DAIN-R-WESSELS
/THOMAS-WEISEL</t>
  </si>
  <si>
    <t>BOSTON-ROBERTS
DAIN-R-WESSELS
THOMAS-WEISEL</t>
  </si>
  <si>
    <t>BancBoston Robertson Stephens Inc
Dain Rauscher Wessels
Thomas Weisel Partners</t>
  </si>
  <si>
    <t>Jeremy's Microbatch Ice Creams</t>
  </si>
  <si>
    <t>JMIC</t>
  </si>
  <si>
    <t>FIRST-MONTAUK</t>
  </si>
  <si>
    <t>First Montauk Securities</t>
  </si>
  <si>
    <t>First Montauk Securities Corp</t>
  </si>
  <si>
    <t>LendingTree Inc</t>
  </si>
  <si>
    <t>TREE</t>
  </si>
  <si>
    <t>52602Q105</t>
  </si>
  <si>
    <t>Merrill Lynch
Lehman Brothers
Prudential Securities Inc
CS First Boston Corp
First Union National Bancorp
Fleet Boston Corp
Legg Mason &amp; Co Inc
Wachovia Securities Inc
Brean Murray &amp; Co Inc
Friedman Billings Ramsey Group
Raymond James &amp; Associates Inc
Sutro &amp; Co Inc
Merrill Lynch</t>
  </si>
  <si>
    <t>MERRILL//LEH/PSI//CS-FB/FIRST-UNION
/FLEET-BOSTON/LEGG-MASON/WACHOVIA-SEC
/BREAN/FRIEDMAN-B/RAYMOND/SUTRO
//MERRILL(GC)</t>
  </si>
  <si>
    <t>MERRILL
LEH
PSI</t>
  </si>
  <si>
    <t>Merrill Lynch &amp; Co Inc
Lehman Brothers
Prudential Securities Inc</t>
  </si>
  <si>
    <t>Merrill Lynch, Pierce, Fenner
Merrill Lynch, Pierce, Fenner</t>
  </si>
  <si>
    <t>ML//ML(GC)</t>
  </si>
  <si>
    <t>Vantagemed Corp</t>
  </si>
  <si>
    <t>VMDC</t>
  </si>
  <si>
    <t>ADVEST</t>
  </si>
  <si>
    <t>92208W106</t>
  </si>
  <si>
    <t>Advest Inc
JC Bradford &amp; Co
CIBC World Markets Inc
Dain Rauscher Wessels
Deutsche Banc Alex Brown
Robinson-Humphrey Co
SG Cowen Securities Corp</t>
  </si>
  <si>
    <t>ADVEST//BRADFORD//CIBC-WORLD
/DAIN-R-WESSELS/DEUTSCHE-ALEX-B
/ROBINSON/SG-COWEN</t>
  </si>
  <si>
    <t>ADVEST
BRADFORD</t>
  </si>
  <si>
    <t>Advest Inc
JC Bradford &amp; Co</t>
  </si>
  <si>
    <t>VarsityBooks.com Inc</t>
  </si>
  <si>
    <t>VSTY</t>
  </si>
  <si>
    <t>Fleet Boston Corp
Thomas Weisel Partners
DLJdirect
Friedman Billings Ramsey Group
Barrington Associates
Ryan Beck &amp; Co
Pennsylvania Merchant Group</t>
  </si>
  <si>
    <t>FLEET-BOSTON//THOMAS-WEISEL/DLJ-DIRECT
/FRIEDMAN-B//BARRINGTON/RYAN-BECK
/PENN-MER-GROUP</t>
  </si>
  <si>
    <t>FLEET-BOSTON
THOMAS-WEISEL
DLJ-DIRECT
FRIEDMAN-B</t>
  </si>
  <si>
    <t>Fleet Boston Corp,Boston,Massachusetts
Thomas Weisel Partners
DLJdirect
Friedman Billings Ramsey Group</t>
  </si>
  <si>
    <t>Choice One Communications</t>
  </si>
  <si>
    <t>17038P104</t>
  </si>
  <si>
    <t>Morgan Stanley Dean Witter
Lehman Brothers
First Union Securities Inc
CIBC World Markets Inc
Warburg Dillon Read Inc
BNY Capital Markets Inc
Nesbitt Burns Securities
McDonald Investments
US Bancorp Piper Jaffray
Tucker Anthony Inc
Thomas Weisel Partners
Stephens Inc
Brad Peery Inc
Pacific Growth Equities Inc
ING Barings
Edward D Jones &amp; Co
Kaufman Brothers LP
Legg Mason Wood Walker
Janney Montgomery Scott Inc
AG Edwards &amp; Sons Inc
Morgan Stanley Dean Witter</t>
  </si>
  <si>
    <t>ACCC</t>
  </si>
  <si>
    <t>ACC Corp</t>
  </si>
  <si>
    <t>MSDW//LEH/FIRST-UNION-SEC/CIBC-WORLD
/WARBURG-DR//BNY-CAP/NESBITT-SEC
/MCDONALD/US-PIPER/TUCKER/THOMAS-WEISEL
/STEPHENS/BRADPE/PACIFIC-GROWTH
/ING-BARINGS/ED-JONES/KAUFMAN-BROS
/LEGG-MASON-WW/JANNEY/A-G-EDWARDS
//MSDW(GC)</t>
  </si>
  <si>
    <t>MSDW
LEH
FIRST-UNION-SEC
CIBC-WORLD
WARBURG-DR</t>
  </si>
  <si>
    <t>Morgan Stanley Dean Witter &amp; Co
Lehman Brothers
First Union Securities Inc
CIBC World Markets Inc
Warburg Dillon Read Inc</t>
  </si>
  <si>
    <t>Morgan Stanley Dean Witter
Lehman Brothers
Warburg Dillon Read LLC
First Union Securities Inc
CIBC Oppenheimer
Morgan Stanley Dean Witter</t>
  </si>
  <si>
    <t>MSDW//LEH/WDRLLC/FIRST-UNION-SEC
/CIBC-OPPEN//MSDW(GC)</t>
  </si>
  <si>
    <t>MSDW
LEH
WDRLLC
FIRST-UNION-SEC
CIBC-OPPEN</t>
  </si>
  <si>
    <t>Morgan Stanley Dean Witter &amp; Co
Lehman Brothers
Warburg Dillon Read LLC
First Union Securities Inc
CIBC Oppenheimer</t>
  </si>
  <si>
    <t>Eloquent Inc</t>
  </si>
  <si>
    <t>ELOQ</t>
  </si>
  <si>
    <t>US Bancorp Piper Jaffray
Banc of America Securities LLC
Thomas Weisel Partners
Chase Securities Inc
CIBC World Markets Inc
Deutsche Bank Securities Corp
Donaldson Lufkin &amp; Jenrette
E*Offering Corp
Fleet Boston Corp
Lehman Brothers
Morgan Stanley Dean Witter
Prudential Securities Inc
Salomon Smith Barney
SG Cowen Securities Corp
Nessuah Zannex, Ltd.</t>
  </si>
  <si>
    <t>US-PIPER//BA-SEC-LLC/THOMAS-WEISEL
//CHASE-SEC/CIBC-WORLD/DEUTSCHE-BK-SEC
/DLJ/E*OFFERING/FLEET-BOSTON/LEH/MSDW
/PSI/SALOMON-SMITH/SG-COWEN
/NESSUAH-ZANNEX</t>
  </si>
  <si>
    <t>US-PIPER
BA-SEC-LLC
THOMAS-WEISEL</t>
  </si>
  <si>
    <t>US Bancorp Piper Jaffray Inc
Banc of America Securities LLC
Thomas Weisel Partners</t>
  </si>
  <si>
    <t>Apropos Tech Inc</t>
  </si>
  <si>
    <t>APRS</t>
  </si>
  <si>
    <t>038334108</t>
  </si>
  <si>
    <t>Chase H&amp;Q
SG Cowen Securities Corp
US Bancorp Piper Jaffray
Banc of America Securities LLC
Bear Stearns &amp; Co Inc
First Union Securities Inc
ING Barings
Thomas Weisel Partners
Warburg Dillon Read Inc
Chatsworth Securities LLC
Dain Rauscher Wessels
E*Offering Corp
First Albany
First Analysis Securities
First Security Van Kasper &amp; Co
Jefferies &amp; Co Inc
Legg Mason Wood Walker
Raymond James &amp; Associates Inc
Sanders Morris Mundy Inc
Sands Brothers &amp; Co Ltd
Chase H&amp;Q</t>
  </si>
  <si>
    <t>CHASE-HQ//SG-COWEN/US-PIPER//BA-SEC-LLC
/BEAR/FIRST-UNION-SEC/ING-BARINGS
/THOMAS-WEISEL/WARBURG-DR/CHATSWORTH
/DAIN-R-WESSELS/E*OFFERING/FIRST-ALBANY
/F-ANALYSIS/FIR-VAN-KASPER/JEFFERIES
/LEGG-MASON-WW/RAYMOND/SANDERS-MORRIS
/SANDS//CHASE-HQ(GC)</t>
  </si>
  <si>
    <t>CHASE-HQ
SG-COWEN
US-PIPER</t>
  </si>
  <si>
    <t>Chase H&amp;Q
SG Cowen Securities Corp
US Bancorp Piper Jaffray Inc</t>
  </si>
  <si>
    <t>Inforte Corp</t>
  </si>
  <si>
    <t>INFT</t>
  </si>
  <si>
    <t>45677R107</t>
  </si>
  <si>
    <t>Goldman Sachs &amp; Co
Salomon Smith Barney
William Blair &amp; Co
Goldman Sachs &amp; Co</t>
  </si>
  <si>
    <t>GS//SALOMON-SMITH/WM-BLAIR//GS(GC)</t>
  </si>
  <si>
    <t>GS
SALOMON-SMITH
WM-BLAIR</t>
  </si>
  <si>
    <t>Goldman Sachs &amp; Co
Salomon Smith Barney
William Blair &amp; Co</t>
  </si>
  <si>
    <t>ESafetyWorld Inc</t>
  </si>
  <si>
    <t>SFTY</t>
  </si>
  <si>
    <t>KASHNER</t>
  </si>
  <si>
    <t>29605M109</t>
  </si>
  <si>
    <t>Kashner Davidson Securities
Dirks &amp; Company Inc
Schneider Securities, Inc.
Andrew, Alexander, Wise</t>
  </si>
  <si>
    <t>KASHNER//DIRKS-CO/SCHNEIDER/ANDREW-ALEX</t>
  </si>
  <si>
    <t>KASHNER
DIRKS-CO
SCHNEIDER
ANDREW-ALEX</t>
  </si>
  <si>
    <t>Kashner Davidson Securities Corporation
Dirks &amp; Company Inc
Schneider Securities, Inc.
Andrew, Alexander, Wise &amp; Company, Inc.</t>
  </si>
  <si>
    <t>Nextel Partners Inc</t>
  </si>
  <si>
    <t>NXTP</t>
  </si>
  <si>
    <t>65333F107</t>
  </si>
  <si>
    <t>Goldman Sachs &amp; Co
Donaldson Lufkin &amp; Jenrette
Credit Suisse First Boston
Deutsche Banc Alex Brown
DLJdirect
Morgan Stanley Dean Witter
First Union Securities Inc
Banc of America Securities LLC
Merrill Lynch
Goldman Sachs &amp; Co</t>
  </si>
  <si>
    <t>GS/DLJ(JOINT)//CS-FB-CS/DEUTSCHE-ALEX-B
/DLJ-DIRECT/MSDW/FIRST-UNION-SEC
//BA-SEC-LLC/MERRILL//GS(GC)</t>
  </si>
  <si>
    <t>GS
/DLJ(JOINT)
CS-FB-CS
DEUTSCHE-ALEX-B
DLJ-DIRECT
MSDW
FIRST-UNION-SEC</t>
  </si>
  <si>
    <t>Goldman Sachs &amp; Co
Donaldson Lufkin &amp; Jenrette Inc
Credit Suisse First Boston Corp
Deutsche Banc Alex Brown
DLJdirect
Morgan Stanley Dean Witter &amp; Co
First Union Securities Inc</t>
  </si>
  <si>
    <t>Goldman Sachs &amp; Co
Donaldson Lufkin &amp; Jenrette
Deutsche Banc Alex Brown
Credit Suisse First Boston Ltd
First Union Securities Inc
Morgan Stanley &amp; Co
Goldman Sachs &amp; Co</t>
  </si>
  <si>
    <t>GS/DLJ(JOINT)//DEUTSCHE-ALEX-B//C-S-F-B
/FIRST-UNION-SEC/MS//GS(GC)</t>
  </si>
  <si>
    <t>GS
/DLJ(JOINT)
DEUTSCHE-ALEX-B</t>
  </si>
  <si>
    <t>Goldman Sachs &amp; Co
Donaldson Lufkin &amp; Jenrette Inc
Deutsche Banc Alex Brown</t>
  </si>
  <si>
    <t>Carrier1 International SA</t>
  </si>
  <si>
    <t>Luxembourg</t>
  </si>
  <si>
    <t>CONE</t>
  </si>
  <si>
    <t>MS/SALOMON-SMITH(JB)</t>
  </si>
  <si>
    <t>ADS</t>
  </si>
  <si>
    <t>Morgan Stanley &amp; Co
Salomon Smith Barney
Warburg Dillon Read (UK)
Merrill Lynch
Bear Stearns &amp; Co Inc
Commerzbank AG
Morgan Stanley &amp; Co
Salomon Smith Barney</t>
  </si>
  <si>
    <t>MS(JB)/SALOMON-SMITH(JB)//WDR-UK
/MERRILL/BEAR/COMMERZBANK//MS(GC)
/SALOMON-SMITH(GC)</t>
  </si>
  <si>
    <t>MS/SALOMON-SMITH</t>
  </si>
  <si>
    <t>MS
(JB)/SALOMON-SMITH(JB)
WDR-UK
MERRILL
BEAR
COMMERZBANK</t>
  </si>
  <si>
    <t>Morgan Stanley &amp; Co
Salomon Smith Barney
Warburg Dillon Read (UK)
Merrill Lynch &amp; Co Inc
Bear Stearns &amp; Co Inc
Commerzbank AG</t>
  </si>
  <si>
    <t>MS(JB)/SALOMON-SMITH(JB)//WDR-UK
/MERRILL/BEAR//COMMERZBANK//MS(GC)
/SALOMON-SMITH(GC)</t>
  </si>
  <si>
    <t>MS
(JB)/SALOMON-SMITH(JB)
WDR-UK
MERRILL
BEAR</t>
  </si>
  <si>
    <t>Morgan Stanley &amp; Co
Salomon Smith Barney
Warburg Dillon Read (UK)
Merrill Lynch &amp; Co Inc
Bear Stearns &amp; Co Inc</t>
  </si>
  <si>
    <t>DigitalThink Inc</t>
  </si>
  <si>
    <t>DTHK</t>
  </si>
  <si>
    <t>25388M100</t>
  </si>
  <si>
    <t>CS First Boston Corp
Chase H&amp;Q
Fleet Boston Corp
Adams Harkness &amp; Hill Inc
E*Offering Corp
WR Hambrecht &amp; Co LLC
Invemed Associates Inc
US Bancorp Piper Jaffray
Thomas Weisel Partners
CS First Boston Corp</t>
  </si>
  <si>
    <t>CS-FB//CHASE-HQ/FLEET-BOSTON
//ADAMS-HARKNESS/E*OFFERING
/W-R-HAMBRECHT/INVEMED/US-PIPER
/THOMAS-WEISEL//CS-FB(GC)</t>
  </si>
  <si>
    <t>CS-FB
CHASE-HQ
FLEET-BOSTON</t>
  </si>
  <si>
    <t>CS First Boston Corp
Chase H&amp;Q
Fleet Boston Corp,Boston,Massachusetts</t>
  </si>
  <si>
    <t>C-S-F-B</t>
  </si>
  <si>
    <t>Credit Suisse First Boston Ltd
Chase H&amp;Q
FleetBoston Robertson Stephens
Credit Suisse First Boston Ltd</t>
  </si>
  <si>
    <t>C-S-F-B//CHASE-HQ/FLEET-ROB-STEPH
//C-S-F-B(GC)</t>
  </si>
  <si>
    <t>C-S-F-B
CHASE-HQ
FLEET-ROB-STEPH</t>
  </si>
  <si>
    <t>Credit Suisse First Boston Ltd
Chase H&amp;Q
FleetBoston Robertson Stephens Inc</t>
  </si>
  <si>
    <t>Intersil Holding Corp</t>
  </si>
  <si>
    <t>ISIL</t>
  </si>
  <si>
    <t>46069S109</t>
  </si>
  <si>
    <t>CS First Boston Corp
Salomon Smith Barney
Merrill Lynch
Fleet Boston Corp
SG Cowen Securities Corp
Adams Harkness &amp; Hill Inc
W. E. Kaufman
SunTrust Equitable Securities
Scotia Capital Markets
US Bancorp Piper Jaffray
Invemed Associates Inc
Chase Securities Inc
Deutsche Banc Alex Brown
E*Offering Corp
AG Edwards &amp; Sons Inc
Banc of America Securities LLC</t>
  </si>
  <si>
    <t>CS-FB(JB)/SALOMON-SMITH(JB)//MERRILL
/FLEET-BOSTON/SG-COWEN//ADAMS-HARKNESS
/KAUFMAN/SUNTRUST-EQUI/SCOTIA-CAP-USA
/US-PIPER/INVEMED/CHASE-SEC
/DEUTSCHE-ALEX-B/E*OFFERING/A-G-EDWARDS
/BA-SEC-LLC</t>
  </si>
  <si>
    <t>CS-FB/SALOMON-SMITH</t>
  </si>
  <si>
    <t>CS-FB
(JB)/SALOMON-SMITH(JB)
MERRILL
FLEET-BOSTON
SG-COWEN</t>
  </si>
  <si>
    <t>CS First Boston Corp
Salomon Smith Barney
Merrill Lynch &amp; Co Inc
Fleet Boston Corp,Boston,Massachusetts
SG Cowen Securities Corp</t>
  </si>
  <si>
    <t>Hotel Reservations Network Inc</t>
  </si>
  <si>
    <t>ROOM</t>
  </si>
  <si>
    <t>Donaldson Lufkin &amp; Jenrette
Allen &amp; Co Inc
Bear Stearns &amp; Co Inc
Thomas Weisel Partners
DLJdirect
Chase H&amp;Q
CS First Boston Corp
AG Edwards &amp; Sons Inc
Goldman Sachs &amp; Co
ING Barings
Lazard Freres &amp; Co LLC
Merrill Lynch
PaineWebber
Prudential Securities Inc
Salomon Smith Barney
SG Cowen Securities Corp
Adams Harkness &amp; Hill Inc
George K Baum &amp; Co
William Blair &amp; Co
JC Bradford &amp; Co
Chapman Co
Dain Rauscher Wessels
Fahnestock &amp; Co
First Albany
First Southwest
Gabelli &amp; Co Inc
Gerard Klauer Mattison &amp; Co
Janney Montgomery Scott Inc
Johnston Lemon &amp; Co Inc
Morgan Keegan Inc
Needham &amp; Co LLC
Parker-Hunter Inc
US Bancorp Piper Jaffray
Raymond James &amp; Associates Inc
Ryan Beck &amp; Co
Sanders Morris Harris Inc
Sands Brothers &amp; Co Ltd
Stephens Inc
Sutro &amp; Co Inc
Tucker Anthony Inc</t>
  </si>
  <si>
    <t>USA Network</t>
  </si>
  <si>
    <t>DLJ//ALLEN/BEAR/THOMAS-WEISEL
/DLJ-DIRECT//CHASE-HQ/CS-FB/A-G-EDWARDS
/GS/ING-BARINGS/LAZ/MERRILL/PAINE-W/PSI
/SALOMON-SMITH/SG-COWEN/ADAMS-HARKNESS
/G-BAUM/WM-BLAIR/BRADFORD/CHAPMAN
/DAIN-R-WESSELS/FAHNESTOCK/FIRST-ALBANY
/FIRST-SW/GABELLI/GERARD-KLAUER/JANNEY
/JOHNSTON-LEMON/MORGAN-KEEGAN/NEEDHAM
/PARKER-HUNTER/US-PIPER/RAYMOND
/RYAN-BECK/SANDERS-HARRIS/SANDS
/STEPHENS/SUTRO/TUCKER</t>
  </si>
  <si>
    <t>DLJ
ALLEN
BEAR
THOMAS-WEISEL
DLJ-DIRECT</t>
  </si>
  <si>
    <t>Donaldson Lufkin &amp; Jenrette Inc
Allen &amp; Co Inc
Bear Stearns &amp; Co Inc
Thomas Weisel Partners
DLJdirect</t>
  </si>
  <si>
    <t>Avenue A Inc</t>
  </si>
  <si>
    <t>AVEA</t>
  </si>
  <si>
    <t>053566105</t>
  </si>
  <si>
    <t>Morgan Stanley Dean Witter
Salomon Smith Barney
Thomas Weisel Partners
Dain Rauscher Wessels
Raymond James &amp; Associates Inc
First Union Securities Inc
US Bancorp Piper Jaffray
Janney Montgomery Scott Inc
Edward D Jones &amp; Co
McAdams Wright Ragen Inc
Pacific Crest Securities Inc
Wit Soundview Group Inc
CE Unterberg Towbin
Morgan Stanley Dean Witter</t>
  </si>
  <si>
    <t>MSDW//SALOMON-SMITH/THOMAS-WEISEL
//DAIN-R-WESSELS/RAYMOND
/FIRST-UNION-SEC/US-PIPER/JANNEY
/ED-JONES/MCADAMS-WRIGHT/PACIFIC-CREST
/WIT-SOUNDVIEW/UNTERBERG//MSDW(GC)</t>
  </si>
  <si>
    <t>MSDW
SALOMON-SMITH
THOMAS-WEISEL</t>
  </si>
  <si>
    <t>Morgan Stanley Dean Witter &amp; Co
Salomon Smith Barney
Thomas Weisel Partners</t>
  </si>
  <si>
    <t>Morgan Stanley Dean Witter
Salomon Smith Barney
Thomas Weisel Partners
Morgan Stanley Dean Witter</t>
  </si>
  <si>
    <t>MSDW//SALOMON-SMITH/THOMAS-WEISEL
//MSDW(GC)</t>
  </si>
  <si>
    <t>Niku Corp</t>
  </si>
  <si>
    <t>NIKU</t>
  </si>
  <si>
    <t>Sm Cap Mkt</t>
  </si>
  <si>
    <t>Goldman Sachs &amp; Co
Dain Rauscher Wessels
US Bancorp Piper Jaffray
Thomas Weisel Partners
Bear Stearns &amp; Co Inc
Sands Brothers &amp; Co Ltd
CE Unterberg Towbin
McDonald Investments
Tucker Anthony Inc
Hambrecht &amp; Quist
First Union Securities Inc
Fleet Boston Corp
CL King &amp; Associates Inc
JC Bradford &amp; Co
Deutsche Banc Alex Brown
Goldman Sachs &amp; Co</t>
  </si>
  <si>
    <t>GS//DAIN-R-WESSELS/US-PIPER
/THOMAS-WEISEL//BEAR/SANDS/UNTERBERG
/MCDONALD/TUCKER/HAMBRECHT
/FIRST-UNION-SEC/FLEET-BOSTON/CL-KING
/BRADFORD/DEUTSCHE-ALEX-B//GS(GC)</t>
  </si>
  <si>
    <t>GS
DAIN-R-WESSELS
US-PIPER
THOMAS-WEISEL</t>
  </si>
  <si>
    <t>Goldman Sachs &amp; Co
Dain Rauscher Wessels
US Bancorp Piper Jaffray Inc
Thomas Weisel Partners</t>
  </si>
  <si>
    <t>Goldman Sachs &amp; Co
Dain Rauscher Corp
Thomas Weisel Partners
US Bancorp Piper Jaffray
Goldman Sachs &amp; Co</t>
  </si>
  <si>
    <t>GS//DAIN-RAUSCHER/THOMAS-WEISEL
/US-PIPER//GS(GC)</t>
  </si>
  <si>
    <t>MatrixOne Inc</t>
  </si>
  <si>
    <t>MONE</t>
  </si>
  <si>
    <t>57685P304</t>
  </si>
  <si>
    <t>Goldman Sachs &amp; Co
Dain Rauscher Wessels
US Bancorp Piper Jaffray
Wit Soundview Group Inc
Adams Harkness &amp; Hill Inc
Gruntal &amp; Co Inc
Neuberger Berman Inc
Prudential Securities Inc
Advest Inc
Goldman Sachs &amp; Co</t>
  </si>
  <si>
    <t>GS//DAIN-R-WESSELS/US-PIPER
/WIT-SOUNDVIEW//ADAMS-HARKNESS/GRUNTAL
/NEUBERGER/PSI/ADVEST//GS(GC)</t>
  </si>
  <si>
    <t>GS
DAIN-R-WESSELS
US-PIPER
WIT-SOUNDVIEW</t>
  </si>
  <si>
    <t>Goldman Sachs &amp; Co
Dain Rauscher Wessels
US Bancorp Piper Jaffray Inc
Wit Soundview Group Inc</t>
  </si>
  <si>
    <t>Goldman Sachs &amp; Co
Dain Rauscher Wessels
Wit Soundview Group Inc
US Bancorp Piper Jaffray
Goldman Sachs &amp; Co</t>
  </si>
  <si>
    <t>GS//DAIN-R-WESSELS/WIT-SOUNDVIEW
/US-PIPER//GS(GC)</t>
  </si>
  <si>
    <t>net.Genesis Corp</t>
  </si>
  <si>
    <t>NTGX</t>
  </si>
  <si>
    <t>HAMBRECHT
/DEUTSCHE-ALEX-B(JB)</t>
  </si>
  <si>
    <t>64107E107</t>
  </si>
  <si>
    <t>Hambrecht &amp; Quist
Deutsche Banc Alex Brown
US Bancorp Piper Jaffray
Bear Stearns &amp; Co Inc
CIBC World Markets Inc
AG Edwards &amp; Sons Inc
Prudential Securities Inc
SG Cowen Securities Corp
Wit Soundview Group Inc
Adams Harkness &amp; Hill Inc
Chatsworth Securities LLC
E*Offering Corp
First Albany
First Security Van Kasper &amp; Co
Parker-Hunter Inc
Raymond James &amp; Associates Inc
Tucker Anthony Inc
CE Unterberg Towbin</t>
  </si>
  <si>
    <t>HAMBRECHT(JB)/DEUTSCHE-ALEX-B(JB)
//US-PIPER//BEAR/CIBC-WORLD/A-G-EDWARDS
/PSI/SG-COWEN/WIT-SOUNDVIEW
/ADAMS-HARKNESS/CHATSWORTH/E*OFFERING
/FIRST-ALBANY/FIR-VAN-KASPER
/PARKER-HUNTER/RAYMOND/TUCKER/UNTERBERG</t>
  </si>
  <si>
    <t>HAMBRECHT/DEUTSCHE-ALEX-B</t>
  </si>
  <si>
    <t>HAMBRECHT
(JB)/DEUTSCHE-ALEX-B(JB)
US-PIPER</t>
  </si>
  <si>
    <t>Hambrecht &amp; Quist Inc
Deutsche Banc Alex Brown
US Bancorp Piper Jaffray Inc</t>
  </si>
  <si>
    <t>Onvia.com Inc</t>
  </si>
  <si>
    <t>ONVI</t>
  </si>
  <si>
    <t>68338T106</t>
  </si>
  <si>
    <t>CS First Boston Corp
Chase H&amp;Q
Fleet Boston Corp
E*Offering Corp
William Blair &amp; Co
Allen &amp; Co Inc
Wedbush, Noble, Cooke
First Union Securities Inc
Pacific Crest Securities Inc
Ragen MacKenzie Group Inc
TD Securities Inc
Needham &amp; Co LLC
Invemed Associates Inc
CS First Boston Corp</t>
  </si>
  <si>
    <t>CS-FB//CHASE-HQ/FLEET-BOSTON/E*OFFERING
/WM-BLAIR//ALLEN/WEDBUSH
/FIRST-UNION-SEC/PACIFIC-CREST/RAGEN
/TD-SECURITIES/NEEDHAM/INVEMED
//CS-FB(GC)</t>
  </si>
  <si>
    <t>CS-FB
CHASE-HQ
FLEET-BOSTON
E*OFFERING
WM-BLAIR</t>
  </si>
  <si>
    <t>CS First Boston Corp
Chase H&amp;Q
Fleet Boston Corp,Boston,Massachusetts
E*Offering Corp
William Blair &amp; Co</t>
  </si>
  <si>
    <t>Palm Inc</t>
  </si>
  <si>
    <t>PALM</t>
  </si>
  <si>
    <t>Goldman Sachs &amp; Co
Morgan Stanley Dean Witter
Merrill Lynch
Fleet Boston Corp
SG Cowen Securities Corp
Banc of America Securities LLC
Sanford C Bernstein &amp; Co Inc
Chase Securities Inc
Credit Lyonnais SA
Deutsche Banc Alex Brown
Fidelity Capital Markets
HSBC Holdings PLC
Salomon Smith Barney
Soundview Technology (OLD)
US Bancorp Piper Jaffray
Goldman Sachs &amp; Co</t>
  </si>
  <si>
    <t>COMS</t>
  </si>
  <si>
    <t>3Com Corp</t>
  </si>
  <si>
    <t>GS/MSDW(JOINT)//MERRILL/FLEET-BOSTON
//SG-COWEN/BA-SEC-LLC/BERNSTEIN
/CHASE-SEC/CRED-LYONNAIS
/DEUTSCHE-ALEX-B/FIDELITY-CAP/HSBC
/SALOMON-SMITH/SOUNDVIEW-TECH/US-PIPER
//GS(GC)</t>
  </si>
  <si>
    <t>GS/MSDW</t>
  </si>
  <si>
    <t>GS
/MSDW(JOINT)
MERRILL
FLEET-BOSTON</t>
  </si>
  <si>
    <t>Goldman Sachs &amp; Co
Morgan Stanley Dean Witter &amp; Co
Merrill Lynch &amp; Co Inc
Fleet Boston Corp,Boston,Massachusetts</t>
  </si>
  <si>
    <t>Goldman Sachs &amp; Co
Morgan Stanley Dean Witter
Merrill Lynch
FleetBoston Robertson Stephens
Goldman Sachs &amp; Co</t>
  </si>
  <si>
    <t>GS/MSDW(JOINT)//MERRILL/FLEET-ROB-STEPH
//GS(GC)</t>
  </si>
  <si>
    <t>GS
/MSDW(JOINT)</t>
  </si>
  <si>
    <t>Goldman Sachs &amp; Co
Morgan Stanley Dean Witter &amp; Co</t>
  </si>
  <si>
    <t>AsiaInfo Holdings Inc</t>
  </si>
  <si>
    <t>China</t>
  </si>
  <si>
    <t>ASIA</t>
  </si>
  <si>
    <t>04518A104</t>
  </si>
  <si>
    <t>Morgan Stanley Dean Witter
Deutsche Banc Alex Brown
Donaldson Lufkin &amp; Jenrette
China International Capital Co
Dain Rauscher Wessels
First Union Securities Inc
Edward D Jones &amp; Co
Legg Mason Wood Walker
Brad Peery Inc
Soundview Technology
Thomas Weisel Partners</t>
  </si>
  <si>
    <t>MSDW//DEUTSCHE-ALEX-B/DLJ/CHINA-CAPITAL
/DAIN-R-WESSELS/FIRST-UNION-SEC
/ED-JONES/LEGG-MASON-WW/BRADPE/SOUNDV
/THOMAS-WEISEL</t>
  </si>
  <si>
    <t>MSDW
DEUTSCHE-ALEX-B
DLJ
CHINA-CAPITAL
DAIN-R-WESSELS
FIRST-UNION-SEC
ED-JONES
LEGG-MASON-WW
BRADPE
SOUNDV
THOMAS-WEISEL</t>
  </si>
  <si>
    <t>Morgan Stanley Dean Witter &amp; Co
Deutsche Banc Alex Brown
Donaldson Lufkin &amp; Jenrette Inc
China International Capital Corp
Dain Rauscher Wessels
First Union Securities Inc
Edward D Jones &amp; Co
Legg Mason Wood Walker Inc
Brad Peery Inc
Soundview Technology
Thomas Weisel Partners</t>
  </si>
  <si>
    <t>Prime Response Inc</t>
  </si>
  <si>
    <t>PRME</t>
  </si>
  <si>
    <t>74158B100</t>
  </si>
  <si>
    <t>Fleet Boston Corp
Dain Rauscher Wessels
DLJdirect
SG Cowen Securities Corp
Adams Harkness &amp; Hill Inc
Stephens Inc
Tucker Anthony Inc
ING Barings</t>
  </si>
  <si>
    <t>FLEET-BOSTON//DAIN-R-WESSELS/DLJ-DIRECT
/SG-COWEN//ADAMS-HARKNESS/STEPHENS
/TUCKER/ING-BARINGS</t>
  </si>
  <si>
    <t>FLEET-BOSTON
DAIN-R-WESSELS
DLJ-DIRECT
SG-COWEN</t>
  </si>
  <si>
    <t>Fleet Boston Corp,Boston,Massachusetts
Dain Rauscher Wessels
DLJdirect
SG Cowen Securities Corp</t>
  </si>
  <si>
    <t>Register.com Inc</t>
  </si>
  <si>
    <t>RCOM</t>
  </si>
  <si>
    <t>75914G101</t>
  </si>
  <si>
    <t>Deutsche Banc Alex Brown
Thomas Weisel Partners
Wit Soundview Group Inc
Legg Mason Wood Walker
Banc of America Securities LLC
Chatsworth Securities LLC
First Analysis Securities
First Albany
Wedbush, Noble, Cooke
First Security Van Kasper &amp; Co
Tucker Anthony Inc
SunTrust Equitable Securities
Sanders Morris Mundy Inc
Pennsylvania Merchant Group
Friedman Billings Ramsey Group
Wasserstein Perella Securities
CIBC World Markets Inc
Donaldson Lufkin &amp; Jenrette
Lehman Brothers
Goldman Sachs &amp; Co
Chase H&amp;Q
Deutsche Banc Alex Brown</t>
  </si>
  <si>
    <t>DEUTSCHE-ALEX-B//THOMAS-WEISEL
/WIT-SOUNDVIEW/LEGG-MASON-WW
//BA-SEC-LLC/CHATSWORTH/F-ANALYSIS
/FIRST-ALBANY/WEDBUSH/FIR-VAN-KASPER
/TUCKER/SUNTRUST-EQUI/SANDERS-MORRIS
/PENN-MER-GROUP/FRIEDMAN-B/WP-SEC
/CIBC-WORLD/DLJ/LEH/GS/CHASE-HQ
//DEUTSCHE-ALEX-B(GC)</t>
  </si>
  <si>
    <t>DEUTSCHE-ALEX-B
THOMAS-WEISEL
WIT-SOUNDVIEW
LEGG-MASON-WW</t>
  </si>
  <si>
    <t>Deutsche Banc Alex Brown
Thomas Weisel Partners
Wit Soundview Group Inc
Legg Mason Wood Walker Inc</t>
  </si>
  <si>
    <t>DEUTSCHE-BANK</t>
  </si>
  <si>
    <t>Deutsche Bank
Thomas Weisel Partners
Legg Mason Wood Walker
Wit Soundview Group Inc
Deutsche Bank</t>
  </si>
  <si>
    <t>DEUTSCHE-BANK//THOMAS-WEISEL
/LEGG-MASON-WW/WIT-SOUNDVIEW
//DEUTSCHE-BANK(GC)</t>
  </si>
  <si>
    <t>Deutsche Bank</t>
  </si>
  <si>
    <t>Switchboard Inc</t>
  </si>
  <si>
    <t>SWBD</t>
  </si>
  <si>
    <t>Fleet Boston Corp
JP Morgan
Wit Soundview Group Inc
Robinson-Humphrey Co
CIBC World Markets Inc
Edgar M. Norris &amp; Co
Needham &amp; Co LLC
E*Offering Corp
Fidelity Bank
Josephthal &amp; Co Inc
John Burnham &amp; Co</t>
  </si>
  <si>
    <t>FLEET-BOSTON/JPM(JOINT)//WIT-SOUNDVIEW
/ROBINSON//CIBC-WORLD/EDGAR-NORRIS
/NEEDHAM/E*OFFERING/FIDELITY/JOSEPHTHAL
/BURNHAM-J</t>
  </si>
  <si>
    <t>FLEET-BOSTON/JPM</t>
  </si>
  <si>
    <t>FLEET-BOSTON
/JPM(JOINT)
WIT-SOUNDVIEW
ROBINSON</t>
  </si>
  <si>
    <t>Fleet Boston Corp,Boston,Massachusetts
JP Morgan &amp; Co Inc
Wit Soundview Group Inc
Robinson-Humphrey Co</t>
  </si>
  <si>
    <t>UTStarcom Holdings Corp</t>
  </si>
  <si>
    <t>UTSI</t>
  </si>
  <si>
    <t>MERRILL/ETDEJP(JB)</t>
  </si>
  <si>
    <t>Merrill Lynch
E*Trade Japan</t>
  </si>
  <si>
    <t>MERRILL(JB)/ETDEJP(JB)</t>
  </si>
  <si>
    <t>MERRILL/ETDEJP</t>
  </si>
  <si>
    <t>MERRILL
(JB)/ETDEJP(JB)</t>
  </si>
  <si>
    <t>Merrill Lynch &amp; Co Inc
E*Trade Japan</t>
  </si>
  <si>
    <t>Merrill Lynch
Banc of America Securities LLC
US Bancorp Piper Jaffray
CS First Boston Corp
Deutsche Banc Alex Brown
Fleet Boston Corp
Hambrecht &amp; Quist
First Analysis Securities
Laidlaw-Coggeshall
Samuel A. Ramirez &amp; Co.
Sutro &amp; Co Inc
Merrill Lynch</t>
  </si>
  <si>
    <t>MERRILL//BA-SEC-LLC/US-PIPER/CS-FB
/DEUTSCHE-ALEX-B/FLEET-BOSTON/HAMBRECHT
/F-ANALYSIS/LAIDLAW/RAMIREZ/SUTRO
//MERRILL(GC)</t>
  </si>
  <si>
    <t>Merrill Lynch &amp; Co Inc</t>
  </si>
  <si>
    <t>Versata Inc</t>
  </si>
  <si>
    <t>VATA</t>
  </si>
  <si>
    <t>THOMAS-WEISEL</t>
  </si>
  <si>
    <t>Thomas Weisel Partners
Dain Rauscher Wessels
DLJdirect
SG Cowen Securities Corp
Bear Stearns &amp; Co Inc
Salomon Smith Barney
First Security Van Kasper &amp; Co
US Bancorp Piper Jaffray
Legg Mason Wood Walker
CIBC World Markets Inc
Merrill Lynch
ING Barings
JP Morgan
Lehman Brothers
Donaldson Lufkin &amp; Jenrette</t>
  </si>
  <si>
    <t>THOMAS-WEISEL//DAIN-R-WESSELS
/DLJ-DIRECT/SG-COWEN//BEAR
/SALOMON-SMITH/FIR-VAN-KASPER/US-PIPER
/LEGG-MASON-WW/CIBC-WORLD/MERRILL
/ING-BARINGS/JPM/LEH/DLJ</t>
  </si>
  <si>
    <t>THOMAS-WEISEL
DAIN-R-WESSELS
DLJ-DIRECT
SG-COWEN</t>
  </si>
  <si>
    <t>Thomas Weisel Partners
Dain Rauscher Wessels
DLJdirect
SG Cowen Securities Corp</t>
  </si>
  <si>
    <t>Crayfish Co Ltd</t>
  </si>
  <si>
    <t>Japan</t>
  </si>
  <si>
    <t>MORGAN-STANLEY</t>
  </si>
  <si>
    <t>Mothers</t>
  </si>
  <si>
    <t>Morgan Stanley
Nomura International Limited
Merrill Lynch Japan
Morgan Stanley</t>
  </si>
  <si>
    <t>MORGAN-STANLEY//NOMURAI/MLJ
//MORGAN-STANLEY(GC)</t>
  </si>
  <si>
    <t>MORGAN-STANLEY
NOMURAI
MLJ</t>
  </si>
  <si>
    <t>Morgan Stanley
Nomura International Limited
Merrill Lynch Japan</t>
  </si>
  <si>
    <t>Net2000 Communications Inc</t>
  </si>
  <si>
    <t>NTKK</t>
  </si>
  <si>
    <t>64122G103</t>
  </si>
  <si>
    <t>Goldman Sachs &amp; Co
Donaldson Lufkin &amp; Jenrette
Legg Mason Wood Walker
JP Morgan
Bear Stearns &amp; Co Inc
Ormes Capital Markets Inc
Scott &amp; Stringfellow Financial
Raymond James &amp; Associates Inc
Wachovia Securities Inc
McDonald Investments
Salomon Smith Barney
Soundview Technology (OLD)
Johnston Lemon &amp; Co Inc
JC Bradford &amp; Co
Lehman Brothers
Goldman Sachs &amp; Co</t>
  </si>
  <si>
    <t>GS//DLJ/LEGG-MASON-WW/JPM//BEAR/ORMES
/SCOTT-STRING/RAYMOND/WACHOVIA-SEC
/MCDONALD/SALOMON-SMITH/SOUNDVIEW-TECH
/JOHNSTON-LEMON/BRADFORD/LEH//GS(GC)</t>
  </si>
  <si>
    <t>GS
DLJ
LEGG-MASON-WW
JPM</t>
  </si>
  <si>
    <t>Goldman Sachs &amp; Co
Donaldson Lufkin &amp; Jenrette Inc
Legg Mason Wood Walker Inc
JP Morgan &amp; Co Inc</t>
  </si>
  <si>
    <t>Goldman Sachs &amp; Co
Donaldson Lufkin &amp; Jenrette
JP Morgan
Legg Mason Wood Walker
Goldman Sachs &amp; Co</t>
  </si>
  <si>
    <t>GS//DLJ/JPM/LEGG-MASON-WW//GS(GC)</t>
  </si>
  <si>
    <t>FirstWorld Communications Inc</t>
  </si>
  <si>
    <t>FWIS</t>
  </si>
  <si>
    <t>LEH</t>
  </si>
  <si>
    <t>Series B-1 Com</t>
  </si>
  <si>
    <t>Lehman Brothers
Bear Stearns &amp; Co Inc
Fidelity Capital Markets
Deutsche Banc Alex Brown
PaineWebber
CIBC World Markets Inc
CL King &amp; Associates Inc
Salomon Smith Barney
W. M. Smith Securities, Inc
Sands Brothers &amp; Co Ltd
Pacific Crest Securities Inc
Legg Mason Wood Walker
Kirkpatrick, Pettis, Smith, Po
Goldman Sachs &amp; Co
ING Barings
Merrill Lynch
Morgan Stanley &amp; Co
Hambrecht &amp; Quist
Donaldson Lufkin &amp; Jenrette
Lehman Brothers</t>
  </si>
  <si>
    <t>LEH//BEAR/FIDELITY-CAP/DEUTSCHE-ALEX-B
/PAINE-W//CIBC-WORLD/CL-KING
/SALOMON-SMITH/W-M-SMITH/SANDS
/PACIFIC-CREST/LEGG-MASON-WW
/KIRKPATRICK/GS/ING-BARINGS/MERRILL/MS
/HAMBRECHT/DLJ//LEH(GC)</t>
  </si>
  <si>
    <t>LEH
BEAR
FIDELITY-CAP
DEUTSCHE-ALEX-B
PAINE-W</t>
  </si>
  <si>
    <t>Lehman Brothers
Bear Stearns &amp; Co Inc
Fidelity Capital Markets
Deutsche Banc Alex Brown
PaineWebber Inc</t>
  </si>
  <si>
    <t>Lehman Brothers
Bear Stearns &amp; Co Inc
Deutsche Banc Alex Brown
Fidelity Capital Markets
PaineWebber
Lehman Brothers</t>
  </si>
  <si>
    <t>LEH//BEAR/DEUTSCHE-ALEX-B//FIDELITY-CAP
/PAINE-W//LEH(GC)</t>
  </si>
  <si>
    <t>LEH
BEAR
DEUTSCHE-ALEX-B</t>
  </si>
  <si>
    <t>Lehman Brothers
Bear Stearns &amp; Co Inc
Deutsche Banc Alex Brown</t>
  </si>
  <si>
    <t>iprint.com Inc</t>
  </si>
  <si>
    <t>IPRT</t>
  </si>
  <si>
    <t>CS First Boston Corp
Fleet Boston Corp
WR Hambrecht &amp; Co LLC
US Bancorp Piper Jaffray
Banc of America Securities LLC
Invemed Associates Inc
Thomas Weisel Partners
Jefferies &amp; Co Inc
Soundview Technology (OLD)
Sands Brothers &amp; Co Ltd
First Union Securities Inc
Prudential Securities Inc
Dain Rauscher Wessels
CS First Boston Corp</t>
  </si>
  <si>
    <t>CS-FB//FLEET-BOSTON/W-R-HAMBRECHT
/US-PIPER//BA-SEC-LLC/INVEMED
/THOMAS-WEISEL/JEFFERIES/SOUNDVIEW-TECH
/SANDS/FIRST-UNION-SEC/PSI
/DAIN-R-WESSELS//CS-FB(GC)</t>
  </si>
  <si>
    <t>CS-FB
FLEET-BOSTON
W-R-HAMBRECHT
US-PIPER</t>
  </si>
  <si>
    <t>CS First Boston Corp
Fleet Boston Corp,Boston,Massachusetts
WR Hambrecht &amp; Co LLC
US Bancorp Piper Jaffray Inc</t>
  </si>
  <si>
    <t>Credit Suisse First Boston Inc
FleetBoston Robertson Stephens
US Bancorp Piper Jaffray
Hambrecht &amp; Quist
Credit Suisse First Boston Inc</t>
  </si>
  <si>
    <t>CSFB-INC//FLEET-ROB-STEPH/US-PIPER
/HAMBRECHT//CSFB-INC(GC)</t>
  </si>
  <si>
    <t>CSFB-INC
FLEET-ROB-STEPH
US-PIPER
HAMBRECHT</t>
  </si>
  <si>
    <t>Credit Suisse First Boston Inc
FleetBoston Robertson Stephens Inc
US Bancorp Piper Jaffray Inc
Hambrecht &amp; Quist Inc</t>
  </si>
  <si>
    <t>Riverdeep Group PLC</t>
  </si>
  <si>
    <t>Ireland-Rep</t>
  </si>
  <si>
    <t>Credit Suisse First Boston Ltd
Davy
Donaldson Lufkin &amp; Jenrette
Wit Soundview Group Inc
Credit Suisse First Boston Ltd</t>
  </si>
  <si>
    <t>Ireland-Rep Publi</t>
  </si>
  <si>
    <t>C-S-F-B//J-E-DAVY/DLJ/WIT-SOUNDVIEW
//C-S-F-B(GC)</t>
  </si>
  <si>
    <t>C-S-F-B
J-E-DAVY
DLJ
WIT-SOUNDVIEW</t>
  </si>
  <si>
    <t>Credit Suisse First Boston Ltd
Davy
Donaldson Lufkin &amp; Jenrette Inc
Wit Soundview Group Inc</t>
  </si>
  <si>
    <t>Credit Suisse First Boston Ltd
Wit Soundview Group Inc
Donaldson Lufkin &amp; Jenrette
Davy
Credit Suisse First Boston Ltd</t>
  </si>
  <si>
    <t>C-S-F-B//WIT-SOUNDVIEW/DLJ/J-E-DAVY
//C-S-F-B(GC)</t>
  </si>
  <si>
    <t>C-S-F-B
WIT-SOUNDVIEW
DLJ
J-E-DAVY</t>
  </si>
  <si>
    <t>Credit Suisse First Boston Ltd
Wit Soundview Group Inc
Donaldson Lufkin &amp; Jenrette Inc
Davy</t>
  </si>
  <si>
    <t>New China Homes Ltd</t>
  </si>
  <si>
    <t>Hong Kong</t>
  </si>
  <si>
    <t>NEWC</t>
  </si>
  <si>
    <t>G6445R103</t>
  </si>
  <si>
    <t>Barron Chase Securities
Starr Securities</t>
  </si>
  <si>
    <t>Far East Consortium Intl Ltd</t>
  </si>
  <si>
    <t>BARRON-CHASE//STARR</t>
  </si>
  <si>
    <t>BARRON-CHASE
STARR</t>
  </si>
  <si>
    <t>Barron Chase Securities
Starr Securities, Inc.</t>
  </si>
  <si>
    <t>GT Group Telecom Inc</t>
  </si>
  <si>
    <t>GTTLB</t>
  </si>
  <si>
    <t>Goldman Sachs &amp; Co
Salomon Smith Barney
CIBC World Markets Inc
Merrill Lynch
Morgan Stanley Dean Witter
RBC Dominion Securities
BMO Nesbitt Burns Equity
National Bank Finance
Scotia Capital Markets
Toronto Dominion Securities</t>
  </si>
  <si>
    <t>GS(JB)/SALOMON-SMITH(JB)//CIBC-WORLD
/MERRILL/MSDW/RBC-DOM/NESBUR/NBCFIN
/SCOTIA-CAP-USA/TORONTO-DOM-SEC</t>
  </si>
  <si>
    <t>GS
(JB)/SALOMON-SMITH(JB)</t>
  </si>
  <si>
    <t>Goldman Sachs &amp; Co
Salomon Smith Barney</t>
  </si>
  <si>
    <t>HomeGrocer.com</t>
  </si>
  <si>
    <t>HOMG</t>
  </si>
  <si>
    <t>43740K100</t>
  </si>
  <si>
    <t>Morgan Stanley Dean Witter
Donaldson Lufkin &amp; Jenrette
Chase H&amp;Q
Banc of America Securities LLC
JC Bradford &amp; Co
Robert W Baird &amp; Co Inc
Dain Rauscher Wessels
First Union Securities Inc
Edward D Jones &amp; Co
McAdams Wright Ragen Inc
McDonald Investments
Pacific Crest Securities Inc
Morgan Stanley Dean Witter</t>
  </si>
  <si>
    <t>MSDW//DLJ/CHASE-HQ/BA-SEC-LLC/BRADFORD
//BAIRD/DAIN-R-WESSELS/FIRST-UNION-SEC
/ED-JONES/MCADAMS-WRIGHT/MCDONALD
/PACIFIC-CREST//MSDW(GC)</t>
  </si>
  <si>
    <t>MSDW
DLJ
CHASE-HQ
BA-SEC-LLC
BRADFORD</t>
  </si>
  <si>
    <t>Morgan Stanley Dean Witter &amp; Co
Donaldson Lufkin &amp; Jenrette Inc
Chase H&amp;Q
Banc of America Securities LLC
JC Bradford &amp; Co</t>
  </si>
  <si>
    <t>Morgan Stanley Dean Witter
Donaldson Lufkin &amp; Jenrette
Chase H&amp;Q
Bank of America
JC Bradford &amp; Co
Morgan Stanley Dean Witter</t>
  </si>
  <si>
    <t>MSDW//DLJ/CHASE-HQ/BANK-OF-AMERICA
/BRADFORD//MSDW(GC)</t>
  </si>
  <si>
    <t>MSDW
DLJ
CHASE-HQ
BANK-OF-AMERICA
BRADFORD</t>
  </si>
  <si>
    <t>Morgan Stanley Dean Witter &amp; Co
Donaldson Lufkin &amp; Jenrette Inc
Chase H&amp;Q
Bank of America
JC Bradford &amp; Co</t>
  </si>
  <si>
    <t>OraPharma Inc</t>
  </si>
  <si>
    <t>OPHM</t>
  </si>
  <si>
    <t>68554E106</t>
  </si>
  <si>
    <t>Fleet Boston Corp
US Bancorp Piper Jaffray
Gerard Klauer Mattison &amp; Co
Chase H&amp;Q
SG Cowen Securities Corp
Janney Montgomery Scott Inc
Parker-Hunter Inc
Sutro &amp; Co Inc
Tucker Anthony Inc</t>
  </si>
  <si>
    <t>FLEET-BOSTON//US-PIPER/GERARD-KLAUER
//CHASE-HQ/SG-COWEN/JANNEY
/PARKER-HUNTER/SUTRO/TUCKER</t>
  </si>
  <si>
    <t>FLEET-BOSTON
US-PIPER
GERARD-KLAUER</t>
  </si>
  <si>
    <t>Fleet Boston Corp,Boston,Massachusetts
US Bancorp Piper Jaffray Inc
Gerard Klauer Mattison &amp; Co Inc</t>
  </si>
  <si>
    <t>Selectica Inc</t>
  </si>
  <si>
    <t>SLTCD</t>
  </si>
  <si>
    <t>CS First Boston Corp
Thomas Weisel Partners
E*Offering Corp
US Bancorp Piper Jaffray
Adams Harkness &amp; Hill Inc
Invemed Associates Inc
Prudential Securities Inc
Pacific Growth Equities Inc
Fleet Boston Corp
Dain Rauscher Wessels
Deutsche Bank
First Union Securities Inc
Banc of America Securities LLC</t>
  </si>
  <si>
    <t>CS-FB//THOMAS-WEISEL/E*OFFERING
/US-PIPER//ADAMS-HARKNESS/INVEMED/PSI
/PACIFIC-GROWTH/FLEET-BOSTON
/DAIN-R-WESSELS/DEUTSCHE-BANK
/FIRST-UNION-SEC/BA-SEC-LLC</t>
  </si>
  <si>
    <t>CS-FB
THOMAS-WEISEL
E*OFFERING
US-PIPER</t>
  </si>
  <si>
    <t>CS First Boston Corp
Thomas Weisel Partners
E*Offering Corp
US Bancorp Piper Jaffray Inc</t>
  </si>
  <si>
    <t>CS First Boston Corp
Thomas Weisel Partners
E*Offering Corp
US Bancorp Piper Jaffray
Adams Harkness &amp; Hill Inc
Invemed Associates Inc
Deutsche Bank
Prudential Securities Inc
Banc of America Securities LLC
Pacific Growth Equities Inc
Fleet Boston Corp
Dain Rauscher Wessels
First Union Securities Inc</t>
  </si>
  <si>
    <t>CS-FB//THOMAS-WEISEL/E*OFFERING
/US-PIPER/ADAMS-HARKNESS/INVEMED
/DEUTSCHE-BANK/PSI/BA-SEC-LLC
/PACIFIC-GROWTH/FLEET-BOSTON
/DAIN-R-WESSELS/FIRST-UNION-SEC</t>
  </si>
  <si>
    <t>CS First Boston Corp</t>
  </si>
  <si>
    <t>OTG Software Inc</t>
  </si>
  <si>
    <t>OTGS</t>
  </si>
  <si>
    <t>CS First Boston Corp
Deutsche Banc Alex Brown
Friedman Billings Ramsey Group
SG Cowen Securities Corp
Dain Rauscher Wessels
William Blair &amp; Co
First Union Securities Inc
Invemed Associates Inc
CE Unterberg Towbin
Chase Securities Inc
Fleet Boston Corp
E*Offering Corp
Legg Mason Wood Walker
CS First Boston Corp</t>
  </si>
  <si>
    <t>CS-FB//DEUTSCHE-ALEX-B/FRIEDMAN-B
/SG-COWEN//DAIN-R-WESSELS/WM-BLAIR
/FIRST-UNION-SEC/INVEMED/UNTERBERG
/CHASE-SEC/FLEET-BOSTON/E*OFFERING
/LEGG-MASON-WW//CS-FB(GC)</t>
  </si>
  <si>
    <t>CS-FB
DEUTSCHE-ALEX-B
FRIEDMAN-B
SG-COWEN</t>
  </si>
  <si>
    <t>CS First Boston Corp
Deutsche Banc Alex Brown
Friedman Billings Ramsey Group
SG Cowen Securities Corp</t>
  </si>
  <si>
    <t>SUNDAY Communications Ltd</t>
  </si>
  <si>
    <t>0866</t>
  </si>
  <si>
    <t>CLSA-HK/C-S-F-B(JB)</t>
  </si>
  <si>
    <t>CLSA
Credit Suisse First Boston Ltd
Deutsche Banc Alex Brown
Jardine Fleming
Salomon Smith Barney
ABN AMRO Rothschild
HSBC Holdings PLC (Hong Kong)
Overseas Union Bank (HK)
CLSA
Credit Suisse First Boston Ltd</t>
  </si>
  <si>
    <t>Hong Kong Public</t>
  </si>
  <si>
    <t>CLSA-HK(JB)/C-S-F-B(JB)
//DEUTSCHE-ALEX-B/JARDINE-FLEMING
/SALOMON-SMITH//ABN-ROTHSCHILD/HKSB
/OUBHK//CLSA-HK(GC)/C-S-F-B(GC)</t>
  </si>
  <si>
    <t>CLSA-HK/C-S-F-B</t>
  </si>
  <si>
    <t>CLSA-HK
(JB)/C-S-F-B(JB)
DEUTSCHE-ALEX-B
JARDINE-FLEMING
SALOMON-SMITH</t>
  </si>
  <si>
    <t>CLSA Asia-Pacific Markets Ltd
Credit Suisse First Boston Ltd
Deutsche Banc Alex Brown
Jardine Fleming (Hong Kong)
Salomon Smith Barney</t>
  </si>
  <si>
    <t>Digitas Inc</t>
  </si>
  <si>
    <t>DTAS</t>
  </si>
  <si>
    <t>25388K104</t>
  </si>
  <si>
    <t>Morgan Stanley Dean Witter
Deutsche Banc Alex Brown
Banc of America Securities LLC
Bear Stearns &amp; Co Inc
Salomon Smith Barney
SG Cowen Securities Corp
Adams Harkness &amp; Hill Inc
Robert W Baird &amp; Co Inc
First Union Securities Inc
ING Barings
Prudential Securities Inc
Fleet Boston Corp
Morgan Stanley Dean Witter</t>
  </si>
  <si>
    <t>MSDW//DEUTSCHE-ALEX-B/BA-SEC-LLC/BEAR
/SALOMON-SMITH//SG-COWEN/ADAMS-HARKNESS
/BAIRD/FIRST-UNION-SEC/ING-BARINGS/PSI
/FLEET-BOSTON//MSDW(GC)</t>
  </si>
  <si>
    <t>MSDW
DEUTSCHE-ALEX-B
BA-SEC-LLC
BEAR
SALOMON-SMITH</t>
  </si>
  <si>
    <t>Morgan Stanley Dean Witter &amp; Co
Deutsche Banc Alex Brown
Banc of America Securities LLC
Bear Stearns &amp; Co Inc
Salomon Smith Barney</t>
  </si>
  <si>
    <t>Morgan Stanley Dean Witter
Deutsche Banc Alex Brown
Thomas Weisel Partners
Schroders
Morgan Stanley Dean Witter</t>
  </si>
  <si>
    <t>MSDW//DEUTSCHE-ALEX-B/THOMAS-WEISEL
/SCHRODERS//MSDW(GC)</t>
  </si>
  <si>
    <t>MSDW
DEUTSCHE-ALEX-B
THOMAS-WEISEL
SCHRODERS</t>
  </si>
  <si>
    <t>Morgan Stanley Dean Witter &amp; Co
Deutsche Banc Alex Brown
Thomas Weisel Partners
Schroders</t>
  </si>
  <si>
    <t>FairMarket Inc</t>
  </si>
  <si>
    <t>FAIM</t>
  </si>
  <si>
    <t>Deutsche Banc Alex Brown
Fleet Boston Corp
US Bancorp Piper Jaffray
Sanders Morris Mundy Inc
Banc of America Securities LLC
Chase H&amp;Q
Goldman Sachs &amp; Co
Merrill Lynch
PaineWebber
Salomon Smith Barney
Wit Soundview Group Inc
Chatsworth Securities LLC
Doft &amp; Co Inc
CL King &amp; Associates Inc
Pacific Crest Securities Inc
Parker-Hunter Inc
Shields
SunTrust Equitable Securities
Tucker Anthony Inc
Wedbush, Noble, Cooke
Deutsche Banc Alex Brown</t>
  </si>
  <si>
    <t>DEUTSCHE-ALEX-B//FLEET-BOSTON/US-PIPER
//SANDERS-MORRIS/BA-SEC-LLC/CHASE-HQ/GS
/MERRILL/PAINE-W/SALOMON-SMITH
/WIT-SOUNDVIEW/CHATSWORTH/DOFT/CL-KING
/PACIFIC-CREST/PARKER-HUNTER/SHIELDS
/SUNTRUST-EQUI/TUCKER/WEDBUSH
//DEUTSCHE-ALEX-B(GC)</t>
  </si>
  <si>
    <t>DEUTSCHE-ALEX-B
FLEET-BOSTON
US-PIPER</t>
  </si>
  <si>
    <t>Deutsche Banc Alex Brown
Fleet Boston Corp,Boston,Massachusetts
US Bancorp Piper Jaffray Inc</t>
  </si>
  <si>
    <t>Deutsche Banc Alex Brown
FleetBoston Robertson Stephens
US Bancorp Piper Jaffray
Deutsche Banc Alex Brown</t>
  </si>
  <si>
    <t>DEUTSCHE-ALEX-B//FLEET-ROB-STEPH
/US-PIPER//DEUTSCHE-ALEX-B(GC)</t>
  </si>
  <si>
    <t>Infineon Technologies AG</t>
  </si>
  <si>
    <t>Germany</t>
  </si>
  <si>
    <t>IFX</t>
  </si>
  <si>
    <t>DEUTSCHE-BANK/GS(JB)</t>
  </si>
  <si>
    <t>45662N103</t>
  </si>
  <si>
    <t>Frankfurt</t>
  </si>
  <si>
    <t>Deutsche Bank
Goldman Sachs &amp; Co
Credit Suisse First Boston
Merrill Lynch
Lehman Brothers International
Salomon Smith Barney
ABN-AMRO Holding NV
SG Cowen Securities Corp
Chase Manhattan Bank NA
ING Barings
BHF-Bank AG
SG Warburg Group PLC
Mediobanca
Commerzbank AG
BancBoston Trust Company of NY
Deutsche Bank
Goldman Sachs &amp; Co</t>
  </si>
  <si>
    <t>SIE</t>
  </si>
  <si>
    <t>Siemens AG</t>
  </si>
  <si>
    <t>DEUTSCHE-BANK(JB)/GS(JB)//CS-FB-CS
/MERRILL/LEHMAN-I/SALOMON-SMITH
//ABN-AMRO/SG-COWEN/CHASE/ING-BARINGS
/BHF/WARBURG/MEDIOBANCA/COMMERZBANK
/BANC-BOSTON//DEUTSCHE-BANK(GC)/GS(GC)</t>
  </si>
  <si>
    <t>DEUTSCHE-BANK/GS</t>
  </si>
  <si>
    <t>DEUTSCHE-BANK
(JB)/GS(JB)
CS-FB-CS
MERRILL
LEHMAN-I
SALOMON-SMITH</t>
  </si>
  <si>
    <t>Deutsche Bank
Goldman Sachs &amp; Co
Credit Suisse First Boston Corp
Merrill Lynch &amp; Co Inc
Lehman Brothers International
Salomon Smith Barney</t>
  </si>
  <si>
    <t>RADVISION Ltd</t>
  </si>
  <si>
    <t>Israel</t>
  </si>
  <si>
    <t>RVSN</t>
  </si>
  <si>
    <t>M81869105</t>
  </si>
  <si>
    <t>Lehman Brothers
Salomon Smith Barney
Fidelity Investments Inc
Piper Jaffray Inc</t>
  </si>
  <si>
    <t>LEH//SALOMON-SMITH/FIDELITY-INVEST
/PIPER-J</t>
  </si>
  <si>
    <t>LEH
SALOMON-SMITH
FIDELITY-INVEST
PIPER-J</t>
  </si>
  <si>
    <t>ImproveNet Inc</t>
  </si>
  <si>
    <t>IMPV</t>
  </si>
  <si>
    <t>45321E106</t>
  </si>
  <si>
    <t>CS First Boston Corp
Fleet Boston Corp
E*Offering Corp
William Blair &amp; Co
JC Bradford &amp; Co
Chase Securities Inc
Deutsche Banc Alex Brown
First Union Securities Inc
Invemed Associates Inc
Prudential Securities Inc
Salomon Smith Barney
SG Cowen Securities Corp
Soundview Technology (OLD)
CS First Boston Corp</t>
  </si>
  <si>
    <t>CS-FB//FLEET-BOSTON/E*OFFERING
//WM-BLAIR/BRADFORD/CHASE-SEC
/DEUTSCHE-ALEX-B/FIRST-UNION-SEC
/INVEMED/PSI/SALOMON-SMITH/SG-COWEN
/SOUNDVIEW-TECH//CS-FB(GC)</t>
  </si>
  <si>
    <t>CS-FB
FLEET-BOSTON
E*OFFERING</t>
  </si>
  <si>
    <t>CS First Boston Corp
Fleet Boston Corp,Boston,Massachusetts
E*Offering Corp</t>
  </si>
  <si>
    <t>Credit Suisse First Boston Inc
FleetBoston Robertson Stephens
E*Offering Corp
William Blair &amp; Co
JC Bradford &amp; Co
Chase Securities Inc
Deutsche Bank (India)
First Union Securities Inc
Invemed Associates Inc
Prudential Securities Inc
Salomon Smith Barney
SG Cowen Securities Corp
Soundview Technology
Credit Suisse First Boston Inc</t>
  </si>
  <si>
    <t>CSFB-INC//FLEET-ROB-STEPH/E*OFFERING
/WM-BLAIR/BRADFORD/CHASE-SEC
/DEUTSCHE-INDIA/FIRST-UNION-SEC/INVEMED
/PSI/SALOMON-SMITH/SG-COWEN/SOUNDV
//CSFB-INC(GC)</t>
  </si>
  <si>
    <t>CSFB-INC
FLEET-ROB-STEPH
E*OFFERING
WM-BLAIR
BRADFORD
CHASE-SEC
DEUTSCHE-INDIA
FIRST-UNION-SEC
INVEMED
PSI
SALOMON-SMITH
SG-COWEN
SOUNDV</t>
  </si>
  <si>
    <t>Credit Suisse First Boston Inc
FleetBoston Robertson Stephens Inc
E*Offering Corp
William Blair &amp; Co
JC Bradford &amp; Co
Chase Securities Inc
Deutsche Bank (India)
First Union Securities Inc
Invemed Associates Inc
Prudential Securities Inc
Salomon Smith Barney
SG Cowen Securities Corp
Soundview Technology</t>
  </si>
  <si>
    <t>Loudeye Technologies Inc</t>
  </si>
  <si>
    <t>LOUD</t>
  </si>
  <si>
    <t>Fleet Boston Corp
Chase H&amp;Q
CIBC World Markets Inc
Dain Rauscher Wessels
Ragen MacKenzie Group Inc
Thomas Weisel Partners
DA Davidson &amp; Co Inc
McAdams Wright Ragen Inc</t>
  </si>
  <si>
    <t>FLEET-BOSTON/CHASE-HQ(JOINT)
//CIBC-WORLD//DAIN-R-WESSELS/RAGEN
/THOMAS-WEISEL/DAVIDSON/MCADAMS-WRIGHT</t>
  </si>
  <si>
    <t>FLEET-BOSTON/CHASE-HQ</t>
  </si>
  <si>
    <t>FLEET-BOSTON
/CHASE-HQ(JOINT)
CIBC-WORLD</t>
  </si>
  <si>
    <t>Fleet Boston Corp,Boston,Massachusetts
Chase H&amp;Q
CIBC World Markets Inc</t>
  </si>
  <si>
    <t>PSi Technologies Inc</t>
  </si>
  <si>
    <t>Philippines</t>
  </si>
  <si>
    <t>PSIT</t>
  </si>
  <si>
    <t>74438Q109</t>
  </si>
  <si>
    <t>Chase H&amp;Q
Fleet Boston Corp
Thomas Weisel Partners
Banc of America Securities LLC
Bear Stearns &amp; Co Inc
CIBC World Markets Inc
Deutsche Banc Alex Brown
Donaldson Lufkin &amp; Jenrette
ING Barings
Wit Soundview Group Inc
UBS Warburg
Adams Harkness &amp; Hill Inc
Advest Inc
William Blair &amp; Co
E*Offering Corp
Needham &amp; Co LLC
Raymond James &amp; Associates Inc
Stephens Inc
US Bancorp Piper Jaffray</t>
  </si>
  <si>
    <t>RFM</t>
  </si>
  <si>
    <t>RFM Corp</t>
  </si>
  <si>
    <t>CHASE-HQ//FLEET-BOSTON/THOMAS-WEISEL
//BA-SEC-LLC/BEAR/CIBC-WORLD
/DEUTSCHE-ALEX-B/DLJ/ING-BARINGS
/WIT-SOUNDVIEW/UBS-WARBURG
/ADAMS-HARKNESS/ADVEST/WM-BLAIR
/E*OFFERING/NEEDHAM/RAYMOND/STEPHENS
/US-PIPER</t>
  </si>
  <si>
    <t>CHASE-HQ
FLEET-BOSTON
THOMAS-WEISEL</t>
  </si>
  <si>
    <t>Chase H&amp;Q
Fleet Boston Corp,Boston,Massachusetts
Thomas Weisel Partners</t>
  </si>
  <si>
    <t>Shochet Holding Corp</t>
  </si>
  <si>
    <t>SHOC</t>
  </si>
  <si>
    <t>GAINES-BERLAND</t>
  </si>
  <si>
    <t>82488Q101</t>
  </si>
  <si>
    <t>Gaines, Berland
Shochet Securities</t>
  </si>
  <si>
    <t>Research Partners Intl Inc</t>
  </si>
  <si>
    <t>GAINES-BERLAND/SHOCHET(JOINT)</t>
  </si>
  <si>
    <t>GAINES-BERLAND/SHOCHET</t>
  </si>
  <si>
    <t>GAINES-BERLAND
/SHOCHET(JOINT)</t>
  </si>
  <si>
    <t>Gaines, Berland, Inc.
Shochet Securities</t>
  </si>
  <si>
    <t>Universal Access Inc</t>
  </si>
  <si>
    <t>UAXS</t>
  </si>
  <si>
    <t>Goldman Sachs &amp; Co
Chase H&amp;Q
Fleet Boston Corp
Advanced Equities Inc
JC Bradford &amp; Co
AG Edwards &amp; Sons Inc
First Union Securities Inc
Edward D Jones &amp; Co
Legg Mason Wood Walker
Loop Capital Markets
Sands Brothers &amp; Co Ltd
Soundview Technology (OLD)
Tucker Anthony Inc
Wachovia Securities Inc
Wasserstein Perella Securities
Broadmark Capital Corp
Goldman Sachs &amp; Co</t>
  </si>
  <si>
    <t>GS//CHASE-HQ/FLEET-BOSTON//ADVANCED-EQ
/BRADFORD/A-G-EDWARDS/FIRST-UNION-SEC
/ED-JONES/LEGG-MASON-WW/LOOP/SANDS
/SOUNDVIEW-TECH/TUCKER/WACHOVIA-SEC
/WP-SEC/BROADMARK//GS(GC)</t>
  </si>
  <si>
    <t>GS
CHASE-HQ
FLEET-BOSTON</t>
  </si>
  <si>
    <t>Goldman Sachs &amp; Co
Chase H&amp;Q
Fleet Boston Corp,Boston,Massachusetts</t>
  </si>
  <si>
    <t>Goldman Sachs &amp; Co
Chase H&amp;Q
FleetBoston Robertson Stephens
Goldman Sachs &amp; Co</t>
  </si>
  <si>
    <t>GS//CHASE-HQ/FLEET-ROB-STEPH//GS(GC)</t>
  </si>
  <si>
    <t>Uproar Inc</t>
  </si>
  <si>
    <t>UPRO</t>
  </si>
  <si>
    <t>Salomon Smith Barney
Bear Stearns &amp; Co Inc
Wit Soundview Group Inc
Banc of America Securities LLC
Sands Brothers &amp; Co Ltd
Sanders Morris Mundy Inc</t>
  </si>
  <si>
    <t>SALOMON-SMITH//BEAR/WIT-SOUNDVIEW
/BA-SEC-LLC//SANDS/SANDERS-MORRIS</t>
  </si>
  <si>
    <t>SALOMON-SMITH
BEAR
WIT-SOUNDVIEW
BA-SEC-LLC</t>
  </si>
  <si>
    <t>Salomon Smith Barney
Bear Stearns &amp; Co Inc
Wit Soundview Group Inc
Banc of America Securities LLC</t>
  </si>
  <si>
    <t>ISS</t>
  </si>
  <si>
    <t>IISX</t>
  </si>
  <si>
    <t>45817B103</t>
  </si>
  <si>
    <t>Fleet Boston Corp
US Bancorp Piper Jaffray
Robert W Baird &amp; Co Inc
Legg Mason Wood Walker
Chase H&amp;Q
CIBC World Markets Inc
Deutsche Banc Alex Brown
First Union National Bancorp
ING Barings
Lehman Brothers
Prudential Securities Inc
Adams
Robinson-Humphrey Co
Sutro &amp; Co Inc</t>
  </si>
  <si>
    <t>FLEET-BOSTON//US-PIPER/BAIRD
/LEGG-MASON-WW//CHASE-HQ/CIBC-WORLD
/DEUTSCHE-ALEX-B/FIRST-UNION
/ING-BARINGS/LEH/PSI/ADAMS/ROBINSON
/SUTRO</t>
  </si>
  <si>
    <t>FLEET-BOSTON
US-PIPER
BAIRD
LEGG-MASON-WW</t>
  </si>
  <si>
    <t>Fleet Boston Corp,Boston,Massachusetts
US Bancorp Piper Jaffray Inc
Robert W Baird &amp; Co Inc
Legg Mason Wood Walker Inc</t>
  </si>
  <si>
    <t>Netpliance Inc</t>
  </si>
  <si>
    <t>NPLI</t>
  </si>
  <si>
    <t>64115K103</t>
  </si>
  <si>
    <t>Donaldson Lufkin &amp; Jenrette
Chase H&amp;Q
DLJdirect
Fleet Boston Corp
Allen &amp; Co Inc
Salomon Smith Barney
Advest Inc
George K Baum &amp; Co
Robert W Baird &amp; Co Inc
Lebenthal
Ladenburg Thalmann &amp; Co
CL King &amp; Associates Inc
Johnston Associates
Janney Montgomery Scott Inc
Gruntal &amp; Co Inc
Fahnestock &amp; Co
Chapman Co
Wachovia Bank NA
CE Unterberg Towbin
Tucker Anthony Inc
Tejas Securities Inc
Sutro &amp; Co Inc
Scott &amp; Stringfellow Financial
Sands Brothers &amp; Co Ltd
Sanders &amp; Beckingham
Redwine &amp; Company Inc
Raymond James &amp; Associates Inc
Ragen MacKenzie Group Inc
Pennsylvania Merchant Group
Parker-Hunter Inc
Needham &amp; Co LLC
Morgan Keegan Inc
McDonald Investments
JC Bradford &amp; Co
Thomas Weisel Partners
Merrill Lynch
AG Edwards &amp; Sons Inc
First Union Securities Inc
Lazard Freres &amp; Co LLC
Bear Stearns &amp; Co Inc</t>
  </si>
  <si>
    <t>DLJ//CHASE-HQ/DLJ-DIRECT/FLEET-BOSTON
//ALLEN/SALOMON-SMITH/ADVEST/G-BAUM
/BAIRD/LEBENTHAL/LADENBURG/CL-KING
/JOHNSTON/JANNEY/GRUNTAL/FAHNESTOCK
/CHAPMAN/WACHOVIA/UNTERBERG/TUCKER
/TEJAS-SEC/SUTRO/SCOTT-STRING/SANDS
/SANDERS/REDWINE-CO/RAYMOND/RAGEN
/PENN-MER-GROUP/PARKER-HUNTER/NEEDHAM
/MORGAN-KEEGAN/MCDONALD/BRADFORD
/THOMAS-WEISEL/MERRILL/A-G-EDWARDS
/FIRST-UNION-SEC/LAZ/BEAR</t>
  </si>
  <si>
    <t>DLJ
CHASE-HQ
DLJ-DIRECT
FLEET-BOSTON</t>
  </si>
  <si>
    <t>Donaldson Lufkin &amp; Jenrette Inc
Chase H&amp;Q
DLJdirect
Fleet Boston Corp,Boston,Massachusetts</t>
  </si>
  <si>
    <t>Aclara Biosciences Inc</t>
  </si>
  <si>
    <t>DEUTSCHE-ALEX-B
/WARBURG-DR(JB)</t>
  </si>
  <si>
    <t>00461P106</t>
  </si>
  <si>
    <t>Deutsche Banc Alex Brown
Warburg Dillon Read Inc
US Bancorp Piper Jaffray
Banc of America Securities LLC
Bear Stearns &amp; Co Inc
Chase H&amp;Q
CIBC World Markets Inc
Fleet Boston Corp
ING Barings
Merrill Lynch
Morgan Stanley Dean Witter
SG Cowen Securities Corp
Dain Rauscher Wessels
Dominick &amp; Dominick Inc
Fahnestock &amp; Co
Edgar M. Norris &amp; Co
Pennsylvania Merchant Group
Punk Ziegel &amp; Knoell
Tucker Anthony Inc
First Security Van Kasper &amp; Co
Wedbush, Noble, Cooke
Deutsche Banc Alex Brown</t>
  </si>
  <si>
    <t>DEUTSCHE-ALEX-B(JB)/WARBURG-DR(JB)
//US-PIPER//BA-SEC-LLC/BEAR/CHASE-HQ
/CIBC-WORLD/FLEET-BOSTON/ING-BARINGS
/MERRILL/MSDW/SG-COWEN/DAIN-R-WESSELS
/DOMINICK/FAHNESTOCK/EDGAR-NORRIS
/PENN-MER-GROUP/PUNK-ZIEGEL/TUCKER
/FIR-VAN-KASPER/WEDBUSH
//DEUTSCHE-ALEX-B(GC)</t>
  </si>
  <si>
    <t>DEUTSCHE-ALEX-B/WARBURG-DR</t>
  </si>
  <si>
    <t>DEUTSCHE-ALEX-B
(JB)/WARBURG-DR(JB)
US-PIPER</t>
  </si>
  <si>
    <t>Deutsche Banc Alex Brown
Warburg Dillon Read Inc
US Bancorp Piper Jaffray Inc</t>
  </si>
  <si>
    <t>Deutsche Banc Alex Brown
Warburg Dillon Read (UK)
US Bancorp Piper Jaffray
Deutsche Banc Alex Brown</t>
  </si>
  <si>
    <t>DEUTSCHE-ALEX-B/WDR-UK(JOINT)//US-PIPER
//DEUTSCHE-ALEX-B(GC)</t>
  </si>
  <si>
    <t>DEUTSCHE-ALEX-B/WDR-UK</t>
  </si>
  <si>
    <t>DEUTSCHE-ALEX-B
/WDR-UK(JOINT)</t>
  </si>
  <si>
    <t>Deutsche Banc Alex Brown
Warburg Dillon Read (UK)</t>
  </si>
  <si>
    <t>Snowball.com Inc</t>
  </si>
  <si>
    <t>SNOW</t>
  </si>
  <si>
    <t>83335R102</t>
  </si>
  <si>
    <t>Goldman Sachs &amp; Co
Chase H&amp;Q
Fleet Boston Corp
Credit Suisse First Boston
Edward D Jones &amp; Co
Salomon Smith Barney
Soundview Technology (OLD)
Thomas Weisel Partners
US Bancorp Piper Jaffray
Pacific Crest Securities Inc
Raymond James &amp; Associates Inc
Tucker Anthony Inc
Goldman Sachs &amp; Co</t>
  </si>
  <si>
    <t>GS//CHASE-HQ/FLEET-BOSTON//CS-FB-CS
/ED-JONES/SALOMON-SMITH/SOUNDVIEW-TECH
/THOMAS-WEISEL/US-PIPER/PACIFIC-CREST
/RAYMOND/TUCKER//GS(GC)</t>
  </si>
  <si>
    <t>Caldera Systems Inc</t>
  </si>
  <si>
    <t>CALD</t>
  </si>
  <si>
    <t>Fleet Boston Corp
Bear Stearns &amp; Co Inc
First Security Van Kasper &amp; Co
Wit Capital Group Inc
E*Offering Corp
McDonald Investments
SunTrust Equitable Securities
Tucker Anthony Inc
Fidelity Capital Markets</t>
  </si>
  <si>
    <t>FLEET-BOSTON//BEAR/FIR-VAN-KASPER
/WIT-CAPITAL//E*OFFERING/MCDONALD
/SUNTRUST-EQUI/TUCKER/FIDELITY-CAP</t>
  </si>
  <si>
    <t>FLEET-BOSTON
BEAR
FIR-VAN-KASPER
WIT-CAPITAL</t>
  </si>
  <si>
    <t>Fleet Boston Corp,Boston,Massachusetts
Bear Stearns &amp; Co Inc
First Security Van Kasper &amp; Co
Wit Capital Group Inc</t>
  </si>
  <si>
    <t>Blaze Software Inc</t>
  </si>
  <si>
    <t>BLZE</t>
  </si>
  <si>
    <t>09347T109</t>
  </si>
  <si>
    <t>Fleet Boston Corp
Chase H&amp;Q
Dain Rauscher Corp
Adams Harkness &amp; Hill Inc
E*Offering Corp
First Albany
McDonald Investments</t>
  </si>
  <si>
    <t>FLEET-BOSTON//CHASE-HQ/DAIN-RAUSCHER
//ADAMS-HARKNESS/E*OFFERING
/FIRST-ALBANY/MCDONALD</t>
  </si>
  <si>
    <t>FLEET-BOSTON
CHASE-HQ
DAIN-RAUSCHER</t>
  </si>
  <si>
    <t>Fleet Boston Corp,Boston,Massachusetts
Chase H&amp;Q
Dain Rauscher Corp</t>
  </si>
  <si>
    <t>inSilicon Corp</t>
  </si>
  <si>
    <t>INSN</t>
  </si>
  <si>
    <t>45769H108</t>
  </si>
  <si>
    <t>Fleet Boston Corp
Prudential Volpe Technology Gr
Needham &amp; Co LLC
Bear Stearns &amp; Co Inc
Dain Rauscher Wessels
Thomas Weisel Partners
Soundview Technology (OLD)
Burnham Securities Inc
Janney Montgomery Scott Inc</t>
  </si>
  <si>
    <t>PTEC</t>
  </si>
  <si>
    <t>Phoenix Technologies Ltd</t>
  </si>
  <si>
    <t>FLEET-BOSTON//PRUD-VOLPE/NEEDHAM//BEAR
/DAIN-R-WESSELS/THOMAS-WEISEL
/SOUNDVIEW-TECH/BURNHAM-SEC/JANNEY</t>
  </si>
  <si>
    <t>FLEET-BOSTON
PRUD-VOLPE
NEEDHAM</t>
  </si>
  <si>
    <t>Fleet Boston Corp,Boston,Massachusetts
Prudential Volpe Technology Group
Needham &amp; Co LLC</t>
  </si>
  <si>
    <t>Partsbase.com Inc</t>
  </si>
  <si>
    <t>PRTS</t>
  </si>
  <si>
    <t>ROTH-CAPITAL</t>
  </si>
  <si>
    <t>70214P109</t>
  </si>
  <si>
    <t>Roth Capital Partners Inc
Pennsylvania Merchant Group
Dain Rauscher Wessels
L.H. Friend Weinress &amp;Frankson
Janney Montgomery Scott Inc
Jefferies &amp; Co Inc
Pacific Crest Securities Inc
Sutro &amp; Co Inc
HC Wainwright &amp; Co Inc</t>
  </si>
  <si>
    <t>ROTH-CAPITAL//PENN-MER-GROUP
//DAIN-R-WESSELS/F-WEINRESS/JANNEY
/JEFFERIES/PACIFIC-CREST/SUTRO
/H-C-WAINWRIGHT</t>
  </si>
  <si>
    <t>ROTH-CAPITAL
PENN-MER-GROUP</t>
  </si>
  <si>
    <t>Roth Capital Partners Inc
Pennsylvania Merchant Group Ltd</t>
  </si>
  <si>
    <t>BreezeCOM Ltd</t>
  </si>
  <si>
    <t>BRZE</t>
  </si>
  <si>
    <t>CIBC-WORLD</t>
  </si>
  <si>
    <t>Ordinary Shares</t>
  </si>
  <si>
    <t>M20385106</t>
  </si>
  <si>
    <t>CIBC World Markets Inc
Dain Rauscher Wessels
US Bancorp Piper Jaffray
First Union Securities Inc
PaineWebber
Prudential Securities Inc
SG Cowen Securities Corp
Warburg Dillon Read Inc
Crowell Weedon &amp; Co
Josephthal &amp; Co Inc
Needham &amp; Co LLC
Tucker Anthony Inc
CE Unterberg Towbin</t>
  </si>
  <si>
    <t>CIBC-WORLD//DAIN-R-WESSELS/US-PIPER
//FIRST-UNION-SEC/PAINE-W/PSI/SG-COWEN
/WARBURG-DR/CROWELL/JOSEPHTHAL/NEEDHAM
/TUCKER/UNTERBERG</t>
  </si>
  <si>
    <t>CIBC-WORLD
DAIN-R-WESSELS
US-PIPER</t>
  </si>
  <si>
    <t>CIBC World Markets Inc
Dain Rauscher Wessels
US Bancorp Piper Jaffray Inc</t>
  </si>
  <si>
    <t>Eprise Corp</t>
  </si>
  <si>
    <t>Deutsche Banc Alex Brown
Dain Rauscher Corp
Wit Soundview Group Inc
Banc of America Securities LLC
Bear Stearns &amp; Co Inc
Chase H&amp;Q
Fleet Boston Corp
Prudential Securities Inc
SG Cowen Securities Corp
Chatsworth Securities LLC
Josephthal &amp; Co Inc
Legg Mason Wood Walker
McDonald Investments
Edgar M. Norris &amp; Co
Raymond James &amp; Associates Inc
SunTrust Equitable Securities
Tucker Anthony Inc
CE Unterberg Towbin
Deutsche Banc Alex Brown</t>
  </si>
  <si>
    <t>DEUTSCHE-ALEX-B//DAIN-RAUSCHER
/WIT-SOUNDVIEW//BA-SEC-LLC/BEAR
/CHASE-HQ/FLEET-BOSTON/PSI/SG-COWEN
/CHATSWORTH/JOSEPHTHAL/LEGG-MASON-WW
/MCDONALD/EDGAR-NORRIS/RAYMOND
/SUNTRUST-EQUI/TUCKER/UNTERBERG
//DEUTSCHE-ALEX-B(GC)</t>
  </si>
  <si>
    <t>DEUTSCHE-ALEX-B
DAIN-RAUSCHER
WIT-SOUNDVIEW</t>
  </si>
  <si>
    <t>Deutsche Banc Alex Brown
Dain Rauscher Corp
Wit Soundview Group Inc</t>
  </si>
  <si>
    <t>Deutsche Bank
Dain Rauscher Wessels
Wit Soundview Group Inc
Deutsche Bank</t>
  </si>
  <si>
    <t>DEUTSCHE-BANK//DAIN-R-WESSELS
/WIT-SOUNDVIEW//DEUTSCHE-BANK(GC)</t>
  </si>
  <si>
    <t>Silicon Laboratories Inc</t>
  </si>
  <si>
    <t>SLAB</t>
  </si>
  <si>
    <t>Morgan Stanley Dean Witter
Lehman Brothers
Salomon Smith Barney
Dain Rauscher Wessels
Deutsche Banc Alex Brown
AG Edwards &amp; Sons Inc
First Union Securities Inc
Edward D Jones &amp; Co
SG Cowen Securities Corp
Tejas Securities Inc
Thomas Weisel Partners
US Bancorp Piper Jaffray
Morgan Stanley Dean Witter</t>
  </si>
  <si>
    <t>MSDW//LEH/SALOMON-SMITH//DAIN-R-WESSELS
/DEUTSCHE-ALEX-B/A-G-EDWARDS
/FIRST-UNION-SEC/ED-JONES/SG-COWEN
/TEJAS-SEC/THOMAS-WEISEL/US-PIPER
//MSDW(GC)</t>
  </si>
  <si>
    <t>MSDW
LEH
SALOMON-SMITH</t>
  </si>
  <si>
    <t>Morgan Stanley Dean Witter &amp; Co
Lehman Brothers
Salomon Smith Barney</t>
  </si>
  <si>
    <t>Morgan Stanley Dean Witter
Lehman Brothers
Salomon Smith Barney
Morgan Stanley Dean Witter</t>
  </si>
  <si>
    <t>MSDW//LEH/SALOMON-SMITH//MSDW(GC)</t>
  </si>
  <si>
    <t>Sun Life Finl Svcs of CA Inc</t>
  </si>
  <si>
    <t>SLC</t>
  </si>
  <si>
    <t>Morgan Stanley Dean Witter
RBC Dominion Securities
HSBC Investment Banking Ltd
Warburg Dillon Read LLC
ABN AMRO Rothschild
ScotiaMcLeod Inc
Salomon Smith Barney
Merrill Lynch
Nesbitt Burns Inc
Morgan Stanley Dean Witter</t>
  </si>
  <si>
    <t>MSDW/RBC-DOM(JOINT)//HSBC-INVEST/WDRLLC
/ABN-ROTHSCHILD/SCOTIA-MCLEOD
/SALOMON-SMITH/MERRILL/NESB//MSDW(GC)</t>
  </si>
  <si>
    <t>MSDW/RBC-DOM</t>
  </si>
  <si>
    <t>MSDW
/RBC-DOM(JOINT)
HSBC-INVEST
WDRLLC
ABN-ROTHSCHILD
SCOTIA-MCLEOD
SALOMON-SMITH
MERRILL
NESB</t>
  </si>
  <si>
    <t>Morgan Stanley Dean Witter &amp; Co
RBC Dominion Securities Ltd
HSBC Investment Banking Ltd
Warburg Dillon Read LLC
ABN AMRO Rothschild
ScotiaMcLeod Inc
Salomon Smith Barney
Merrill Lynch &amp; Co Inc
Nesbitt Burns Inc</t>
  </si>
  <si>
    <t>Viasystems Group Inc</t>
  </si>
  <si>
    <t>VG</t>
  </si>
  <si>
    <t>92553H100</t>
  </si>
  <si>
    <t>Morgan Stanley Dean Witter
CS First Boston Corp
Chase H&amp;Q
Banc of America Securities LLC
Deutsche Banc Alex Brown
Salomon Smith Barney
Wit Soundview Group Inc
Goldman Sachs &amp; Co
Bear Stearns &amp; Co Inc
Morgan Stanley Dean Witter</t>
  </si>
  <si>
    <t>MSDW//CS-FB/CHASE-HQ/BA-SEC-LLC
/DEUTSCHE-ALEX-B/SALOMON-SMITH
/WIT-SOUNDVIEW/GS/BEAR//MSDW(GC)</t>
  </si>
  <si>
    <t>MSDW
CS-FB
CHASE-HQ
BA-SEC-LLC
DEUTSCHE-ALEX-B
SALOMON-SMITH
WIT-SOUNDVIEW
GS
BEAR</t>
  </si>
  <si>
    <t>Morgan Stanley Dean Witter &amp; Co
CS First Boston Corp
Chase H&amp;Q
Banc of America Securities LLC
Deutsche Banc Alex Brown
Salomon Smith Barney
Wit Soundview Group Inc
Goldman Sachs &amp; Co
Bear Stearns &amp; Co Inc</t>
  </si>
  <si>
    <t>Morgan Stanley Dean Witter
Credit Suisse First Boston Ltd
Chase H&amp;Q
Banc of America Securities LLC
Bear Stearns &amp; Co Inc
Deutsche Banc Alex Brown
Goldman Sachs &amp; Co
Salomon Smith Barney
Wit Soundview Group Inc
Morgan Stanley Dean Witter</t>
  </si>
  <si>
    <t>MSDW//C-S-F-B/CHASE-HQ/BA-SEC-LLC/BEAR
/DEUTSCHE-ALEX-B/GS/SALOMON-SMITH
/WIT-SOUNDVIEW//MSDW(GC)</t>
  </si>
  <si>
    <t>eMachines Inc</t>
  </si>
  <si>
    <t>EEEE</t>
  </si>
  <si>
    <t>29076P102</t>
  </si>
  <si>
    <t>CS First Boston Corp
Chase H&amp;Q
Salomon Smith Barney
Fleet Boston Corp
E*Offering Corp
Soundview Technology (OLD)
Thomas Weisel Partners
Gerard Klauer Mattison &amp; Co
US Bancorp Piper Jaffray
Invemed Associates Inc
Needham &amp; Co LLC
Samsung Securities
CS First Boston Corp</t>
  </si>
  <si>
    <t>CS-FB//CHASE-HQ/SALOMON-SMITH
/FLEET-BOSTON//E*OFFERING
/SOUNDVIEW-TECH/THOMAS-WEISEL
/GERARD-KLAUER/US-PIPER/INVEMED/NEEDHAM
/SAMSUNG-SEC//CS-FB(GC)</t>
  </si>
  <si>
    <t>CS-FB
CHASE-HQ
SALOMON-SMITH
FLEET-BOSTON</t>
  </si>
  <si>
    <t>CS First Boston Corp
Chase H&amp;Q
Salomon Smith Barney
Fleet Boston Corp,Boston,Massachusetts</t>
  </si>
  <si>
    <t>Credit Suisse First Boston Inc
Chase H&amp;Q
FleetBoston Robertson Stephens
Salomon Smith Barney
Credit Suisse First Boston Inc</t>
  </si>
  <si>
    <t>CSFB-INC//CHASE-HQ/FLEET-ROB-STEPH
/SALOMON-SMITH//CSFB-INC(GC)</t>
  </si>
  <si>
    <t>CSFB-INC
CHASE-HQ
FLEET-ROB-STEPH
SALOMON-SMITH</t>
  </si>
  <si>
    <t>Credit Suisse First Boston Inc
Chase H&amp;Q
FleetBoston Robertson Stephens Inc
Salomon Smith Barney</t>
  </si>
  <si>
    <t>ETINUUM INC</t>
  </si>
  <si>
    <t>ETIN</t>
  </si>
  <si>
    <t>Chase H&amp;Q
Fleet Boston Corp
Wit Soundview Group Inc
US Bancorp Piper Jaffray
Banc of America Securities LLC
Robert W Baird &amp; Co Inc
JC Bradford &amp; Co
William Blair &amp; Co
Parker-Hunter Inc
Hoak Breedlove Wesneski &amp; Co
Friedman Billings Ramsey Group
E*Offering Corp
Dain Rauscher Wessels
Adams Harkness &amp; Hill Inc
PaineWebber
SG Cowen Securities Corp
Warburg Dillon Read Inc
Thomas Weisel Partners
CIBC World Markets Inc
Chase H&amp;Q</t>
  </si>
  <si>
    <t>CHASE-HQ//FLEET-BOSTON/WIT-SOUNDVIEW
/US-PIPER//BA-SEC-LLC/BAIRD/BRADFORD
/WM-BLAIR/PARKER-HUNTER/HOAK-BREEDLOVE
/FRIEDMAN-B/E*OFFERING/DAIN-R-WESSELS
/ADAMS-HARKNESS/PAINE-W/SG-COWEN
/WARBURG-DR/THOMAS-WEISEL/CIBC-WORLD
//CHASE-HQ(GC)</t>
  </si>
  <si>
    <t>CHASE-HQ
FLEET-BOSTON
WIT-SOUNDVIEW
US-PIPER</t>
  </si>
  <si>
    <t>Chase H&amp;Q
Fleet Boston Corp,Boston,Massachusetts
Wit Soundview Group Inc
US Bancorp Piper Jaffray Inc</t>
  </si>
  <si>
    <t>Intermune Pharmaceuticals Inc</t>
  </si>
  <si>
    <t>ITMN</t>
  </si>
  <si>
    <t>45885B100</t>
  </si>
  <si>
    <t>Warburg Dillon Read Inc
Chase H&amp;Q
Prudential Vector Healthcare
Bear Stearns &amp; Co Inc
CIBC World Markets Inc
Fleet Boston Corp
Lehman Brothers
SG Cowen Securities Corp
Pacific Growth Equities Inc
Adams Harkness &amp; Hill Inc
Legg Mason Wood Walker
US Bancorp Piper Jaffray
SunTrust Equitable Securities
Warburg Dillon Read Inc</t>
  </si>
  <si>
    <t>WARBURG-DR//CHASE-HQ/PRU-VEC-HC//BEAR
/CIBC-WORLD/FLEET-BOSTON/LEH/SG-COWEN
/PACIFIC-GROWTH/ADAMS-HARKNESS
/LEGG-MASON-WW/US-PIPER/SUNTRUST-EQUI
//WARBURG-DR(GC)</t>
  </si>
  <si>
    <t>WARBURG-DR
CHASE-HQ
PRU-VEC-HC</t>
  </si>
  <si>
    <t>Warburg Dillon Read Inc
Chase H&amp;Q
Prudential Vector Healthcare</t>
  </si>
  <si>
    <t>Warburg Dillon Read (UK)
Chase H&amp;Q
Prudential Vector
Warburg Dillon Read (UK)</t>
  </si>
  <si>
    <t>WDR-UK//CHASE-HQ//PRUV//WDR-UK(GC)</t>
  </si>
  <si>
    <t>WDR-UK
CHASE-HQ</t>
  </si>
  <si>
    <t>Warburg Dillon Read (UK)
Chase H&amp;Q</t>
  </si>
  <si>
    <t>Allos Therapeutics Inc</t>
  </si>
  <si>
    <t>ALTH</t>
  </si>
  <si>
    <t>019777101</t>
  </si>
  <si>
    <t>SG Cowen Securities Corp
Prudential Vector Healthcare
US Bancorp Piper Jaffray
Chase H&amp;Q
CIBC World Markets Inc
Deutsche Bank
JP Morgan
Morgan Stanley Dean Witter
Warburg Dillon Read Inc
Chatsworth Securities LLC
Gerard Klauer Mattison &amp; Co
CL King &amp; Associates Inc
Legg Mason Wood Walker
Parker-Hunter Inc
Ragen MacKenzie Group Inc
Tucker Anthony Inc</t>
  </si>
  <si>
    <t>SG-COWEN//PRU-VEC-HC/US-PIPER//CHASE-HQ
/CIBC-WORLD/DEUTSCHE-BANK/JPM/MSDW
/WARBURG-DR/CHATSWORTH/GERARD-KLAUER
/CL-KING/LEGG-MASON-WW/PARKER-HUNTER
/RAGEN/TUCKER</t>
  </si>
  <si>
    <t>SG-COWEN
PRU-VEC-HC
US-PIPER</t>
  </si>
  <si>
    <t>SG Cowen Securities Corp
Prudential Vector Healthcare
US Bancorp Piper Jaffray Inc</t>
  </si>
  <si>
    <t>ARTISTdirect Inc</t>
  </si>
  <si>
    <t>ARTD</t>
  </si>
  <si>
    <t>04315D103</t>
  </si>
  <si>
    <t>Morgan Stanley Dean Witter
Bear Stearns &amp; Co Inc
Deutsche Banc Alex Brown
Banc of America Securities LLC
Dain Rauscher Wessels
Raymond James &amp; Associates Inc
E*Offering Corp
Thomas Weisel Partners
First Union Securities Inc
Fleet Boston Corp
Edward D Jones &amp; Co
US Bancorp Piper Jaffray
Morgan Stanley Dean Witter</t>
  </si>
  <si>
    <t>MSDW//BEAR/DEUTSCHE-ALEX-B//BA-SEC-LLC
/DAIN-R-WESSELS/RAYMOND/E*OFFERING
/THOMAS-WEISEL/FIRST-UNION-SEC
/FLEET-BOSTON/ED-JONES/US-PIPER
//MSDW(GC)</t>
  </si>
  <si>
    <t>MSDW
BEAR
DEUTSCHE-ALEX-B</t>
  </si>
  <si>
    <t>Morgan Stanley Dean Witter &amp; Co
Bear Stearns &amp; Co Inc
Deutsche Banc Alex Brown</t>
  </si>
  <si>
    <t>Morgan Stanley Dean Witter
Bear Stearns International
Deutsche Banc Alex Brown
Morgan Stanley Dean Witter</t>
  </si>
  <si>
    <t>MSDW//BSI/DEUTSCHE-ALEX-B//MSDW(GC)</t>
  </si>
  <si>
    <t>IntraBiotics Pharmaceuticals</t>
  </si>
  <si>
    <t>IBPI</t>
  </si>
  <si>
    <t>46116T100</t>
  </si>
  <si>
    <t>Deutsche Banc Alex Brown
Warburg Dillon Read Inc
Adams Harkness &amp; Hill Inc
SG Cowen Securities Corp
Chase H&amp;Q
Prudential Securities Inc
Dominick &amp; Dominick Inc
Salomon Smith Barney
Sanders Morris Mundy Inc
Ragen MacKenzie Group Inc
Parker-Hunter Inc
Edgar M. Norris &amp; Co
CL King &amp; Associates Inc
Gerard Klauer Mattison &amp; Co
First Security Van Kasper &amp; Co
Fahnestock &amp; Co
Morgan Stanley Dean Witter
Fleet Boston Corp
ING Barings
JP Morgan
Merrill Lynch
Donaldson Lufkin &amp; Jenrette
Deutsche Banc Alex Brown</t>
  </si>
  <si>
    <t>DEUTSCHE-ALEX-B//WARBURG-DR
/ADAMS-HARKNESS/SG-COWEN//CHASE-HQ/PSI
/DOMINICK/SALOMON-SMITH/SANDERS-MORRIS
/RAGEN/PARKER-HUNTER/EDGAR-NORRIS
/CL-KING/GERARD-KLAUER/FIR-VAN-KASPER
/FAHNESTOCK/MSDW/FLEET-BOSTON
/ING-BARINGS/JPM/MERRILL/DLJ
//DEUTSCHE-ALEX-B(GC)</t>
  </si>
  <si>
    <t>DEUTSCHE-ALEX-B
WARBURG-DR
ADAMS-HARKNESS
SG-COWEN</t>
  </si>
  <si>
    <t>Deutsche Banc Alex Brown
Warburg Dillon Read Inc
Adams Harkness &amp; Hill Inc
SG Cowen Securities Corp</t>
  </si>
  <si>
    <t>Deutsche Banc Alex Brown
Warburg Dillon Read (UK)
SG Cowen Securities Corp
Adams Harkness &amp; Hill Inc
Deutsche Banc Alex Brown</t>
  </si>
  <si>
    <t>DEUTSCHE-ALEX-B//WDR-UK/SG-COWEN
/ADAMS-HARKNESS//DEUTSCHE-ALEX-B(GC)</t>
  </si>
  <si>
    <t>Moldflow Corp</t>
  </si>
  <si>
    <t>MFLO</t>
  </si>
  <si>
    <t>Adams Harkness &amp; Hill Inc
AG Edwards &amp; Sons Inc
Dain Rauscher Corp
First Albany
Pacific Crest Securities Inc
Parker-Hunter Inc</t>
  </si>
  <si>
    <t>ADAMS-HARKNESS/A-G-EDWARDS(JOINT)
//DAIN-RAUSCHER/FIRST-ALBANY
/PACIFIC-CREST/PARKER-HUNTER</t>
  </si>
  <si>
    <t>ADAMS-HARKNESS/A-G-EDWARDS</t>
  </si>
  <si>
    <t>ADAMS-HARKNESS
/A-G-EDWARDS(JOINT)</t>
  </si>
  <si>
    <t>Adams Harkness &amp; Hill Inc
AG Edwards &amp; Sons Inc</t>
  </si>
  <si>
    <t>PetroChina Co Ltd</t>
  </si>
  <si>
    <t>PTR</t>
  </si>
  <si>
    <t>GS/CHINA-CAPITAL(JB)</t>
  </si>
  <si>
    <t>71646E100</t>
  </si>
  <si>
    <t>Goldman Sachs &amp; Co
China International Capital Co
Bear Stearns &amp; Co Inc
Donaldson Lufkin &amp; Jenrette
Credit Suisse First Boston
Lehman Brothers
Dain Rauscher Corp
First Union Securities Inc
Howard Weil Labouisse Freid
Prudential Securities Inc
CIBC World Markets Inc
AG Edwards &amp; Sons Inc
China International Capital Co
Goldman Sachs (Asia)</t>
  </si>
  <si>
    <t>China Natl Petro-Leng Jiapu</t>
  </si>
  <si>
    <t>GS(JB)/CHINA-CAPITAL(JB)//BEAR/DLJ
/CS-FB-CS//LEH/DAIN-RAUSCHER
/FIRST-UNION-SEC/HOWARD-WEIL/PSI
/CIBC-WORLD/A-G-EDWARDS
//CHINA-CAPITAL(GC)/GS-ASIA(GC)</t>
  </si>
  <si>
    <t>GS/CHINA-CAPITAL</t>
  </si>
  <si>
    <t>GS
(JB)/CHINA-CAPITAL(JB)
BEAR
DLJ
CS-FB-CS</t>
  </si>
  <si>
    <t>Goldman Sachs &amp; Co
China International Capital Corp
Bear Stearns &amp; Co Inc
Donaldson Lufkin &amp; Jenrette Inc
Credit Suisse First Boston Corp</t>
  </si>
  <si>
    <t>Websense Inc</t>
  </si>
  <si>
    <t>WBSN</t>
  </si>
  <si>
    <t>Chase H&amp;Q
SG Cowen Securities Corp
Wit Capital Group Inc
Fleet Boston Corp
Banc of America Securities LLC
CIBC World Markets Inc
Deutsche Banc Alex Brown
Salomon Smith Barney
Warburg Dillon Read Inc
Crowell Weedon &amp; Co
Dain Rauscher Wessels
E*Offering Corp
First Albany
First Security Van Kasper &amp; Co
Pacific Crest Securities Inc
Pacific Growth Equities Inc
Torrey Pines Securities
Tucker Anthony Inc
Chase H&amp;Q</t>
  </si>
  <si>
    <t>CHASE-HQ//SG-COWEN/WIT-CAPITAL
//FLEET-BOSTON/BA-SEC-LLC/CIBC-WORLD
/DEUTSCHE-ALEX-B/SALOMON-SMITH
/WARBURG-DR/CROWELL/DAIN-R-WESSELS
/E*OFFERING/FIRST-ALBANY/FIR-VAN-KASPER
/PACIFIC-CREST/PACIFIC-GROWTH
/TORREY-PINES/TUCKER//CHASE-HQ(GC)</t>
  </si>
  <si>
    <t>CHASE-HQ
SG-COWEN
WIT-CAPITAL</t>
  </si>
  <si>
    <t>Chase H&amp;Q
SG Cowen Securities Corp
Wit Capital Group Inc</t>
  </si>
  <si>
    <t>MVC Capital</t>
  </si>
  <si>
    <t>MVC</t>
  </si>
  <si>
    <t>PRUD-VOLPE</t>
  </si>
  <si>
    <t>55271E105</t>
  </si>
  <si>
    <t>Prudential Volpe Technology Gr
Raymond James &amp; Associates Inc
Gruntal &amp; Co Inc
Fidelity Capital Markets
DLJdirect
Banc of America Securities LLC
Robert W Baird &amp; Co Inc
JC Bradford &amp; Co
William Blair &amp; Co
Sutro &amp; Co Inc
Needham &amp; Co LLC
Morgan Keegan Inc
McDonald Investments
Josephthal &amp; Co Inc
Janney Montgomery Scott Inc
First Security Van Kasper &amp; Co
Fahnestock &amp; Co
Williams Capital Group LP
Wachovia Bank NA
Smith, Moore
Seidler Corp
Scott &amp; Stringfellow Financial
Ragen MacKenzie Group Inc
Pennsylvania Merchant Group
Parker-Hunter Inc
Chatsworth Securities LLC
Branch, Cabell and Company
Adams Harkness &amp; Hill Inc
Wedbush Securities
CE Unterberg Towbin
US Bancorp Piper Jaffray
Tucker Anthony Inc
Crowell Weedon &amp; Co
Advest Inc
Deutsche Banc Alex Brown
AG Edwards &amp; Sons Inc
SG Cowen Securities Corp
Lehman Brothers
Chase Securities Inc</t>
  </si>
  <si>
    <t>PRUD-VOLPE//RAYMOND/GRUNTAL
/FIDELITY-CAP/DLJ-DIRECT//BA-SEC-LLC
/BAIRD/BRADFORD/WM-BLAIR/SUTRO/NEEDHAM
/MORGAN-KEEGAN/MCDONALD/JOSEPHTHAL
/JANNEY/FIR-VAN-KASPER/FAHNESTOCK
/WILLIAMS-CAP/WACHOVIA/SMITH-MOORE
/SEIDLER-COS/SCOTT-STRING/RAGEN
/PENN-MER-GROUP/PARKER-HUNTER
/CHATSWORTH/BRANCH-CABELL
/ADAMS-HARKNESS/WEDBUSH-M/UNTERBERG
/US-PIPER/TUCKER/CROWELL/ADVEST
/DEUTSCHE-ALEX-B/A-G-EDWARDS/SG-COWEN
/LEH/CHASE-SEC</t>
  </si>
  <si>
    <t>PRUD-VOLPE
RAYMOND
GRUNTAL
FIDELITY-CAP
DLJ-DIRECT</t>
  </si>
  <si>
    <t>Prudential Volpe Technology Group
Raymond James &amp; Associates Inc
Gruntal &amp; Co Inc
Fidelity Capital Markets
DLJdirect</t>
  </si>
  <si>
    <t>Telocity Delaware Inc</t>
  </si>
  <si>
    <t>TLCT</t>
  </si>
  <si>
    <t>87971D103</t>
  </si>
  <si>
    <t>Merrill Lynch
Credit Suisse First Boston Int
Donaldson Lufkin &amp; Jenrette
Wit Soundview Group Inc
CIBC World Markets Inc
First Union National Bancorp
Fleet Boston Corp
Salomon Smith Barney
Thomas Weisel Partners
Wasserstein Perella Securities
JC Bradford &amp; Co
Brad Peery Inc
First Security Van Kasper &amp; Co
Jefferies &amp; Co Inc
W. E. Kaufman
Utendahl Capital Partners
Merrill Lynch</t>
  </si>
  <si>
    <t>MERRILL/CSFB(JOINT)//DLJ/WIT-SOUNDVIEW
//CIBC-WORLD/FIRST-UNION/FLEET-BOSTON
/SALOMON-SMITH/THOMAS-WEISEL/WP-SEC
/BRADFORD/BRADPE/FIR-VAN-KASPER
/JEFFERIES/KAUFMAN/UTENDAHL-CAP
//MERRILL(GC)</t>
  </si>
  <si>
    <t>MERRILL/CSFB</t>
  </si>
  <si>
    <t>MERRILL
/CSFB(JOINT)
DLJ
WIT-SOUNDVIEW</t>
  </si>
  <si>
    <t>Merrill Lynch &amp; Co Inc
Credit Suisse First Boston Ltd International
Donaldson Lufkin &amp; Jenrette Inc
Wit Soundview Group Inc</t>
  </si>
  <si>
    <t>Merrill Lynch
Credit Suisse First Boston Inc
Donaldson Lufkin &amp; Jenrette
Wit Soundview Group Inc
Merrill Lynch</t>
  </si>
  <si>
    <t>MERRILL/CSFB-INC(JOINT)//DLJ
/WIT-SOUNDVIEW//MERRILL(GC)</t>
  </si>
  <si>
    <t>MERRILL/CSFB-INC</t>
  </si>
  <si>
    <t>MERRILL
/CSFB-INC(JOINT)</t>
  </si>
  <si>
    <t>Merrill Lynch &amp; Co Inc
Credit Suisse First Boston Inc</t>
  </si>
  <si>
    <t>Bio Aqua Systems Inc</t>
  </si>
  <si>
    <t>SEA</t>
  </si>
  <si>
    <t>INST-EQUITY</t>
  </si>
  <si>
    <t>090556101</t>
  </si>
  <si>
    <t>Institutional Equity
Capital West Securities
Emerson Bennett &amp; Assoc.
First Colonial Securities Grp
Nutmeg Securities Ltd
Smith, Moore
Barron Chase Securities
Fox and Company
EBI Securities Corp
Kashner Davidson Securities
National Securities Corp (US)
Schneider Securities, Inc.
West Park Capital
Centex Securities Inc
Culver, Slatery Securities, In</t>
  </si>
  <si>
    <t>09/25/00
03/19/02</t>
  </si>
  <si>
    <t>1.339
66.419</t>
  </si>
  <si>
    <t>180
720</t>
  </si>
  <si>
    <t>35294.00
1751000.00</t>
  </si>
  <si>
    <t>INST-EQUITY//CAPITAL-WEST
//EMERSON-BENNETT/FIRST-COLONIAL
/NUTMEG-SEC/SMITH-MOORE/BARRON-CHASE
/FOX-CO/EBI-SEC/KASHNER/NATL-SEC
/SCHNEIDER/WEST-PARK-CAP/CENTEX-SEC
/CULVER</t>
  </si>
  <si>
    <t>INST-EQUITY
CAPITAL-WEST</t>
  </si>
  <si>
    <t>Institutional Equity Corporation
Capital West Securities</t>
  </si>
  <si>
    <t>Hanaro Telecom Inc</t>
  </si>
  <si>
    <t>South Korea</t>
  </si>
  <si>
    <t>HANA</t>
  </si>
  <si>
    <t>GS-ASIA</t>
  </si>
  <si>
    <t>ADR</t>
  </si>
  <si>
    <t>Goldman Sachs (Asia)
Deutsche Bank (Asia Pacific)
Alex Brown &amp; Sons Inc
Samsung Securities
Bear Stearns Bank Plc
Jardine Fleming
Merrill Lynch (Malaysia)
SG Securities
Good Morning Securities
LG Investment &amp; Securities Co</t>
  </si>
  <si>
    <t>004</t>
  </si>
  <si>
    <t>GS-ASIA/DBAP/ALEX-BROWN
/SAMSUNG-SEC(JOINT)//BSTBK
/JARDINE-FLEMING/ML-MA/SGSE
/GOODMORNING-SEC/LG-INVEST</t>
  </si>
  <si>
    <t>GS-ASIA/DBAP/ALEX-BROWN/SAMSUNG-SEC</t>
  </si>
  <si>
    <t>GS-ASIA
/DBAP
/ALEX-BROWN
/SAMSUNG-SEC(JOINT)</t>
  </si>
  <si>
    <t>Goldman Sachs (Asia)
Deutsche Bank (Asia Pacific) Ltd
Alex Brown &amp; Sons Inc
Samsung Securities Co Ltd</t>
  </si>
  <si>
    <t>ArrowPoint Communications Inc</t>
  </si>
  <si>
    <t>ARPT</t>
  </si>
  <si>
    <t>042810101</t>
  </si>
  <si>
    <t>Goldman Sachs &amp; Co
Deutsche Banc Alex Brown
JP Morgan
Chatsworth Securities LLC
AG Edwards &amp; Sons Inc
First Union Securities Inc
Gruntal &amp; Co Inc
Edward D Jones &amp; Co
Warburg Dillon Read Inc
Thomas Weisel Partners
Wit Capital Group Inc
Goldman Sachs &amp; Co</t>
  </si>
  <si>
    <t>GS//DEUTSCHE-ALEX-B/JPM//CHATSWORTH
/A-G-EDWARDS/FIRST-UNION-SEC/GRUNTAL
/ED-JONES/WARBURG-DR/THOMAS-WEISEL
/WIT-CAPITAL//GS(GC)</t>
  </si>
  <si>
    <t>GS
DEUTSCHE-ALEX-B
JPM</t>
  </si>
  <si>
    <t>Goldman Sachs &amp; Co
Deutsche Banc Alex Brown
JP Morgan &amp; Co Inc</t>
  </si>
  <si>
    <t>Imageware Systems Inc</t>
  </si>
  <si>
    <t>IW</t>
  </si>
  <si>
    <t>PAULSON</t>
  </si>
  <si>
    <t>45245S207</t>
  </si>
  <si>
    <t>Paulson Investment Co
I-Bankers Securities Inc
Marion Bass Securities</t>
  </si>
  <si>
    <t>PAULSON//I-BANKERS-SEC//MARION-BASS</t>
  </si>
  <si>
    <t>PAULSON
I-BANKERS-SEC</t>
  </si>
  <si>
    <t>Paulson Investment Co
I-Bankers Securities Inc</t>
  </si>
  <si>
    <t>Luminex Corp</t>
  </si>
  <si>
    <t>LMNX</t>
  </si>
  <si>
    <t>55027E102</t>
  </si>
  <si>
    <t>Warburg Dillon Read Inc
Lehman Brothers
Dain Rauscher Wessels
Cantor Fitzgerald Inc
Chase H&amp;Q
Deutsche Banc Alex Brown
Fleet Boston Corp
Goldman Sachs &amp; Co
Merrill Lynch
Morgan Stanley Dean Witter
Chatsworth Securities LLC
Fahnestock &amp; Co
Raymond James &amp; Associates Inc
Scott &amp; Stringfellow Financial
Warburg Dillon Read Inc</t>
  </si>
  <si>
    <t>WARBURG-DR//LEH/DAIN-R-WESSELS//CANTOR
/CHASE-HQ/DEUTSCHE-ALEX-B/FLEET-BOSTON
/GS/MERRILL/MSDW/CHATSWORTH/FAHNESTOCK
/RAYMOND/SCOTT-STRING//WARBURG-DR(GC)</t>
  </si>
  <si>
    <t>WARBURG-DR
LEH
DAIN-R-WESSELS</t>
  </si>
  <si>
    <t>Warburg Dillon Read Inc
Lehman Brothers
Dain Rauscher Wessels</t>
  </si>
  <si>
    <t>Warburg Dillon Read (UK)
Warburg Dillon Read (UK)</t>
  </si>
  <si>
    <t>WDR-UK//WDR-UK(GC)</t>
  </si>
  <si>
    <t>ValueClick Inc</t>
  </si>
  <si>
    <t>VCLK</t>
  </si>
  <si>
    <t>92046N102</t>
  </si>
  <si>
    <t>Goldman Sachs &amp; Co
Salomon Smith Barney
Wit Capital Group Inc
Robert W Baird &amp; Co Inc
Banc of America Securities LLC
William Blair &amp; Co
First Union National Bancorp
Edward D Jones &amp; Co
CL King &amp; Associates Inc
Merrill Lynch
Nomura Securities New York Inc
Raymond James &amp; Associates Inc
CE Unterberg Towbin
Williams Capital Group LP
Goldman Sachs &amp; Co</t>
  </si>
  <si>
    <t>GS//SALOMON-SMITH/WIT-CAPITAL//BAIRD
/BA-SEC-LLC/WM-BLAIR/FIRST-UNION
/ED-JONES/CL-KING/MERRILL/NOMURA-SEC
/RAYMOND/UNTERBERG/WILLIAMS-CAP//GS(GC)</t>
  </si>
  <si>
    <t>GS
SALOMON-SMITH
WIT-CAPITAL</t>
  </si>
  <si>
    <t>Goldman Sachs &amp; Co
Salomon Smith Barney
Wit Capital Group Inc</t>
  </si>
  <si>
    <t>Goldman Sachs &amp; Co
Salomon Smith Barney
Wit Soundview Group Inc
Goldman Sachs &amp; Co</t>
  </si>
  <si>
    <t>GS//SALOMON-SMITH/WIT-SOUNDVIEW//GS(GC)</t>
  </si>
  <si>
    <t>Cabot Microelectronics Corp</t>
  </si>
  <si>
    <t>CCMP</t>
  </si>
  <si>
    <t>12709P103</t>
  </si>
  <si>
    <t>Goldman Sachs &amp; Co
Merrill Lynch
Fleet Boston Corp
Banc of America Securities LLC
First Union National Bancorp
AG Edwards &amp; Sons Inc
CIBC World Markets Inc
Advest Inc
Doley Securities
Needham &amp; Co LLC
Goldman Sachs &amp; Co</t>
  </si>
  <si>
    <t>GS//MERRILL/FLEET-BOSTON//BA-SEC-LLC
/FIRST-UNION/A-G-EDWARDS/CIBC-WORLD
/ADVEST/DOLEY-SEC/NEEDHAM//GS(GC)</t>
  </si>
  <si>
    <t>GS
MERRILL
FLEET-BOSTON</t>
  </si>
  <si>
    <t>Goldman Sachs &amp; Co
Merrill Lynch &amp; Co Inc
Fleet Boston Corp,Boston,Massachusetts</t>
  </si>
  <si>
    <t>Goldman Sachs &amp; Co
Merrill Lynch
FleetBoston Robertson Stephens
Goldman Sachs &amp; Co</t>
  </si>
  <si>
    <t>GS//MERRILL/FLEET-ROB-STEPH//GS(GC)</t>
  </si>
  <si>
    <t>Krispy Kreme Doughnuts Inc</t>
  </si>
  <si>
    <t>KREM</t>
  </si>
  <si>
    <t>Deutsche Banc Alex Brown
JP Morgan
Dain Rauscher Wessels
BB&amp;T Capital Markets
Banc of America Securities LLC
Donaldson Lufkin &amp; Jenrette
Merrill Lynch
Morgan Stanley Dean Witter
Fleet Boston Corp
George K Baum &amp; Co
JC Bradford &amp; Co
First Southwest
Josephthal &amp; Co Inc
McDonald Investments
Morgan Keegan Inc
Edgar M. Norris &amp; Co
Raymond James &amp; Associates Inc
Robinson-Humphrey Co
SunTrust Equitable Securities</t>
  </si>
  <si>
    <t>DEUTSCHE-ALEX-B/JPM(JOINT)
//DAIN-R-WESSELS/BB-T-CAP//BA-SEC-LLC
/DLJ/MERRILL/MSDW/FLEET-BOSTON/G-BAUM
/BRADFORD/FIRST-SW/JOSEPHTHAL/MCDONALD
/MORGAN-KEEGAN/EDGAR-NORRIS/RAYMOND
/ROBINSON/SUNTRUST-EQUI</t>
  </si>
  <si>
    <t>DEUTSCHE-ALEX-B/JPM</t>
  </si>
  <si>
    <t>DEUTSCHE-ALEX-B
/JPM(JOINT)
DAIN-R-WESSELS
BB-T-CAP</t>
  </si>
  <si>
    <t>Deutsche Banc Alex Brown
JP Morgan &amp; Co Inc
Dain Rauscher Wessels
BB&amp;T Capital Markets</t>
  </si>
  <si>
    <t>MetLife Inc</t>
  </si>
  <si>
    <t>MET</t>
  </si>
  <si>
    <t>CS-FB/GS(JB)</t>
  </si>
  <si>
    <t>59156R108</t>
  </si>
  <si>
    <t>CS First Boston Corp
Goldman Sachs &amp; Co
Banc of America Securities LLC
Merrill Lynch
Salomon Smith Barney
Fox-Pitt Kelton
Banco Santander de Negocios SA
Warburg Dillon Read Inc
Utendahl Capital Partners
JP Morgan
Conning &amp; Co
Morgan Stanley Dean Witter
Lehman Brothers
Donaldson Lufkin &amp; Jenrette
Bear Stearns &amp; Co Inc
Deutsche Banc Alex Brown
Fleet Boston Corp
Edward D Jones &amp; Co
BMO Nesbitt Thomson Ltd
Prudential Securities Inc
Putnam, Lovell , de Guardiola
Invemed Associates Inc
Guzman &amp; Co
Gruntal &amp; Co Inc
Gardner Rich &amp; Co
Friedman Billings Ramsey Group
E*Offering Corp
Doley Securities
Dain Rauscher Corp
Sandler O'Neill Partners
Robinson-Humphrey Co
Raymond James &amp; Associates Inc
Samuel A. Ramirez &amp; Co.
Pryor McClendon Counts &amp; Co
Ormes Capital Markets Inc
Neuberger Berman Inc
Morgan Keegan Inc
RBC Dominion Securities
Wit Soundview Group Inc
Williams Capital Group LP
Wachovia Bank NA
US Bancorp Piper Jaffray
Tucker Anthony Inc
Sturdivant &amp; Co Inc
Stifel Nicolaus &amp; Co Inc
Stephens Inc
Muriel Siebert &amp; Co
Melvin Securities Corporation
McDonald Investments
May Davis Group Inc
Loop Capital Markets
Legg Mason Wood Walker
Keefe Bruyette &amp; Woods Inc
Jackson Securities Inc
Janney Montgomery Scott Inc
Chatsworth Securities LLC
Chapman Co
JC Bradford &amp; Co
Blaylock &amp; Partners LP
William Blair &amp; Co
Banque Europeenne l'Amer Lat
Robert W Baird &amp; Co Inc
Advest Inc
Wasserstein Perella Securities
Lazard Houses
Chase Securities Inc
First Union Securities Inc
AG Edwards &amp; Sons Inc
CIBC World Markets Inc
Sanford C Bernstein &amp; Co Inc
CS First Boston Corp
Goldman Sachs &amp; Co</t>
  </si>
  <si>
    <t>CS-FB(JB)/GS(JB)//BA-SEC-LLC/MERRILL
/SALOMON-SMITH/FOX-PITT/SANTANDER
/WARBURG-DR/UTENDAHL-CAP/JPM
/CONNING-COMPANY/MSDW/LEH/DLJ//BEAR
/DEUTSCHE-ALEX-B/FLEET-BOSTON/ED-JONES
/BMO-NESBITT/PSI/PUTNAM-LOVELL/INVEMED
/GUZMAN/GRUNTAL/GARDNER-RICH/FRIEDMAN-B
/E*OFFERING/DOLEY-SEC/DAIN-RAUSCHER
/SANDLER-ONEILL/ROBINSON/RAYMOND
/RAMIREZ/PRYOR-MC/ORMES/NEUBERGER
/MORGAN-KEEGAN/RBC-DOM/WIT-SOUNDVIEW
/WILLIAMS-CAP/WACHOVIA/US-PIPER/TUCKER
/STURDIVANT/STIFEL/STEPHENS/MURIEL
/MELVIN-SEC/MCDONALD/MAY-DAVIS/LOOP
/LEGG-MASON-WW/KEEFE/JACKSON-SEC/JANNEY
/CHATSWORTH/CHAPMAN/BRADFORD
/BLAYLOCK-PTRNS/WM-BLAIR/BEAL/BAIRD
/ADVEST/WP-SEC/LAZARD-HOUSES/CHASE-SEC
/FIRST-UNION-SEC/A-G-EDWARDS/CIBC-WORLD
/BERNSTEIN//CS-FB(GC)/GS(GC)</t>
  </si>
  <si>
    <t>CS-FB/GS</t>
  </si>
  <si>
    <t>CS-FB
(JB)/GS(JB)
BA-SEC-LLC
MERRILL
SALOMON-SMITH
FOX-PITT
SANTANDER
WARBURG-DR
UTENDAHL-CAP
JPM
CONNING-COMPANY
MSDW
LEH
DLJ</t>
  </si>
  <si>
    <t>CS First Boston Corp
Goldman Sachs &amp; Co
Banc of America Securities LLC
Merrill Lynch &amp; Co Inc
Salomon Smith Barney
Fox-Pitt Kelton
Banco Santander de Negocios SA
Warburg Dillon Read Inc
Utendahl Capital Partners
JP Morgan &amp; Co Inc
Conning &amp; Co
Morgan Stanley Dean Witter &amp; Co
Lehman Brothers
Donaldson Lufkin &amp; Jenrette Inc</t>
  </si>
  <si>
    <t>GS/CSFB-INC(JB)</t>
  </si>
  <si>
    <t>Goldman Sachs &amp; Co
Credit Suisse First Boston Inc
JP Morgan Securities Inc
Bank of America International
Donaldson Lufkin &amp; Jenrette
Lehman Brothers
Banca IMI
Merrill Lynch Intl Ltd
Banco Santander Central Hisp
Salomon Smith Barney Interntl
Fox-Pitt Kelton
Credit Lyonnais Secs (London)
Daiwa SBCM Europe Ltd
Paribas SA
Morgan Stanley &amp; Co
Goldman Sachs &amp; Co
Credit Suisse First Boston Inc</t>
  </si>
  <si>
    <t>GS(JB)/CSFB-INC(JB)//J-P-MORGAN
//BK-AMER-I/DLJ/LEH/BIMOB/ML-I/BSCHSA
/SALOMON-SMITH-I/FOX-PITT/CL-UK/DAISEU
/PARIBAS/MS//GS(GC)/CSFB-INC(GC)</t>
  </si>
  <si>
    <t>GS/CSFB-INC</t>
  </si>
  <si>
    <t>GS
(JB)/CSFB-INC(JB)
J-P-MORGAN</t>
  </si>
  <si>
    <t>Goldman Sachs &amp; Co
Credit Suisse First Boston Inc
JP Morgan Securities Inc</t>
  </si>
  <si>
    <t>Oratec Interventions Inc</t>
  </si>
  <si>
    <t>OTEC</t>
  </si>
  <si>
    <t>68554M108</t>
  </si>
  <si>
    <t>Merrill Lynch
JP Morgan
US Bancorp Piper Jaffray
Merrill Lynch</t>
  </si>
  <si>
    <t>MERRILL//JPM/US-PIPER//MERRILL(GC)</t>
  </si>
  <si>
    <t>MERRILL
JPM
US-PIPER</t>
  </si>
  <si>
    <t>Merrill Lynch &amp; Co Inc
JP Morgan &amp; Co Inc
US Bancorp Piper Jaffray Inc</t>
  </si>
  <si>
    <t>Ulticom Inc</t>
  </si>
  <si>
    <t>ULCM</t>
  </si>
  <si>
    <t>Lehman Brothers
Chase H&amp;Q
Fidelity Capital Markets
US Bancorp Piper Jaffray
Banc of America Securities LLC
Dain Rauscher Corp
First Analysis Securities
First Albany
Tucker Anthony Inc
SunTrust Equitable Securities
Nutmeg Securities Ltd
Ladenburg Thalmann &amp; Co
John G Kinnard &amp; Co
GunnAllen Financial Inc
Jefferies &amp; Co Inc
Oscar Gruss &amp; Son Inc
George K Baum &amp; Co
Goldman Sachs &amp; Co
Salomon Smith Barney
Arnhold and S Bleichroeder Inc
Warburg Dillon Read Inc
CIBC World Markets Inc
Lehman Brothers</t>
  </si>
  <si>
    <t>LEH//CHASE-HQ/FIDELITY-CAP/US-PIPER
//BA-SEC-LLC/DAIN-RAUSCHER/F-ANALYSIS
/FIRST-ALBANY/TUCKER/SUNTRUST-EQUI
/NUTMEG-SEC/LADENBURG/KINNARD
/GUNNALLEN-FINL/JEFFERIES/OSCAR-GRUSS
/G-BAUM/GS/SALOMON-SMITH/ARNHOLD
/WARBURG-DR/CIBC-WORLD//LEH(GC)</t>
  </si>
  <si>
    <t>LEH
CHASE-HQ
FIDELITY-CAP
US-PIPER</t>
  </si>
  <si>
    <t>Lehman Brothers
Chase H&amp;Q
Fidelity Capital Markets
US Bancorp Piper Jaffray Inc</t>
  </si>
  <si>
    <t>Lehman Brothers
Chase H&amp;Q
US Bancorp Piper Jaffray
Fidelity Capital Markets
Lehman Brothers</t>
  </si>
  <si>
    <t>LEH//CHASE-HQ//US-PIPER/FIDELITY-CAP
//LEH(GC)</t>
  </si>
  <si>
    <t>LEH
CHASE-HQ</t>
  </si>
  <si>
    <t>Lehman Brothers
Chase H&amp;Q</t>
  </si>
  <si>
    <t>Vyyo Inc</t>
  </si>
  <si>
    <t>VYYO</t>
  </si>
  <si>
    <t>BA-SEC-LLC</t>
  </si>
  <si>
    <t>Banc of America Securities LLC
CIBC World Markets Inc
Hambrecht &amp; Quist
Dain Rauscher Wessels
Chase H&amp;Q
Prudential Securities Inc
DA Davidson &amp; Co Inc
Josephthal &amp; Co Inc
Ferris Baker Watts
HC Wainwright &amp; Co Inc
Tucker Anthony Cleary Gull
Muriel Siebert &amp; Co
Sandler O'Neill Partners
Pacific Crest Securities Inc
Nutmeg Securities Ltd
Needham &amp; Co LLC
John G Kinnard &amp; Co
Roth Capital Partners Inc
Morgan Stanley Dean Witter
Donaldson Lufkin &amp; Jenrette
Fleet Boston Corp
Merrill Lynch
Deutsche Bank Securities Corp</t>
  </si>
  <si>
    <t>BA-SEC-LLC//CIBC-WORLD/HAMBRECHT
/DAIN-R-WESSELS//CHASE-HQ/PSI/DAVIDSON
/JOSEPHTHAL/FERRIS-BAKER/H-C-WAINWRIGHT
/TUCKER-GULL/MURIEL/SANDLER-ONEILL
/PACIFIC-CREST/NUTMEG-SEC/NEEDHAM
/KINNARD/ROTH-CAPITAL/MSDW/DLJ
/FLEET-BOSTON/MERRILL/DEUTSCHE-BK-SEC</t>
  </si>
  <si>
    <t>BA-SEC-LLC
CIBC-WORLD
HAMBRECHT
DAIN-R-WESSELS</t>
  </si>
  <si>
    <t>Banc of America Securities LLC
CIBC World Markets Inc
Hambrecht &amp; Quist Inc
Dain Rauscher Wessels</t>
  </si>
  <si>
    <t>GoAmerica Inc</t>
  </si>
  <si>
    <t>GOAM</t>
  </si>
  <si>
    <t>38020R106</t>
  </si>
  <si>
    <t>Bear Stearns &amp; Co Inc
Chase H&amp;Q
Wit Soundview Group Inc
DLJdirect
US Bancorp Piper Jaffray
Banc of America Securities LLC
Brean Murray &amp; Co Inc
JC Bradford &amp; Co
Blaylock &amp; Partners LP
Redwine &amp; Company Inc
Josephthal &amp; Co Inc
Jesup &amp; Lamont Securities
Jefferies &amp; Co Inc
Gerard Klauer Mattison &amp; Co
Gaines, Berland
Gabelli &amp; Co Inc
Friedman Billings Ramsey Group
Sands Brothers &amp; Co Ltd
Chatsworth Securities LLC
Salomon Smith Barney
Donaldson Lufkin &amp; Jenrette
First Union Securities Inc
Morgan Stanley Dean Witter
Fleet Boston Corp
Deutsche Bank Securities Corp</t>
  </si>
  <si>
    <t>BEAR//CHASE-HQ/WIT-SOUNDVIEW/DLJ-DIRECT
/US-PIPER//BA-SEC-LLC/BREAN/BRADFORD
/BLAYLOCK-PTRNS/REDWINE-CO/JOSEPHTHAL
/JESUP/JEFFERIES/GERARD-KLAUER
/GAINES-BERLAND/GABELLI/FRIEDMAN-B
/SANDS/CHATSWORTH/SALOMON-SMITH/DLJ
/FIRST-UNION-SEC/MSDW/FLEET-BOSTON
/DEUTSCHE-BK-SEC</t>
  </si>
  <si>
    <t>BEAR
CHASE-HQ
WIT-SOUNDVIEW
DLJ-DIRECT
US-PIPER</t>
  </si>
  <si>
    <t>Bear Stearns &amp; Co Inc
Chase H&amp;Q
Wit Soundview Group Inc
DLJdirect
US Bancorp Piper Jaffray Inc</t>
  </si>
  <si>
    <t>i3 Mobile Inc</t>
  </si>
  <si>
    <t>IIIM</t>
  </si>
  <si>
    <t>DEUTSCHE-ALEX-B
/CHASE-HQ(JB)
/CS-FB-CS(JB)</t>
  </si>
  <si>
    <t>Deutsche Banc Alex Brown
Chase H&amp;Q
Credit Suisse First Boston
Fleet Boston Corp
CL King &amp; Associates Inc
US Bancorp Piper Jaffray
Gabelli &amp; Co Inc
Wit Soundview Group Inc
Merrill Lynch
Banc of America Securities LLC
Bear Stearns &amp; Co Inc
CIBC World Markets Inc
Donaldson Lufkin &amp; Jenrette
Morgan Stanley Dean Witter
Dain Rauscher Wessels
Gerard Klauer Mattison &amp; Co
Brad Peery Inc
Shields
First Security Van Kasper &amp; Co
Wedbush Securities
Deutsche Banc Alex Brown</t>
  </si>
  <si>
    <t>DEUTSCHE-ALEX-B(JB)/CHASE-HQ(JB)
/CS-FB-CS(JB)//FLEET-BOSTON/CL-KING
/US-PIPER/GABELLI/WIT-SOUNDVIEW/MERRILL
/BA-SEC-LLC/BEAR/CIBC-WORLD/DLJ/MSDW
/DAIN-R-WESSELS/GERARD-KLAUER/BRADPE
/SHIELDS/FIR-VAN-KASPER/WEDBUSH-M
//DEUTSCHE-ALEX-B(GC)</t>
  </si>
  <si>
    <t>DEUTSCHE-ALEX-B/CHASE-HQ/CS-FB-CS</t>
  </si>
  <si>
    <t>DEUTSCHE-ALEX-B
(JB)/CHASE-HQ(JB)
/CS-FB-CS(JB)</t>
  </si>
  <si>
    <t>Deutsche Banc Alex Brown
Chase H&amp;Q
Credit Suisse First Boston Corp</t>
  </si>
  <si>
    <t>LivePerson Inc</t>
  </si>
  <si>
    <t>LPSN</t>
  </si>
  <si>
    <t>Chase H&amp;Q
Thomas Weisel Partners
PaineWebber
Allen &amp; Co Inc
Banc of America Securities LLC
Bear Stearns &amp; Co Inc
Donaldson Lufkin &amp; Jenrette
First Union Securities Inc
Fleet Boston Corp
ING Barings
US Bancorp Piper Jaffray
Advest Inc
JC Bradford &amp; Co
Dain Rauscher Corp
First Albany
Pacific Growth Equities Inc
Redwine &amp; Company Inc
Stephens Inc
Tucker Anthony Cleary Gull</t>
  </si>
  <si>
    <t>CHASE-HQ//THOMAS-WEISEL/PAINE-W//ALLEN
/BA-SEC-LLC/BEAR/DLJ/FIRST-UNION-SEC
/FLEET-BOSTON/ING-BARINGS/US-PIPER
/ADVEST/BRADFORD/DAIN-RAUSCHER
/FIRST-ALBANY/PACIFIC-GROWTH/REDWINE-CO
/STEPHENS/TUCKER-GULL</t>
  </si>
  <si>
    <t>CHASE-HQ
THOMAS-WEISEL
PAINE-W</t>
  </si>
  <si>
    <t>Chase H&amp;Q
Thomas Weisel Partners
PaineWebber Inc</t>
  </si>
  <si>
    <t>Saba Software Inc</t>
  </si>
  <si>
    <t>SABA</t>
  </si>
  <si>
    <t>Goldman Sachs &amp; Co
Merrill Lynch
Banc of America Securities LLC
Fleet Boston Corp
William Blair &amp; Co
US Bancorp Piper Jaffray
Sutro &amp; Co Inc
E*Offering Corp
Guzman &amp; Co
Edward D Jones &amp; Co
Jefferies &amp; Co Inc
AG Edwards &amp; Sons Inc
Goldman Sachs &amp; Co</t>
  </si>
  <si>
    <t>GS//MERRILL/BA-SEC-LLC/FLEET-BOSTON
//WM-BLAIR/US-PIPER/SUTRO/E*OFFERING
/GUZMAN/ED-JONES/JEFFERIES/A-G-EDWARDS
//GS(GC)</t>
  </si>
  <si>
    <t>GS
MERRILL
BA-SEC-LLC
FLEET-BOSTON</t>
  </si>
  <si>
    <t>Goldman Sachs &amp; Co
Merrill Lynch &amp; Co Inc
Banc of America Securities LLC
Fleet Boston Corp,Boston,Massachusetts</t>
  </si>
  <si>
    <t>Goldman Sachs &amp; Co
Merrill Lynch
FleetBoston Robertson Stephens
Banc of America Securities LLC
Goldman Sachs &amp; Co</t>
  </si>
  <si>
    <t>GS//MERRILL/FLEET-ROB-STEPH/BA-SEC-LLC
//GS(GC)</t>
  </si>
  <si>
    <t>Sangamo BioSciences Inc</t>
  </si>
  <si>
    <t>SGMO</t>
  </si>
  <si>
    <t>Lehman Brothers
Chase H&amp;Q
William Blair &amp; Co
ING Barings
Fidelity Capital Markets
Edward D Jones &amp; Co
Raymond James &amp; Associates Inc
Legg Mason Wood Walker
Wachovia Securities Inc
Dain Rauscher Corp
Merrill Lynch
Salomon Smith Barney
Warburg Dillon Read Inc
SG Cowen Securities Corp
CIBC World Markets Inc
Lehman Brothers</t>
  </si>
  <si>
    <t>LEH//CHASE-HQ/WM-BLAIR/ING-BARINGS
//FIDELITY-CAP/ED-JONES/RAYMOND
/LEGG-MASON-WW/WACHOVIA-SEC
/DAIN-RAUSCHER/MERRILL/SALOMON-SMITH
/WARBURG-DR/SG-COWEN/CIBC-WORLD
//LEH(GC)</t>
  </si>
  <si>
    <t>LEH
CHASE-HQ
WM-BLAIR
ING-BARINGS</t>
  </si>
  <si>
    <t>Lehman Brothers
Chase H&amp;Q
William Blair &amp; Co
ING Barings</t>
  </si>
  <si>
    <t>Lehman Brothers
Chase H&amp;Q
ING Barings
William Blair &amp; Co
Lehman Brothers</t>
  </si>
  <si>
    <t>LEH//CHASE-HQ//ING-BARINGS/WM-BLAIR
//LEH(GC)</t>
  </si>
  <si>
    <t>Tanox Inc</t>
  </si>
  <si>
    <t>87588Q109</t>
  </si>
  <si>
    <t>CIBC World Markets Inc
Fleet Boston Corp
Adams Harkness &amp; Hill Inc
KBC Securities
Warburg Dillon Read Inc
Chase H&amp;Q
Dominick &amp; Dominick Inc
Davenport
Stephens Inc
Sanders Morris Mundy Inc
Robinson-Humphrey Co
Ragen MacKenzie Group Inc
Pennsylvania Merchant Group
Needham &amp; Co LLC
Legg Mason Wood Walker
Josephthal &amp; Co Inc
Gerard Klauer Mattison &amp; Co
PaineWebber
SG Cowen Securities Corp
US Bancorp Piper Jaffray
Dain Rauscher Wessels
Prudential Securities Inc
Lehman Brothers
CIBC World Markets Inc</t>
  </si>
  <si>
    <t>CIBC-WORLD//FLEET-BOSTON/ADAMS-HARKNESS
/KBC-SEC/WARBURG-DR//CHASE-HQ/DOMINICK
/DAVENPORT/STEPHENS/SANDERS-MORRIS
/ROBINSON/RAGEN/PENN-MER-GROUP/NEEDHAM
/LEGG-MASON-WW/JOSEPHTHAL/GERARD-KLAUER
/PAINE-W/SG-COWEN/US-PIPER
/DAIN-R-WESSELS/PSI/LEH//CIBC-WORLD(GC)</t>
  </si>
  <si>
    <t>CIBC-WORLD
FLEET-BOSTON
ADAMS-HARKNESS
KBC-SEC
WARBURG-DR</t>
  </si>
  <si>
    <t>CIBC World Markets Inc
Fleet Boston Corp,Boston,Massachusetts
Adams Harkness &amp; Hill Inc
KBC Securities
Warburg Dillon Read Inc</t>
  </si>
  <si>
    <t>Lexicon Genetics Inc</t>
  </si>
  <si>
    <t>LEXG</t>
  </si>
  <si>
    <t>JP Morgan
Credit Suisse First Boston
CIBC World Markets Inc
Punk Ziegel &amp; Co LP
Fahnestock &amp; Co
Jackson Securities Inc
Needham &amp; Co LLC
Raymond James &amp; Associates Inc
Sanders Morris Mundy Inc
JP Morgan</t>
  </si>
  <si>
    <t>JPM/CS-FB-CS(JOINT)//CIBC-WORLD/PUNK
//FAHNESTOCK/JACKSON-SEC/NEEDHAM
/RAYMOND/SANDERS-MORRIS//JPM(GC)</t>
  </si>
  <si>
    <t>JPM/CS-FB-CS</t>
  </si>
  <si>
    <t>JPM
/CS-FB-CS(JOINT)
CIBC-WORLD
PUNK</t>
  </si>
  <si>
    <t>JP Morgan &amp; Co Inc
Credit Suisse First Boston Corp
CIBC World Markets Inc
Punk Ziegel &amp; Co LP</t>
  </si>
  <si>
    <t>JP Morgan Securities Inc
Credit Suisse First Boston Ltd
CIBC World Markets Inc
Punk Ziegel &amp; Co LP
Fahnestock &amp; Co
Jackson Securities Inc
Needham &amp; Co LLC
Raymond James &amp; Associates Inc
Sanders Morris Harris Inc
JP Morgan Securities Inc</t>
  </si>
  <si>
    <t>J-P-MORGAN//C-S-F-B/CIBC-WORLD//PUNK
/FAHNESTOCK/JACKSON-SEC/NEEDHAM/RAYMOND
/SANDERS-HARRIS//J-P-MORGAN(GC)</t>
  </si>
  <si>
    <t>J-P-MORGAN
C-S-F-B
CIBC-WORLD</t>
  </si>
  <si>
    <t>JP Morgan Securities Inc
Credit Suisse First Boston Ltd
CIBC World Markets Inc</t>
  </si>
  <si>
    <t>Numerical Technologies Inc</t>
  </si>
  <si>
    <t>NMTC</t>
  </si>
  <si>
    <t>67053T101</t>
  </si>
  <si>
    <t>Credit Suisse First Boston
Chase H&amp;Q
SG Cowen Securities Corp
Banc of America Securities LLC
Bear Stearns &amp; Co Inc
Dain Rauscher Wessels
E*Offering Corp
Fleet Boston Corp
Invemed Associates Inc
Lehman Brothers
Merrill Lynch
Needham &amp; Co LLC
Thomas Weisel Partners
Credit Suisse First Boston</t>
  </si>
  <si>
    <t>CS-FB-CS//CHASE-HQ/SG-COWEN//BA-SEC-LLC
/BEAR/DAIN-R-WESSELS/E*OFFERING
/FLEET-BOSTON/INVEMED/LEH/MERRILL
/NEEDHAM/THOMAS-WEISEL//CS-FB-CS(GC)</t>
  </si>
  <si>
    <t>CS-FB-CS
CHASE-HQ
SG-COWEN</t>
  </si>
  <si>
    <t>Credit Suisse First Boston Corp
Chase H&amp;Q
SG Cowen Securities Corp</t>
  </si>
  <si>
    <t>Credit Suisse First Boston Ltd
Chase H&amp;Q
SG Cowen Securities Corp
Credit Suisse First Boston Ltd</t>
  </si>
  <si>
    <t>C-S-F-B//CHASE-HQ//SG-COWEN
//C-S-F-B(GC)</t>
  </si>
  <si>
    <t>C-S-F-B
CHASE-HQ</t>
  </si>
  <si>
    <t>Credit Suisse First Boston Ltd
Chase H&amp;Q</t>
  </si>
  <si>
    <t>Opus360 Corp</t>
  </si>
  <si>
    <t>OPUS</t>
  </si>
  <si>
    <t>68400F109</t>
  </si>
  <si>
    <t>Fleet Boston Corp
Bear Stearns &amp; Co Inc
E*Offering Corp
JP Morgan
Advest Inc
JJB Hilliard WL Lyons Inc
Pennsylvania Merchant Group
CE Unterberg Towbin
First Montauk Securities</t>
  </si>
  <si>
    <t>FLEET-BOSTON//BEAR/E*OFFERING/JPM
//ADVEST/HILLIARD/PENN-MER-GROUP
/UNTERBERG/FIRST-MONTAUK</t>
  </si>
  <si>
    <t>FLEET-BOSTON
BEAR
E*OFFERING
JPM</t>
  </si>
  <si>
    <t>Fleet Boston Corp,Boston,Massachusetts
Bear Stearns &amp; Co Inc
E*Offering Corp
JP Morgan &amp; Co Inc</t>
  </si>
  <si>
    <t>TNOX</t>
  </si>
  <si>
    <t>CIBC World Markets Inc
KBC Securities
Adams Harkness &amp; Hill Inc
Fleet Boston Corp
CIBC World Markets Inc</t>
  </si>
  <si>
    <t>CIBC-WORLD//KBC-SEC/ADAMS-HARKNESS
/FLEET-BOSTON//CIBC-WORLD(GC)</t>
  </si>
  <si>
    <t>CIBC World Markets Inc</t>
  </si>
  <si>
    <t>Exelixis Inc</t>
  </si>
  <si>
    <t>EXEL</t>
  </si>
  <si>
    <t>30161Q104</t>
  </si>
  <si>
    <t>Goldman Sachs &amp; Co
CS First Boston Corp
SG Cowen Securities Corp
Dain Rauscher Corp
Janney Montgomery Scott Inc
Bear Stearns &amp; Co Inc
Stephens Inc
AG Edwards &amp; Sons Inc
ING Barings
Salomon Smith Barney
Chapman Co
Commerzbank AG
First Union Securities Inc
Pacific Growth Equities Inc
Tucker Anthony Inc
Goldman Sachs &amp; Co</t>
  </si>
  <si>
    <t>GS//CS-FB/SG-COWEN//DAIN-RAUSCHER
/JANNEY/BEAR/STEPHENS/A-G-EDWARDS
/ING-BARINGS/SALOMON-SMITH/CHAPMAN
/COMMERZBANK/FIRST-UNION-SEC
/PACIFIC-GROWTH/TUCKER//GS(GC)</t>
  </si>
  <si>
    <t>GS
CS-FB
SG-COWEN</t>
  </si>
  <si>
    <t>Goldman Sachs &amp; Co
CS First Boston Corp
SG Cowen Securities Corp</t>
  </si>
  <si>
    <t>Goldman Sachs &amp; Co
Credit Suisse First Boston Inc
SG Cowen Securities Corp
Commerzbank AG
Goldman Sachs &amp; Co</t>
  </si>
  <si>
    <t>GS//CSFB-INC/SG-COWEN/COMMERZBANK
//GS(GC)</t>
  </si>
  <si>
    <t>HealthStream Inc</t>
  </si>
  <si>
    <t>HSTM</t>
  </si>
  <si>
    <t>42222N103</t>
  </si>
  <si>
    <t>Fleet Boston Corp
CIBC World Markets Inc
JC Bradford &amp; Co
E*Offering Corp</t>
  </si>
  <si>
    <t>FLEET-BOSTON//CIBC-WORLD/BRADFORD
/E*OFFERING</t>
  </si>
  <si>
    <t>FLEET-BOSTON
CIBC-WORLD
BRADFORD
E*OFFERING</t>
  </si>
  <si>
    <t>Fleet Boston Corp,Boston,Massachusetts
CIBC World Markets Inc
JC Bradford &amp; Co
E*Offering Corp</t>
  </si>
  <si>
    <t>Nova Measuring Instruments</t>
  </si>
  <si>
    <t>NVMI</t>
  </si>
  <si>
    <t>M7516K103</t>
  </si>
  <si>
    <t>Chase H&amp;Q
SG Cowen Securities Corp
Needham &amp; Co LLC
Banc of America Securities LLC
CIBC World Markets Inc
Deutsche Bank Securities
Donaldson Lufkin &amp; Jenrette
Fleet Boston Corp
Lehman Brothers
Thomas Weisel Partners
Warburg Dillon Read Inc
Adams Harkness &amp; Hill Inc
Advest Inc
E*Offering Corp
First Albany
First Security Van Kasper &amp; Co
Jefferies &amp; Co Inc
McDonald Investments
Sands Brothers &amp; Co Ltd
CE Unterberg Towbin</t>
  </si>
  <si>
    <t>CHASE-HQ//SG-COWEN/NEEDHAM//BA-SEC-LLC
/CIBC-WORLD/DBSECU/DLJ/FLEET-BOSTON/LEH
/THOMAS-WEISEL/WARBURG-DR
/ADAMS-HARKNESS/ADVEST/E*OFFERING
/FIRST-ALBANY/FIR-VAN-KASPER/JEFFERIES
/MCDONALD/SANDS/UNTERBERG</t>
  </si>
  <si>
    <t>CHASE-HQ
SG-COWEN
NEEDHAM</t>
  </si>
  <si>
    <t>Chase H&amp;Q
SG Cowen Securities Corp
Needham &amp; Co LLC</t>
  </si>
  <si>
    <t>DDi Corp</t>
  </si>
  <si>
    <t>DDIC</t>
  </si>
  <si>
    <t>Credit Suisse First Boston
Fleet Boston Corp
Chase H&amp;Q
Lehman Brothers
Deutsche Banc Alex Brown
Donaldson Lufkin &amp; Jenrette
E*Offering Corp
Invemed Associates Inc
Needham &amp; Co LLC
Tucker Anthony Inc
Thomas Weisel Partners
Credit Suisse First Boston</t>
  </si>
  <si>
    <t>CS-FB-CS/FLEET-BOSTON(JOINT)//CHASE-HQ
/LEH//DEUTSCHE-ALEX-B/DLJ/E*OFFERING
/INVEMED/NEEDHAM/TUCKER/THOMAS-WEISEL
//CS-FB-CS(GC)</t>
  </si>
  <si>
    <t>CS-FB-CS/FLEET-BOSTON</t>
  </si>
  <si>
    <t>CS-FB-CS
/FLEET-BOSTON(JOINT)
CHASE-HQ
LEH</t>
  </si>
  <si>
    <t>Credit Suisse First Boston Corp
Fleet Boston Corp,Boston,Massachusetts
Chase H&amp;Q
Lehman Brothers</t>
  </si>
  <si>
    <t>Credit Suisse First Boston Ltd
FleetBoston Robertson Stephens
Chase H&amp;Q
Lehman Brothers
Credit Suisse First Boston Ltd</t>
  </si>
  <si>
    <t>C-S-F-B//FLEET-ROB-STEPH/CHASE-HQ/LEH
//C-S-F-B(GC)</t>
  </si>
  <si>
    <t>C-S-F-B
FLEET-ROB-STEPH
CHASE-HQ
LEH</t>
  </si>
  <si>
    <t>Credit Suisse First Boston Ltd
FleetBoston Robertson Stephens Inc
Chase H&amp;Q
Lehman Brothers</t>
  </si>
  <si>
    <t>Asiacontent.com Ltd</t>
  </si>
  <si>
    <t>IASIA</t>
  </si>
  <si>
    <t>G05354108</t>
  </si>
  <si>
    <t>Goldman Sachs (Asia)
Lehman Brothers Asia
Hambrecht &amp; Quist</t>
  </si>
  <si>
    <t>GS-ASIA//LEH-ASIA/HAMBRECHT</t>
  </si>
  <si>
    <t>Goldman Sachs (Asia)</t>
  </si>
  <si>
    <t>Corillian Corp</t>
  </si>
  <si>
    <t>CORI</t>
  </si>
  <si>
    <t>CS First Boston Corp
Chase H&amp;Q
Friedman Billings Ramsey Group
Donaldson Lufkin &amp; Jenrette
Fleet Boston Corp
Banc of America Securities LLC
Invemed Associates Inc
Tucker Anthony Inc
Wachovia Securities Inc
Pacific Crest Securities Inc
E*Offering Corp
Needham &amp; Co LLC
DA Davidson &amp; Co Inc
CS First Boston Corp</t>
  </si>
  <si>
    <t>CS-FB//CHASE-HQ/FRIEDMAN-B/DLJ
//FLEET-BOSTON/BA-SEC-LLC/INVEMED
/TUCKER/WACHOVIA-SEC/PACIFIC-CREST
/E*OFFERING/NEEDHAM/DAVIDSON//CS-FB(GC)</t>
  </si>
  <si>
    <t>CS-FB
CHASE-HQ
FRIEDMAN-B
DLJ</t>
  </si>
  <si>
    <t>CS First Boston Corp
Chase H&amp;Q
Friedman Billings Ramsey Group
Donaldson Lufkin &amp; Jenrette Inc</t>
  </si>
  <si>
    <t>Credit Suisse First Boston Ltd
Chase H&amp;Q
Donaldson Lufkin &amp; Jenrette
Friedman Billings Ramsey Group
Credit Suisse First Boston Ltd</t>
  </si>
  <si>
    <t>C-S-F-B//CHASE-HQ/DLJ/FRIEDMAN-B
//C-S-F-B(GC)</t>
  </si>
  <si>
    <t>C-S-F-B
CHASE-HQ
DLJ
FRIEDMAN-B</t>
  </si>
  <si>
    <t>Credit Suisse First Boston Ltd
Chase H&amp;Q
Donaldson Lufkin &amp; Jenrette Inc
Friedman Billings Ramsey Group</t>
  </si>
  <si>
    <t>Nuance Communications Inc</t>
  </si>
  <si>
    <t>NUAN</t>
  </si>
  <si>
    <t>Goldman Sachs &amp; Co
Thomas Weisel Partners
Wit Soundview Group Inc
Dain Rauscher Wessels
First Union Securities Inc
McDonald Investments
Stephens Inc
Sands Brothers &amp; Co Ltd
SunTrust Securities
Sturdivant &amp; Co Inc
Fidelity Capital Markets
Merrill Lynch
Prudential Securities Inc
William Blair &amp; Co
Robert W Baird &amp; Co Inc
Edward D Jones &amp; Co
Goldman Sachs &amp; Co</t>
  </si>
  <si>
    <t>GS//THOMAS-WEISEL/WIT-SOUNDVIEW
/DAIN-R-WESSELS//FIRST-UNION-SEC
/MCDONALD/STEPHENS/SANDS/SUN-TRUST-SEC
/STURDIVANT/FIDELITY-CAP/MERRILL/PSI
/WM-BLAIR/BAIRD/ED-JONES//GS(GC)</t>
  </si>
  <si>
    <t>GS
THOMAS-WEISEL
WIT-SOUNDVIEW
DAIN-R-WESSELS</t>
  </si>
  <si>
    <t>Goldman Sachs &amp; Co
Thomas Weisel Partners
Wit Soundview Group Inc
Dain Rauscher Wessels</t>
  </si>
  <si>
    <t>Goldman Sachs &amp; Co
Thomas Weisel Partners
Dain Rauscher Wessels
Wit Soundview Group Inc
Goldman Sachs &amp; Co</t>
  </si>
  <si>
    <t>GS//THOMAS-WEISEL/DAIN-R-WESSELS
/WIT-SOUNDVIEW//GS(GC)</t>
  </si>
  <si>
    <t>Sina.com</t>
  </si>
  <si>
    <t>SINA</t>
  </si>
  <si>
    <t>G81477104</t>
  </si>
  <si>
    <t>Morgan Stanley Dean Witter
China International Capital Co
Chase H&amp;Q
FleetBoston Robertson Stephens
AG Edwards &amp; Sons Inc
Core Pacific-Yamaichi (HK)
Edward D Jones &amp; Co
First Union Securities Inc
Janney Montgomery Scott Inc
McDonald Investments
Raymond James &amp; Associates Inc</t>
  </si>
  <si>
    <t>MSDW/CHINA-CAPITAL(JOINT)//CHASE-HQ
/FLEET-ROB-STEPH//A-G-EDWARDS/CPYAM
/ED-JONES/FIRST-UNION-SEC/JANNEY
/MCDONALD/RAYMOND</t>
  </si>
  <si>
    <t>MSDW/CHINA-CAPITAL</t>
  </si>
  <si>
    <t>MSDW
/CHINA-CAPITAL(JOINT)
CHASE-HQ
FLEET-ROB-STEPH</t>
  </si>
  <si>
    <t>Morgan Stanley Dean Witter &amp; Co
China International Capital Corp
Chase H&amp;Q
FleetBoston Robertson Stephens Inc</t>
  </si>
  <si>
    <t>Votorantim Celulose e Papel SA</t>
  </si>
  <si>
    <t>Brazil</t>
  </si>
  <si>
    <t>VCP</t>
  </si>
  <si>
    <t>92906P106</t>
  </si>
  <si>
    <t>Merrill Lynch
Morgan Stanley Dean Witter
Salomon Smith Barney
Warburg Dillon Read (UK)</t>
  </si>
  <si>
    <t>MERRILL//MSDW/SALOMON-SMITH/WDR-UK</t>
  </si>
  <si>
    <t>Embarcadero Technologies Inc</t>
  </si>
  <si>
    <t>Donaldson Lufkin &amp; Jenrette
US Bancorp Piper Jaffray
DLJdirect
Wit Soundview Group Inc
Banc of America Securities LLC
Fleet Boston Corp
Thomas Weisel Partners
George K Baum &amp; Co
Adams Harkness &amp; Hill Inc
Parker-Hunter Inc
Moors &amp; Cabot Inc
McDonald Investments
Legg Mason Wood Walker
Lebenthal
CL King &amp; Associates Inc
Johnston Lemon &amp; Co Inc
First Albany
Wachovia Bank NA
Tucker Anthony Inc
SunTrust Equitable Securities
Seidler Corp
Sands Brothers &amp; Co Ltd
Sanders Morris Mundy Inc
Robinson-Humphrey Co
Raymond James &amp; Associates Inc
Chapman Co
Merrill Lynch
First Union Securities Inc
CIBC World Markets Inc
CS First Boston Corp
Deutsche Banc Alex Brown
Chase H&amp;Q</t>
  </si>
  <si>
    <t>DLJ//US-PIPER/DLJ-DIRECT/WIT-SOUNDVIEW
//BA-SEC-LLC/FLEET-BOSTON/THOMAS-WEISEL
/G-BAUM/ADAMS-HARKNESS/PARKER-HUNTER
/MOORS/MCDONALD/LEGG-MASON-WW/LEBENTHAL
/CL-KING/JOHNSTON-LEMON/FIRST-ALBANY
/WACHOVIA/TUCKER/SUNTRUST-EQUI
/SEIDLER-COS/SANDS/SANDERS-MORRIS
/ROBINSON/RAYMOND/CHAPMAN/MERRILL
/FIRST-UNION-SEC/CIBC-WORLD/CS-FB
/DEUTSCHE-ALEX-B/CHASE-HQ</t>
  </si>
  <si>
    <t>DLJ
US-PIPER
DLJ-DIRECT
WIT-SOUNDVIEW</t>
  </si>
  <si>
    <t>Donaldson Lufkin &amp; Jenrette Inc
US Bancorp Piper Jaffray Inc
DLJdirect
Wit Soundview Group Inc</t>
  </si>
  <si>
    <t>Packard BioScience Co</t>
  </si>
  <si>
    <t>PBSC</t>
  </si>
  <si>
    <t>Merrill Lynch
Chase H&amp;Q
Robert W Baird &amp; Co Inc
Banc of America Securities LLC
Thomas Weisel Partners
Merrill Lynch</t>
  </si>
  <si>
    <t>MERRILL//CHASE-HQ/BAIRD/BA-SEC-LLC
/THOMAS-WEISEL//MERRILL(GC)</t>
  </si>
  <si>
    <t>MERRILL
CHASE-HQ
BAIRD
BA-SEC-LLC
THOMAS-WEISEL</t>
  </si>
  <si>
    <t>Merrill Lynch &amp; Co Inc
Chase H&amp;Q
Robert W Baird &amp; Co Inc
Banc of America Securities LLC
Thomas Weisel Partners</t>
  </si>
  <si>
    <t>Merrill Lynch
Chase H&amp;Q
Robert W Baird &amp; Co Inc
Bank of America
Thomas Weisel Partners
Merrill Lynch</t>
  </si>
  <si>
    <t>MERRILL//CHASE-HQ/BAIRD/BANK-OF-AMERICA
/THOMAS-WEISEL//MERRILL(GC)</t>
  </si>
  <si>
    <t>PEC Solutions Inc</t>
  </si>
  <si>
    <t>PECS</t>
  </si>
  <si>
    <t>Donaldson Lufkin &amp; Jenrette
Chase H&amp;Q
Legg Mason Wood Walker
DLJdirect
Deutsche Banc Alex Brown
First Union Securities Inc
Fleet Boston Corp
ING Barings
Lehman Brothers
PaineWebber
Prudential Securities Inc
Salomon Smith Barney
SG Cowen Securities Corp
Thomas Weisel Partners
Adams Harkness &amp; Hill Inc
Advest Inc
Robert W Baird &amp; Co Inc
William Blair &amp; Co
JC Bradford &amp; Co
First Albany
Friedman Billings Ramsey Group
WR Hambrecht &amp; Co LLC
Janney Montgomery Scott Inc
Jefferies &amp; Co Inc
Johnston Lemon &amp; Co Inc
CL King &amp; Associates Inc
Ladenburg Thalmann &amp; Co
Lebenthal
McDonald Investments
Parker-Hunter Inc
Pennsylvania Merchant Group
Sanders Morris Mundy Inc
Sands Brothers &amp; Co Ltd
Scott &amp; Stringfellow Financial
Stifel Nicolaus &amp; Co Inc
SunTrust Equitable Securities</t>
  </si>
  <si>
    <t>DLJ//CHASE-HQ/LEGG-MASON-WW/DLJ-DIRECT
//DEUTSCHE-ALEX-B/FIRST-UNION-SEC
/FLEET-BOSTON/ING-BARINGS/LEH/PAINE-W
/PSI/SALOMON-SMITH/SG-COWEN
/THOMAS-WEISEL/ADAMS-HARKNESS/ADVEST
/BAIRD/WM-BLAIR/BRADFORD/FIRST-ALBANY
/FRIEDMAN-B/W-R-HAMBRECHT/JANNEY
/JEFFERIES/JOHNSTON-LEMON/CL-KING
/LADENBURG/LEBENTHAL/MCDONALD
/PARKER-HUNTER/PENN-MER-GROUP
/SANDERS-MORRIS/SANDS/SCOTT-STRING
/STIFEL/SUNTRUST-EQUI</t>
  </si>
  <si>
    <t>DLJ
CHASE-HQ
LEGG-MASON-WW
DLJ-DIRECT</t>
  </si>
  <si>
    <t>Donaldson Lufkin &amp; Jenrette Inc
Chase H&amp;Q
Legg Mason Wood Walker Inc
DLJdirect</t>
  </si>
  <si>
    <t>360Networks Inc</t>
  </si>
  <si>
    <t>TSIX</t>
  </si>
  <si>
    <t>GS/DLJ(JB)</t>
  </si>
  <si>
    <t>88575T205</t>
  </si>
  <si>
    <t>Goldman Sachs &amp; Co
Donaldson Lufkin &amp; Jenrette
Credit Suisse First Boston Inc
Bear Stearns &amp; Co Inc
BMO Nesbitt Burns Equity
Morgan Stanley Dean Witter
Chase H&amp;Q
Toronto Dominion Securities
Warburg Dillon Read (UK)
RBC Dominion Securities</t>
  </si>
  <si>
    <t>GS(JB)/DLJ(JB)//CSFB-INC/BEAR/NESBUR
/MSDW/CHASE-HQ/TORONTO-DOM-SEC/WDR-UK
/RBC-DOM</t>
  </si>
  <si>
    <t>GS
(JB)/DLJ(JB)</t>
  </si>
  <si>
    <t>Goldman Sachs &amp; Co
Donaldson Lufkin &amp; Jenrette Inc</t>
  </si>
  <si>
    <t>Rockford Corp</t>
  </si>
  <si>
    <t>ROFO</t>
  </si>
  <si>
    <t>DAIN-R-WESSELS</t>
  </si>
  <si>
    <t>77316P101</t>
  </si>
  <si>
    <t>Dain Rauscher Wessels
McDonald Investments
Needham &amp; Co LLC
Credit Lyonnais SA
Chase H&amp;Q
SG Cowen Securities Corp
William Blair &amp; Co
Fahnestock &amp; Co
First Southwest
Gerard Klauer Mattison &amp; Co
Ladenburg Thalmann &amp; Co
Morgan Keegan Inc
Robinson-Humphrey Co</t>
  </si>
  <si>
    <t>DAIN-R-WESSELS//MCDONALD/NEEDHAM
//CRED-LYONNAIS/CHASE-HQ/SG-COWEN
/WM-BLAIR/FAHNESTOCK/FIRST-SW
/GERARD-KLAUER/LADENBURG/MORGAN-KEEGAN
/ROBINSON</t>
  </si>
  <si>
    <t>DAIN-R-WESSELS
MCDONALD
NEEDHAM</t>
  </si>
  <si>
    <t>Dain Rauscher Wessels
McDonald Investments Inc
Needham &amp; Co LLC</t>
  </si>
  <si>
    <t>AT&amp;T Wireless Group</t>
  </si>
  <si>
    <t>AWE</t>
  </si>
  <si>
    <t>GS/MERRILL(JB)
/SALOMON-SMITH(JB)</t>
  </si>
  <si>
    <t>001957406</t>
  </si>
  <si>
    <t>Goldman Sachs &amp; Co
Merrill Lynch
Salomon Smith Barney
Credit Suisse First Boston
MR Beal &amp; Co
Chase H&amp;Q
Donaldson Lufkin &amp; Jenrette
PaineWebber
Sanford C Bernstein &amp; Co Inc
Prudential Volpe Technology Gr
Thomas Weisel Partners
JP Morgan
Deutsche Banc Alex Brown
Bear Stearns &amp; Co Inc
Banc of America Securities LLC
Lehman Brothers
Morgan Stanley Dean Witter
Advanced Clearing Inc
CIBC World Markets Inc
Fidelity Capital Markets
Fleet Boston Corp
Edward D Jones &amp; Co
RBC Dominion Securities
Lazard
Ragen MacKenzie Group Inc
Pryor McClendon Counts &amp; Co
Ormes Capital Markets Inc
Neuberger Berman Inc
Needham &amp; Co LLC
Morgan Keegan Inc
McDonald Investments
Legg Mason Wood Walker
George K Baum &amp; Co
Arnhold and S Bleichroeder Inc
Adams Harkness &amp; Hill Inc
Williams Capital Group LP
Wachovia Bank NA
US Bancorp Piper Jaffray
CE Unterberg Towbin
Tucker Anthony Inc
Jefferies &amp; Co Inc
Janco Partners
Jackson Securities Inc
Gruntal &amp; Co Inc
Gardner Rich &amp; Co
Gabelli &amp; Co Inc
First Albany
E*Offering Corp
HC Wainwright &amp; Co Inc
Sturdivant &amp; Co Inc
Seidler Corp
Sands Brothers &amp; Co Ltd
Sanders Morris Mundy Inc
SBK Brooks Investment Corp
Redwood Securities Group Inc
Pittsburgh Institutional Inc
May Davis Group Inc
Wedbush, Noble, Cooke
Pennsylvania Merchant Group
Brad Peery Inc
Parker-Hunter Inc
Melvin Securities Corporation
Mellon Financial Services Inc
Loop Capital Markets
W. E. Kaufman
Josephthal &amp; Co Inc
Doley Securities
Doft &amp; Co Inc
DA Davidson &amp; Co Inc
Davenport
Crowell Weedon &amp; Co
Chapman Co
John Burnham &amp; Co
Brean Murray &amp; Co Inc
Sutro &amp; Co Inc
SunTrust Equitable Securities
Stifel Nicolaus &amp; Co Inc
Stephens Inc
Scott &amp; Stringfellow Financial
Robinson-Humphrey Co
Raymond James &amp; Associates Inc
Samuel A. Ramirez &amp; Co.
CL King &amp; Associates Inc
Janney Montgomery Scott Inc
JJB Hilliard WL Lyons Inc
Gerard Klauer Mattison &amp; Co
Friedman Billings Ramsey Group
Fahnestock &amp; Co
Dain Rauscher Corp
Chatsworth Securities LLC
JC Bradford &amp; Co
William Blair &amp; Co
Robert W Baird &amp; Co Inc
Advest Inc
Wit Soundview Group Inc
Wasserstein Perella Securities
Utendahl Capital Partners
Muriel Siebert &amp; Co
SG Cowen Securities Corp
Guzman &amp; Co
First Union Securities Inc
AG Edwards &amp; Sons Inc
Blaylock &amp; Partners LP
Allen &amp; Co Inc
BMO Nesbitt Thomson Ltd
Goldman Sachs &amp; Co
Salomon Smith Barney
Merrill Lynch</t>
  </si>
  <si>
    <t>T</t>
  </si>
  <si>
    <t>AT&amp;T Corp</t>
  </si>
  <si>
    <t>GS(JB)/MERRILL(JB)/SALOMON-SMITH(JB)
//CS-FB-CS/M-R-BEAL/CHASE-HQ/DLJ
/PAINE-W/BERNSTEIN/PRUD-VOLPE
/THOMAS-WEISEL/JPM/DEUTSCHE-ALEX-B/BEAR
/BA-SEC-LLC/LEH/MSDW//ADV-CLEARING
/CIBC-WORLD/FIDELITY-CAP/FLEET-BOSTON
/ED-JONES/RBC-DOM/LAZARD/RAGEN/PRYOR-MC
/ORMES/NEUBERGER/NEEDHAM/MORGAN-KEEGAN
/MCDONALD/LEGG-MASON-WW/G-BAUM/ARNHOLD
/ADAMS-HARKNESS/WILLIAMS-CAP/WACHOVIA
/US-PIPER/UNTERBERG/TUCKER/JEFFERIES
/JANCO-PARTNERS/JACKSON-SEC/GRUNTAL
/GARDNER-RICH/GABELLI/FIRST-ALBANY
/E*OFFERING/H-C-WAINWRIGHT/STURDIVANT
/SEIDLER-COS/SANDS/SANDERS-MORRIS
/SBK-BROOKS/REDWOOD-SEC/PITTS-INST
/MAY-DAVIS/WEDBUSH/PENN-MER-GROUP
/BRADPE/PARKER-HUNTER/MELVIN-SEC
/MELLON-FIN/LOOP/KAUFMAN/JOSEPHTHAL
/DOLEY-SEC/DOFT/DAVIDSON/DAVENPORT
/CROWELL/CHAPMAN/BURNHAM-J/BREAN/SUTRO
/SUNTRUST-EQUI/STIFEL/STEPHENS
/SCOTT-STRING/ROBINSON/RAYMOND/RAMIREZ
/CL-KING/JANNEY/HILLIARD/GERARD-KLAUER
/FRIEDMAN-B/FAHNESTOCK/DAIN-RAUSCHER
/CHATSWORTH/BRADFORD/WM-BLAIR/BAIRD
/ADVEST/WIT-SOUNDVIEW/WP-SEC
/UTENDAHL-CAP/MURIEL/SG-COWEN/GUZMAN
/FIRST-UNION-SEC/A-G-EDWARDS
/BLAYLOCK-PTRNS/ALLEN/BMO-NESBITT
//GS(GC)/SALOMON-SMITH(GC)/MERRILL(GC)</t>
  </si>
  <si>
    <t>GS/MERRILL/SALOMON-SMITH</t>
  </si>
  <si>
    <t>GS
(JB)/MERRILL(JB)
/SALOMON-SMITH(JB)
CS-FB-CS
M-R-BEAL
CHASE-HQ
DLJ
PAINE-W
BERNSTEIN
PRUD-VOLPE
THOMAS-WEISEL
JPM
DEUTSCHE-ALEX-B
BEAR
BA-SEC-LLC
LEH
MSDW</t>
  </si>
  <si>
    <t>Goldman Sachs &amp; Co
Merrill Lynch &amp; Co Inc
Salomon Smith Barney
Credit Suisse First Boston Corp
MR Beal &amp; Co
Chase H&amp;Q
Donaldson Lufkin &amp; Jenrette Inc
PaineWebber Inc
Sanford C Bernstein &amp; Co Inc
Prudential Volpe Technology Group
Thomas Weisel Partners
JP Morgan &amp; Co Inc
Deutsche Banc Alex Brown
Bear Stearns &amp; Co Inc
Banc of America Securities LLC
Lehman Brothers
Morgan Stanley Dean Witter &amp; Co</t>
  </si>
  <si>
    <t>Goldman Sachs &amp; Co
Merrill Lynch
Salomon Smith Barney
JP Morgan Securities Ltd
Daiwa SBCM Europe Ltd
Deutsche Banc Alex Brown
HSBC (UK)
ING Barings
Credit Suisse First Boston Inc
Lehman Brothers
Morgan Stanley Dean Witter
Banc of America Securities LLC
MR Beal &amp; Co
Bear Stearns &amp; Co Inc
Chase H&amp;Q
Donaldson Lufkin &amp; Jenrette
PaineWebber
Prudential Volpe Technology Gr
Sanford C Bernstein &amp; Co Inc
Thomas Weisel Partners
BNP Paribas SA
Goldman Sachs &amp; Co
Merrill Lynch
Salomon Smith Barney</t>
  </si>
  <si>
    <t>GS(JB)/MERRILL(JB)/SALOMON-SMITH(JB)
//JPML/DAISEU/DEUTSCHE-ALEX-B/HSBC-UK
/ING-BARINGS//CSFB-INC/LEH/MSDW
/BA-SEC-LLC/M-R-BEAL/BEAR/CHASE-HQ/DLJ
/PAINE-W/PRUD-VOLPE/BERNSTEIN
/THOMAS-WEISEL/BNP-PARIBAS//GS(GC)
/MERRILL(GC)/SALOMON-SMITH(GC)</t>
  </si>
  <si>
    <t>GS
(JB)/MERRILL(JB)
/SALOMON-SMITH(JB)
JPML
DAISEU
DEUTSCHE-ALEX-B
HSBC-UK
ING-BARINGS</t>
  </si>
  <si>
    <t>Goldman Sachs &amp; Co
Merrill Lynch &amp; Co Inc
Salomon Smith Barney
JP Morgan Securities Ltd (United Kingdom)
Daiwa SBCM Europe Ltd
Deutsche Banc Alex Brown
HSBC (UK)
ING Barings</t>
  </si>
  <si>
    <t>Metawave Communications Corp</t>
  </si>
  <si>
    <t>MTWV</t>
  </si>
  <si>
    <t>Merrill Lynch
Salomon Smith Barney
US Bancorp Piper Jaffray
Merrill Lynch</t>
  </si>
  <si>
    <t>MERRILL/SALOMON-SMITH(JOINT)//US-PIPER
//MERRILL(GC)</t>
  </si>
  <si>
    <t>MERRILL/SALOMON-SMITH</t>
  </si>
  <si>
    <t>MERRILL
/SALOMON-SMITH(JOINT)
US-PIPER</t>
  </si>
  <si>
    <t>Merrill Lynch &amp; Co Inc
Salomon Smith Barney
US Bancorp Piper Jaffray Inc</t>
  </si>
  <si>
    <t>MERRILL//SALOMON-SMITH/US-PIPER
//MERRILL(GC)</t>
  </si>
  <si>
    <t>Praecis Pharmaceuticals Inc</t>
  </si>
  <si>
    <t>PRCS</t>
  </si>
  <si>
    <t>Salomon Smith Barney
CIBC World Markets Inc
CS First Boston Corp
ABN-AMRO Holding NV
Deutsche Bank
Prudential Securities Inc
US Bancorp Piper Jaffray
E*Offering Corp
Fahnestock &amp; Co
Gerard Klauer Mattison &amp; Co
Leerink Swann &amp; Co
Legg Mason &amp; Co Inc
Needham &amp; Co LLC
Parker-Hunter Inc
Robinson-Humphrey Co
Tucker Anthony Inc</t>
  </si>
  <si>
    <t>SALOMON-SMITH//CIBC-WORLD/CS-FB
//ABN-AMRO/DEUTSCHE-BANK/PSI/US-PIPER
/E*OFFERING/FAHNESTOCK/GERARD-KLAUER
/LEERINK-SWANN/LEGG-MASON/NEEDHAM
/PARKER-HUNTER/ROBINSON/TUCKER</t>
  </si>
  <si>
    <t>SALOMON-SMITH
CIBC-WORLD
CS-FB</t>
  </si>
  <si>
    <t>Salomon Smith Barney
CIBC World Markets Inc
CS First Boston Corp</t>
  </si>
  <si>
    <t>Stratus Services Group Inc</t>
  </si>
  <si>
    <t>SSVG</t>
  </si>
  <si>
    <t>HWNT</t>
  </si>
  <si>
    <t>Hornblower, Weeks, Noyes &amp; Tra
Dirks &amp; Company Inc</t>
  </si>
  <si>
    <t>HWNT//DIRKS-CO</t>
  </si>
  <si>
    <t>HWNT
DIRKS-CO</t>
  </si>
  <si>
    <t>Hornblower, Weeks, Noyes &amp; Trask Incorporated
Dirks &amp; Company Inc</t>
  </si>
  <si>
    <t>ON Semiconductor Corp</t>
  </si>
  <si>
    <t>ONNN</t>
  </si>
  <si>
    <t>Morgan Stanley Dean Witter
Chase H&amp;Q
Lehman Brothers
Fleet Boston Corp
Salomon Smith Barney
JC Bradford &amp; Co
Sanders Morris Mundy Inc
Neuberger Berman Inc
Thomas Weisel Partners
US Bancorp Piper Jaffray
SG Cowen Securities Corp
AG Edwards &amp; Sons Inc
Gerard Klauer Mattison &amp; Co
Janney Montgomery Scott Inc
Edward D Jones &amp; Co
First Union Securities Inc
Dain Rauscher Wessels
Morgan Stanley Dean Witter</t>
  </si>
  <si>
    <t>MSDW/CHASE-HQ(JOINT)//LEH/FLEET-BOSTON
/SALOMON-SMITH//BRADFORD/SANDERS-MORRIS
/NEUBERGER/THOMAS-WEISEL/US-PIPER
/SG-COWEN/A-G-EDWARDS/GERARD-KLAUER
/JANNEY/ED-JONES/FIRST-UNION-SEC
/DAIN-R-WESSELS//MSDW(GC)</t>
  </si>
  <si>
    <t>MSDW/CHASE-HQ</t>
  </si>
  <si>
    <t>MSDW
/CHASE-HQ(JOINT)
LEH
FLEET-BOSTON
SALOMON-SMITH</t>
  </si>
  <si>
    <t>Morgan Stanley Dean Witter &amp; Co
Chase H&amp;Q
Lehman Brothers
Fleet Boston Corp,Boston,Massachusetts
Salomon Smith Barney</t>
  </si>
  <si>
    <t>Morgan Stanley Dean Witter
Chase H&amp;Q
FleetBoston Robertson Stephens
Lehman Brothers
Schroders
Morgan Stanley Dean Witter</t>
  </si>
  <si>
    <t>MSDW//CHASE-HQ//FLEET-ROB-STEPH/LEH
/SCHRODERS//MSDW(GC)</t>
  </si>
  <si>
    <t>MSDW
CHASE-HQ</t>
  </si>
  <si>
    <t>Morgan Stanley Dean Witter &amp; Co
Chase H&amp;Q</t>
  </si>
  <si>
    <t>Software Technologies Corp</t>
  </si>
  <si>
    <t>STCS</t>
  </si>
  <si>
    <t>Morgan Stanley Dean Witter
Merrill Lynch
Donaldson Lufkin &amp; Jenrette
Dain Rauscher Wessels
Deutsche Banc Alex Brown
AG Edwards &amp; Sons Inc
First Union Securities Inc
Fleet Boston Corp
Gruntal &amp; Co Inc
Edward D Jones &amp; Co
Prudential Securities Inc
Raymond James &amp; Associates Inc
SG Cowen Securities Corp
Wit Soundview Group Inc
Morgan Stanley Dean Witter</t>
  </si>
  <si>
    <t>MSDW//MERRILL/DLJ//DAIN-R-WESSELS
/DEUTSCHE-ALEX-B/A-G-EDWARDS
/FIRST-UNION-SEC/FLEET-BOSTON/GRUNTAL
/ED-JONES/PSI/RAYMOND/SG-COWEN
/WIT-SOUNDVIEW//MSDW(GC)</t>
  </si>
  <si>
    <t>MSDW
MERRILL
DLJ</t>
  </si>
  <si>
    <t>Morgan Stanley Dean Witter &amp; Co
Merrill Lynch &amp; Co Inc
Donaldson Lufkin &amp; Jenrette Inc</t>
  </si>
  <si>
    <t>Morgan Stanley Dean Witter
Merrill Lynch Intl Ltd
Donaldson Lufkin &amp; Jenrette
Morgan Stanley Dean Witter</t>
  </si>
  <si>
    <t>MSDW//ML-I/DLJ//MSDW(GC)</t>
  </si>
  <si>
    <t>DemandStar.com Inc</t>
  </si>
  <si>
    <t>DMND</t>
  </si>
  <si>
    <t>NOTAPP</t>
  </si>
  <si>
    <t>Not Applicable</t>
  </si>
  <si>
    <t>Sonic Innovations Inc</t>
  </si>
  <si>
    <t>SNCI</t>
  </si>
  <si>
    <t>83545M109</t>
  </si>
  <si>
    <t>Goldman Sachs &amp; Co
Deutsche Banc Alex Brown
US Bancorp Piper Jaffray
Advest Inc
Robert W Baird &amp; Co Inc
Chatsworth Securities LLC
Raymond James &amp; Associates Inc
SG Cowen Securities Corp
Dain Rauscher Corp
First Security Van Kasper &amp; Co
ING Barings
Prudential Securities Inc
Edward D Jones &amp; Co
Goldman Sachs &amp; Co</t>
  </si>
  <si>
    <t>GS//DEUTSCHE-ALEX-B/US-PIPER//ADVEST
/BAIRD/CHATSWORTH/RAYMOND/SG-COWEN
/DAIN-RAUSCHER/FIR-VAN-KASPER
/ING-BARINGS/PSI/ED-JONES//GS(GC)</t>
  </si>
  <si>
    <t>GS
DEUTSCHE-ALEX-B
US-PIPER</t>
  </si>
  <si>
    <t>Goldman Sachs &amp; Co
Deutsche Banc Alex Brown
US Bancorp Piper Jaffray Inc</t>
  </si>
  <si>
    <t>Goldman Sachs &amp; Co
Deutsche Banc Alex Brown
US Bancorp Piper Jaffray
Goldman Sachs &amp; Co</t>
  </si>
  <si>
    <t>GS//DEUTSCHE-ALEX-B/US-PIPER//GS(GC)</t>
  </si>
  <si>
    <t>ViroLogic Inc</t>
  </si>
  <si>
    <t>VLGC</t>
  </si>
  <si>
    <t>92823R201</t>
  </si>
  <si>
    <t>CIBC World Markets Inc
ING Barings
Prudential Vector Healthcare
Chase H&amp;Q
First Union Securities Inc
SG Cowen Securities Corp
Warburg Dillon Read Inc
Crowell Weedon &amp; Co
Roth Capital Partners Inc
Dominick &amp; Dominick Inc
Josephthal &amp; Co Inc
Leerink Swann &amp; Co
Parker-Hunter Inc
Stephens Inc
First Security Van Kasper &amp; Co</t>
  </si>
  <si>
    <t>CIBC-WORLD//ING-BARINGS/PRU-VEC-HC
//CHASE-HQ/FIRST-UNION-SEC/SG-COWEN
/WARBURG-DR/CROWELL/ROTH-CAPITAL
/DOMINICK/JOSEPHTHAL/LEERINK-SWANN
/PARKER-HUNTER/STEPHENS/FIR-VAN-KASPER</t>
  </si>
  <si>
    <t>CIBC-WORLD
ING-BARINGS
PRU-VEC-HC</t>
  </si>
  <si>
    <t>CIBC World Markets Inc
ING Barings
Prudential Vector Healthcare</t>
  </si>
  <si>
    <t>WHEREVER.net Holdings Corp</t>
  </si>
  <si>
    <t>WNET</t>
  </si>
  <si>
    <t>Merrill Lynch
Bear Stearns Asia Limited</t>
  </si>
  <si>
    <t>MERRILL//BEARAS</t>
  </si>
  <si>
    <t>Crown Media Holdings Inc</t>
  </si>
  <si>
    <t>CRWN</t>
  </si>
  <si>
    <t>Donaldson Lufkin &amp; Jenrette
Lehman Brothers
DLJdirect
Salomon Smith Barney
ABN-AMRO Holding NV
Lazard Freres &amp; Co LLC
MeesPierson NV
US Bancorp Piper Jaffray
Morgan Stanley Dean Witter
Gerard Klauer Mattison &amp; Co
Fahnestock &amp; Co
Doft &amp; Co Inc
Crowell Weedon &amp; Co
Chapman Co
JC Bradford &amp; Co
George K Baum &amp; Co
Robert W Baird &amp; Co Inc
Wachovia Bank NA
Tucker Anthony Inc
Sutro &amp; Co Inc
Stifel Nicolaus &amp; Co Inc
Stephens Inc
Seidler Corp
Sands Brothers &amp; Co Ltd
Sanders Morris Mundy Inc
Johnston Lemon &amp; Co Inc
Janney Montgomery Scott Inc
Williams Securities Group
Raymond James &amp; Associates Inc
Petrie Parkman &amp; Co Inc
Pennsylvania Merchant Group
Parker-Hunter Inc
McDonald Investments
Lebenthal
Janco Partners
Hoefer &amp; Arnett Inc
SG Cowen Securities Corp
Merrill Lynch
ING Barings
Deutsche Banc Alex Brown
Dresdner Kleinwort Benson
AG Edwards &amp; Sons Inc
Banc of America Securities LLC</t>
  </si>
  <si>
    <t>Hallmark Entertainment Inc.</t>
  </si>
  <si>
    <t>DLJ//LEH/DLJ-DIRECT/SALOMON-SMITH
//ABN-AMRO/LAZ/MEES-PIERSON/US-PIPER
/MSDW/GERARD-KLAUER/FAHNESTOCK/DOFT
/CROWELL/CHAPMAN/BRADFORD/G-BAUM/BAIRD
/WACHOVIA/TUCKER/SUTRO/STIFEL/STEPHENS
/SEIDLER-COS/SANDS/SANDERS-MORRIS
/JOHNSTON-LEMON/JANNEY/WILLIAMS-SEC
/RAYMOND/PETRIE-PARKMAN/PENN-MER-GROUP
/PARKER-HUNTER/MCDONALD/LEBENTHAL
/JANCO-PARTNERS/HOEFER-ARNETT/SG-COWEN
/MERRILL/ING-BARINGS/DEUTSCHE-ALEX-B
/DRESDNER-KLEINW/A-G-EDWARDS/BA-SEC-LLC</t>
  </si>
  <si>
    <t>DLJ
LEH
DLJ-DIRECT
SALOMON-SMITH</t>
  </si>
  <si>
    <t>Donaldson Lufkin &amp; Jenrette Inc
Lehman Brothers
DLJdirect
Salomon Smith Barney</t>
  </si>
  <si>
    <t>Orchid BioSciences Inc</t>
  </si>
  <si>
    <t>ORCH</t>
  </si>
  <si>
    <t>68571P100</t>
  </si>
  <si>
    <t>Credit Suisse First Boston
Fleet Boston Corp
Salomon Smith Barney
E*Offering Corp
Fahnestock &amp; Co
Punk Ziegel &amp; Knoell
First Union Securities Inc
ING Barings
Invemed Associates Inc
Pacific Growth Equities Inc
US Bancorp Piper Jaffray
Thomas Weisel Partners
Credit Suisse First Boston</t>
  </si>
  <si>
    <t>CS-FB-CS//FLEET-BOSTON/SALOMON-SMITH
//E*OFFERING/FAHNESTOCK/PUNK-ZIEGEL
/FIRST-UNION-SEC/ING-BARINGS/INVEMED
/PACIFIC-GROWTH/US-PIPER/THOMAS-WEISEL
//CS-FB-CS(GC)</t>
  </si>
  <si>
    <t>CS-FB-CS
FLEET-BOSTON
SALOMON-SMITH</t>
  </si>
  <si>
    <t>Credit Suisse First Boston Corp
Fleet Boston Corp,Boston,Massachusetts
Salomon Smith Barney</t>
  </si>
  <si>
    <t>Credit Suisse First Boston Ltd
Credit Suisse First Boston Ltd
FleetBoston Robertson Stephens
Salomon Smith Barney</t>
  </si>
  <si>
    <t>C-S-F-B//C-S-F-B(GC)
/FLEET-ROB-STEPH(GC)/SALOMON-SMITH(GC)</t>
  </si>
  <si>
    <t>Credit Suisse First Boston Ltd</t>
  </si>
  <si>
    <t>Genomic Solutions Inc</t>
  </si>
  <si>
    <t>GNSL</t>
  </si>
  <si>
    <t>UBS-WARBURG</t>
  </si>
  <si>
    <t>37243R109</t>
  </si>
  <si>
    <t>UBS Warburg
Lehman Brothers
Dain Rauscher Wessels
Chase H&amp;Q
Donaldson Lufkin &amp; Jenrette
Robert W Baird &amp; Co Inc
First Union Securities Inc
Punk Ziegel &amp; Co LP
Fleet Boston Corp
Merrill Lynch
Prudential Securities Inc
SG Cowen Securities Corp
Moors &amp; Cabot Inc
Sanders Morris Mundy Inc</t>
  </si>
  <si>
    <t>UBS-WARBURG//LEH/DAIN-R-WESSELS
//CHASE-HQ/DLJ/BAIRD/FIRST-UNION-SEC
/PUNK/FLEET-BOSTON/MERRILL/PSI/SG-COWEN
/MOORS/SANDERS-MORRIS</t>
  </si>
  <si>
    <t>UBS-WARBURG
LEH
DAIN-R-WESSELS</t>
  </si>
  <si>
    <t>UBS Warburg
Lehman Brothers
Dain Rauscher Wessels</t>
  </si>
  <si>
    <t>UBS Warburg
Lehman Brothers
Dain Rauscher Wessels
Chase H&amp;Q
Donaldson Lufkin &amp; Jenrette
Robert W Baird &amp; Co Inc
First Union Securities Inc
Fleet Boston Corp
Merrill Lynch
Prudential Securities Inc
SG Cowen Securities Corp
Moors &amp; Cabot Inc
Punk Ziegel &amp; Co LP
Sanders Morris Mundy Inc</t>
  </si>
  <si>
    <t>UBS-WARBURG//LEH/DAIN-R-WESSELS
/CHASE-HQ/DLJ/BAIRD/FIRST-UNION-SEC
/FLEET-BOSTON/MERRILL/PSI/SG-COWEN
/MOORS/PUNK/SANDERS-MORRIS</t>
  </si>
  <si>
    <t>UBS Warburg</t>
  </si>
  <si>
    <t>Paradigm Genetics Inc</t>
  </si>
  <si>
    <t>PDGM</t>
  </si>
  <si>
    <t>69900R106</t>
  </si>
  <si>
    <t>Chase H&amp;Q
JP Morgan
Pacific Growth Equities Inc
Stephens Inc</t>
  </si>
  <si>
    <t>CHASE-HQ//JPM/PACIFIC-GROWTH/STEPHENS</t>
  </si>
  <si>
    <t>CHASE-HQ
JPM
PACIFIC-GROWTH
STEPHENS</t>
  </si>
  <si>
    <t>Chase H&amp;Q
JP Morgan &amp; Co Inc
Pacific Growth Equities Inc
Stephens Inc</t>
  </si>
  <si>
    <t>Sequoia Software Corp</t>
  </si>
  <si>
    <t>SQSW</t>
  </si>
  <si>
    <t>Lehman Brothers
SG Cowen Securities Corp
Fidelity Capital Markets
Wit Soundview Group Inc
Chase Securities Inc
Friedman Billings Ramsey Group
Banc of America Securities LLC
Bear Stearns &amp; Co Inc
Legg Mason Wood Walker
CE Unterberg Towbin
Tucker Anthony Inc
Janney Montgomery Scott Inc
FleetBoston Robertson Stephens
Dain Rauscher Corp
Lehman Brothers</t>
  </si>
  <si>
    <t>LEH//SG-COWEN/FIDELITY-CAP
/WIT-SOUNDVIEW//CHASE-SEC/FRIEDMAN-B
/BA-SEC-LLC/BEAR/LEGG-MASON-WW
/UNTERBERG/TUCKER/JANNEY
/FLEET-ROB-STEPH/DAIN-RAUSCHER//LEH(GC)</t>
  </si>
  <si>
    <t>LEH
SG-COWEN
FIDELITY-CAP
WIT-SOUNDVIEW</t>
  </si>
  <si>
    <t>Lehman Brothers
SG Cowen Securities Corp
Fidelity Capital Markets
Wit Soundview Group Inc</t>
  </si>
  <si>
    <t>Lehman Brothers
SG Cowen Securities Corp
Wit Soundview Group Inc
Fidelity Capital Markets
Lehman Brothers</t>
  </si>
  <si>
    <t>LEH//SG-COWEN/WIT-SOUNDVIEW
/FIDELITY-CAP//LEH(GC)</t>
  </si>
  <si>
    <t>Lehman Brothers</t>
  </si>
  <si>
    <t>iBeam Broadcasting Corp</t>
  </si>
  <si>
    <t>IBEM</t>
  </si>
  <si>
    <t>45073P101</t>
  </si>
  <si>
    <t>Morgan Stanley Dean Witter
Bear Stearns &amp; Co Inc
Fleet Boston Corp
JP Morgan
Kaufman Brothers LP
Wedbush, Noble, Cooke
Blaylock &amp; Partners LP
Pacific Crest Securities Inc
Raymond James &amp; Associates Inc
Brad Peery Inc
Wit Soundview Group Inc
SG Cowen Securities Corp
First Albany
First Union Securities Inc
Edward D Jones &amp; Co
Janney Montgomery Scott Inc
Dain Rauscher Wessels
Morgan Stanley Dean Witter</t>
  </si>
  <si>
    <t>MSDW//BEAR/FLEET-BOSTON/JPM
//KAUFMAN-BROS/WEDBUSH/BLAYLOCK-PTRNS
/PACIFIC-CREST/RAYMOND/BRADPE
/WIT-SOUNDVIEW/SG-COWEN/FIRST-ALBANY
/FIRST-UNION-SEC/ED-JONES/JANNEY
/DAIN-R-WESSELS//MSDW(GC)</t>
  </si>
  <si>
    <t>MSDW
BEAR
FLEET-BOSTON
JPM</t>
  </si>
  <si>
    <t>Morgan Stanley Dean Witter &amp; Co
Bear Stearns &amp; Co Inc
Fleet Boston Corp,Boston,Massachusetts
JP Morgan &amp; Co Inc</t>
  </si>
  <si>
    <t>New Focus Inc</t>
  </si>
  <si>
    <t>NUFO</t>
  </si>
  <si>
    <t>CS First Boston Corp
Chase H&amp;Q
CIBC World Markets Inc
US Bancorp Piper Jaffray
Dain Rauscher Corp
SunTrust Equitable Securities
Wit Soundview Group Inc
CE Unterberg Towbin
Stifel Nicolaus &amp; Co Inc
FleetBoston Robertson Stephens
WR Hambrecht &amp; Co LLC
Merrill Lynch, Pierce, Fenner
Invemed Associates Inc
E*Offering Corp
CS First Boston Corp</t>
  </si>
  <si>
    <t>CS-FB//CHASE-HQ/CIBC-WORLD/US-PIPER
//DAIN-RAUSCHER/SUNTRUST-EQUI
/WIT-SOUNDVIEW/UNTERBERG/STIFEL
/FLEET-ROB-STEPH/W-R-HAMBRECHT/ML
/INVEMED/E*OFFERING//CS-FB(GC)</t>
  </si>
  <si>
    <t>CS-FB
CHASE-HQ
CIBC-WORLD
US-PIPER</t>
  </si>
  <si>
    <t>CS First Boston Corp
Chase H&amp;Q
CIBC World Markets Inc
US Bancorp Piper Jaffray Inc</t>
  </si>
  <si>
    <t>CS First Boston Corp
CS First Boston Corp
Chase H&amp;Q
Piper Jaffray Inc
CIBC (Atlanta)</t>
  </si>
  <si>
    <t>CS-FB//CS-FB(GC)/CHASE-HQ(GC)
/PIPER-J(GC)/CATLAN(GC)</t>
  </si>
  <si>
    <t>Nogatech Inc</t>
  </si>
  <si>
    <t>W-R-HAMBRECHT</t>
  </si>
  <si>
    <t>WR Hambrecht &amp; Co LLC
ING Barings
DLJdirect</t>
  </si>
  <si>
    <t>W-R-HAMBRECHT//ING-BARINGS/DLJ-DIRECT</t>
  </si>
  <si>
    <t>W-R-HAMBRECHT
ING-BARINGS
DLJ-DIRECT</t>
  </si>
  <si>
    <t>US Unwired Inc</t>
  </si>
  <si>
    <t>UNWR</t>
  </si>
  <si>
    <t>90338R104</t>
  </si>
  <si>
    <t>Donaldson Lufkin &amp; Jenrette
CS First Boston Corp
DLJdirect
First Union Securities Inc
Allen &amp; Co Inc
Morgan Stanley Dean Witter
Salomon Smith Barney
Robert W Baird &amp; Co Inc
Advest Inc
Hoak Breedlove Wesneski &amp; Co
Gruntal &amp; Co Inc
Gerard Klauer Mattison &amp; Co
Gabelli &amp; Co Inc
First Albany
Fahnestock &amp; Co
Chapman Co
JC Bradford &amp; Co
Wachovia Bank NA
CE Unterberg Towbin
Stephens Inc
Santander Securities PR
Sands Brothers &amp; Co Ltd
Sanders Morris Mundy Inc
Raymond James &amp; Associates Inc
Ormes Capital Markets Inc
Legg Mason Wood Walker
Lebenthal
CL King &amp; Associates Inc
W. E. Kaufman
Edward D Jones &amp; Co
Johnston Lemon &amp; Co Inc
George K Baum &amp; Co
Prudential Securities Inc
Merrill Lynch
Deutsche Banc Alex Brown
AG Edwards &amp; Sons Inc
Lehman Brothers
Chase H&amp;Q</t>
  </si>
  <si>
    <t>DLJ//CS-FB/DLJ-DIRECT/FIRST-UNION-SEC
//ALLEN/MSDW/SALOMON-SMITH/BAIRD/ADVEST
/HOAK-BREEDLOVE/GRUNTAL/GERARD-KLAUER
/GABELLI/FIRST-ALBANY/FAHNESTOCK
/CHAPMAN/BRADFORD/WACHOVIA/UNTERBERG
/STEPHENS/SANTANDER-PR/SANDS
/SANDERS-MORRIS/RAYMOND/ORMES
/LEGG-MASON-WW/LEBENTHAL/CL-KING
/KAUFMAN/ED-JONES/JOHNSTON-LEMON/G-BAUM
/PSI/MERRILL/DEUTSCHE-ALEX-B
/A-G-EDWARDS/LEH/CHASE-HQ</t>
  </si>
  <si>
    <t>DLJ
CS-FB
DLJ-DIRECT
FIRST-UNION-SEC</t>
  </si>
  <si>
    <t>Donaldson Lufkin &amp; Jenrette Inc
CS First Boston Corp
DLJdirect
First Union Securities Inc</t>
  </si>
  <si>
    <t>Pixelworks Inc</t>
  </si>
  <si>
    <t>PXLW</t>
  </si>
  <si>
    <t>72581M107</t>
  </si>
  <si>
    <t>Salomon Smith Barney
Deutsche Banc Alex Brown
SG Cowen Securities Corp
E*Offering Corp
DA Davidson &amp; Co Inc
Pacific Crest Securities Inc</t>
  </si>
  <si>
    <t>SALOMON-SMITH/DEUTSCHE-ALEX-B(JOINT)
//SG-COWEN/E*OFFERING//DAVIDSON
/PACIFIC-CREST</t>
  </si>
  <si>
    <t>SALOMON-SMITH/DEUTSCHE-ALEX-B</t>
  </si>
  <si>
    <t>SALOMON-SMITH
/DEUTSCHE-ALEX-B(JOINT)
SG-COWEN
E*OFFERING</t>
  </si>
  <si>
    <t>Salomon Smith Barney
Deutsche Banc Alex Brown
SG Cowen Securities Corp
E*Offering Corp</t>
  </si>
  <si>
    <t>coolsavings.com inc</t>
  </si>
  <si>
    <t>CSAV</t>
  </si>
  <si>
    <t>Chase H&amp;Q
Lehman Brothers
Thomas Weisel Partners
FleetBoston Robertson Stephens
CIBC World Markets Inc
Donaldson Lufkin &amp; Jenrette
First Union Securities Inc
Lazard Freres &amp; Co LLC
Salomon Smith Barney
SG Cowen Securities Corp
William Blair &amp; Co
Burnham Securities Inc
Chatsworth Securities LLC
Dain Rauscher Wessels
E*Offering Corp
Pacific Crest Securities Inc
Raymond James &amp; Associates Inc
Stephens Inc</t>
  </si>
  <si>
    <t>CHASE-HQ//LEH/THOMAS-WEISEL
//FLEET-ROB-STEPH/CIBC-WORLD/DLJ
/FIRST-UNION-SEC/LAZ/SALOMON-SMITH
/SG-COWEN/WM-BLAIR/BURNHAM-SEC
/CHATSWORTH/DAIN-R-WESSELS/E*OFFERING
/PACIFIC-CREST/RAYMOND/STEPHENS</t>
  </si>
  <si>
    <t>CHASE-HQ
LEH
THOMAS-WEISEL</t>
  </si>
  <si>
    <t>Chase H&amp;Q
Lehman Brothers
Thomas Weisel Partners</t>
  </si>
  <si>
    <t>Photocure ASA</t>
  </si>
  <si>
    <t>Norway</t>
  </si>
  <si>
    <t>PHO</t>
  </si>
  <si>
    <t>Oslo</t>
  </si>
  <si>
    <t>Deutsche Bank
Fondsfinans AS
Carnegie AS
Christiania Markets
Deutsche Bank</t>
  </si>
  <si>
    <t>Norway Public</t>
  </si>
  <si>
    <t>DEUTSCHE-BANK/FONDSFINANS(JOINT)
//CARNEGIE-AS/CHRM//DEUTSCHE-BANK(GC)</t>
  </si>
  <si>
    <t>DEUTSCHE-BANK/FONDSFINANS</t>
  </si>
  <si>
    <t>DEUTSCHE-BANK
/FONDSFINANS(JOINT)
CARNEGIE-AS
CHRM</t>
  </si>
  <si>
    <t>Deutsche Bank
Fondsfinans AS
Carnegie AS
Christiania Markets</t>
  </si>
  <si>
    <t>Deutsche Bank
Carnegie AS
Christiania Markets
Deutsche Bank</t>
  </si>
  <si>
    <t>DEUTSCHE-BANK//CARNEGIE-AS/CHRM
//DEUTSCHE-BANK(GC)</t>
  </si>
  <si>
    <t>DEUTSCHE-BANK
CARNEGIE-AS
CHRM</t>
  </si>
  <si>
    <t>Deutsche Bank
Carnegie AS
Christiania Markets</t>
  </si>
  <si>
    <t>Integrated Circuit Systems Inc</t>
  </si>
  <si>
    <t>ICST</t>
  </si>
  <si>
    <t>45811K208</t>
  </si>
  <si>
    <t>CS First Boston Corp
Fleet Boston Corp
Bear Stearns &amp; Co Inc
Pennsylvania Merchant Group
Lehman Brothers
Chase Securities Inc
Invemed Associates Inc
CIBC World Markets Inc
E*Offering Corp
Stifel Nicolaus &amp; Co Inc
Tucker Anthony Inc
CS First Boston Corp</t>
  </si>
  <si>
    <t>CS-FB//FLEET-BOSTON/BEAR/PENN-MER-GROUP
/LEH//CHASE-SEC/INVEMED/CIBC-WORLD
/E*OFFERING/STIFEL/TUCKER//CS-FB(GC)</t>
  </si>
  <si>
    <t>CS-FB
FLEET-BOSTON
BEAR
PENN-MER-GROUP
LEH</t>
  </si>
  <si>
    <t>CS First Boston Corp
Fleet Boston Corp,Boston,Massachusetts
Bear Stearns &amp; Co Inc
Pennsylvania Merchant Group Ltd
Lehman Brothers</t>
  </si>
  <si>
    <t>Credit Suisse First Boston Ltd
Credit Suisse First Boston Ltd
FleetBoston Robertson Stephens
Lehman Brothers
Penn-America Group Inc
Bear Stearns Bank Plc
Pennsylvania Merchant Group</t>
  </si>
  <si>
    <t>C-S-F-B//C-S-F-B(GC)
/FLEET-ROB-STEPH(GC)/LEH(GC)/PENUSA(GC)
/BSTBK(GC)/PENN-MER-GROUP(GC)</t>
  </si>
  <si>
    <t>Centillium Communications Inc</t>
  </si>
  <si>
    <t>CTLM</t>
  </si>
  <si>
    <t>CS First Boston Corp
Fleet Boston Corp
Salomon Smith Barney
Chase Securities Inc
E*Offering Corp
WR Hambrecht &amp; Co LLC
Invemed Associates Inc
Lehman Brothers
Brad Peery Inc
CS First Boston Corp</t>
  </si>
  <si>
    <t>CS-FB//FLEET-BOSTON/SALOMON-SMITH
//CHASE-SEC/E*OFFERING/W-R-HAMBRECHT
/INVEMED/LEH/BRADPE//CS-FB(GC)</t>
  </si>
  <si>
    <t>CS-FB
FLEET-BOSTON
SALOMON-SMITH</t>
  </si>
  <si>
    <t>CS First Boston Corp
Fleet Boston Corp,Boston,Massachusetts
Salomon Smith Barney</t>
  </si>
  <si>
    <t>Universal Compression Holdings</t>
  </si>
  <si>
    <t>UCO</t>
  </si>
  <si>
    <t>Merrill Lynch
Salomon Smith Barney
Deutsche Banc Alex Brown
Wasserstein Perella Securities
First Union Securities Inc
Merrill Lynch</t>
  </si>
  <si>
    <t>Castle Harlan Partners III LP</t>
  </si>
  <si>
    <t>MERRILL/SALOMON-SMITH(JOINT)
//DEUTSCHE-ALEX-B/WP-SEC
/FIRST-UNION-SEC//MERRILL(GC)</t>
  </si>
  <si>
    <t>MERRILL
/SALOMON-SMITH(JOINT)
DEUTSCHE-ALEX-B
WP-SEC
FIRST-UNION-SEC</t>
  </si>
  <si>
    <t>Merrill Lynch &amp; Co Inc
Salomon Smith Barney
Deutsche Banc Alex Brown
Wasserstein Perella Securities
First Union Securities Inc</t>
  </si>
  <si>
    <t>Merrill Lynch
Schroder Salomon Smith Barney
Deutsche Banc Alex Brown
First Union Capital Markets
Wasserstein Perella Group Inc
Merrill Lynch</t>
  </si>
  <si>
    <t>MERRILL/SSSB(JOINT)//DEUTSCHE-ALEX-B
//FIRST-UNION-CAP/WP//MERRILL(GC)</t>
  </si>
  <si>
    <t>MERRILL/SSSB</t>
  </si>
  <si>
    <t>MERRILL
/SSSB(JOINT)
DEUTSCHE-ALEX-B</t>
  </si>
  <si>
    <t>Merrill Lynch &amp; Co Inc
Schroder Salomon Smith Barney
Deutsche Banc Alex Brown</t>
  </si>
  <si>
    <t>Sonus Networks Inc</t>
  </si>
  <si>
    <t>SONS</t>
  </si>
  <si>
    <t>Goldman Sachs &amp; Co
Lehman Brothers
JP Morgan
Fleet Boston Corp
George K Baum &amp; Co
WR Hambrecht &amp; Co LLC
Dain Rauscher Corp
AG Edwards &amp; Sons Inc
Soundview Technology (OLD)
Tucker Anthony Inc
Brad Peery Inc
Goldman Sachs &amp; Co</t>
  </si>
  <si>
    <t>GS//LEH/JPM/FLEET-BOSTON//G-BAUM
/W-R-HAMBRECHT/DAIN-RAUSCHER
/A-G-EDWARDS/SOUNDVIEW-TECH/TUCKER
/BRADPE//GS(GC)</t>
  </si>
  <si>
    <t>GS
LEH
JPM
FLEET-BOSTON</t>
  </si>
  <si>
    <t>Goldman Sachs &amp; Co
Lehman Brothers
JP Morgan &amp; Co Inc
Fleet Boston Corp,Boston,Massachusetts</t>
  </si>
  <si>
    <t>Goldman Sachs &amp; Co
JP Morgan
Lehman Brothers
FleetBoston Robertson Stephens
Goldman Sachs &amp; Co</t>
  </si>
  <si>
    <t>GS//JPM/LEH/FLEET-ROB-STEPH//GS(GC)</t>
  </si>
  <si>
    <t>Stanford Microdevices Inc</t>
  </si>
  <si>
    <t>Deutsche Banc Alex Brown
Banc of America Securities LLC
Fleet Boston Corp
CIBC World Markets Inc
Bear Stearns &amp; Co Inc
Adams Harkness &amp; Hill Inc
Dain Rauscher Wessels
JC Bradford &amp; Co
SunTrust Equitable Securities
CL King &amp; Associates Inc
Gerard Klauer Mattison &amp; Co
First Security Van Kasper &amp; Co
Dominick &amp; Dominick Inc
Salomon Smith Barney
Merrill Lynch
Morgan Stanley Dean Witter
Prudential Securities Inc
PaineWebber
Chase H&amp;Q
Deutsche Banc Alex Brown</t>
  </si>
  <si>
    <t>DEUTSCHE-ALEX-B//BA-SEC-LLC
/FLEET-BOSTON/CIBC-WORLD//BEAR
/ADAMS-HARKNESS/DAIN-R-WESSELS/BRADFORD
/SUNTRUST-EQUI/CL-KING/GERARD-KLAUER
/FIR-VAN-KASPER/DOMINICK/SALOMON-SMITH
/MERRILL/MSDW/PSI/PAINE-W/CHASE-HQ
//DEUTSCHE-ALEX-B(GC)</t>
  </si>
  <si>
    <t>DEUTSCHE-ALEX-B
BA-SEC-LLC
FLEET-BOSTON
CIBC-WORLD</t>
  </si>
  <si>
    <t>Deutsche Banc Alex Brown
Banc of America Securities LLC
Fleet Boston Corp,Boston,Massachusetts
CIBC World Markets Inc</t>
  </si>
  <si>
    <t>NRG Energy Inc</t>
  </si>
  <si>
    <t>NRG</t>
  </si>
  <si>
    <t>Salomon Smith Barney
Credit Suisse First Boston
Banc of America Securities LLC
Lehman Brothers
Morgan Stanley Dean Witter
Merrill Lynch
Goldman Sachs &amp; Co
ABN AMRO Rothschild
Chatsworth Securities LLC
Dain Rauscher Corp
AG Edwards &amp; Sons Inc
Ragen MacKenzie Group Inc
Robinson-Humphrey Co
US Bancorp Piper Jaffray
DA Davidson &amp; Co Inc
CIBC World Markets Inc</t>
  </si>
  <si>
    <t>NSP</t>
  </si>
  <si>
    <t>Northern States Power Co</t>
  </si>
  <si>
    <t>SALOMON-SMITH//CS-FB-CS/BA-SEC-LLC/LEH
/MSDW/MERRILL/GS/ABN-ROTHSCHILD
//CHATSWORTH/DAIN-RAUSCHER/A-G-EDWARDS
/RAGEN/ROBINSON/US-PIPER/DAVIDSON
/CIBC-WORLD</t>
  </si>
  <si>
    <t>SALOMON-SMITH
CS-FB-CS
BA-SEC-LLC
LEH
MSDW
MERRILL
GS
ABN-ROTHSCHILD</t>
  </si>
  <si>
    <t>Salomon Smith Barney
Credit Suisse First Boston Corp
Banc of America Securities LLC
Lehman Brothers
Morgan Stanley Dean Witter &amp; Co
Merrill Lynch &amp; Co Inc
Goldman Sachs &amp; Co
ABN AMRO Rothschild</t>
  </si>
  <si>
    <t>First Horizon Pharmaceutical</t>
  </si>
  <si>
    <t>FHRX</t>
  </si>
  <si>
    <t>32051K106</t>
  </si>
  <si>
    <t>Chase H&amp;Q
Banc of America Securities LLC
Thomas Weisel Partners
CIBC World Markets Inc
Donaldson Lufkin &amp; Jenrette
Prudential Securities Inc
US Bancorp Piper Jaffray
UBS Warburg
William Blair &amp; Co
JC Bradford &amp; Co
Chatsworth Securities LLC
Pennsylvania Merchant Group
Raymond James &amp; Associates Inc
Robinson-Humphrey Co</t>
  </si>
  <si>
    <t>CHASE-HQ//BA-SEC-LLC/THOMAS-WEISEL
//CIBC-WORLD/DLJ/PSI/US-PIPER
/UBS-WARBURG/WM-BLAIR/BRADFORD
/CHATSWORTH/PENN-MER-GROUP/RAYMOND
/ROBINSON</t>
  </si>
  <si>
    <t>CHASE-HQ
BA-SEC-LLC
THOMAS-WEISEL</t>
  </si>
  <si>
    <t>Chase H&amp;Q
Banc of America Securities LLC
Thomas Weisel Partners</t>
  </si>
  <si>
    <t>ONI Systems Corp</t>
  </si>
  <si>
    <t>ONIS</t>
  </si>
  <si>
    <t>68273F103</t>
  </si>
  <si>
    <t>Goldman Sachs &amp; Co
Banc of America Securities LLC
Fleet Boston Corp
Chase H&amp;Q
Lehman Brothers
Salomon Smith Barney
UBS Warburg
JP Morgan
Goldman Sachs &amp; Co</t>
  </si>
  <si>
    <t>GS//BA-SEC-LLC/FLEET-BOSTON/CHASE-HQ
//LEH/SALOMON-SMITH/UBS-WARBURG/JPM
//GS(GC)</t>
  </si>
  <si>
    <t>GS
BA-SEC-LLC
FLEET-BOSTON
CHASE-HQ</t>
  </si>
  <si>
    <t>Goldman Sachs &amp; Co
Banc of America Securities LLC
Fleet Boston Corp,Boston,Massachusetts
Chase H&amp;Q</t>
  </si>
  <si>
    <t>GS-I</t>
  </si>
  <si>
    <t>68773F103</t>
  </si>
  <si>
    <t>Goldman Sachs International
Bank of America
Chase H&amp;Q
FleetBoston Robertson Stephens
Goldman Sachs International</t>
  </si>
  <si>
    <t>GS-I//BANK-OF-AMERICA/CHASE-HQ
/FLEET-ROB-STEPH//GS-I(GC)</t>
  </si>
  <si>
    <t>Goldman Sachs International</t>
  </si>
  <si>
    <t>CrossWorlds Software Inc</t>
  </si>
  <si>
    <t>CWLD</t>
  </si>
  <si>
    <t>22769P109</t>
  </si>
  <si>
    <t>Chase H&amp;Q
Dain Rauscher Wessels
Thomas Weisel Partners
FleetBoston Robertson Stephens
Deutsche Banc Alex Brown
Donaldson Lufkin &amp; Jenrette
SG Cowen Securities Corp
Wasserstein Perella Securities
George K Baum &amp; Co
E*Offering Corp
First Albany
First Southwest
Gerard Klauer Mattison &amp; Co
McDonald Investments
Needham &amp; Co LLC
Banc of America Securities LLC</t>
  </si>
  <si>
    <t>CHASE-HQ//DAIN-R-WESSELS/THOMAS-WEISEL
//FLEET-ROB-STEPH/DEUTSCHE-ALEX-B/DLJ
/SG-COWEN/WP-SEC/G-BAUM/E*OFFERING
/FIRST-ALBANY/FIRST-SW/GERARD-KLAUER
/MCDONALD/NEEDHAM/BA-SEC-LLC</t>
  </si>
  <si>
    <t>CHASE-HQ
DAIN-R-WESSELS
THOMAS-WEISEL</t>
  </si>
  <si>
    <t>Chase H&amp;Q
Dain Rauscher Wessels
Thomas Weisel Partners</t>
  </si>
  <si>
    <t>Nelvana Ltd</t>
  </si>
  <si>
    <t>NELV</t>
  </si>
  <si>
    <t>Sub Voting Shs</t>
  </si>
  <si>
    <t>64042V107</t>
  </si>
  <si>
    <t>Bear Stearns &amp; Co Inc
SG Cowen Securities Corp
RBC Dominion Securities Corp</t>
  </si>
  <si>
    <t>BEAR//SG-COWEN/RBC-DOM-US</t>
  </si>
  <si>
    <t>BEAR
SG-COWEN
RBC-DOM-US</t>
  </si>
  <si>
    <t>Exult Inc</t>
  </si>
  <si>
    <t>EXLT</t>
  </si>
  <si>
    <t>Merrill Lynch
Bear Stearns &amp; Co Inc
Salomon Smith Barney
Fleet Boston Corp
Robert W Baird &amp; Co Inc
Roth Capital Partners Inc
Prudential Securities Inc
Dain Rauscher Corp
E*Offering Corp
PaineWebber
Legg Mason &amp; Co Inc
Chase H&amp;Q
Merrill Lynch</t>
  </si>
  <si>
    <t>MERRILL//BEAR/SALOMON-SMITH
/FLEET-BOSTON//BAIRD/ROTH-CAPITAL/PSI
/DAIN-RAUSCHER/E*OFFERING/PAINE-W
/LEGG-MASON/CHASE-HQ//MERRILL(GC)</t>
  </si>
  <si>
    <t>MERRILL
BEAR
SALOMON-SMITH
FLEET-BOSTON</t>
  </si>
  <si>
    <t>Merrill Lynch &amp; Co Inc
Bear Stearns &amp; Co Inc
Salomon Smith Barney
Fleet Boston Corp,Boston,Massachusetts</t>
  </si>
  <si>
    <t>Merrill Lynch
Bear Stearns &amp; Co Inc
FleetBoston Robertson Stephens
Salomon Smith Barney
Merrill Lynch</t>
  </si>
  <si>
    <t>MERRILL//BEAR/FLEET-ROB-STEPH
/SALOMON-SMITH//MERRILL(GC)</t>
  </si>
  <si>
    <t>Founders Food Firkins Ltd</t>
  </si>
  <si>
    <t>STEICHEN</t>
  </si>
  <si>
    <t>R. J. Steichen</t>
  </si>
  <si>
    <t>R. J. Steichen &amp; Company</t>
  </si>
  <si>
    <t>Ubiquitel Inc</t>
  </si>
  <si>
    <t>UPCS</t>
  </si>
  <si>
    <t>Donaldson Lufkin &amp; Jenrette
Banc of America Securities LLC
DLJdirect
Chase H&amp;Q
CS First Boston Corp
Credit Lyonnais Securities USA
Deutsche Bank Securities
First Union National Bancorp
Goldman Sachs &amp; Co
HSBC Holdings PLC
Lehman Brothers
Merrill Lynch, Pierce, Fenner
Morgan Stanley &amp; Co
PaineWebber
Salomon Smith Barney
CE Unterberg Towbin
George K Baum &amp; Co
Blair House
JC Bradford &amp; Co
Fahnestock &amp; Co
First Albany
Gabelli &amp; Co Inc
Gerard Klauer Mattison &amp; Co
Hoak Breedlove Wesneski &amp; Co
Janney Montgomery Scott Inc
Johnston Lemon &amp; Co Inc
Legg Mason &amp; Co Inc
Parker-Hunter Inc
Pennsylvania Merchant Group
Robinson-Humphrey Co
Sanders Morris Harris Inc
Sands Brothers &amp; Co Ltd
Banco Santander de Negocios SA
Stephens Inc</t>
  </si>
  <si>
    <t>DLJ//BA-SEC-LLC/DLJ-DIRECT//CHASE-HQ
/CS-FB/CL-SEC-USA/DBSECU/FIRST-UNION/GS
/HSBC/LEH/ML/MS/PAINE-W/SALOMON-SMITH
/UNTERBERG/G-BAUM/BLAIR/BRADFORD
/FAHNESTOCK/FIRST-ALBANY/GABELLI
/GERARD-KLAUER/HOAK-BREEDLOVE/JANNEY
/JOHNSTON-LEMON/LEGG-MASON
/PARKER-HUNTER/PENN-MER-GROUP/ROBINSON
/SANDERS-HARRIS/SANDS/SANTANDER
/STEPHENS</t>
  </si>
  <si>
    <t>DLJ
BA-SEC-LLC
DLJ-DIRECT</t>
  </si>
  <si>
    <t>Donaldson Lufkin &amp; Jenrette Inc
Banc of America Securities LLC
DLJdirect</t>
  </si>
  <si>
    <t>Community Health Systems Inc</t>
  </si>
  <si>
    <t>CYH</t>
  </si>
  <si>
    <t>Merrill Lynch
Banc of America Securities LLC
CS First Boston Corp
Morgan Stanley Dean Witter
Goldman Sachs &amp; Co
Chase H&amp;Q
Donaldson Lufkin &amp; Jenrette
Scotia Capital Markets
Morgan Keegan Inc
SunTrust Banks
Salomon Smith Barney
US Bancorp Piper Jaffray
JC Bradford &amp; Co
HSBC Holdings PLC
UBS Warburg
First Union National Bancorp
Merrill Lynch</t>
  </si>
  <si>
    <t>MERRILL//BA-SEC-LLC/CS-FB/MSDW/GS
/CHASE-HQ//DLJ/SCOTIA-CAP-USA
/MORGAN-KEEGAN/SUNTRUST-BK
/SALOMON-SMITH/US-PIPER/BRADFORD/HSBC
/UBS-WARBURG/FIRST-UNION//MERRILL(GC)</t>
  </si>
  <si>
    <t>MERRILL
BA-SEC-LLC
CS-FB
MSDW
GS
CHASE-HQ</t>
  </si>
  <si>
    <t>Merrill Lynch &amp; Co Inc
Banc of America Securities LLC
CS First Boston Corp
Morgan Stanley Dean Witter &amp; Co
Goldman Sachs &amp; Co
Chase H&amp;Q</t>
  </si>
  <si>
    <t>Merrill Lynch
Banc of America Securities LLC
Chase H&amp;Q
Credit Suisse First Boston Ltd
Goldman Sachs &amp; Co
Morgan Stanley Dean Witter
Merrill Lynch</t>
  </si>
  <si>
    <t>MERRILL//BA-SEC-LLC/CHASE-HQ/C-S-F-B/GS
/MSDW//MERRILL(GC)</t>
  </si>
  <si>
    <t>Take To Auction.com Inc</t>
  </si>
  <si>
    <t>TTA</t>
  </si>
  <si>
    <t>NOBLE-INV</t>
  </si>
  <si>
    <t>Noble Investment Co</t>
  </si>
  <si>
    <t>Noble Investment Co. of Palm Beach</t>
  </si>
  <si>
    <t>Intuitive Surgical Inc</t>
  </si>
  <si>
    <t>ISRG</t>
  </si>
  <si>
    <t>46120E107</t>
  </si>
  <si>
    <t>Lehman Brothers
Bear Stearns &amp; Co Inc
Warburg Dillon Read Inc
Fidelity Capital Markets
Fleet Boston Corp
Prudential Securities Inc
AG Edwards &amp; Sons Inc
Edward D Jones &amp; Co
Donaldson Lufkin &amp; Jenrette
Chase Securities Inc
Fahnestock &amp; Co
Dain, Kalman &amp; Quail
Raymond James &amp; Associates Inc
Gruntal &amp; Co Inc
Merrill Lynch, Pierce, Fenner
Salomon Brothers
Credit Suisse First Boston
Lehman Brothers</t>
  </si>
  <si>
    <t>LEH//BEAR/WARBURG-DR/FIDELITY-CAP
/FLEET-BOSTON//PSI/A-G-EDWARDS/ED-JONES
/DLJ/CHASE-SEC/FAHNESTOCK/DAIN/RAYMOND
/GRUNTAL/ML/SAL/CS-FB-CS//LEH(GC)</t>
  </si>
  <si>
    <t>LEH
BEAR
WARBURG-DR
FIDELITY-CAP
FLEET-BOSTON</t>
  </si>
  <si>
    <t>Lehman Brothers
Bear Stearns &amp; Co Inc
Warburg Dillon Read Inc
Fidelity Capital Markets
Fleet Boston Corp,Boston,Massachusetts</t>
  </si>
  <si>
    <t>Lehman Brothers
Bear Stearns &amp; Co Inc
FleetBoston Robertson Stephens
UBS Warburg (UK)
Fidelity Capital Markets
Lehman Brothers</t>
  </si>
  <si>
    <t>LEH//BEAR/FLEET-ROB-STEPH
/UBS-WARBURG-UK/FIDELITY-CAP//LEH(GC)</t>
  </si>
  <si>
    <t>August Technology Corp</t>
  </si>
  <si>
    <t>AUGT</t>
  </si>
  <si>
    <t>05106U105</t>
  </si>
  <si>
    <t>Needham &amp; Co LLC
Adams Harkness &amp; Hill Inc
AG Edwards &amp; Sons Inc
Banc of America Securities LLC
Bear Stearns &amp; Co Inc
CIBC World Markets Inc
Donaldson Lufkin Jenrette Intl
ING Barings
Lehman Brothers
Morgan Stanley &amp; Co
William Blair &amp; Co
Dain Rauscher Corp
First Security Van Kasper &amp; Co
Parker-Hunter Inc
Sanders Morris Mundy Inc
R. J. Steichen
Tucker Anthony Inc</t>
  </si>
  <si>
    <t>NEEDHAM//ADAMS-HARKNESS/A-G-EDWARDS
//BA-SEC-LLC/BEAR/CIBC-WORLD/DLJI
/ING-BARINGS/LEH/MS/WM-BLAIR
/DAIN-RAUSCHER/FIR-VAN-KASPER
/PARKER-HUNTER/SANDERS-MORRIS/STEICHEN
/TUCKER</t>
  </si>
  <si>
    <t>NEEDHAM
ADAMS-HARKNESS
A-G-EDWARDS</t>
  </si>
  <si>
    <t>Needham &amp; Co LLC
Adams Harkness &amp; Hill Inc
AG Edwards &amp; Sons Inc</t>
  </si>
  <si>
    <t>Osca Inc(Great Lakes Chem)</t>
  </si>
  <si>
    <t>OSCA</t>
  </si>
  <si>
    <t>Salomon Smith Barney
Morgan Stanley Dean Witter
Simmons &amp; Co International
Dain Rauscher Corp
Goldsmith, Agio &amp; Co.
McDonald Investments</t>
  </si>
  <si>
    <t>SPW</t>
  </si>
  <si>
    <t>SPX Corp</t>
  </si>
  <si>
    <t>SALOMON-SMITH//MSDW/SIMMONS
//DAIN-RAUSCHER/GOLDSMITH/MCDONALD</t>
  </si>
  <si>
    <t>SALOMON-SMITH
MSDW
SIMMONS</t>
  </si>
  <si>
    <t>Salomon Smith Barney
Morgan Stanley Dean Witter &amp; Co
Simmons &amp; Co International</t>
  </si>
  <si>
    <t>Pacific Mercantile Bancorp</t>
  </si>
  <si>
    <t>PMBC</t>
  </si>
  <si>
    <t>Paulson Investment Co
KSH Investment Group, Inc.
Weatherly Securities Corp
HJ Meyers &amp; Co
First Montauk Securities</t>
  </si>
  <si>
    <t>PAULSON//KSH-INVESTMENT/WEATHERLY
/MEYERS/FIRST-MONTAUK</t>
  </si>
  <si>
    <t>PAULSON
KSH-INVESTMENT
WEATHERLY
MEYERS
FIRST-MONTAUK</t>
  </si>
  <si>
    <t>Paulson Investment Co
KSH Investment Group, Inc.
Weatherly Securities Corporation
HJ Meyers &amp; Co
First Montauk Securities Corp</t>
  </si>
  <si>
    <t>Rediff.com India Ltd</t>
  </si>
  <si>
    <t>India</t>
  </si>
  <si>
    <t>REDF</t>
  </si>
  <si>
    <t>Goldman Sachs (Asia)
Robert Fleming &amp; Co Ltd (UK)
Credit Suisse First Boston Ltd</t>
  </si>
  <si>
    <t>GS-ASIA//FLEMING-LTD//C-S-F-B</t>
  </si>
  <si>
    <t>GS-ASIA
FLEMING-LTD</t>
  </si>
  <si>
    <t>Goldman Sachs (Asia)
Robert Fleming &amp; Co Ltd (United Kingdom)</t>
  </si>
  <si>
    <t>Echapman Inc</t>
  </si>
  <si>
    <t>ECMN</t>
  </si>
  <si>
    <t>CHAPMAN</t>
  </si>
  <si>
    <t>26830Q103</t>
  </si>
  <si>
    <t>Chapman Co
Salomon Smith Barney
Ferris Baker Watts
Stephens Inc
Doley Securities
First Colonial Securities Grp
MR Beal &amp; Co
Pryor Govan Counts &amp; Co Inc</t>
  </si>
  <si>
    <t>CHAPMAN//SALOMON-SMITH/FERRIS-BAKER
/STEPHENS/DOLEY-SEC/FIRST-COLONIAL
/M-R-BEAL/PRYOR</t>
  </si>
  <si>
    <t>Chapman Co</t>
  </si>
  <si>
    <t>Dendreon Corp</t>
  </si>
  <si>
    <t>DNDN</t>
  </si>
  <si>
    <t>PRU-VEC-HC</t>
  </si>
  <si>
    <t>24823Q107</t>
  </si>
  <si>
    <t>Prudential Vector Healthcare
SG Cowen Securities Corp
Pacific Growth Equities Inc
CIBC World Markets Inc
ING Barings
Lehman Brothers
Merrill Lynch
JP Morgan
Morgan Stanley Dean Witter
Salomon Brothers
US Bancorp Piper Jaffray
Ladenburg Thalmann &amp; Co
McAdams Wright Ragen Inc
Ragen MacKenzie Group Inc
Sutro &amp; Co Inc
Tucker Anthony Inc</t>
  </si>
  <si>
    <t>PRU-VEC-HC//SG-COWEN/PACIFIC-GROWTH
//CIBC-WORLD/ING-BARINGS/LEH/MERRILL
/JPM/MSDW/SAL/US-PIPER/LADENBURG
/MCADAMS-WRIGHT/RAGEN/SUTRO/TUCKER</t>
  </si>
  <si>
    <t>PRU-VEC-HC
SG-COWEN
PACIFIC-GROWTH</t>
  </si>
  <si>
    <t>Prudential Vector Healthcare
SG Cowen Securities Corp
Pacific Growth Equities Inc</t>
  </si>
  <si>
    <t>Handspring Inc</t>
  </si>
  <si>
    <t>HAND</t>
  </si>
  <si>
    <t>CS First Boston Corp
Merrill Lynch
Donaldson Lufkin &amp; Jenrette
US Bancorp Piper Jaffray
Bear Stearns &amp; Co Inc
Hambrecht &amp; Quist
Salomon Brothers
Wit Soundview Group Inc
SG Warburg Group PLC
Prudential Securities Inc
Rauscher Pierce Securities
AG Edwards &amp; Sons Inc
E*Offering Corp
Chase Securities Inc
CS First Boston Corp</t>
  </si>
  <si>
    <t>CS-FB//MERRILL/DLJ/US-PIPER//BEAR
/HAMBRECHT/SAL/WIT-SOUNDVIEW/WARBURG
/PSI/RAUSCHER/A-G-EDWARDS/E*OFFERING
/CHASE-SEC//CS-FB(GC)</t>
  </si>
  <si>
    <t>CS-FB
MERRILL
DLJ
US-PIPER</t>
  </si>
  <si>
    <t>CS First Boston Corp
Merrill Lynch &amp; Co Inc
Donaldson Lufkin &amp; Jenrette Inc
US Bancorp Piper Jaffray Inc</t>
  </si>
  <si>
    <t>CSMSC</t>
  </si>
  <si>
    <t>CSFB Mortgage Securities Corp
Merrill Lynch
DLJ Capital Corp
Piper Jaffray Inc</t>
  </si>
  <si>
    <t>CSMSC//MERRILL(GC)/DLJCC(GC)
/PIPER-J(GC)</t>
  </si>
  <si>
    <t>CSFB Mortgage Securities Corp</t>
  </si>
  <si>
    <t>Cepheid Inc</t>
  </si>
  <si>
    <t>CPHD</t>
  </si>
  <si>
    <t>15670R107</t>
  </si>
  <si>
    <t>UBS Warburg
Prudential Vector Healthcare
Invemed Associates Inc
Banc of America Securities LLC
Chase H&amp;Q
CIBC World Markets Inc
Fleet Boston Corp
ING Barings
Lehman Brothers
Merrill Lynch, Pierce, Fenner
Morgan Stanley Dean Witter
Salomon Smith Barney
SG Cowen Securities Corp
William Blair &amp; Co
Dain, Kalman &amp; Quail
Robinson-Humphrey Co
UBS Warburg</t>
  </si>
  <si>
    <t>UBS-WARBURG//PRU-VEC-HC/INVEMED
//BA-SEC-LLC/CHASE-HQ/CIBC-WORLD
/FLEET-BOSTON/ING-BARINGS/LEH/ML/MSDW
/SALOMON-SMITH/SG-COWEN/WM-BLAIR/DAIN
/ROBINSON//UBS-WARBURG(GC)</t>
  </si>
  <si>
    <t>UBS-WARBURG
PRU-VEC-HC
INVEMED</t>
  </si>
  <si>
    <t>UBS Warburg
Prudential Vector Healthcare
Invemed Associates Inc</t>
  </si>
  <si>
    <t>UBS-WARBURG-UK</t>
  </si>
  <si>
    <t>UBS Warburg (UK)
UBS Warburg (UK)</t>
  </si>
  <si>
    <t>UBS-WARBURG-UK//UBS-WARBURG-UK(GC)</t>
  </si>
  <si>
    <t>UBS Warburg (UK)</t>
  </si>
  <si>
    <t>Accelerated Networks Inc</t>
  </si>
  <si>
    <t>ACCL</t>
  </si>
  <si>
    <t>00429P107</t>
  </si>
  <si>
    <t>CS First Boston Corp
UBS Warburg
US Bancorp Piper Jaffray
JC Bradford &amp; Co
Rauscher Pierce Securities
E*Offering Corp
Invemed Associates Inc
Legg Mason &amp; Co Inc
Nutmeg Securities Ltd
Raymond James &amp; Associates Inc
CS First Boston Corp</t>
  </si>
  <si>
    <t>CS-FB//UBS-WARBURG/US-PIPER//BRADFORD
/RAUSCHER/E*OFFERING/INVEMED/LEGG-MASON
/NUTMEG-SEC/RAYMOND//CS-FB(GC)</t>
  </si>
  <si>
    <t>CS-FB
UBS-WARBURG
US-PIPER</t>
  </si>
  <si>
    <t>CS First Boston Corp
UBS Warburg
US Bancorp Piper Jaffray Inc</t>
  </si>
  <si>
    <t>Credit Suisse First Boston Inc
Piper Jaffray Inc
UBS Warburg (UK)
Credit Suisse First Boston Inc</t>
  </si>
  <si>
    <t>CSFB-INC//PIPER-J//UBS-WARBURG-UK
//CSFB-INC(GC)</t>
  </si>
  <si>
    <t>CSFB-INC
PIPER-J</t>
  </si>
  <si>
    <t>Credit Suisse First Boston Inc
Piper Jaffray Inc</t>
  </si>
  <si>
    <t>Manufacturers Services Ltd</t>
  </si>
  <si>
    <t>MSV</t>
  </si>
  <si>
    <t>Donaldson Lufkin &amp; Jenrette
Banc of America Securities LLC
Fleet Boston Corp
Thomas Weisel Partners
DLJdirect
Bear Stearns &amp; Co Inc
Chase H&amp;Q
CIBC World Markets Inc
AG Edwards &amp; Sons Inc
Lehman Brothers
Merrill Lynch, Pierce, Fenner
Morgan Stanley &amp; Co
Prudential Securities Inc
Salomon Smith Barney
SG Cowen Securities Corp
CE Unterberg Towbin
UBS Warburg
Adams Harkness &amp; Hill Inc
Advest Inc
Robert W Baird &amp; Co Inc
Blair House
Chapman Co
Dain Rauscher Corp
Fahnestock &amp; Co
First Albany
Gruntal &amp; Co Inc
Johnston Lemon &amp; Co Inc
King &amp; Shaxson Holdings
McDonald Investments
Needham &amp; Co LLC
Pennsylvania Merchant Group
Ragen MacKenzie Group Inc
Raymond James &amp; Associates Inc
Sanders Morris Harris Inc
Sands Brothers &amp; Co Ltd
Stephens Inc
SunTrust Equitable Securities
Tucker Anthony Inc
Wachovia Securities Inc</t>
  </si>
  <si>
    <t>DLJ Merchant Banking Inc</t>
  </si>
  <si>
    <t>DLJ//BA-SEC-LLC/FLEET-BOSTON
/THOMAS-WEISEL/DLJ-DIRECT//BEAR
/CHASE-HQ/CIBC-WORLD/A-G-EDWARDS/LEH/ML
/MS/PSI/SALOMON-SMITH/SG-COWEN
/UNTERBERG/UBS-WARBURG/ADAMS-HARKNESS
/ADVEST/BAIRD/BLAIR/CHAPMAN
/DAIN-RAUSCHER/FAHNESTOCK/FIRST-ALBANY
/GRUNTAL/JOHNSTON-LEMON/KING/MCDONALD
/NEEDHAM/PENN-MER-GROUP/RAGEN/RAYMOND
/SANDERS-HARRIS/SANDS/STEPHENS
/SUNTRUST-EQUI/TUCKER/WACHOVIA-SEC</t>
  </si>
  <si>
    <t>DLJ
BA-SEC-LLC
FLEET-BOSTON
THOMAS-WEISEL
DLJ-DIRECT</t>
  </si>
  <si>
    <t>Donaldson Lufkin &amp; Jenrette Inc
Banc of America Securities LLC
Fleet Boston Corp,Boston,Massachusetts
Thomas Weisel Partners
DLJdirect</t>
  </si>
  <si>
    <t>ClickSoftware Ltd</t>
  </si>
  <si>
    <t>CKSW</t>
  </si>
  <si>
    <t>M25082104</t>
  </si>
  <si>
    <t>Lehman Brothers
CIBC World Markets Inc
Fidelity Capital Markets
SG Cowen Securities Corp
Banc of America Securities LLC
Dain Rauscher Corp
Gruntal &amp; Co Inc
Legg Mason Wood Walker
Edward D Jones &amp; Co
Sands Brothers &amp; Co Ltd
McDonald Investments
Doft &amp; Co Inc
Fleet Boston Corp
Deutsche Bank Securities
Donaldson Lufkin &amp; Jenrette
AG Edwards &amp; Sons Inc
Chase Securities Inc</t>
  </si>
  <si>
    <t>LEH//CIBC-WORLD/FIDELITY-CAP/SG-COWEN
//BA-SEC-LLC/DAIN-RAUSCHER/GRUNTAL
/LEGG-MASON-WW/ED-JONES/SANDS/MCDONALD
/DOFT/FLEET-BOSTON/DBSECU/DLJ
/A-G-EDWARDS/CHASE-SEC</t>
  </si>
  <si>
    <t>LEH
CIBC-WORLD
FIDELITY-CAP
SG-COWEN</t>
  </si>
  <si>
    <t>Lehman Brothers
CIBC World Markets Inc
Fidelity Capital Markets
SG Cowen Securities Corp</t>
  </si>
  <si>
    <t>Charles River Labs Intl Inc</t>
  </si>
  <si>
    <t>CRL</t>
  </si>
  <si>
    <t>Donaldson Lufkin &amp; Jenrette
Lehman Brothers
ING Barings
SG Cowen Securities Corp
DLJdirect
US Bancorp Piper Jaffray
Banc of America Securities LLC
George K Baum &amp; Co
Robert W Baird &amp; Co Inc
King &amp; Shaxson Holdings
Edward D Jones &amp; Co
Johnston Lemon &amp; Co Inc
Janney Montgomery Scott Inc
Gruntal &amp; Co Inc
Fahnestock &amp; Co
Dain Rauscher Corp
John Burnham &amp; Co
Wachovia Securities Inc
Tucker Anthony Inc
Sutro &amp; Co Inc
SunTrust Equitable Securities
Stifel Nicolaus &amp; Co Inc
Stephens Inc
Sands Brothers &amp; Co Ltd
Sanders &amp; Beckingham
RBC Dominion Securities
Raymond James &amp; Associates Inc
Ragen MacKenzie Group Inc
Pennsylvania Merchant Group
McDonald Investments
Blair House
Chase H&amp;Q
Merrill Lynch, Pierce, Fenner
Morgan Stanley &amp; Co
Thomas Weisel Partners
AG Edwards &amp; Sons Inc
Deutsche Bank Securities</t>
  </si>
  <si>
    <t>DLJ/LEH(JOINT)//ING-BARINGS/SG-COWEN
/DLJ-DIRECT/US-PIPER//BA-SEC-LLC/G-BAUM
/BAIRD/KING/ED-JONES/JOHNSTON-LEMON
/JANNEY/GRUNTAL/FAHNESTOCK
/DAIN-RAUSCHER/BURNHAM-J/WACHOVIA-SEC
/TUCKER/SUTRO/SUNTRUST-EQUI/STIFEL
/STEPHENS/SANDS/SANDERS/RBC-DOM/RAYMOND
/RAGEN/PENN-MER-GROUP/MCDONALD/BLAIR
/CHASE-HQ/ML/MS/THOMAS-WEISEL
/A-G-EDWARDS/DBSECU</t>
  </si>
  <si>
    <t>DLJ/LEH</t>
  </si>
  <si>
    <t>DLJ
/LEH(JOINT)
ING-BARINGS
SG-COWEN
DLJ-DIRECT
US-PIPER</t>
  </si>
  <si>
    <t>Donaldson Lufkin &amp; Jenrette Inc
Lehman Brothers
ING Barings
SG Cowen Securities Corp
DLJdirect
US Bancorp Piper Jaffray Inc</t>
  </si>
  <si>
    <t>Qualstar Corp</t>
  </si>
  <si>
    <t>QBAK</t>
  </si>
  <si>
    <t>VAN-KASPER/NEEDHAM(JB)</t>
  </si>
  <si>
    <t>74758R109</t>
  </si>
  <si>
    <t>Van Kasper &amp; Co
Needham &amp; Co LLC
Wedbush Securities
Lazard Freres &amp; Co LLC
Crowell Weedon &amp; Co
FAC/Equities
First Southwest
Josephthal &amp; Co Inc
John G Kinnard &amp; Co
Ladenburg Thalmann &amp; Co
McDonald Investments
SunTrust Equitable Securities
CE Unterberg Towbin
DA Davidson &amp; Co Inc
WR Hambrecht &amp; Co LLC</t>
  </si>
  <si>
    <t>VAN-KASPER(JB)/NEEDHAM(JB)//WEDBUSH-M
//LAZ/CROWELL/FAC-EQUITIES/FIRST-SW
/JOSEPHTHAL/KINNARD/LADENBURG/MCDONALD
/SUNTRUST-EQUI/UNTERBERG/DAVIDSON
/W-R-HAMBRECHT</t>
  </si>
  <si>
    <t>VAN-KASPER/NEEDHAM</t>
  </si>
  <si>
    <t>VAN-KASPER
(JB)/NEEDHAM(JB)
WEDBUSH-M</t>
  </si>
  <si>
    <t>Van Kasper &amp; Co
Needham &amp; Co LLC
Wedbush Securities</t>
  </si>
  <si>
    <t>Click Commerce Inc</t>
  </si>
  <si>
    <t>CKCM</t>
  </si>
  <si>
    <t>18681D109</t>
  </si>
  <si>
    <t>Morgan Stanley Dean Witter
Dain Rauscher Wessels
Lehman Brothers
Adams Harkness &amp; Hill Inc
Chase Securities Inc
Deutsche Bank
First Union Securities Inc
Edward D Jones &amp; Co
SG Cowen Securities Corp
UBS Warburg
US Bancorp Piper Jaffray
Morgan Stanley Dean Witter</t>
  </si>
  <si>
    <t>MSDW//DAIN-R-WESSELS/LEH
//ADAMS-HARKNESS/CHASE-SEC
/DEUTSCHE-BANK/FIRST-UNION-SEC/ED-JONES
/SG-COWEN/UBS-WARBURG/US-PIPER
//MSDW(GC)</t>
  </si>
  <si>
    <t>MSDW
DAIN-R-WESSELS
LEH</t>
  </si>
  <si>
    <t>Morgan Stanley Dean Witter &amp; Co
Dain Rauscher Wessels
Lehman Brothers</t>
  </si>
  <si>
    <t>Morgan Stanley Dean Witter
Dain Rauscher Wessels
Lehman Brothers
Morgan Stanley Dean Witter</t>
  </si>
  <si>
    <t>MSDW//DAIN-R-WESSELS/LEH//MSDW(GC)</t>
  </si>
  <si>
    <t>eFunds Corp</t>
  </si>
  <si>
    <t>EFDS</t>
  </si>
  <si>
    <t>28224R101</t>
  </si>
  <si>
    <t>Lehman Brothers
Bear Stearns &amp; Co Inc
FAC/Equities
John G Kinnard &amp; Co
Fleet Boston Corp
ABN AMRO Incorporated
Banc of America Securities LLC
Credit Lyonnais Securities USA
Dain Rauscher Corp
First Union Securities Inc
ING Baring Furman Selz LLC
Ragen MacKenzie Group Inc
SG Cowen Securities Corp
US Bancorp Piper Jaffray
Wachovia Securities Inc
Lehman Brothers</t>
  </si>
  <si>
    <t>DLX</t>
  </si>
  <si>
    <t>Deluxe Corp</t>
  </si>
  <si>
    <t>LEH/BEAR(JOINT)//FAC-EQUITIES/KINNARD
//FLEET-BOSTON/ABN-AMRO-INC/BA-SEC-LLC
/CL-SEC-USA/DAIN-RAUSCHER
/FIRST-UNION-SEC/ING-FURMAN/RAGEN
/SG-COWEN/US-PIPER/WACHOVIA-SEC
//LEH(GC)</t>
  </si>
  <si>
    <t>LEH/BEAR</t>
  </si>
  <si>
    <t>LEH
/BEAR(JOINT)
FAC-EQUITIES
KINNARD</t>
  </si>
  <si>
    <t>Lehman Brothers
Bear Stearns &amp; Co Inc
FAC/Equities
John G Kinnard &amp; Co</t>
  </si>
  <si>
    <t>28224r101</t>
  </si>
  <si>
    <t>Lehman Brothers
Bear Stearns Bank Plc
FAC/Equities
John G Kinnard &amp; Co
Lehman Brothers</t>
  </si>
  <si>
    <t>LEH/BSTBK/FAC-EQUITIES/KINNARD(JOINT)
//LEH(GC)</t>
  </si>
  <si>
    <t>LEH/BSTBK/FAC-EQUITIES/KINNARD</t>
  </si>
  <si>
    <t>LEH
/BSTBK
/FAC-EQUITIES
/KINNARD(JOINT)</t>
  </si>
  <si>
    <t>Lehman Brothers
Bear Stearns Bank Plc
FAC/Equities
John G Kinnard &amp; Co</t>
  </si>
  <si>
    <t>Stratos Lightwave Inc</t>
  </si>
  <si>
    <t>STLW</t>
  </si>
  <si>
    <t>Lehman Brothers
CIBC World Markets Inc
Robert W Baird &amp; Co Inc
Fidelity Capital Markets
Tucker Anthony Inc
US Bancorp Piper Jaffray
Banc of America Securities LLC
Wachovia Securities Inc
Raymond James &amp; Associates Inc
Edward D Jones &amp; Co
Gruntal &amp; Co Inc
Dain Rauscher Corp
Chase Securities Inc
Fleet Boston Corp
JP Morgan
SG Cowen Securities Corp
Morgan Stanley Dean Witter
AG Edwards &amp; Sons Inc
Bear Stearns &amp; Co Inc
Lehman Brothers</t>
  </si>
  <si>
    <t>METHB</t>
  </si>
  <si>
    <t>Methode Electronics Inc</t>
  </si>
  <si>
    <t>LEH//CIBC-WORLD/BAIRD/FIDELITY-CAP
/TUCKER/US-PIPER//BA-SEC-LLC
/WACHOVIA-SEC/RAYMOND/ED-JONES/GRUNTAL
/DAIN-RAUSCHER/CHASE-SEC/FLEET-BOSTON
/JPM/SG-COWEN/MSDW/A-G-EDWARDS/BEAR
//LEH(GC)</t>
  </si>
  <si>
    <t>LEH
CIBC-WORLD
BAIRD
FIDELITY-CAP
TUCKER
US-PIPER</t>
  </si>
  <si>
    <t>Lehman Brothers
CIBC World Markets Inc
Robert W Baird &amp; Co Inc
Fidelity Capital Markets
Tucker Anthony Inc
US Bancorp Piper Jaffray Inc</t>
  </si>
  <si>
    <t>Lehman Brothers
CIBC (London)
Piper Jaffray Inc
Robert W Baird &amp; Co Inc
Tucker Anthony Cleary Gull
Fidelity Capital Markets
Lehman Brothers</t>
  </si>
  <si>
    <t>LEH/CIBC-LONDON/PIPER-J(JOINT)//BAIRD
/TUCKER-GULL/FIDELITY-CAP//LEH(GC)</t>
  </si>
  <si>
    <t>LEH/CIBC-LONDON/PIPER-J</t>
  </si>
  <si>
    <t>LEH
/CIBC-LONDON
/PIPER-J(JOINT)</t>
  </si>
  <si>
    <t>Lehman Brothers
CIBC (London)
Piper Jaffray Inc</t>
  </si>
  <si>
    <t>Marvell Technology Group Ltd</t>
  </si>
  <si>
    <t>MRVL</t>
  </si>
  <si>
    <t>G5876H105</t>
  </si>
  <si>
    <t>Goldman Sachs &amp; Co
Lehman Brothers
JP Morgan
CIBC World Markets Inc
Dain Rauscher Corp
AG Edwards &amp; Sons Inc
Edward D Jones &amp; Co
Wasserstein Perella Securities
Wit Soundview Group Inc
Gruntal &amp; Co Inc
Jackson Securities Inc
Legg Mason Wood Walker
Stephens Inc
Sutro &amp; Co Inc
Goldman Sachs &amp; Co</t>
  </si>
  <si>
    <t>GS//LEH/JPM//CIBC-WORLD/DAIN-RAUSCHER
/A-G-EDWARDS/ED-JONES/WP-SEC
/WIT-SOUNDVIEW/GRUNTAL/JACKSON-SEC
/LEGG-MASON-WW/STEPHENS/SUTRO//GS(GC)</t>
  </si>
  <si>
    <t>GS
LEH
JPM</t>
  </si>
  <si>
    <t>Goldman Sachs &amp; Co
Lehman Brothers
JP Morgan &amp; Co Inc</t>
  </si>
  <si>
    <t>Goldman Sachs International
Lehman Brothers
JP Morgan
Goldman Sachs International</t>
  </si>
  <si>
    <t>GS-I//LEH/JPM//GS-I(GC)</t>
  </si>
  <si>
    <t>BusyBox.com Inc</t>
  </si>
  <si>
    <t>BUSY</t>
  </si>
  <si>
    <t>Barron Chase Securities</t>
  </si>
  <si>
    <t>Genuity Inc</t>
  </si>
  <si>
    <t>GENU</t>
  </si>
  <si>
    <t>MSDW/SALOMON-SMITH(JB)</t>
  </si>
  <si>
    <t>37248E103</t>
  </si>
  <si>
    <t>Morgan Stanley Dean Witter
Salomon Smith Barney
Bear Stearns &amp; Co Inc
Goldman Sachs &amp; Co
Deutsche Banc Alex Brown
JP Morgan
UBS Warburg
Donaldson Lufkin &amp; Jenrette
Merrill Lynch
CS First Boston Corp
Chase H&amp;Q
ABN AMRO Incorporated
Banc of America Securities LLC
Dain Rauscher Corp
First Union Securities Inc
Guzman &amp; Co
Edward D Jones &amp; Co
Janney Montgomery Scott Inc
Williams Capital Group LP
Thomas Weisel Partners
Wasserstein Perella Securities
TD Securities Inc
Muriel Siebert &amp; Co
Robinson-Humphrey Co
PaineWebber
Morgan Keegan Inc
Legg Mason Wood Walker
Gabelli &amp; Co Inc
AG Edwards &amp; Sons Inc
Burnham Securities Inc
Blaylock &amp; Partners LP
Robert W Baird &amp; Co Inc
Adams Harkness &amp; Hill Inc
Morgan Stanley Dean Witter
Salomon Smith Barney</t>
  </si>
  <si>
    <t>GTE InternetWorking</t>
  </si>
  <si>
    <t>MSDW(JB)/SALOMON-SMITH(JB)//BEAR/GS
/DEUTSCHE-ALEX-B/JPM/UBS-WARBURG/DLJ
/MERRILL/CS-FB/CHASE-HQ//ABN-AMRO-INC
/BA-SEC-LLC/DAIN-RAUSCHER
/FIRST-UNION-SEC/GUZMAN/ED-JONES/JANNEY
/WILLIAMS-CAP/THOMAS-WEISEL/WP-SEC
/TD-SECURITIES/MURIEL/ROBINSON/PAINE-W
/MORGAN-KEEGAN/LEGG-MASON-WW/GABELLI
/A-G-EDWARDS/BURNHAM-SEC/BLAYLOCK-PTRNS
/BAIRD/ADAMS-HARKNESS//MSDW(GC)
/SALOMON-SMITH(GC)</t>
  </si>
  <si>
    <t>MSDW/SALOMON-SMITH</t>
  </si>
  <si>
    <t>MSDW
(JB)/SALOMON-SMITH(JB)
BEAR
GS
DEUTSCHE-ALEX-B
JPM
UBS-WARBURG
DLJ
MERRILL
CS-FB
CHASE-HQ</t>
  </si>
  <si>
    <t>Morgan Stanley Dean Witter &amp; Co
Salomon Smith Barney
Bear Stearns &amp; Co Inc
Goldman Sachs &amp; Co
Deutsche Banc Alex Brown
JP Morgan &amp; Co Inc
UBS Warburg
Donaldson Lufkin &amp; Jenrette Inc
Merrill Lynch &amp; Co Inc
CS First Boston Corp
Chase H&amp;Q</t>
  </si>
  <si>
    <t>SALOMON-SMITH/MSDW(JB)</t>
  </si>
  <si>
    <t>Salomon Smith Barney
Morgan Stanley Dean Witter
Merrill Lynch Intl Ltd
Goldman Sachs International
Credit Suisse First Boston Ltd
Chase H&amp;Q
Bear Stearns &amp; Co Inc
UBS Warburg (UK)
JP Morgan
Donaldson Lufkin &amp; Jenrette
Deutsche Banc Alex Brown
Salomon Smith Barney
Morgan Stanley Dean Witter</t>
  </si>
  <si>
    <t>SALOMON-SMITH(JB)/MSDW(JB)//ML-I/GS-I
/C-S-F-B/CHASE-HQ/BEAR/UBS-WARBURG-UK
/JPM/DLJ/DEUTSCHE-ALEX-B
//SALOMON-SMITH(GC)/MSDW(GC)</t>
  </si>
  <si>
    <t>SALOMON-SMITH/MSDW</t>
  </si>
  <si>
    <t>SALOMON-SMITH
(JB)/MSDW(JB)</t>
  </si>
  <si>
    <t>Salomon Smith Barney
Morgan Stanley Dean Witter &amp; Co</t>
  </si>
  <si>
    <t>Prudential PLC</t>
  </si>
  <si>
    <t>United Kingdom</t>
  </si>
  <si>
    <t>PRU</t>
  </si>
  <si>
    <t>London</t>
  </si>
  <si>
    <t>Morgan Stanley Dean Witter
Cazenove &amp; Co
Goldman Sachs &amp; Co
UBS Warburg (UK)
Morgan Stanley Dean Witter</t>
  </si>
  <si>
    <t>MSDW//CAZENOVE/GS/UBS-WARBURG-UK
//MSDW(GC)</t>
  </si>
  <si>
    <t>MSDW
CAZENOVE
GS
UBS-WARBURG-UK</t>
  </si>
  <si>
    <t>Morgan Stanley Dean Witter &amp; Co
Cazenove &amp; Co
Goldman Sachs &amp; Co
UBS Warburg (UK)</t>
  </si>
  <si>
    <t>Capstone Turbine Corp</t>
  </si>
  <si>
    <t>CPST</t>
  </si>
  <si>
    <t>14067D102</t>
  </si>
  <si>
    <t>Goldman Sachs &amp; Co
Merrill Lynch
Morgan Stanley Dean Witter
AG Edwards &amp; Sons Inc
CIBC World Markets Inc
Edward D Jones &amp; Co
Williams Capital Group LP
Legg Mason Wood Walker
Robert W Baird &amp; Co Inc
Salomon Smith Barney
Wit Soundview Group Inc
Goldman Sachs &amp; Co</t>
  </si>
  <si>
    <t>GS//MERRILL/MSDW//A-G-EDWARDS
/CIBC-WORLD/ED-JONES/WILLIAMS-CAP
/LEGG-MASON-WW/BAIRD/SALOMON-SMITH
/WIT-SOUNDVIEW//GS(GC)</t>
  </si>
  <si>
    <t>GS
MERRILL
MSDW</t>
  </si>
  <si>
    <t>Goldman Sachs &amp; Co
Merrill Lynch &amp; Co Inc
Morgan Stanley Dean Witter &amp; Co</t>
  </si>
  <si>
    <t>Goldman Sachs International
Merrill Lynch Intl Ltd
Morgan Stanley Dean Witter
Goldman Sachs International</t>
  </si>
  <si>
    <t>GS-I//ML-I/MSDW//GS-I(GC)</t>
  </si>
  <si>
    <t>CareScience Inc</t>
  </si>
  <si>
    <t>CARE</t>
  </si>
  <si>
    <t>Deutsche Banc Alex Brown
Fleet Boston Corp
Thomas Weisel Partners
Banc of America Securities LLC
Bear Stearns &amp; Co Inc
Chase H&amp;Q
CIBC World Markets Inc
Donaldson Lufkin &amp; Jenrette
Salomon Smith Barney
SG Cowen Securities Corp
Adams
Sanford C Bernstein &amp; Co Inc
Dominick &amp; Dominick Inc
Emerging Growth Equities Ltd
Edgar M. Norris &amp; Co
Parker-Hunter Inc
Pennsylvania Merchant Group
Sanders Morris Harris Inc
Shields
Deutsche Banc Alex Brown</t>
  </si>
  <si>
    <t>DEUTSCHE-ALEX-B//FLEET-BOSTON
/THOMAS-WEISEL//BA-SEC-LLC/BEAR
/CHASE-HQ/CIBC-WORLD/DLJ/SALOMON-SMITH
/SG-COWEN/ADAMS/BERNSTEIN/DOMINICK
/EMERGING-GROWTH/EDGAR-NORRIS
/PARKER-HUNTER/PENN-MER-GROUP
/SANDERS-HARRIS/SHIELDS
//DEUTSCHE-ALEX-B(GC)</t>
  </si>
  <si>
    <t>DEUTSCHE-ALEX-B
FLEET-BOSTON
THOMAS-WEISEL</t>
  </si>
  <si>
    <t>Deutsche Banc Alex Brown
Fleet Boston Corp,Boston,Massachusetts
Thomas Weisel Partners</t>
  </si>
  <si>
    <t>Deutsche Bank
FleetBoston Robertson Stephens
Thomas Weisel Partners
Deutsche Bank</t>
  </si>
  <si>
    <t>DEUTSCHE-BANK//FLEET-ROB-STEPH
/THOMAS-WEISEL//DEUTSCHE-BANK(GC)</t>
  </si>
  <si>
    <t>Virage Inc</t>
  </si>
  <si>
    <t>VRGE</t>
  </si>
  <si>
    <t>92763Q106</t>
  </si>
  <si>
    <t>Credit Suisse First Boston
Fleet Boston Corp
Wit Soundview Group Inc
Donaldson Lufkin &amp; Jenrette
E*Offering Corp
Friedman Billings Ramsey Group
Invemed Associates Inc
CE Unterberg Towbin
Wedbush Securities
Credit Suisse First Boston</t>
  </si>
  <si>
    <t>CS-FB-CS//FLEET-BOSTON/WIT-SOUNDVIEW
//DLJ/E*OFFERING/FRIEDMAN-B/INVEMED
/UNTERBERG/WEDBUSH-M//CS-FB-CS(GC)</t>
  </si>
  <si>
    <t>CS-FB-CS
FLEET-BOSTON
WIT-SOUNDVIEW</t>
  </si>
  <si>
    <t>Credit Suisse First Boston Corp
Fleet Boston Corp,Boston,Massachusetts
Wit Soundview Group Inc</t>
  </si>
  <si>
    <t>Accord Networks Ltd</t>
  </si>
  <si>
    <t>ACCD</t>
  </si>
  <si>
    <t>M01690102</t>
  </si>
  <si>
    <t>CIBC World Markets Inc
Dain Rauscher Wessels
US Bancorp Piper Jaffray
Chase H&amp;Q
Lehman Brothers
Adams Harkness &amp; Hill Inc
Crowell Weedon &amp; Co
First Security Van Kasper &amp; Co
First Albany
Josephthal &amp; Co Inc
Ragen MacKenzie Group Inc
Robinson-Humphrey Co
Stifel Nicolaus &amp; Co Inc
HC Wainwright &amp; Co Inc</t>
  </si>
  <si>
    <t>CIBC-WORLD//DAIN-R-WESSELS/US-PIPER
//CHASE-HQ/LEH/ADAMS-HARKNESS/CROWELL
/FIR-VAN-KASPER/FIRST-ALBANY/JOSEPHTHAL
/RAGEN/ROBINSON/STIFEL/H-C-WAINWRIGHT</t>
  </si>
  <si>
    <t>EXFO Electro-Optical</t>
  </si>
  <si>
    <t>EXFO</t>
  </si>
  <si>
    <t>Merrill Lynch Intl Ltd
RBC Dominion Securities
Wit Soundview Group Inc
CIBC World Markets Inc</t>
  </si>
  <si>
    <t>ML-I//RBC-DOM/WIT-SOUNDVIEW/CIBC-WORLD</t>
  </si>
  <si>
    <t>Merrill Lynch International Ltd</t>
  </si>
  <si>
    <t>MTS</t>
  </si>
  <si>
    <t>Russian Fed</t>
  </si>
  <si>
    <t>MBT</t>
  </si>
  <si>
    <t>DEUTSCHE-BANK
/ING-BARINGS(JB)</t>
  </si>
  <si>
    <t>Deutsche Bank
ING Barings
Credit Suisse First Boston
JP Morgan
Schroder Salomon Smith Barney
Renaissance Capital Partners
Deutsche Bank
ING Barings</t>
  </si>
  <si>
    <t>DEUTSCHE-BANK(JB)/ING-BARINGS(JB)
//CS-FB-CS/JPM/SSSB/RENAISSANCE
//DEUTSCHE-BANK(GC)/ING-BARINGS(GC)</t>
  </si>
  <si>
    <t>DEUTSCHE-BANK/ING-BARINGS</t>
  </si>
  <si>
    <t>DEUTSCHE-BANK
(JB)/ING-BARINGS(JB)
CS-FB-CS
JPM
SSSB
RENAISSANCE</t>
  </si>
  <si>
    <t>Deutsche Bank
ING Barings
Credit Suisse First Boston Corp
JP Morgan &amp; Co Inc
Schroder Salomon Smith Barney
Renaissance Capital Partners II Ltd</t>
  </si>
  <si>
    <t>Deutsche Bank
ING Barings
Credit Suisse First Boston Ltd
JP Morgan Securities Ltd
Renaissance Capital Group
Schroder Salomon Smith Barney
Deutsche Bank
ING Barings</t>
  </si>
  <si>
    <t>DEUTSCHE-BANK(JB)/ING-BARINGS(JB)
//C-S-F-B/JPML/RENCAP/SSSB
//DEUTSCHE-BANK(GC)/ING-BARINGS(GC)</t>
  </si>
  <si>
    <t>DEUTSCHE-BANK
(JB)/ING-BARINGS(JB)
C-S-F-B
JPML
RENCAP
SSSB</t>
  </si>
  <si>
    <t>Deutsche Bank
ING Barings
Credit Suisse First Boston Ltd
JP Morgan Securities Ltd (United Kingdom)
Renaissance Capital Group
Schroder Salomon Smith Barney</t>
  </si>
  <si>
    <t>Mobility Electronics Inc</t>
  </si>
  <si>
    <t>MOBE</t>
  </si>
  <si>
    <t>60741U101</t>
  </si>
  <si>
    <t>Deutsche Bank
Banc of America Securities LLC
Deutsche Bank</t>
  </si>
  <si>
    <t>DEUTSCHE-BANK//BA-SEC-LLC
//DEUTSCHE-BANK(GC)</t>
  </si>
  <si>
    <t>NetEase Inc</t>
  </si>
  <si>
    <t>NTES</t>
  </si>
  <si>
    <t>64110W102</t>
  </si>
  <si>
    <t>Merrill Lynch
Deutsche Banc Alex Brown</t>
  </si>
  <si>
    <t>MERRILL//DEUTSCHE-ALEX-B</t>
  </si>
  <si>
    <t>Storagenetworks Inc</t>
  </si>
  <si>
    <t>STOR</t>
  </si>
  <si>
    <t>86211E103</t>
  </si>
  <si>
    <t>Goldman Sachs &amp; Co
Credit Suisse First Boston
Wit Soundview Group Inc
Thomas Weisel Partners
Banc of America Securities LLC
Wasserstein Perella Securities
Legg Mason Wood Walker
Robert W Baird &amp; Co Inc
Williams Capital Group LP
Needham &amp; Co LLC
Morgan Keegan Inc
Salomon Brothers
Dain, Kalman &amp; Quail
Deutsche Bank Securities
Edward D Jones &amp; Co
AG Edwards &amp; Sons Inc
Chase Securities Inc
Goldman Sachs &amp; Co</t>
  </si>
  <si>
    <t>GS//CS-FB-CS/WIT-SOUNDVIEW
/THOMAS-WEISEL//BA-SEC-LLC/WP-SEC
/LEGG-MASON-WW/BAIRD/WILLIAMS-CAP
/NEEDHAM/MORGAN-KEEGAN/SAL/DAIN/DBSECU
/ED-JONES/A-G-EDWARDS/CHASE-SEC//GS(GC)</t>
  </si>
  <si>
    <t>GS
CS-FB-CS
WIT-SOUNDVIEW
THOMAS-WEISEL</t>
  </si>
  <si>
    <t>Goldman Sachs &amp; Co
Credit Suisse First Boston Corp
Wit Soundview Group Inc
Thomas Weisel Partners</t>
  </si>
  <si>
    <t>Precise Software Solutions Ltd</t>
  </si>
  <si>
    <t>PRSE</t>
  </si>
  <si>
    <t>Merrill Lynch Intl Ltd
CIBC World Markets Inc
Wit Soundview Group Inc</t>
  </si>
  <si>
    <t>ML-I/CIBC-WORLD(JOINT)//WIT-SOUNDVIEW</t>
  </si>
  <si>
    <t>ML-I/CIBC-WORLD</t>
  </si>
  <si>
    <t>ML-I
/CIBC-WORLD(JOINT)</t>
  </si>
  <si>
    <t>Merrill Lynch International Ltd
CIBC World Markets Inc</t>
  </si>
  <si>
    <t>Deutsche Banc Alex Brown
Banc of America Securities LLC
Bear Stearns &amp; Co Inc
Chase H&amp;Q
CIBC World Markets Inc
Fleet Boston Corp
Advest Inc
George K Baum &amp; Co
Chatsworth Securities LLC
FAC/Equities
Van Kasper &amp; Co
CL King &amp; Associates Inc
Pennsylvania Merchant Group
Raymond James &amp; Associates Inc
SunTrust Equitable Securities
Wedbush Securities
Deutsche Banc Alex Brown</t>
  </si>
  <si>
    <t>DEUTSCHE-ALEX-B//BA-SEC-LLC//BEAR
/CHASE-HQ/CIBC-WORLD/FLEET-BOSTON
/ADVEST/G-BAUM/CHATSWORTH/FAC-EQUITIES
/VAN-KASPER/CL-KING/PENN-MER-GROUP
/RAYMOND/SUNTRUST-EQUI/WEDBUSH-M
//DEUTSCHE-ALEX-B(GC)</t>
  </si>
  <si>
    <t>DEUTSCHE-ALEX-B
BA-SEC-LLC</t>
  </si>
  <si>
    <t>Deutsche Banc Alex Brown
Banc of America Securities LLC</t>
  </si>
  <si>
    <t>Axcelis Technologies(Eaton)</t>
  </si>
  <si>
    <t>ACLS</t>
  </si>
  <si>
    <t>054540109</t>
  </si>
  <si>
    <t>Goldman Sachs &amp; Co
Morgan Stanley Dean Witter
Lehman Brothers
Salomon Smith Barney
Sanford C Bernstein &amp; Co Inc
Chase Securities Inc
CIBC World Markets Inc
Dain Rauscher Corp
AG Edwards &amp; Sons Inc
Fleet Boston Corp
JP Morgan
Wasserstein Perella Securities
Wit Soundview Group Inc
Robert W Baird &amp; Co Inc
Cazenove &amp; Co
Legg Mason Wood Walker
McDonald &amp; Co Investments Inc
Midwest Research Maxus Group
Neuberger Berman Inc
SBK Brooks Investment Corp
Muriel Siebert &amp; Co
Goldman Sachs &amp; Co</t>
  </si>
  <si>
    <t>ETN</t>
  </si>
  <si>
    <t>Eaton Corp</t>
  </si>
  <si>
    <t>GS/MSDW(JOINT)//LEH/SALOMON-SMITH
//BERNSTEIN/CHASE-SEC/CIBC-WORLD
/DAIN-RAUSCHER/A-G-EDWARDS/FLEET-BOSTON
/JPM/WP-SEC/WIT-SOUNDVIEW/BAIRD
/CAZENOVE/LEGG-MASON-WW/MCDON/MIDWEST
/NEUBERGER/SBK-BROOKS/MURIEL//GS(GC)</t>
  </si>
  <si>
    <t>GS
/MSDW(JOINT)
LEH
SALOMON-SMITH</t>
  </si>
  <si>
    <t>Goldman Sachs &amp; Co
Morgan Stanley Dean Witter &amp; Co
Lehman Brothers
Salomon Smith Barney</t>
  </si>
  <si>
    <t>Goldman Sachs &amp; Co
Morgan Stanley Dean Witter
Goldman Sachs International
Salomon Smith Barney
Lehman Brothers
Cazenove &amp; Co
Goldman Sachs &amp; Co</t>
  </si>
  <si>
    <t>GS/MSDW/GS-I(JOINT)//SALOMON-SMITH/LEH
/CAZENOVE//GS(GC)</t>
  </si>
  <si>
    <t>GS/MSDW/GS-I</t>
  </si>
  <si>
    <t>GS
/MSDW
/GS-I(JOINT)</t>
  </si>
  <si>
    <t>Goldman Sachs &amp; Co
Morgan Stanley Dean Witter &amp; Co
Goldman Sachs International</t>
  </si>
  <si>
    <t>Entegris Inc</t>
  </si>
  <si>
    <t>ENTG</t>
  </si>
  <si>
    <t>29362U104</t>
  </si>
  <si>
    <t>Merrill Lynch
Donaldson Lufkin &amp; Jenrette
US Bancorp Piper Jaffray
Salomon Smith Barney
Banc of America Securities LLC
Ragen MacKenzie Group Inc
Needham &amp; Co LLC
Merrill Lynch</t>
  </si>
  <si>
    <t>MERRILL//DLJ/US-PIPER/SALOMON-SMITH
//BA-SEC-LLC/RAGEN/NEEDHAM//MERRILL(GC)</t>
  </si>
  <si>
    <t>MERRILL
DLJ
US-PIPER
SALOMON-SMITH</t>
  </si>
  <si>
    <t>Merrill Lynch &amp; Co Inc
Donaldson Lufkin &amp; Jenrette Inc
US Bancorp Piper Jaffray Inc
Salomon Smith Barney</t>
  </si>
  <si>
    <t>Merrill Lynch Intl Ltd
Donaldson Lufkin &amp; Jenrette
Schroder Salomon Smith Barney
Piper Jaffray Inc
Merrill Lynch Intl Ltd</t>
  </si>
  <si>
    <t>ML-I//DLJ/SSSB/PIPER-J//ML-I(GC)</t>
  </si>
  <si>
    <t>Turkcell Iletisim Hizmetleri</t>
  </si>
  <si>
    <t>Turkey</t>
  </si>
  <si>
    <t>TCELL</t>
  </si>
  <si>
    <t>MS/GS(JB)</t>
  </si>
  <si>
    <t>Istanbul</t>
  </si>
  <si>
    <t>Morgan Stanley &amp; Co
Goldman Sachs &amp; Co
Deutsche Bank
Lehman Brothers International
UBS Warburg (UK)
Credit Suisse First Boston Inc
Morgan Stanley &amp; Co
Goldman Sachs &amp; Co</t>
  </si>
  <si>
    <t xml:space="preserve">
</t>
  </si>
  <si>
    <t>180
180</t>
  </si>
  <si>
    <t>MS(JB)/GS(JB)//DEUTSCHE-BANK/LEHMAN-I
/UBS-WARBURG-UK/CSFB-INC//MS(GC)/GS(GC)</t>
  </si>
  <si>
    <t>MS/GS</t>
  </si>
  <si>
    <t>MS
(JB)/GS(JB)
DEUTSCHE-BANK
LEHMAN-I
UBS-WARBURG-UK
CSFB-INC</t>
  </si>
  <si>
    <t>Morgan Stanley &amp; Co
Goldman Sachs &amp; Co
Deutsche Bank
Lehman Brothers International
UBS Warburg (UK)
Credit Suisse First Boston Inc</t>
  </si>
  <si>
    <t>Divine Interventures Inc</t>
  </si>
  <si>
    <t>DVIN</t>
  </si>
  <si>
    <t>Fleet Boston Corp
Donaldson Lufkin &amp; Jenrette
William Blair &amp; Co
DLJdirect
Bear Stearns &amp; Co Inc
Barrington Associates
Quick &amp; Reilly Group, Inc.
Thomson Kernaghan
Punk Ziegel &amp; Co LP
First Albany
JJB Hilliard WL Lyons Inc
Loop Capital Markets
Lazard Freres &amp; Co LLC
E*Offering Corp</t>
  </si>
  <si>
    <t>FLEET-BOSTON//DLJ/WM-BLAIR/DLJ-DIRECT
/BEAR//BARRINGTON/QUICK-REILLY
/THOMSON-K/PUNK/FIRST-ALBANY/HILLIARD
/LOOP/LAZ/E*OFFERING</t>
  </si>
  <si>
    <t>FLEET-BOSTON
DLJ
WM-BLAIR
DLJ-DIRECT
BEAR</t>
  </si>
  <si>
    <t>Fleet Boston Corp,Boston,Massachusetts
Donaldson Lufkin &amp; Jenrette Inc
William Blair &amp; Co
DLJdirect
Bear Stearns &amp; Co Inc</t>
  </si>
  <si>
    <t>Sohu.com Inc</t>
  </si>
  <si>
    <t>SOHU</t>
  </si>
  <si>
    <t>CSFBHK</t>
  </si>
  <si>
    <t>83408W103</t>
  </si>
  <si>
    <t>CSFB Hong Kong
BOCI Asia
Donaldson Lufkin &amp; Jenrette</t>
  </si>
  <si>
    <t>CSFBHK//BOCIA//DLJ</t>
  </si>
  <si>
    <t>CSFBHK
BOCIA</t>
  </si>
  <si>
    <t>CSFB Hong Kong
BOCI Asia Ltd</t>
  </si>
  <si>
    <t>CSFBHK//BOCIA/DLJ</t>
  </si>
  <si>
    <t>CSFB Hong Kong</t>
  </si>
  <si>
    <t>Sunrise Telecom Inc</t>
  </si>
  <si>
    <t>SRTI</t>
  </si>
  <si>
    <t>86769Y105</t>
  </si>
  <si>
    <t>Chase H&amp;Q
CIBC World Markets Inc
US Bancorp Piper Jaffray
Fleet Boston Corp
Bear Stearns &amp; Co Inc
Dain Rauscher Wessels
Deutsche Banc Alex Brown
Lehman Brothers
PaineWebber
Wit Soundview Group Inc
Thomas Weisel Partners
Gerard Klauer Mattison &amp; Co
Parker-Hunter Inc
Robinson-Humphrey Co
Sands Brothers &amp; Co Ltd
CE Unterberg Towbin</t>
  </si>
  <si>
    <t>CHASE-HQ//CIBC-WORLD/US-PIPER
//FLEET-BOSTON/BEAR/DAIN-R-WESSELS
/DEUTSCHE-ALEX-B/LEH/PAINE-W
/WIT-SOUNDVIEW/THOMAS-WEISEL
/GERARD-KLAUER/PARKER-HUNTER/ROBINSON
/SANDS/UNTERBERG</t>
  </si>
  <si>
    <t>CHASE-HQ
CIBC-WORLD
US-PIPER</t>
  </si>
  <si>
    <t>Chase H&amp;Q
CIBC World Markets Inc
US Bancorp Piper Jaffray Inc</t>
  </si>
  <si>
    <t>Triton Network Systems Inc</t>
  </si>
  <si>
    <t>TNSI</t>
  </si>
  <si>
    <t>CS First Boston Corp
Deutsche Banc Alex Brown
US Bancorp Piper Jaffray
Dain Rauscher Corp
E*Offering Corp
Ferris Baker Watts
FleetBoston Robertson Stephens
LH Friend, Weinress, Frankson
Invemed Associates Inc
PaineWebber
Prudential Securities Inc
Raymond James &amp; Associates Inc
UBS Warburg
CS First Boston Corp</t>
  </si>
  <si>
    <t>CS-FB//DEUTSCHE-ALEX-B/US-PIPER
//DAIN-RAUSCHER/E*OFFERING/FERRIS-BAKER
/FLEET-ROB-STEPH/F-WEINRESS-FR/INVEMED
/PAINE-W/PSI/RAYMOND/UBS-WARBURG
//CS-FB(GC)</t>
  </si>
  <si>
    <t>CS-FB
DEUTSCHE-ALEX-B
US-PIPER</t>
  </si>
  <si>
    <t>CS First Boston Corp
Deutsche Banc Alex Brown
US Bancorp Piper Jaffray Inc</t>
  </si>
  <si>
    <t>I-Many Inc</t>
  </si>
  <si>
    <t>IMNY</t>
  </si>
  <si>
    <t>44973Q103</t>
  </si>
  <si>
    <t>Fleet Boston Corp
JP Morgan
SG Cowen Securities Corp</t>
  </si>
  <si>
    <t>FLEET-BOSTON//JPM/SG-COWEN</t>
  </si>
  <si>
    <t>FLEET-BOSTON
JPM
SG-COWEN</t>
  </si>
  <si>
    <t>Fleet Boston Corp,Boston,Massachusetts
JP Morgan &amp; Co Inc
SG Cowen Securities Corp</t>
  </si>
  <si>
    <t>Network Engines Inc</t>
  </si>
  <si>
    <t>NENG</t>
  </si>
  <si>
    <t>64121A107</t>
  </si>
  <si>
    <t>Donaldson Lufkin &amp; Jenrette
Dain Rauscher Wessels
DLJdirect
Fleet Boston Corp
CS First Boston Corp
Salomon Smith Barney
Unterburg, Towbin Co
SG Cowen Securities Corp
Johnston Lemon &amp; Co Inc
Hoefer &amp; Arnett Inc
Hoak Breedlove Wesneski &amp; Co
First Albany
Fahnestock &amp; Co
Emerging Equities Inc
DA Davidson &amp; Co Inc
George K Baum &amp; Co
WR Hambrecht &amp; Co LLC
HC Wainwright &amp; Co Inc
Tucker Anthony Inc
SunTrust Equitable Securities
Sands Brothers &amp; Co Ltd
Sanders Morris Harris Inc
Pennsylvania Merchant Group
Parker-Hunter Inc
Pacific Crest Securities Inc
Needham &amp; Co LLC
McDonald Investments
Ladenburg Thalmann &amp; Co
Thomas Weisel Partners
US Bancorp Piper Jaffray
First Union National Bancorp
Goldman Sachs &amp; Co
PaineWebber
Lehman Brothers
AG Edwards &amp; Sons Inc
Donaldson Lufkin &amp; Jenrette</t>
  </si>
  <si>
    <t>DLJ//DAIN-R-WESSELS/DLJ-DIRECT
/FLEET-BOSTON//CS-FB/SALOMON-SMITH
/UNTERBURG/SG-COWEN/JOHNSTON-LEMON
/HOEFER-ARNETT/HOAK-BREEDLOVE
/FIRST-ALBANY/FAHNESTOCK/EMERGING-EQUI
/DAVIDSON/G-BAUM/W-R-HAMBRECHT
/H-C-WAINWRIGHT/TUCKER/SUNTRUST-EQUI
/SANDS/SANDERS-HARRIS/PENN-MER-GROUP
/PARKER-HUNTER/PACIFIC-CREST/NEEDHAM
/MCDONALD/LADENBURG/THOMAS-WEISEL
/US-PIPER/FIRST-UNION/GS/PAINE-W/LEH
/A-G-EDWARDS//DLJ(GC)</t>
  </si>
  <si>
    <t>DLJ
DAIN-R-WESSELS
DLJ-DIRECT
FLEET-BOSTON</t>
  </si>
  <si>
    <t>Donaldson Lufkin &amp; Jenrette Inc
Dain Rauscher Wessels
DLJdirect
Fleet Boston Corp,Boston,Massachusetts</t>
  </si>
  <si>
    <t>Donaldson Lufkin &amp; Jenrette
Dain Rauscher Corp
FleetBoston Robertson Stephens
DLJdirect
Donaldson Lufkin &amp; Jenrette</t>
  </si>
  <si>
    <t>DLJ//DAIN-RAUSCHER/FLEET-ROB-STEPH
/DLJ-DIRECT//DLJ(GC)</t>
  </si>
  <si>
    <t>Donaldson Lufkin &amp; Jenrette Inc</t>
  </si>
  <si>
    <t>Pain Therapeutics Inc</t>
  </si>
  <si>
    <t>PTIE</t>
  </si>
  <si>
    <t>69562K100</t>
  </si>
  <si>
    <t>Thomas Weisel Partners
CIBC World Markets Inc
Tucker Anthony Cleary Gull
Chase Securities Inc
Donaldson Lufkin &amp; Jenrette
First Union Securities Inc
Raymond James &amp; Associates Inc</t>
  </si>
  <si>
    <t>THOMAS-WEISEL//CIBC-WORLD/TUCKER-GULL
//CHASE-SEC/DLJ/FIRST-UNION-SEC/RAYMOND</t>
  </si>
  <si>
    <t>THOMAS-WEISEL
CIBC-WORLD
TUCKER-GULL</t>
  </si>
  <si>
    <t>Thomas Weisel Partners
CIBC World Markets Inc
Tucker Anthony Cleary Gull</t>
  </si>
  <si>
    <t>Omnivision Technologies Inc</t>
  </si>
  <si>
    <t>OVTI</t>
  </si>
  <si>
    <t>Fleet Boston Corp
Prudential Volpe Technology Gr
Needham &amp; Co LLC
Barrington Associates
Gerard Klauer Mattison &amp; Co
CE Unterberg Towbin</t>
  </si>
  <si>
    <t>FLEET-BOSTON//PRUD-VOLPE/NEEDHAM
//BARRINGTON/GERARD-KLAUER/UNTERBERG</t>
  </si>
  <si>
    <t>Support.com Inc</t>
  </si>
  <si>
    <t>SPRT</t>
  </si>
  <si>
    <t>CS First Boston Corp
Chase H&amp;Q
Wit Soundview Group Inc
Bear Stearns &amp; Co Inc
Banc of America Securities LLC
E*Offering Corp
Fleet Boston Corp
Invemed Associates Inc
Dain Rauscher Wessels
CS First Boston Corp</t>
  </si>
  <si>
    <t>CS-FB//CHASE-HQ/WIT-SOUNDVIEW/BEAR
//BA-SEC-LLC/E*OFFERING/FLEET-BOSTON
/INVEMED/DAIN-R-WESSELS//CS-FB(GC)</t>
  </si>
  <si>
    <t>CS-FB
CHASE-HQ
WIT-SOUNDVIEW
BEAR</t>
  </si>
  <si>
    <t>CS First Boston Corp
Chase H&amp;Q
Wit Soundview Group Inc
Bear Stearns &amp; Co Inc</t>
  </si>
  <si>
    <t>Credit Suisse First Boston Inc
Bear Stearns &amp; Co Inc
Chase H&amp;Q
Wit Soundview Group Inc
Credit Suisse First Boston Inc</t>
  </si>
  <si>
    <t>CSFB-INC//BEAR/CHASE-HQ/WIT-SOUNDVIEW
//CSFB-INC(GC)</t>
  </si>
  <si>
    <t>CSFB-INC
BEAR
CHASE-HQ
WIT-SOUNDVIEW</t>
  </si>
  <si>
    <t>Credit Suisse First Boston Inc
Bear Stearns &amp; Co Inc
Chase H&amp;Q
Wit Soundview Group Inc</t>
  </si>
  <si>
    <t>Transgenomic Inc</t>
  </si>
  <si>
    <t>TBIO</t>
  </si>
  <si>
    <t>89365K206</t>
  </si>
  <si>
    <t>Chase H&amp;Q
Bear Stearns &amp; Co Inc
Dain Rauscher Wessels</t>
  </si>
  <si>
    <t>CHASE-HQ//BEAR/DAIN-R-WESSELS</t>
  </si>
  <si>
    <t>CHASE-HQ
BEAR
DAIN-R-WESSELS</t>
  </si>
  <si>
    <t>Airspan Networks Inc</t>
  </si>
  <si>
    <t>AIRN</t>
  </si>
  <si>
    <t>00950H102</t>
  </si>
  <si>
    <t>CS First Boston Corp
Deutsche Banc Alex Brown
US Bancorp Piper Jaffray
Lehman Brothers
Bear Stearns &amp; Co Inc
Invemed Associates Inc
Jefferies &amp; Co Inc
Stifel Nicolaus &amp; Co Inc
Raymond James &amp; Associates Inc
E*Offering Corp
CS First Boston Corp</t>
  </si>
  <si>
    <t>CS-FB//DEUTSCHE-ALEX-B/US-PIPER/LEH
//BEAR/INVEMED/JEFFERIES/STIFEL/RAYMOND
/E*OFFERING//CS-FB(GC)</t>
  </si>
  <si>
    <t>CS-FB
DEUTSCHE-ALEX-B
US-PIPER
LEH</t>
  </si>
  <si>
    <t>CS First Boston Corp
Deutsche Banc Alex Brown
US Bancorp Piper Jaffray Inc
Lehman Brothers</t>
  </si>
  <si>
    <t>Argonaut Technologies Inc</t>
  </si>
  <si>
    <t>AGNT</t>
  </si>
  <si>
    <t>040175101</t>
  </si>
  <si>
    <t>UBS Warburg
ING Barings
SG Cowen Securities Corp
Bear Stearns &amp; Co Inc
Cantor Fitzgerald Inc
Morgan Stanley Dean Witter
Dain, Kalman &amp; Quail
Gruntal &amp; Co Inc
Pacific Growth Equities Inc
Pennsylvania Merchant Group
Raymond James &amp; Associates Inc
Wedbush, Noble, Cooke</t>
  </si>
  <si>
    <t>UBS-WARBURG//ING-BARINGS/SG-COWEN//BEAR
/CANTOR/MSDW/DAIN/GRUNTAL
/PACIFIC-GROWTH/PENN-MER-GROUP/RAYMOND
/WEDBUSH</t>
  </si>
  <si>
    <t>UBS-WARBURG
ING-BARINGS
SG-COWEN</t>
  </si>
  <si>
    <t>UBS Warburg
ING Barings
SG Cowen Securities Corp</t>
  </si>
  <si>
    <t>UBS Warburg
ING Barings
SG Cowen Securities Corp
Bear Stearns &amp; Co Inc
Cantor Fitzgerald Inc
Morgan Stanley Dean Witter
Dain, Kalman &amp; Quail
Raymond James &amp; Associates Inc
Gruntal &amp; Co Inc
Pacific Growth Equities Inc
Pennsylvania Merchant Group
Wedbush, Noble, Cooke</t>
  </si>
  <si>
    <t>UBS-WARBURG//ING-BARINGS/SG-COWEN/BEAR
/CANTOR/MSDW/DAIN/RAYMOND/GRUNTAL
/PACIFIC-GROWTH/PENN-MER-GROUP/WEDBUSH</t>
  </si>
  <si>
    <t>Vascular Solutions Inc</t>
  </si>
  <si>
    <t>VASC</t>
  </si>
  <si>
    <t>92231M109</t>
  </si>
  <si>
    <t>Salomon Smith Barney
Stephens Inc
William Blair &amp; Co
Adams Harkness &amp; Hill Inc
George K Baum &amp; Co
Dain Rauscher Wessels
AG Edwards &amp; Sons Inc
Fleet Boston Corp
Pacific Growth Equities Inc
SunTrust Equitable Securities
US Bancorp Piper Jaffray
Wasserstein Perella Securities</t>
  </si>
  <si>
    <t>SALOMON-SMITH//STEPHENS/WM-BLAIR
//ADAMS-HARKNESS/G-BAUM/DAIN-R-WESSELS
/A-G-EDWARDS/FLEET-BOSTON
/PACIFIC-GROWTH/SUNTRUST-EQUI/US-PIPER
/WP-SEC</t>
  </si>
  <si>
    <t>SALOMON-SMITH
STEPHENS
WM-BLAIR</t>
  </si>
  <si>
    <t>Salomon Smith Barney
Stephens Inc
William Blair &amp; Co</t>
  </si>
  <si>
    <t>Corio Inc</t>
  </si>
  <si>
    <t>CRIO</t>
  </si>
  <si>
    <t>Goldman Sachs &amp; Co
Merrill Lynch
Epoch Capital Corp
Fleet Boston Corp
CIBC World Markets Inc
CE Unterberg Towbin
Legg Mason Wood Walker
AG Edwards &amp; Sons Inc
First Union Securities Inc
Gerard Klauer Mattison &amp; Co
Adams Harkness &amp; Hill Inc
Dain Rauscher Corp
Goldman Sachs &amp; Co</t>
  </si>
  <si>
    <t>GS//MERRILL/EPOCH/FLEET-BOSTON
//CIBC-WORLD/UNTERBERG/LEGG-MASON-WW
/A-G-EDWARDS/FIRST-UNION-SEC
/GERARD-KLAUER/ADAMS-HARKNESS
/DAIN-RAUSCHER//GS(GC)</t>
  </si>
  <si>
    <t>GS
MERRILL
EPOCH
FLEET-BOSTON</t>
  </si>
  <si>
    <t>Goldman Sachs &amp; Co
Merrill Lynch &amp; Co Inc
Epoch Capital Corp
Fleet Boston Corp,Boston,Massachusetts</t>
  </si>
  <si>
    <t>Goldman Sachs &amp; Co
Merrill Lynch
FleetBoston Robertson Stephens
Epoch Capital Corp
Goldman Sachs &amp; Co</t>
  </si>
  <si>
    <t>GS//MERRILL/FLEET-ROB-STEPH/EPOCH
//GS(GC)</t>
  </si>
  <si>
    <t>Embraer SA</t>
  </si>
  <si>
    <t>ERJ</t>
  </si>
  <si>
    <t>BOZANO-SIM-SEC
/MERRILL(JB)/MSDW(JB)</t>
  </si>
  <si>
    <t>29081M102</t>
  </si>
  <si>
    <t>Bozano Simonsen Securities Inc
Merrill Lynch
Morgan Stanley Dean Witter
Banco Santander de Negocios SA
Bozano Simonsen Securities Inc
Morgan Stanley Dean Witter
Merrill Lynch</t>
  </si>
  <si>
    <t>BOZANO-SIM-SEC(JB)/MERRILL(JB)/MSDW(JB)
//SANTANDER//BOZANO-SIM-SEC(GC)
/MSDW(GC)/MERRILL(GC)</t>
  </si>
  <si>
    <t>BOZANO-SIM-SEC/MERRILL/MSDW</t>
  </si>
  <si>
    <t>BOZANO-SIM-SEC
(JB)/MERRILL(JB)
/MSDW(JB)</t>
  </si>
  <si>
    <t>Bozano Simonsen Securities Inc
Merrill Lynch &amp; Co Inc
Morgan Stanley Dean Witter &amp; Co</t>
  </si>
  <si>
    <t>SMTC Corp</t>
  </si>
  <si>
    <t>SMTX</t>
  </si>
  <si>
    <t>LEH/RBC-DOM(JB)</t>
  </si>
  <si>
    <t>Lehman Brothers
RBC Dominion Securities
Fleet Boston Corp
Merrill Lynch
Fidelity Bank
CIBC World Markets Inc
Deutsche Bank
Donaldson Lufkin &amp; Jenrette
AG Edwards &amp; Sons Inc
Edward D Jones &amp; Co
CL King &amp; Associates Inc
Raymond James &amp; Associates Inc
Sanders Morris Mundy Inc
Lehman Brothers
RBC Dominion Securities</t>
  </si>
  <si>
    <t>LEH(JB)/RBC-DOM(JB)//FLEET-BOSTON
/MERRILL//FIDELITY/CIBC-WORLD
/DEUTSCHE-BANK/DLJ/A-G-EDWARDS/ED-JONES
/CL-KING/RAYMOND/SANDERS-MORRIS
//LEH(GC)/RBC-DOM(GC)</t>
  </si>
  <si>
    <t>LEH/RBC-DOM</t>
  </si>
  <si>
    <t>LEH
(JB)/RBC-DOM(JB)
FLEET-BOSTON
MERRILL</t>
  </si>
  <si>
    <t>Lehman Brothers
RBC Dominion Securities Ltd
Fleet Boston Corp,Boston,Massachusetts
Merrill Lynch &amp; Co Inc</t>
  </si>
  <si>
    <t>Lehman Brothers
RBC Dominion Securities
Merrill Lynch
FleetBoston Robertson Stephens
Fidelity Bank
CIBC World Markets Inc
Deutsche Bank
Donaldson Lufkin &amp; Jenrette
AG Edwards &amp; Sons Inc
Edward D Jones &amp; Co
CL King &amp; Associates Inc
Raymond James &amp; Associates Inc
Sanders Morris Mundy Inc
Lehman Brothers
RBC Dominion Securities</t>
  </si>
  <si>
    <t>LEH(JB)/RBC-DOM(JB)//MERRILL
/FLEET-ROB-STEPH/FIDELITY/CIBC-WORLD
/DEUTSCHE-BANK/DLJ/A-G-EDWARDS/ED-JONES
/CL-KING/RAYMOND/SANDERS-MORRIS
//LEH(GC)/RBC-DOM(GC)</t>
  </si>
  <si>
    <t>LEH
(JB)/RBC-DOM(JB)</t>
  </si>
  <si>
    <t>Lehman Brothers
RBC Dominion Securities Ltd</t>
  </si>
  <si>
    <t>Talarian Corp</t>
  </si>
  <si>
    <t>TALR</t>
  </si>
  <si>
    <t>LEH/SG-COWEN(JB)
/WIT-SOUNDVIEW(JB)
/FIDELITY-CAP(JB)</t>
  </si>
  <si>
    <t>Lehman Brothers
SG Cowen Securities Corp
Wit Soundview Group Inc
Fidelity Capital Markets
Banc of America Securities LLC
Fleet Boston Corp
Merrill Lynch
Prudential Securities Inc
Thomas Weisel Partners
Edward D Jones &amp; Co
Gruntal &amp; Co Inc
Legg Mason Wood Walker
First Security Van Kasper &amp; Co
Moors &amp; Cabot Inc
Raymond James &amp; Associates Inc
Lehman Brothers</t>
  </si>
  <si>
    <t>LEH(JB)/SG-COWEN(JB)/WIT-SOUNDVIEW(JB)
/FIDELITY-CAP(JB)//BA-SEC-LLC
/FLEET-BOSTON/MERRILL/PSI/THOMAS-WEISEL
/ED-JONES/GRUNTAL/LEGG-MASON-WW
/FIR-VAN-KASPER/MOORS/RAYMOND//LEH(GC)</t>
  </si>
  <si>
    <t>LEH/SG-COWEN/WIT-SOUNDVIEW/FIDELITY-CAP</t>
  </si>
  <si>
    <t>LEH
(JB)/SG-COWEN(JB)
/WIT-SOUNDVIEW(JB)
/FIDELITY-CAP(JB)</t>
  </si>
  <si>
    <t>Lehman Brothers
SG Cowen Securities Corp
Wit Soundview Group Inc
Fidelity Capital Markets</t>
  </si>
  <si>
    <t>Variagenics Inc</t>
  </si>
  <si>
    <t>VGNX</t>
  </si>
  <si>
    <t>CS First Boston Corp
Chase H&amp;Q
SG Cowen Securities Corp
Donaldson Lufkin &amp; Jenrette
AG Edwards &amp; Sons Inc
Lehman Brothers
Invemed Associates Inc
Prudential Securities Inc
E*Offering Corp
Fleet Boston Corp
Gruntal &amp; Co Inc
ING Barings
Leerink Swann &amp; Co
Merrill Lynch
CS First Boston Corp</t>
  </si>
  <si>
    <t>CS-FB//CHASE-HQ/SG-COWEN//DLJ
/A-G-EDWARDS/LEH/INVEMED/PSI/E*OFFERING
/FLEET-BOSTON/GRUNTAL/ING-BARINGS
/LEERINK-SWANN/MERRILL//CS-FB(GC)</t>
  </si>
  <si>
    <t>CS-FB
CHASE-HQ
SG-COWEN</t>
  </si>
  <si>
    <t>CS First Boston Corp
Chase H&amp;Q
SG Cowen Securities Corp</t>
  </si>
  <si>
    <t>Credit Suisse First Boston Inc
Chase H&amp;Q
SG Cowen Securities Corp
Credit Suisse First Boston Inc</t>
  </si>
  <si>
    <t>CSFB-INC//CHASE-HQ//SG-COWEN
//CSFB-INC(GC)</t>
  </si>
  <si>
    <t>CSFB-INC
CHASE-HQ</t>
  </si>
  <si>
    <t>Credit Suisse First Boston Inc
Chase H&amp;Q</t>
  </si>
  <si>
    <t>Blue Martini Software Inc</t>
  </si>
  <si>
    <t>BLUE</t>
  </si>
  <si>
    <t>095698106</t>
  </si>
  <si>
    <t>Goldman Sachs &amp; Co
Dain Rauscher Wessels
US Bancorp Piper Jaffray
Thomas Weisel Partners
Advest Inc
First Union Securities Inc
Edward D Jones &amp; Co
AG Edwards &amp; Sons Inc
Wit Soundview Group Inc
Legg Mason Wood Walker
Goldman Sachs &amp; Co</t>
  </si>
  <si>
    <t>GS//DAIN-R-WESSELS/US-PIPER
/THOMAS-WEISEL//ADVEST/FIRST-UNION-SEC
/ED-JONES/A-G-EDWARDS/WIT-SOUNDVIEW
/LEGG-MASON-WW//GS(GC)</t>
  </si>
  <si>
    <t>Goldman Sachs &amp; Co
Dain Rauscher Wessels
Thomas Weisel Partners
US Bancorp Piper Jaffray
Goldman Sachs &amp; Co</t>
  </si>
  <si>
    <t>GS//DAIN-R-WESSELS/THOMAS-WEISEL
/US-PIPER//GS(GC)</t>
  </si>
  <si>
    <t>Evoke Communcations Inc</t>
  </si>
  <si>
    <t>EVOK</t>
  </si>
  <si>
    <t>30048Q202</t>
  </si>
  <si>
    <t>Salomon Smith Barney
Fleet Boston Corp
CIBC World Markets Inc
Thomas Weisel Partners
Fahnestock &amp; Co
Petrie Parkman
RBC Dominion Securities
CE Unterberg Towbin
Melvin Securities Corporation</t>
  </si>
  <si>
    <t>SALOMON-SMITH//FLEET-BOSTON/CIBC-WORLD
/THOMAS-WEISEL//FAHNESTOCK/PTPARK
/RBC-DOM/UNTERBERG/MELVIN-SEC</t>
  </si>
  <si>
    <t>SALOMON-SMITH
FLEET-BOSTON
CIBC-WORLD
THOMAS-WEISEL</t>
  </si>
  <si>
    <t>Salomon Smith Barney
Fleet Boston Corp,Boston,Massachusetts
CIBC World Markets Inc
Thomas Weisel Partners</t>
  </si>
  <si>
    <t>Gemini Genomics PLC</t>
  </si>
  <si>
    <t>GMNI</t>
  </si>
  <si>
    <t>36865M109</t>
  </si>
  <si>
    <t>SG Cowen Securities Corp
Chase H&amp;Q
CIBC World Markets Inc
Deutsche Banc Alex Brown
Donaldson Lufkin &amp; Jenrette
ING Barings
Invemed Associates Inc
Lehman Brothers International
JP Morgan
Prudential Securities Inc
UBS Warburg
Davenport
Dominick &amp; Dominick Inc
Gerard Klauer Mattison &amp; Co
CL King &amp; Associates Inc
Needham &amp; Co LLC
Pacific Growth Equities Inc
Raymond James &amp; Associates Inc
Tucker Anthony Inc</t>
  </si>
  <si>
    <t>SG-COWEN//CHASE-HQ//CIBC-WORLD
/DEUTSCHE-ALEX-B/DLJ/ING-BARINGS
/INVEMED/LEHMAN-I/JPM/PSI/UBS-WARBURG
/DAVENPORT/DOMINICK/GERARD-KLAUER
/CL-KING/NEEDHAM/PACIFIC-GROWTH/RAYMOND
/TUCKER</t>
  </si>
  <si>
    <t>SG-COWEN
CHASE-HQ</t>
  </si>
  <si>
    <t>SG Cowen Securities Corp
Chase H&amp;Q</t>
  </si>
  <si>
    <t>Interland Inc</t>
  </si>
  <si>
    <t>ILND</t>
  </si>
  <si>
    <t>Bear Stearns &amp; Co Inc
Thomas Weisel Partners
PaineWebber
CIBC World Markets Inc
Dain Rauscher Corp
Deutsche Bank Securities
ING Barings
Lazard Freres &amp; Co LLC
Merrill Lynch, Pierce, Fenner
Morgan Stanley &amp; Co
UBS Warburg
Robert W Baird &amp; Co Inc
Brean Murray &amp; Co Inc
First Albany
Gerard Klauer Mattison &amp; Co
Josephthal &amp; Co Inc
W. E. Kaufman
Needham &amp; Co LLC
Pacific Crest Securities Inc
Robinson-Humphrey Co
Sanders Morris Harris Inc
SunTrust Equitable Securities
CE Unterberg Towbin
Wachovia Securities Inc</t>
  </si>
  <si>
    <t>BEAR/THOMAS-WEISEL(JOINT)//PAINE-W
//CIBC-WORLD/DAIN-RAUSCHER/DBSECU
/ING-BARINGS/LAZ/ML/MS/UBS-WARBURG
/BAIRD/BREAN/FIRST-ALBANY/GERARD-KLAUER
/JOSEPHTHAL/KAUFMAN/NEEDHAM
/PACIFIC-CREST/ROBINSON/SANDERS-HARRIS
/SUNTRUST-EQUI/UNTERBERG/WACHOVIA-SEC</t>
  </si>
  <si>
    <t>BEAR/THOMAS-WEISEL</t>
  </si>
  <si>
    <t>BEAR
/THOMAS-WEISEL(JOINT)
PAINE-W</t>
  </si>
  <si>
    <t>Bear Stearns &amp; Co Inc
Thomas Weisel Partners
PaineWebber Inc</t>
  </si>
  <si>
    <t>Applied Molecular Evolution</t>
  </si>
  <si>
    <t>AMEV</t>
  </si>
  <si>
    <t>03823E108</t>
  </si>
  <si>
    <t>CIBC World Markets Inc
PaineWebber
SG Cowen Securities Corp
Chase H&amp;Q
Deutsche Bank Securities
Fleet Boston Corp
Adams Harkness &amp; Hill Inc
William Blair &amp; Co
Fahnestock &amp; Co
Gerard Klauer Mattison &amp; Co
Josephthal &amp; Co Inc
Sanders Morris Mundy Inc
Stephens Inc</t>
  </si>
  <si>
    <t>CIBC-WORLD//PAINE-W/SG-COWEN//CHASE-HQ
/DBSECU/FLEET-BOSTON/ADAMS-HARKNESS
/WM-BLAIR/FAHNESTOCK/GERARD-KLAUER
/JOSEPHTHAL/SANDERS-MORRIS/STEPHENS</t>
  </si>
  <si>
    <t>CIBC-WORLD
PAINE-W
SG-COWEN</t>
  </si>
  <si>
    <t>CIBC World Markets Inc
PaineWebber Inc
SG Cowen Securities Corp</t>
  </si>
  <si>
    <t>Mainspring Inc</t>
  </si>
  <si>
    <t>MSPR</t>
  </si>
  <si>
    <t>56062U100</t>
  </si>
  <si>
    <t>Morgan Stanley Dean Witter
Chase H&amp;Q
First Albany
Thomas Weisel Partners
First Union Securities Inc
Friedman Manger
Advest Inc
Janney Montgomery Scott Inc
Lehman Brothers
SunTrust Equitable Securities
McDonald Investments
Legg Mason Wood Walker
Edward D Jones &amp; Co
Robert W Baird &amp; Co Inc
Morgan Stanley Dean Witter</t>
  </si>
  <si>
    <t>MSDW//CHASE-HQ/FIRST-ALBANY
/THOMAS-WEISEL//FIRST-UNION-SEC
/FRIEDMAN/ADVEST/JANNEY/LEH
/SUNTRUST-EQUI/MCDONALD/LEGG-MASON-WW
/ED-JONES/BAIRD//MSDW(GC)</t>
  </si>
  <si>
    <t>MSDW
CHASE-HQ
FIRST-ALBANY
THOMAS-WEISEL</t>
  </si>
  <si>
    <t>Morgan Stanley Dean Witter &amp; Co
Chase H&amp;Q
First Albany Corporation
Thomas Weisel Partners</t>
  </si>
  <si>
    <t>Morgan Stanley Dean Witter
Chase H&amp;Q
Thomas Weisel Partners
First Albany
Morgan Stanley Dean Witter</t>
  </si>
  <si>
    <t>MSDW//CHASE-HQ/THOMAS-WEISEL
/FIRST-ALBANY//MSDW(GC)</t>
  </si>
  <si>
    <t>Rita Medical Systems Inc</t>
  </si>
  <si>
    <t>RITA</t>
  </si>
  <si>
    <t>76774E103</t>
  </si>
  <si>
    <t>Salomon Smith Barney
Fleet Boston Corp
George K Baum &amp; Co
William Blair &amp; Co
Fahnestock &amp; Co
First Union Securities Inc
Stephens Inc
Tucker Anthony Inc</t>
  </si>
  <si>
    <t>SALOMON-SMITH/FLEET-BOSTON(JOINT)
//G-BAUM/WM-BLAIR/FAHNESTOCK
/FIRST-UNION-SEC/STEPHENS/TUCKER</t>
  </si>
  <si>
    <t>SALOMON-SMITH/FLEET-BOSTON</t>
  </si>
  <si>
    <t>SALOMON-SMITH
/FLEET-BOSTON(JOINT)</t>
  </si>
  <si>
    <t>Salomon Smith Barney
Fleet Boston Corp,Boston,Massachusetts</t>
  </si>
  <si>
    <t>TyCom Ltd</t>
  </si>
  <si>
    <t>TCM</t>
  </si>
  <si>
    <t>G9144B106</t>
  </si>
  <si>
    <t>Goldman Sachs &amp; Co
Salomon Smith Barney
Merrill Lynch
Bear Stearns &amp; Co Inc
Donaldson Lufkin &amp; Jenrette
JP Morgan
Banc of America Securities LLC
Deutsche Banc Alex Brown
UBS Warburg
Chase H&amp;Q
Morgan Stanley Dean Witter
Lehman Brothers
Credit Suisse First Boston
ABN-AMRO Holding NV
Buckingham Securities
ING Barings
Neuberger Berman Inc
Wit Soundview Group Inc
Commerzbank AG
Banque Europeenne l'Amer Lat
Williams Capital Group LP
Sturdivant &amp; Co Inc
Samuel A. Ramirez &amp; Co.
May Davis Group Inc
Wasserstein Perella Securities
McDonald Investments
Credit Lyonnais SA
Blaylock &amp; Partners LP
AG Edwards &amp; Sons Inc
Sanford C Bernstein &amp; Co Inc
Goldman Sachs &amp; Co
Salomon Smith Barney</t>
  </si>
  <si>
    <t>GS(JB)/SALOMON-SMITH(JB)/MERRILL(JOINT)
//BEAR/DLJ/JPM/BA-SEC-LLC
/DEUTSCHE-ALEX-B/UBS-WARBURG/CHASE-HQ
/MSDW/LEH/CS-FB-CS//ABN-AMRO/BUCKINGHAM
/ING-BARINGS/NEUBERGER/WIT-SOUNDVIEW
/COMMERZBANK/BEAL/WILLIAMS-CAP
/STURDIVANT/RAMIREZ/MAY-DAVIS/WP-SEC
/MCDONALD/CRED-LYONNAIS/BLAYLOCK-PTRNS
/A-G-EDWARDS/BERNSTEIN//GS(GC)
/SALOMON-SMITH(GC)</t>
  </si>
  <si>
    <t>GS/SALOMON-SMITH/MERRILL</t>
  </si>
  <si>
    <t>GS
(JB)/SALOMON-SMITH(JB)
/MERRILL(JOINT)
BEAR
DLJ
JPM
BA-SEC-LLC
DEUTSCHE-ALEX-B
UBS-WARBURG
CHASE-HQ
MSDW
LEH
CS-FB-CS</t>
  </si>
  <si>
    <t>Goldman Sachs &amp; Co
Salomon Smith Barney
Merrill Lynch &amp; Co Inc
Bear Stearns &amp; Co Inc
Donaldson Lufkin &amp; Jenrette Inc
JP Morgan &amp; Co Inc
Banc of America Securities LLC
Deutsche Banc Alex Brown
UBS Warburg
Chase H&amp;Q
Morgan Stanley Dean Witter &amp; Co
Lehman Brothers
Credit Suisse First Boston Corp</t>
  </si>
  <si>
    <t>Goldman Sachs &amp; Co
Salomon Smith Barney
Merrill Lynch
Bear Stearns &amp; Co Inc
First Boston Corp
Donaldson Lufkin &amp; Jenrette
Lehman Brothers
JP Morgan
Morgan Stanley &amp; Co
Banc of America Securities LLC
Chase H&amp;Q
Deutsche Banc Alex Brown
UBS Warburg (UK)
Goldman Sachs &amp; Co
Salomon Smith Barney</t>
  </si>
  <si>
    <t>GS(JB)/SALOMON-SMITH(JB)/MERRILL(JOINT)
//BEAR/FBC/DLJ/LEH/JPM/MS/BA-SEC-LLC
/CHASE-HQ/DEUTSCHE-ALEX-B
/UBS-WARBURG-UK//GS(GC)
/SALOMON-SMITH(GC)</t>
  </si>
  <si>
    <t>GS
(JB)/SALOMON-SMITH(JB)
/MERRILL(JOINT)</t>
  </si>
  <si>
    <t>Goldman Sachs &amp; Co
Salomon Smith Barney
Merrill Lynch &amp; Co Inc</t>
  </si>
  <si>
    <t>Avici Systems Inc</t>
  </si>
  <si>
    <t>AVCI</t>
  </si>
  <si>
    <t>05367L109</t>
  </si>
  <si>
    <t>Morgan Stanley Dean Witter
JP Morgan
UBS Warburg
Lehman Brothers
Dain Rauscher Wessels
Brad Peery Inc
Thomas Weisel Partners
US Bancorp Piper Jaffray
Fleet Boston Corp
Jefferies &amp; Co Inc
Edward D Jones &amp; Co
First Union Securities Inc
Morgan Stanley Dean Witter</t>
  </si>
  <si>
    <t>MSDW//JPM/UBS-WARBURG/LEH
//DAIN-R-WESSELS/BRADPE/THOMAS-WEISEL
/US-PIPER/FLEET-BOSTON/JEFFERIES
/ED-JONES/FIRST-UNION-SEC//MSDW(GC)</t>
  </si>
  <si>
    <t>MSDW
JPM
UBS-WARBURG
LEH</t>
  </si>
  <si>
    <t>Morgan Stanley Dean Witter &amp; Co
JP Morgan &amp; Co Inc
UBS Warburg
Lehman Brothers</t>
  </si>
  <si>
    <t>Morgan Stanley Dean Witter
JP Morgan Securities Ltd
Lehman Brothers
UBS Warburg (UK)
Morgan Stanley Dean Witter</t>
  </si>
  <si>
    <t>MSDW//JPML/LEH/UBS-WARBURG-UK//MSDW(GC)</t>
  </si>
  <si>
    <t>Corvis Corp</t>
  </si>
  <si>
    <t>CORV</t>
  </si>
  <si>
    <t>CS First Boston Corp
Fleet Boston Corp
Chase H&amp;Q
JP Morgan
Banc of America Securities LLC
CIBC World Markets Inc
ABN-AMRO Holding NV
Wit Soundview Group Inc
Thomas Weisel Partners
US Bancorp Piper Jaffray
UBS Warburg
Merrill Lynch
Edward D Jones &amp; Co
Invemed Associates Inc
Cazenove &amp; Co
Deutsche Bank
Donaldson Lufkin &amp; Jenrette
E*Offering Corp
AG Edwards &amp; Sons Inc
Dain Rauscher Corp
Sanford C Bernstein &amp; Co Inc
Lehman Brothers
CS First Boston Corp</t>
  </si>
  <si>
    <t>CS-FB//FLEET-BOSTON/CHASE-HQ/JPM
/BA-SEC-LLC/CIBC-WORLD//ABN-AMRO
/WIT-SOUNDVIEW/THOMAS-WEISEL/US-PIPER
/UBS-WARBURG/MERRILL/ED-JONES/INVEMED
/CAZENOVE/DEUTSCHE-BANK/DLJ/E*OFFERING
/A-G-EDWARDS/DAIN-RAUSCHER/BERNSTEIN
/LEH//CS-FB(GC)</t>
  </si>
  <si>
    <t>CS-FB
FLEET-BOSTON
CHASE-HQ
JPM
BA-SEC-LLC
CIBC-WORLD</t>
  </si>
  <si>
    <t>CS First Boston Corp
Fleet Boston Corp,Boston,Massachusetts
Chase H&amp;Q
JP Morgan &amp; Co Inc
Banc of America Securities LLC
CIBC World Markets Inc</t>
  </si>
  <si>
    <t>Discovery Partners</t>
  </si>
  <si>
    <t>DPII</t>
  </si>
  <si>
    <t>Chase H&amp;Q
Lehman Brothers
UBS Warburg
FleetBoston Robertson Stephens
CIBC World Markets Inc
Credit Suisse First Boston
Deutsche Banc Alex Brown
AG Edwards &amp; Sons Inc
ING Barings
Thomas Weisel Partners
Dominick &amp; Dominick Inc
LH Friend, Weinress, Frankson
Gruntal &amp; Co Inc
Janney Montgomery Scott Inc
Legg Mason Wood Walker</t>
  </si>
  <si>
    <t>CHASE-HQ/LEH(JOINT)//UBS-WARBURG
//FLEET-ROB-STEPH/CIBC-WORLD/CS-FB-CS
/DEUTSCHE-ALEX-B/A-G-EDWARDS
/ING-BARINGS/THOMAS-WEISEL/DOMINICK
/F-WEINRESS-FR/GRUNTAL/JANNEY
/LEGG-MASON-WW</t>
  </si>
  <si>
    <t>CHASE-HQ/LEH</t>
  </si>
  <si>
    <t>CHASE-HQ
/LEH(JOINT)
UBS-WARBURG</t>
  </si>
  <si>
    <t>Chase H&amp;Q
Lehman Brothers
UBS Warburg</t>
  </si>
  <si>
    <t>Genencor International Inc</t>
  </si>
  <si>
    <t>GCOR</t>
  </si>
  <si>
    <t>Merrill Lynch
Chase H&amp;Q
Salomon Smith Barney
Credit Suisse First Boston
ING Barings
Merrill Lynch</t>
  </si>
  <si>
    <t>MERRILL//CHASE-HQ/SALOMON-SMITH
/CS-FB-CS//ING-BARINGS//MERRILL(GC)</t>
  </si>
  <si>
    <t>MERRILL
CHASE-HQ
SALOMON-SMITH
CS-FB-CS</t>
  </si>
  <si>
    <t>Merrill Lynch &amp; Co Inc
Chase H&amp;Q
Salomon Smith Barney
Credit Suisse First Boston Corp</t>
  </si>
  <si>
    <t>Merrill Lynch
Chase H&amp;Q
Credit Suisse First Boston Inc
Salomon Smith Barney
ING Barings
Merrill Lynch</t>
  </si>
  <si>
    <t>MERRILL//CHASE-HQ/CSFB-INC
/SALOMON-SMITH/ING-BARINGS//MERRILL(GC)</t>
  </si>
  <si>
    <t>Illumina Inc</t>
  </si>
  <si>
    <t>ILMN</t>
  </si>
  <si>
    <t>Goldman Sachs &amp; Co
Chase H&amp;Q
SG Cowen Securities Corp
Banc of America Securities LLC
Bear Stearns &amp; Co Inc
AG Edwards &amp; Sons Inc
Edward D Jones &amp; Co
Lehman Brothers
Robert W Baird &amp; Co Inc
Blair House
Legg Mason Wood Walker
Samuel A. Ramirez &amp; Co.
Sutro &amp; Co Inc
Goldman Sachs &amp; Co</t>
  </si>
  <si>
    <t>GS//CHASE-HQ/SG-COWEN//BA-SEC-LLC/BEAR
/A-G-EDWARDS/ED-JONES/LEH/BAIRD/BLAIR
/LEGG-MASON-WW/RAMIREZ/SUTRO//GS(GC)</t>
  </si>
  <si>
    <t>GS
CHASE-HQ
SG-COWEN</t>
  </si>
  <si>
    <t>Goldman Sachs &amp; Co
Chase H&amp;Q
SG Cowen Securities Corp</t>
  </si>
  <si>
    <t>Goldman Sachs &amp; Co
Chase H&amp;Q
SG Cowen Securities Corp
Goldman Sachs &amp; Co</t>
  </si>
  <si>
    <t>GS//CHASE-HQ/SG-COWEN//GS(GC)</t>
  </si>
  <si>
    <t>Lexent Inc</t>
  </si>
  <si>
    <t>LXNT</t>
  </si>
  <si>
    <t>52886Q102</t>
  </si>
  <si>
    <t>Credit Suisse First Boston
Chase H&amp;Q
Raymond James &amp; Associates Inc
E*Offering Corp
Fahnestock &amp; Co
Invemed Associates Inc
Prudential Securities Inc
Sands Brothers &amp; Co Ltd
Shields
H. G. Wellington &amp; Co, Inc.
Credit Suisse First Boston</t>
  </si>
  <si>
    <t>CS-FB-CS//CHASE-HQ/RAYMOND/E*OFFERING
/FAHNESTOCK/INVEMED/PSI/SANDS/SHIELDS
/H-G-WELLINGTON//CS-FB-CS(GC)</t>
  </si>
  <si>
    <t>ValiCert Inc</t>
  </si>
  <si>
    <t>VLCT</t>
  </si>
  <si>
    <t>DEUTSCHE-ALEX-B
/MERRILL(JB)</t>
  </si>
  <si>
    <t>91915Q105</t>
  </si>
  <si>
    <t>Deutsche Banc Alex Brown
Merrill Lynch
Donaldson Lufkin &amp; Jenrette
Wit Soundview Group Inc
First Analysis Securities
Pacific Crest Securities Inc
Deutsche Banc Alex Brown
Merrill Lynch</t>
  </si>
  <si>
    <t>DEUTSCHE-ALEX-B(JB)/MERRILL(JB)//DLJ
/WIT-SOUNDVIEW//F-ANALYSIS
/PACIFIC-CREST//DEUTSCHE-ALEX-B(GC)
/MERRILL(GC)</t>
  </si>
  <si>
    <t>DEUTSCHE-ALEX-B/MERRILL</t>
  </si>
  <si>
    <t>DEUTSCHE-ALEX-B
(JB)/MERRILL(JB)
DLJ
WIT-SOUNDVIEW</t>
  </si>
  <si>
    <t>Deutsche Banc Alex Brown
Merrill Lynch &amp; Co Inc
Donaldson Lufkin &amp; Jenrette Inc
Wit Soundview Group Inc</t>
  </si>
  <si>
    <t>Deutsche Banc Alex Brown
Merrill Lynch
Donaldson Lufkin &amp; Jenrette
Wit Soundview Group Inc
First Analysis Securities
Pacific Crest Securities Inc
Merrill Lynch</t>
  </si>
  <si>
    <t>DEUTSCHE-ALEX-B(JB)/MERRILL(JB)//DLJ
/WIT-SOUNDVIEW/F-ANALYSIS/PACIFIC-CREST
//MERRILL(GC)</t>
  </si>
  <si>
    <t>DEUTSCHE-ALEX-B
(JB)/MERRILL(JB)</t>
  </si>
  <si>
    <t>Deutsche Banc Alex Brown
Merrill Lynch &amp; Co Inc</t>
  </si>
  <si>
    <t>WebEx Communications Inc</t>
  </si>
  <si>
    <t>WEBX</t>
  </si>
  <si>
    <t>94767L109</t>
  </si>
  <si>
    <t>Goldman Sachs &amp; Co
Deutsche Banc Alex Brown
Wit Soundview Group Inc
CIBC World Markets Inc
Dain Rauscher Corp
Sutro &amp; Co Inc
First Union Securities Inc
Thomas Weisel Partners
Edward D Jones &amp; Co
Legg Mason Wood Walker
US Bancorp Piper Jaffray
Goldman Sachs &amp; Co</t>
  </si>
  <si>
    <t>GS/DEUTSCHE-ALEX-B(JOINT)
//WIT-SOUNDVIEW/CIBC-WORLD
//DAIN-RAUSCHER/SUTRO/FIRST-UNION-SEC
/THOMAS-WEISEL/ED-JONES/LEGG-MASON-WW
/US-PIPER//GS(GC)</t>
  </si>
  <si>
    <t>GS/DEUTSCHE-ALEX-B</t>
  </si>
  <si>
    <t>GS
/DEUTSCHE-ALEX-B(JOINT)
WIT-SOUNDVIEW
CIBC-WORLD</t>
  </si>
  <si>
    <t>Goldman Sachs &amp; Co
Deutsche Banc Alex Brown
Wit Soundview Group Inc
CIBC World Markets Inc</t>
  </si>
  <si>
    <t>Goldman Sachs &amp; Co
Deutsche Banc Alex Brown
Wit Soundview Group Inc
CIBC World Markets Inc
Goldman Sachs &amp; Co</t>
  </si>
  <si>
    <t>GS/DEUTSCHE-ALEX-B(JOINT)
//WIT-SOUNDVIEW/CIBC-WORLD//GS(GC)</t>
  </si>
  <si>
    <t>GS
/DEUTSCHE-ALEX-B(JOINT)</t>
  </si>
  <si>
    <t>Goldman Sachs &amp; Co
Deutsche Banc Alex Brown</t>
  </si>
  <si>
    <t>Arena Pharmaceuticals Inc</t>
  </si>
  <si>
    <t>ARNA</t>
  </si>
  <si>
    <t>040047102</t>
  </si>
  <si>
    <t>ING Barings
Prudential Vector Healthcare
SG Cowen Securities Corp
Bear Stearns &amp; Co Inc
Chase H&amp;Q
CIBC World Markets Inc
Donaldson Lufkin &amp; Jenrette
Lehman Brothers
Morgan Stanley Dean Witter
UBS Warburg
Chatsworth Securities LLC
Davenport
Dominick &amp; Dominick Inc
CL King &amp; Associates Inc
Tucker Anthony Cleary Gull</t>
  </si>
  <si>
    <t>ING-BARINGS//PRU-VEC-HC/SG-COWEN//BEAR
/CHASE-HQ/CIBC-WORLD/DLJ/LEH/MSDW
/UBS-WARBURG/CHATSWORTH/DAVENPORT
/DOMINICK/CL-KING/TUCKER-GULL</t>
  </si>
  <si>
    <t>ING-BARINGS
PRU-VEC-HC
SG-COWEN</t>
  </si>
  <si>
    <t>ING Barings
Prudential Vector Healthcare
SG Cowen Securities Corp</t>
  </si>
  <si>
    <t>Camtek Ltd</t>
  </si>
  <si>
    <t>CAMT</t>
  </si>
  <si>
    <t>M20791105</t>
  </si>
  <si>
    <t>CIBC World Markets Inc
UBS Warburg
Needham &amp; Co LLC
Banc of America Securities LLC
Chase Securities Inc
ING Barings
Adams Harkness &amp; Hill Inc
William Blair &amp; Co
First Security Van Kasper &amp; Co
Oscar Gruss &amp; Son Inc
McDonald &amp; Co Investments Inc
Pennsylvania Merchant Group</t>
  </si>
  <si>
    <t>CIBC-WORLD//UBS-WARBURG/NEEDHAM
//BA-SEC-LLC/CHASE-SEC/ING-BARINGS
/ADAMS-HARKNESS/WM-BLAIR/FIR-VAN-KASPER
/OSCAR-GRUSS/MCDON/PENN-MER-GROUP</t>
  </si>
  <si>
    <t>CIBC-WORLD
UBS-WARBURG
NEEDHAM</t>
  </si>
  <si>
    <t>CIBC World Markets Inc
UBS Warburg
Needham &amp; Co LLC</t>
  </si>
  <si>
    <t>Convergent Group Corp</t>
  </si>
  <si>
    <t>CVGP</t>
  </si>
  <si>
    <t>21247V100</t>
  </si>
  <si>
    <t>Fleet Boston Corp
Donaldson Lufkin &amp; Jenrette
Wit Soundview Group Inc</t>
  </si>
  <si>
    <t>FLEET-BOSTON//DLJ/WIT-SOUNDVIEW</t>
  </si>
  <si>
    <t>FLEET-BOSTON
DLJ
WIT-SOUNDVIEW</t>
  </si>
  <si>
    <t>Fleet Boston Corp,Boston,Massachusetts
Donaldson Lufkin &amp; Jenrette Inc
Wit Soundview Group Inc</t>
  </si>
  <si>
    <t>Pacific Union Bank,LA,CA</t>
  </si>
  <si>
    <t>PUBB</t>
  </si>
  <si>
    <t>SANDLER-ONEILL</t>
  </si>
  <si>
    <t>Sandler O'Neill Partners
First Securities Corp. of NC
Hoefer &amp; Arnett Inc
Howe Barnes Investments Inc
Pacific Crest Securities Inc
Stifel Nicolaus &amp; Co Inc
Sutro &amp; Co Inc
Wedbush Securities</t>
  </si>
  <si>
    <t>SANDLER-ONEILL//FIRST-SEC/HOEFER-ARNETT
/HOWE-BARNES/PACIFIC-CREST/STIFEL/SUTRO
/WEDBUSH-M</t>
  </si>
  <si>
    <t>Sandler O'Neill Partners  L.P.</t>
  </si>
  <si>
    <t>SpeechWorks International Inc</t>
  </si>
  <si>
    <t>84764M101</t>
  </si>
  <si>
    <t>Chase H&amp;Q
JP Morgan
US Bancorp Piper Jaffray
Bear Stearns &amp; Co Inc
Dain Rauscher Wessels
Donaldson Lufkin &amp; Jenrette
Morgan Stanley Dean Witter
SG Cowen Securities Corp
Adams Harkness &amp; Hill Inc
Advest Inc
Chatsworth Securities LLC
Fidelity Capital Markets
First Analysis Securities
Ladenburg Thalmann &amp; Co
Tucker Anthony Cleary Gull</t>
  </si>
  <si>
    <t>CHASE-HQ//JPM/US-PIPER//BEAR
/DAIN-R-WESSELS/DLJ/MSDW/SG-COWEN
/ADAMS-HARKNESS/ADVEST/CHATSWORTH
/FIDELITY-CAP/F-ANALYSIS/LADENBURG
/TUCKER-GULL</t>
  </si>
  <si>
    <t>CHASE-HQ
JPM
US-PIPER</t>
  </si>
  <si>
    <t>Chase H&amp;Q
JP Morgan &amp; Co Inc
US Bancorp Piper Jaffray Inc</t>
  </si>
  <si>
    <t>Tripath Technology Inc</t>
  </si>
  <si>
    <t>TRPH</t>
  </si>
  <si>
    <t>89672P104</t>
  </si>
  <si>
    <t>Salomon Smith Barney
Deutsche Banc Alex Brown
US Bancorp Piper Jaffray
Dain Rauscher Wessels
Banc of America Securities LLC
Chase Securities Inc
FleetBoston Robertson Stephens
Lehman Brothers
Morgan Stanley &amp; Co
SG Cowen Securities Corp
Thomas Weisel Partners
Gerard Klauer Mattison &amp; Co
Hoefer &amp; Arnett Inc
Needham &amp; Co LLC
Tucker Anthony Inc</t>
  </si>
  <si>
    <t>SALOMON-SMITH/DEUTSCHE-ALEX-B(JOINT)
//US-PIPER/DAIN-R-WESSELS//BA-SEC-LLC
/CHASE-SEC/FLEET-ROB-STEPH/LEH/MS
/SG-COWEN/THOMAS-WEISEL/GERARD-KLAUER
/HOEFER-ARNETT/NEEDHAM/TUCKER</t>
  </si>
  <si>
    <t>SALOMON-SMITH
/DEUTSCHE-ALEX-B(JOINT)
US-PIPER
DAIN-R-WESSELS</t>
  </si>
  <si>
    <t>Salomon Smith Barney
Deutsche Banc Alex Brown
US Bancorp Piper Jaffray Inc
Dain Rauscher Wessels</t>
  </si>
  <si>
    <t>Virage Logic Corp</t>
  </si>
  <si>
    <t>VIRL</t>
  </si>
  <si>
    <t>92763R104</t>
  </si>
  <si>
    <t>Lehman Brothers
Fleet Boston Corp
Fidelity Capital Markets
SG Cowen Securities Corp
Deutsche Bank Securities
Raymond James &amp; Associates Inc
Wachovia Securities Inc
Needham &amp; Co LLC
Merrill Lynch, Pierce, Fenner
UBS Warburg
Legg Mason Wood Walker
Thomas Weisel Partners
Donaldson Lufkin &amp; Jenrette
Lehman Brothers</t>
  </si>
  <si>
    <t>LEH//FLEET-BOSTON/FIDELITY-CAP/SG-COWEN
//DBSECU/RAYMOND/WACHOVIA-SEC/NEEDHAM
/ML/UBS-WARBURG/LEGG-MASON-WW
/THOMAS-WEISEL/DLJ//LEH(GC)</t>
  </si>
  <si>
    <t>LEH
FLEET-BOSTON
FIDELITY-CAP
SG-COWEN</t>
  </si>
  <si>
    <t>Lehman Brothers
Fleet Boston Corp,Boston,Massachusetts
Fidelity Capital Markets
SG Cowen Securities Corp</t>
  </si>
  <si>
    <t>Lehman Brothers
FleetBoston Robertson Stephens
SG Cowen Securities Corp
Lehman Brothers</t>
  </si>
  <si>
    <t>LEH//FLEET-ROB-STEPH//SG-COWEN//LEH(GC)</t>
  </si>
  <si>
    <t>LEH
FLEET-ROB-STEPH</t>
  </si>
  <si>
    <t>Lehman Brothers
FleetBoston Robertson Stephens Inc</t>
  </si>
  <si>
    <t>Western Multiplex Corp</t>
  </si>
  <si>
    <t>WMUX</t>
  </si>
  <si>
    <t>95874P107</t>
  </si>
  <si>
    <t>Salomon Smith Barney
Lehman Brothers
CIBC World Markets Inc
Banc of America Securities LLC
Deutsche Bank Securities Corp
FleetBoston Robertson Stephens
Prudential Securities Inc
SG Cowen Securities Corp
First Security Van Kasper &amp; Co
Needham &amp; Co LLC
Robinson-Humphrey Co
Sands Brothers &amp; Co Ltd
Tucker Anthony Inc</t>
  </si>
  <si>
    <t>SALOMON-SMITH/LEH(JOINT)//CIBC-WORLD
//BA-SEC-LLC/DEUTSCHE-BK-SEC
/FLEET-ROB-STEPH/PSI/SG-COWEN
/FIR-VAN-KASPER/NEEDHAM/ROBINSON/SANDS
/TUCKER</t>
  </si>
  <si>
    <t>SALOMON-SMITH/LEH</t>
  </si>
  <si>
    <t>SALOMON-SMITH
/LEH(JOINT)
CIBC-WORLD</t>
  </si>
  <si>
    <t>Salomon Smith Barney
Lehman Brothers
CIBC World Markets Inc</t>
  </si>
  <si>
    <t>Genaissance Pharmaceuticals</t>
  </si>
  <si>
    <t>GNSC</t>
  </si>
  <si>
    <t>36867W105</t>
  </si>
  <si>
    <t>Deutsche Banc Alex Brown
Bear Stearns &amp; Co Inc
UBS Warburg
Salomon Smith Barney
Gerard Klauer Mattison &amp; Co
Chatsworth Securities LLC
CL King &amp; Associates Inc
ING Barings
Morgan Stanley Dean Witter
Parker-Hunter Inc
Chase H&amp;Q
Banc of America Securities LLC
Fleet Boston Corp
Fahnestock &amp; Co
Emerging Growth Equities Ltd
Tucker Anthony Cleary Gull
Josephthal &amp; Co Inc
Van Kasper &amp; Co
William Blair &amp; Co
Prudential Securities Inc
Lehman Brothers
Merrill Lynch
Deutsche Banc Alex Brown</t>
  </si>
  <si>
    <t>DEUTSCHE-ALEX-B//BEAR/UBS-WARBURG
/SALOMON-SMITH//GERARD-KLAUER
/CHATSWORTH/CL-KING/ING-BARINGS/MSDW
/PARKER-HUNTER/CHASE-HQ/BA-SEC-LLC
/FLEET-BOSTON/FAHNESTOCK
/EMERGING-GROWTH/TUCKER-GULL/JOSEPHTHAL
/VAN-KASPER/WM-BLAIR/PSI/LEH/MERRILL
//DEUTSCHE-ALEX-B(GC)</t>
  </si>
  <si>
    <t>DEUTSCHE-ALEX-B
BEAR
UBS-WARBURG
SALOMON-SMITH</t>
  </si>
  <si>
    <t>Deutsche Banc Alex Brown
Bear Stearns &amp; Co Inc
UBS Warburg
Salomon Smith Barney</t>
  </si>
  <si>
    <t>Deutsche Bank
Bear Stearns &amp; Co Inc
Salomon Smith Barney
UBS Warburg (UK)
Deutsche Bank</t>
  </si>
  <si>
    <t>DEUTSCHE-BANK//BEAR/SALOMON-SMITH
/UBS-WARBURG-UK//DEUTSCHE-BANK(GC)</t>
  </si>
  <si>
    <t>OPNET Technologies Inc</t>
  </si>
  <si>
    <t>OPNT</t>
  </si>
  <si>
    <t>Morgan Stanley Dean Witter
Fleet Boston Corp
Friedman Billings Ramsey Group
Banc of America Securities LLC
Chase Manhattan Bank NA
Dain Rauscher Corp
First Union Securities Inc
Janney Montgomery Scott Inc
Edward D Jones &amp; Co
Legg Mason &amp; Co Inc
McDonald Investments
Brad Peery Inc
Morgan Stanley Dean Witter</t>
  </si>
  <si>
    <t>MSDW//FLEET-BOSTON/FRIEDMAN-B
//BA-SEC-LLC/CHASE/DAIN-RAUSCHER
/FIRST-UNION-SEC/JANNEY/ED-JONES
/LEGG-MASON/MCDONALD/BRADPE//MSDW(GC)</t>
  </si>
  <si>
    <t>MSDW
FLEET-BOSTON
FRIEDMAN-B</t>
  </si>
  <si>
    <t>Morgan Stanley Dean Witter &amp; Co
Fleet Boston Corp,Boston,Massachusetts
Friedman Billings Ramsey Group</t>
  </si>
  <si>
    <t>Morgan Stanley Dean Witter
FleetBoston Robertson Stephens
Friedman Billings Ramsey Group
Morgan Stanley Dean Witter</t>
  </si>
  <si>
    <t>MSDW//FLEET-ROB-STEPH/FRIEDMAN-B
//MSDW(GC)</t>
  </si>
  <si>
    <t>Floware Wireless Systems Ltd</t>
  </si>
  <si>
    <t>FLRE</t>
  </si>
  <si>
    <t>Credit Suisse First Boston Inc
CIBC World Markets Inc
JP Morgan</t>
  </si>
  <si>
    <t>CSFB-INC//CIBC-WORLD/JPM</t>
  </si>
  <si>
    <t>CSFB-INC
CIBC-WORLD
JPM</t>
  </si>
  <si>
    <t>Credit Suisse First Boston Inc
CIBC World Markets Inc
JP Morgan &amp; Co Inc</t>
  </si>
  <si>
    <t>California Pizza Kitchen Inc</t>
  </si>
  <si>
    <t>CPKI</t>
  </si>
  <si>
    <t>BA-SEC-LLC
/DEUTSCHE-ALEX-B(JB)</t>
  </si>
  <si>
    <t>13054D109</t>
  </si>
  <si>
    <t>Banc of America Securities LLC
Deutsche Banc Alex Brown
Fleet Boston Corp</t>
  </si>
  <si>
    <t>Bruckmann Rosser Sherrill &amp; Co</t>
  </si>
  <si>
    <t>BA-SEC-LLC(JB)/DEUTSCHE-ALEX-B(JB)
//FLEET-BOSTON</t>
  </si>
  <si>
    <t>BA-SEC-LLC/DEUTSCHE-ALEX-B</t>
  </si>
  <si>
    <t>BA-SEC-LLC
(JB)/DEUTSCHE-ALEX-B(JB)
FLEET-BOSTON</t>
  </si>
  <si>
    <t>Banc of America Securities LLC
Deutsche Banc Alex Brown
Fleet Boston Corp,Boston,Massachusetts</t>
  </si>
  <si>
    <t>Deltagen Inc</t>
  </si>
  <si>
    <t>DGEN</t>
  </si>
  <si>
    <t>24783R103</t>
  </si>
  <si>
    <t>Salomon Smith Barney
Fleet Boston Corp
US Bancorp Piper Jaffray
Chase H&amp;Q
CIBC World Markets Inc
JP Morgan Securities Ltd
SG Cowen Securities Corp
Legg Mason Wood Walker
Needham &amp; Co LLC
Pacific Growth Equities Inc
Punk Ziegel &amp; Co LP
Robinson-Humphrey Co
Tucker Anthony Inc</t>
  </si>
  <si>
    <t>SALOMON-SMITH/FLEET-BOSTON(JOINT)
//US-PIPER//CHASE-HQ/CIBC-WORLD/JPML
/SG-COWEN/LEGG-MASON-WW/NEEDHAM
/PACIFIC-GROWTH/PUNK/ROBINSON/TUCKER</t>
  </si>
  <si>
    <t>SALOMON-SMITH
/FLEET-BOSTON(JOINT)
US-PIPER</t>
  </si>
  <si>
    <t>Salomon Smith Barney
Fleet Boston Corp,Boston,Massachusetts
US Bancorp Piper Jaffray Inc</t>
  </si>
  <si>
    <t>Entravision Commun Corp</t>
  </si>
  <si>
    <t>EVC</t>
  </si>
  <si>
    <t>29382R107</t>
  </si>
  <si>
    <t>Donaldson Lufkin &amp; Jenrette
CS First Boston Corp
Merrill Lynch
Salomon Smith Barney
Bear Stearns &amp; Co Inc
DLJdirect
Allen &amp; Co Inc
Lazard Freres &amp; Co LLC
Fleet Boston Corp
Robert W Baird &amp; Co Inc
Arnhold and S Bleichroeder Inc
Advest Inc
Thomas Weisel Partners
Wasserstein Perella Securities
CE Unterberg Towbin
PaineWebber
Morgan Stanley &amp; Co
McDonald Investments
Ladenburg Thalmann &amp; Co
King &amp; Shaxson Holdings
W. E. Kaufman
Johnston Lemon &amp; Co Inc
Janney Montgomery Scott Inc
Hoefer &amp; Arnett Inc
Hoak Breedlove Wesneski &amp; Co
Wedbush Securities
Tucker Anthony Inc
Sutro &amp; Co Inc
Stephens Inc
Scott &amp; Stringfellow Financial
Sands Brothers &amp; Co Ltd
Sanders &amp; Beckingham
Robinson-Humphrey Co
Raymond James &amp; Associates Inc
Ragen MacKenzie Group Inc
Pennsylvania Merchant Group
Parker-Hunter Inc
Pacific Crest Securities Inc
Needham &amp; Co LLC
Morgan Keegan Inc
Guzman &amp; Co
Gruntal &amp; Co Inc
Gerard Klauer Mattison &amp; Co
Gabelli &amp; Co Inc
First Albany
Fahnestock &amp; Co
Crowell Weedon &amp; Co
William Blair &amp; Co
Lehman Brothers
Chase Securities Inc
Deutsche Bank Securities
AG Edwards &amp; Sons Inc
First Union Securities Inc
CIBC World Markets Inc
Banc of America Securities LLC</t>
  </si>
  <si>
    <t>DLJ/CS-FB/MERRILL(JOINT)//SALOMON-SMITH
/BEAR/DLJ-DIRECT//ALLEN/LAZ
/FLEET-BOSTON/BAIRD/ARNHOLD/ADVEST
/THOMAS-WEISEL/WP-SEC/UNTERBERG/PAINE-W
/MS/MCDONALD/LADENBURG/KING/KAUFMAN
/JOHNSTON-LEMON/JANNEY/HOEFER-ARNETT
/HOAK-BREEDLOVE/WEDBUSH-M/TUCKER/SUTRO
/STEPHENS/SCOTT-STRING/SANDS/SANDERS
/ROBINSON/RAYMOND/RAGEN/PENN-MER-GROUP
/PARKER-HUNTER/PACIFIC-CREST/NEEDHAM
/MORGAN-KEEGAN/GUZMAN/GRUNTAL
/GERARD-KLAUER/GABELLI/FIRST-ALBANY
/FAHNESTOCK/CROWELL/WM-BLAIR/LEH
/CHASE-SEC/DBSECU/A-G-EDWARDS
/FIRST-UNION-SEC/CIBC-WORLD/BA-SEC-LLC</t>
  </si>
  <si>
    <t>DLJ/CS-FB/MERRILL</t>
  </si>
  <si>
    <t>DLJ
/CS-FB
/MERRILL(JOINT)
SALOMON-SMITH
BEAR
DLJ-DIRECT</t>
  </si>
  <si>
    <t>Donaldson Lufkin &amp; Jenrette Inc
CS First Boston Corp
Merrill Lynch &amp; Co Inc
Salomon Smith Barney
Bear Stearns &amp; Co Inc
DLJdirect</t>
  </si>
  <si>
    <t>eRoomSystem Technologies Inc</t>
  </si>
  <si>
    <t>ERMS</t>
  </si>
  <si>
    <t>DONALD</t>
  </si>
  <si>
    <t>Donald &amp; Co. Securities
Monness Crespi Hardt
Kashner Davidson Securities
Schneider Securities, Inc.
Huntleigh Securities Corp
Smith, Moore
Nutmeg Securities Ltd</t>
  </si>
  <si>
    <t>DONALD/MONNESS(JOINT)//KASHNER
/SCHNEIDER/HUNTLEIGH-SEC/SMITH-MOORE
/NUTMEG-SEC</t>
  </si>
  <si>
    <t>DONALD/MONNESS</t>
  </si>
  <si>
    <t>DONALD
/MONNESS(JOINT)</t>
  </si>
  <si>
    <t>Donald &amp; Co. Securities, Inc.
Monness Crespi Hardt &amp; Co Inc</t>
  </si>
  <si>
    <t>iAsia Works Inc</t>
  </si>
  <si>
    <t>IAWK</t>
  </si>
  <si>
    <t>45072L101</t>
  </si>
  <si>
    <t>Goldman Sachs &amp; Co
Morgan Stanley Dean Witter
Salomon Smith Barney
Goldman Sachs &amp; Co</t>
  </si>
  <si>
    <t>GS/MSDW(JOINT)//SALOMON-SMITH//GS(GC)</t>
  </si>
  <si>
    <t>GS
/MSDW(JOINT)
SALOMON-SMITH</t>
  </si>
  <si>
    <t>Goldman Sachs &amp; Co
Morgan Stanley Dean Witter &amp; Co
Salomon Smith Barney</t>
  </si>
  <si>
    <t>45072L010</t>
  </si>
  <si>
    <t>Goldman Sachs &amp; Co
Morgan Stanley &amp; Co
Salomon Smith Barney
Goldman Sachs &amp; Co</t>
  </si>
  <si>
    <t>GS/MS(JOINT)//SALOMON-SMITH//GS(GC)</t>
  </si>
  <si>
    <t>GS/MS</t>
  </si>
  <si>
    <t>GS
/MS(JOINT)</t>
  </si>
  <si>
    <t>Goldman Sachs &amp; Co
Morgan Stanley &amp; Co</t>
  </si>
  <si>
    <t>Inspire Pharmaceuticals Inc</t>
  </si>
  <si>
    <t>Deutsche Banc Alex Brown
Chase H&amp;Q
US Bancorp Piper Jaffray
Banc of America Securities LLC
CIBC World Markets Inc
Merrill Lynch
Morgan Stanley Dean Witter
Fleet Boston Corp
Salomon Smith Barney
Adams
Dominick &amp; Dominick Inc
Emerging Growth Equities Ltd
Fahnestock &amp; Co
CL King &amp; Associates Inc
Legg Mason Wood Walker
Edgar M. Norris &amp; Co
SunTrust Equitable Securities
CE Unterberg Towbin
Wachovia Bank NA
Wedbush, Noble, Cooke
Deutsche Banc Alex Brown</t>
  </si>
  <si>
    <t>DEUTSCHE-ALEX-B//CHASE-HQ/US-PIPER
//BA-SEC-LLC/CIBC-WORLD/MERRILL/MSDW
/FLEET-BOSTON/SALOMON-SMITH/ADAMS
/DOMINICK/EMERGING-GROWTH/FAHNESTOCK
/CL-KING/LEGG-MASON-WW/EDGAR-NORRIS
/SUNTRUST-EQUI/UNTERBERG/WACHOVIA
/WEDBUSH//DEUTSCHE-ALEX-B(GC)</t>
  </si>
  <si>
    <t>DEUTSCHE-ALEX-B
CHASE-HQ
US-PIPER</t>
  </si>
  <si>
    <t>Deutsche Banc Alex Brown
Chase H&amp;Q
US Bancorp Piper Jaffray Inc</t>
  </si>
  <si>
    <t>Resonate Inc</t>
  </si>
  <si>
    <t>RSNT</t>
  </si>
  <si>
    <t>76115Q104</t>
  </si>
  <si>
    <t>Goldman Sachs &amp; Co
Chase Securities Inc
Wit Soundview Group Inc
Dain, Kalman &amp; Quail
CIBC World Markets Inc
Legg Mason Wood Walker
Prudential Securities Inc
Gruntal &amp; Co Inc
CL King &amp; Associates Inc
CE Unterberg Towbin
Goldman Sachs &amp; Co</t>
  </si>
  <si>
    <t>GS//CHASE-SEC/WIT-SOUNDVIEW/DAIN
//CIBC-WORLD/LEGG-MASON-WW/PSI/GRUNTAL
/CL-KING/UNTERBERG//GS(GC)</t>
  </si>
  <si>
    <t>GS
CHASE-SEC
WIT-SOUNDVIEW
DAIN</t>
  </si>
  <si>
    <t>Goldman Sachs &amp; Co
Chase Securities Inc
Wit Soundview Group Inc
Dain, Kalman &amp; Quail, Incorporated</t>
  </si>
  <si>
    <t>Goldman Sachs &amp; Co
Chase H&amp;Q
Dain Rauscher Corp
Wit Soundview Group Inc
Goldman Sachs &amp; Co</t>
  </si>
  <si>
    <t>GS//CHASE-HQ/DAIN-RAUSCHER
/WIT-SOUNDVIEW//GS(GC)</t>
  </si>
  <si>
    <t>ScreamingMedia Inc</t>
  </si>
  <si>
    <t>SCRM</t>
  </si>
  <si>
    <t>CS First Boston Corp
Deutsche Banc Alex Brown
Thomas Weisel Partners
E*Offering Corp
Fleet Boston Corp
Invemed Associates Inc
W. E. Kaufman
Wedbush, Noble, Cooke
Wit Soundview Group Inc
CS First Boston Corp</t>
  </si>
  <si>
    <t>CS-FB//DEUTSCHE-ALEX-B/THOMAS-WEISEL
//E*OFFERING/FLEET-BOSTON/INVEMED
/KAUFMAN/WEDBUSH/WIT-SOUNDVIEW
//CS-FB(GC)</t>
  </si>
  <si>
    <t>CS-FB
DEUTSCHE-ALEX-B
THOMAS-WEISEL</t>
  </si>
  <si>
    <t>CS First Boston Corp
Deutsche Banc Alex Brown
Thomas Weisel Partners</t>
  </si>
  <si>
    <t>CS First Boston Corp
Deutsche Banc Alex Brown
Thomas Weisel Partners
CS First Boston Corp</t>
  </si>
  <si>
    <t>CS-FB//DEUTSCHE-ALEX-B/THOMAS-WEISEL
//CS-FB(GC)</t>
  </si>
  <si>
    <t>SignalSoft Corp</t>
  </si>
  <si>
    <t>SGSF</t>
  </si>
  <si>
    <t>82668M102</t>
  </si>
  <si>
    <t>Salomon Smith Barney
Donaldson Lufkin &amp; Jenrette
Lehman Brothers
Banc of America Securities LLC
Credit Suisse First Boston
Dain Rauscher Corp
Deutsche Bank Securities Corp
First Union Securities Inc
FleetBoston Robertson Stephens
US Bancorp Piper Jaffray
UBS Warburg</t>
  </si>
  <si>
    <t>SALOMON-SMITH//DLJ/LEH//BA-SEC-LLC
/CS-FB-CS/DAIN-RAUSCHER/DEUTSCHE-BK-SEC
/FIRST-UNION-SEC/FLEET-ROB-STEPH
/US-PIPER/UBS-WARBURG</t>
  </si>
  <si>
    <t>SALOMON-SMITH
DLJ
LEH</t>
  </si>
  <si>
    <t>Salomon Smith Barney
Donaldson Lufkin &amp; Jenrette Inc
Lehman Brothers</t>
  </si>
  <si>
    <t>Versicor Inc</t>
  </si>
  <si>
    <t>VERS</t>
  </si>
  <si>
    <t>Lehman Brothers
Chase H&amp;Q
UBS Warburg
Pacific Growth Equities Inc
JP Morgan
CIBC World Markets Inc
Fidelity Capital Markets
SG Cowen Securities Corp
Edward D Jones &amp; Co
Fahnestock &amp; Co
Raymond James &amp; Associates Inc
Prudential Securities Inc
Fleet Boston Corp
Lazard Freres &amp; Co LLC
AG Edwards &amp; Sons Inc
Lehman Brothers</t>
  </si>
  <si>
    <t>LEH//CHASE-HQ/UBS-WARBURG
/PACIFIC-GROWTH//JPM/CIBC-WORLD
/FIDELITY-CAP/SG-COWEN/ED-JONES
/FAHNESTOCK/RAYMOND/PSI/FLEET-BOSTON
/LAZ/A-G-EDWARDS//LEH(GC)</t>
  </si>
  <si>
    <t>LEH
CHASE-HQ
UBS-WARBURG
PACIFIC-GROWTH</t>
  </si>
  <si>
    <t>Lehman Brothers
Chase H&amp;Q
UBS Warburg
Pacific Growth Equities Inc</t>
  </si>
  <si>
    <t>Lehman Brothers
Chase H&amp;Q
Pacific Growth Equities Inc
UBS Warburg (UK)
Lehman Brothers</t>
  </si>
  <si>
    <t>LEH//CHASE-HQ//PACIFIC-GROWTH
/UBS-WARBURG-UK//LEH(GC)</t>
  </si>
  <si>
    <t>Bruker Daltonics Inc</t>
  </si>
  <si>
    <t>UBS Warburg
CIBC World Markets Inc
Thomas Weisel Partners
Bear Stearns &amp; Co Inc
Cantor Fitzgerald Inc
Fleet Boston Corp
ING Barings
SG Cowen Securities Corp
William Blair &amp; Co
Pacific Growth Equities Inc
Raymond James &amp; Associates Inc
UBS Warburg</t>
  </si>
  <si>
    <t>UBS-WARBURG//CIBC-WORLD/THOMAS-WEISEL
/BEAR/CANTOR/FLEET-BOSTON/ING-BARINGS
/SG-COWEN/WM-BLAIR/PACIFIC-GROWTH
/RAYMOND//UBS-WARBURG(GC)</t>
  </si>
  <si>
    <t>Crosswave Communications Inc</t>
  </si>
  <si>
    <t>CWCI</t>
  </si>
  <si>
    <t>Goldman Sachs &amp; Co
JP Morgan Securities Ltd
FleetBoston Robertson Stephens</t>
  </si>
  <si>
    <t>GS//JPML/FLEET-ROB-STEPH</t>
  </si>
  <si>
    <t>Innovative Solns &amp; Support Inc</t>
  </si>
  <si>
    <t>ISSC</t>
  </si>
  <si>
    <t>45769N105</t>
  </si>
  <si>
    <t>Friedman Billings Ramsey Group
Stifel Nicolaus &amp; Co Inc
Janney Montgomery Scott Inc
Advest Inc
Robert W Baird &amp; Co Inc
William Blair &amp; Co
Dominick &amp; Dominick Inc
Ferris &amp; Company
Josephthal &amp; Co Inc
Legg Mason Wood Walker
Pennsylvania Merchant Group
Wilson A. Scott
SunTrust Equitable Securities
Sutro &amp; Co Inc
Tucker Anthony Inc
Wachovia Bank NA</t>
  </si>
  <si>
    <t>FRIEDMAN-B//STIFEL/JANNEY//ADVEST/BAIRD
/WM-BLAIR/DOMINICK/FERRIS/JOSEPHTHAL
/LEGG-MASON-WW/PENN-MER-GROUP/SCOTT
/SUNTRUST-EQUI/SUTRO/TUCKER/WACHOVIA</t>
  </si>
  <si>
    <t>FRIEDMAN-B
STIFEL
JANNEY</t>
  </si>
  <si>
    <t>Friedman Billings Ramsey Group
Stifel Nicolaus &amp; Co Inc
Janney Montgomery Scott Inc</t>
  </si>
  <si>
    <t>Rosetta Inpharmatics Inc</t>
  </si>
  <si>
    <t>RSTA</t>
  </si>
  <si>
    <t>Lehman Brothers
Lazard Freres &amp; Co LLC
Fidelity Capital Markets
Prudential Vector Healthcare
Chase Securities Inc
William Blair &amp; Co
Gruntal &amp; Co Inc
Gerard Klauer Mattison &amp; Co
Wachovia Securities Inc
W. M. Smith Securities, Inc
Ragen MacKenzie Group Inc
Raymond James &amp; Associates Inc
Pennsylvania Merchant Group
Edward D Jones &amp; Co
Oscar Gruss &amp; Son Inc
SG Cowen Securities Corp
AG Edwards &amp; Sons Inc
Fleet Boston Corp
JP Morgan
ING Barings
CIBC World Markets Inc
Lehman Brothers</t>
  </si>
  <si>
    <t>LEH//LAZ/FIDELITY-CAP/PRU-VEC-HC
//CHASE-SEC/WM-BLAIR/GRUNTAL
/GERARD-KLAUER/WACHOVIA-SEC/W-M-SMITH
/RAGEN/RAYMOND/PENN-MER-GROUP/ED-JONES
/OSCAR-GRUSS/SG-COWEN/A-G-EDWARDS
/FLEET-BOSTON/JPM/ING-BARINGS
/CIBC-WORLD//LEH(GC)</t>
  </si>
  <si>
    <t>LEH
LAZ
FIDELITY-CAP
PRU-VEC-HC</t>
  </si>
  <si>
    <t>Lehman Brothers
Lazard Freres &amp; Co LLC
Fidelity Capital Markets
Prudential Vector Healthcare</t>
  </si>
  <si>
    <t>Lehman Brothers
Lazard Freres &amp; Co LLC
Prudential Securities Inc
Lehman Brothers</t>
  </si>
  <si>
    <t>LEH//LAZ//PSI//LEH(GC)</t>
  </si>
  <si>
    <t>LEH
LAZ</t>
  </si>
  <si>
    <t>Lehman Brothers
Lazard Freres &amp; Co LLC</t>
  </si>
  <si>
    <t>3-Dimensional Pharmaceuticals</t>
  </si>
  <si>
    <t>DDDP</t>
  </si>
  <si>
    <t>88554W104</t>
  </si>
  <si>
    <t>Bear Stearns &amp; Co Inc
Chase H&amp;Q
US Bancorp Piper Jaffray
Deutsche Bank Securities
Donaldson Lufkin &amp; Jenrette
Fleet Boston Corp
ING Barings
Lehman Brothers
Prudential Securities Inc
SG Cowen Securities Corp
UBS Warburg
Adams Harkness &amp; Hill Inc
Aegis Capital
William Blair &amp; Co
Blaylock &amp; Partners LP
First Security Investments
Gerard Klauer Mattison &amp; Co
Janney Montgomery Scott Inc
Legg Mason Wood Walker
Pacific Growth Equities Inc
Scott &amp; Stringfellow Financial
Tucker Anthony Inc</t>
  </si>
  <si>
    <t>BEAR//CHASE-HQ/US-PIPER//DBSECU/DLJ
/FLEET-BOSTON/ING-BARINGS/LEH/PSI
/SG-COWEN/UBS-WARBURG/ADAMS-HARKNESS
/AEGIS-CAP/WM-BLAIR/BLAYLOCK-PTRNS
/FIRST-SEC-INV/GERARD-KLAUER/JANNEY
/LEGG-MASON-WW/PACIFIC-GROWTH
/SCOTT-STRING/TUCKER</t>
  </si>
  <si>
    <t>BEAR
CHASE-HQ
US-PIPER</t>
  </si>
  <si>
    <t>Bear Stearns &amp; Co Inc
Chase H&amp;Q
US Bancorp Piper Jaffray Inc</t>
  </si>
  <si>
    <t>EXE Technologies Inc</t>
  </si>
  <si>
    <t>EXEE</t>
  </si>
  <si>
    <t>DLJ/SALOMON-SMITH(JB)</t>
  </si>
  <si>
    <t>Donaldson Lufkin &amp; Jenrette
Salomon Smith Barney
Banc of America Securities LLC
DLJdirect
Chase Manhattan Bank NA
CIBC World Markets Inc
Deutsche Bank Securities
AG Edwards &amp; Sons Inc
Fleet Boston Corp
Goldman Sachs &amp; Co
ING Barings
Lazard
Unterburg, Towbin Co
Thomas Weisel Partners
Adams Harkness &amp; Hill Inc
Robert W Baird &amp; Co Inc
George K Baum &amp; Co
Chapman Co
Crowell Weedon &amp; Co
Fahnestock &amp; Co
First Southwest
JJB Hilliard WL Lyons Inc
Hoak Breedlove Wesneski &amp; Co
Investec Ernst &amp; Company
Janney Montgomery Scott Inc
Johnston Lemon &amp; Co Inc
W. E. Kaufman
King &amp; Shaxson Holdings
Legg Mason &amp; Co Inc
McDonald Investments
Morgan Keegan Inc
Parker-Hunter Inc
Pennsylvania Merchant Group
Raymond James &amp; Associates Inc
Robinson-Humphrey Co
Sanders Morris Harris Inc
Sands Brothers &amp; Co Ltd
Sutro &amp; Co Inc
Tucker Anthony Cleary Gull</t>
  </si>
  <si>
    <t>DLJ(JB)/SALOMON-SMITH(JB)//BA-SEC-LLC
/DLJ-DIRECT//CHASE/CIBC-WORLD/DBSECU
/A-G-EDWARDS/FLEET-BOSTON/GS
/ING-BARINGS/LAZARD/UNTERBURG
/THOMAS-WEISEL/ADAMS-HARKNESS/BAIRD
/G-BAUM/CHAPMAN/CROWELL/FAHNESTOCK
/FIRST-SW/HILLIARD/HOAK-BREEDLOVE
/INVESTEE/JANNEY/JOHNSTON-LEMON/KAUFMAN
/KING/LEGG-MASON/MCDONALD/MORGAN-KEEGAN
/PARKER-HUNTER/PENN-MER-GROUP/RAYMOND
/ROBINSON/SANDERS-HARRIS/SANDS/SUTRO
/TUCKER-GULL</t>
  </si>
  <si>
    <t>DLJ/SALOMON-SMITH</t>
  </si>
  <si>
    <t>DLJ
(JB)/SALOMON-SMITH(JB)
BA-SEC-LLC
DLJ-DIRECT</t>
  </si>
  <si>
    <t>Donaldson Lufkin &amp; Jenrette Inc
Salomon Smith Barney
Banc of America Securities LLC
DLJdirect</t>
  </si>
  <si>
    <t>Lantronix Inc</t>
  </si>
  <si>
    <t>LTRX</t>
  </si>
  <si>
    <t>Donaldson Lufkin &amp; Jenrette
Lehman Brothers
DLJdirect
Deutsche Bank Securities
AG Edwards &amp; Sons Inc
First Union Securities Inc
Merrill Lynch, Pierce, Fenner
Morgan Stanley &amp; Co
Salomon Smith Barney
CE Unterberg Towbin
Thomas Weisel Partners
Advest Inc
Robert W Baird &amp; Co Inc
Chatsworth Securities LLC
Crowell Weedon &amp; Co
DA Davidson &amp; Co Inc
Emerging Equities Inc
Fahnestock &amp; Co
Gerard Klauer Mattison &amp; Co
Hoefer &amp; Arnett Inc
Johnston Lemon &amp; Co Inc
CL King &amp; Associates Inc
Legg Mason &amp; Co Inc
McDonald Investments
Morgan Keegan Inc
Pacific Growth Equities Inc
Pacific Crest Securities Inc
Parker-Hunter Inc
Pennsylvania Merchant Group
Ragen MacKenzie Group Inc
Raymond James &amp; Associates Inc
Sanders Morris Harris Inc
Sands Brothers &amp; Co Ltd
Scott &amp; Stringfellow Financial
Seidler Corp
Stephens Inc
Sutro &amp; Co Inc
Tucker Anthony Cleary Gull</t>
  </si>
  <si>
    <t>DLJ/LEH(JOINT)//DLJ-DIRECT//DBSECU
/A-G-EDWARDS/FIRST-UNION-SEC/ML/MS
/SALOMON-SMITH/UNTERBERG/THOMAS-WEISEL
/ADVEST/BAIRD/CHATSWORTH/CROWELL
/DAVIDSON/EMERGING-EQUI/FAHNESTOCK
/GERARD-KLAUER/HOEFER-ARNETT
/JOHNSTON-LEMON/CL-KING/LEGG-MASON
/MCDONALD/MORGAN-KEEGAN/PACIFIC-GROWTH
/PACIFIC-CREST/PARKER-HUNTER
/PENN-MER-GROUP/RAGEN/RAYMOND
/SANDERS-HARRIS/SANDS/SCOTT-STRING
/SEIDLER-COS/STEPHENS/SUTRO/TUCKER-GULL</t>
  </si>
  <si>
    <t>DLJ
/LEH(JOINT)
DLJ-DIRECT</t>
  </si>
  <si>
    <t>Donaldson Lufkin &amp; Jenrette Inc
Lehman Brothers
DLJdirect</t>
  </si>
  <si>
    <t>Microtune Inc</t>
  </si>
  <si>
    <t>TUNE</t>
  </si>
  <si>
    <t>59514P109</t>
  </si>
  <si>
    <t>Goldman Sachs &amp; Co
Chase Manhattan Bank NA
SG Cowen Securities Corp
Bear Stearns &amp; Co Inc
Dain, Kalman &amp; Quail
AG Edwards &amp; Sons Inc
Prudential Securities Inc
Salomon Brothers
Wit Soundview Group Inc
Robert W Baird &amp; Co Inc
Doley Securities
Hoak Breedlove Wesneski &amp; Co
Legg Mason Wood Walker
Raymond James &amp; Associates Inc
Goldman Sachs &amp; Co</t>
  </si>
  <si>
    <t>GS//CHASE/SG-COWEN/BEAR//DAIN
/A-G-EDWARDS/PSI/SAL/WIT-SOUNDVIEW
/BAIRD/DOLEY-SEC/HOAK-BREEDLOVE
/LEGG-MASON-WW/RAYMOND//GS(GC)</t>
  </si>
  <si>
    <t>GS
CHASE
SG-COWEN
BEAR</t>
  </si>
  <si>
    <t>Goldman Sachs &amp; Co
Chase Manhattan Bank NA
SG Cowen Securities Corp
Bear Stearns &amp; Co Inc</t>
  </si>
  <si>
    <t>Goldman Sachs International
Chase H&amp;Q
SG Cowen Securities Corp
Bear Stearns Bank Plc
Goldman Sachs International</t>
  </si>
  <si>
    <t>GS-I//CHASE-HQ/SG-COWEN/BSTBK//GS-I(GC)</t>
  </si>
  <si>
    <t>Giganet Ltd</t>
  </si>
  <si>
    <t>GGNT</t>
  </si>
  <si>
    <t>Morgan Stanley Dean Witter
Lehman Brothers
FleetBoston Robertson Stephens</t>
  </si>
  <si>
    <t>MSDW//LEH/FLEET-ROB-STEPH</t>
  </si>
  <si>
    <t>Active Power Inc</t>
  </si>
  <si>
    <t>ACPW</t>
  </si>
  <si>
    <t>00504W100</t>
  </si>
  <si>
    <t>Goldman Sachs &amp; Co
Merrill Lynch
CIBC World Markets Inc
Morgan Stanley &amp; Co
AG Edwards &amp; Sons Inc
HC Wainwright &amp; Co Inc
Morgan Keegan Inc
Wit Soundview Group Inc
Adams Harkness &amp; Hill Inc
Frost Securities
FAC/Equities
Edward D Jones &amp; Co
Goldman Sachs &amp; Co</t>
  </si>
  <si>
    <t>GS//MERRILL/CIBC-WORLD/MS//A-G-EDWARDS
/H-C-WAINWRIGHT/MORGAN-KEEGAN
/WIT-SOUNDVIEW/ADAMS-HARKNESS/FROST-SEC
/FAC-EQUITIES/ED-JONES//GS(GC)</t>
  </si>
  <si>
    <t>GS
MERRILL
CIBC-WORLD
MS</t>
  </si>
  <si>
    <t>Goldman Sachs &amp; Co
Merrill Lynch &amp; Co Inc
CIBC World Markets Inc
Morgan Stanley &amp; Co</t>
  </si>
  <si>
    <t>Goldman Sachs International
Merrill Lynch Intl Ltd
CIBC World Markets Inc
Morgan Stanley Dean Witter
Goldman Sachs International</t>
  </si>
  <si>
    <t>GS-I//ML-I/CIBC-WORLD/MSDW//GS-I(GC)</t>
  </si>
  <si>
    <t>Advanced Power Technology Inc</t>
  </si>
  <si>
    <t>APTI</t>
  </si>
  <si>
    <t>STEPHENS</t>
  </si>
  <si>
    <t>00761E108</t>
  </si>
  <si>
    <t>Stephens Inc
Needham &amp; Co LLC
First Security Van Kasper &amp; Co
CIBC World Markets Inc
Donaldson Lufkin &amp; Jenrette
Goldman Sachs &amp; Co
DA Davidson &amp; Co Inc
Hoefer &amp; Arnett Inc
W. E. Kaufman
McDonald &amp; Co Investments Inc
Morgan Keegan Inc
Sanders Morris Mundy Inc
Tucker Anthony Inc</t>
  </si>
  <si>
    <t>STEPHENS//NEEDHAM/FIR-VAN-KASPER
//CIBC-WORLD/DLJ/GS/DAVIDSON
/HOEFER-ARNETT/KAUFMAN/MCDON
/MORGAN-KEEGAN/SANDERS-MORRIS/TUCKER</t>
  </si>
  <si>
    <t>STEPHENS
NEEDHAM
FIR-VAN-KASPER</t>
  </si>
  <si>
    <t>Stephens Inc
Needham &amp; Co LLC
First Security Van Kasper &amp; Co</t>
  </si>
  <si>
    <t>America Online Latin America</t>
  </si>
  <si>
    <t>AOLA</t>
  </si>
  <si>
    <t>SALOMON-SMITH/DLJ(JB)</t>
  </si>
  <si>
    <t>02365B100</t>
  </si>
  <si>
    <t>Salomon Smith Barney
Donaldson Lufkin &amp; Jenrette
Lehman Brothers
Cazenove &amp; Co
Prudential Volpe Technology Gr
ABN-AMRO Holding NV
Deutsche Bank Securities
AG Edwards &amp; Sons Inc
DLJdirect
Wit Soundview Group Inc
Thomas Weisel Partners
Wasserstein Perella Securities
PaineWebber
Morgan Stanley &amp; Co
Merrill Lynch, Pierce, Fenner
ING Baring Furman Selz LLC
Goldman Sachs &amp; Co
SunTrust Equitable Securities
Santander Investment Secs
Sands Brothers &amp; Co Ltd
Robinson-Humphrey Co
Raymond James &amp; Associates Inc
Samuel A. Ramirez &amp; Co.
Guzman &amp; Co
Gruntal &amp; Co Inc
Gabelli &amp; Co Inc
FleetBoston Robertson Stephens
Credit Suisse First Boston
Banc of America Securities LLC
Bear Stearns &amp; Co Inc
CIBC World Markets Inc
Chase Securities Inc
Allen &amp; Co Inc</t>
  </si>
  <si>
    <t>AOL</t>
  </si>
  <si>
    <t>America Online Inc</t>
  </si>
  <si>
    <t>SALOMON-SMITH(JB)/DLJ(JB)//LEH/CAZENOVE
/PRUD-VOLPE//ABN-AMRO/DBSECU
/A-G-EDWARDS/DLJ-DIRECT/WIT-SOUNDVIEW
/THOMAS-WEISEL/WP-SEC/PAINE-W/MS/ML
/ING-FURMAN/GS/SUNTRUST-EQUI/SANTUS
/SANDS/ROBINSON/RAYMOND/RAMIREZ/GUZMAN
/GRUNTAL/GABELLI/FLEET-ROB-STEPH
/CS-FB-CS/BA-SEC-LLC/BEAR/CIBC-WORLD
/CHASE-SEC/ALLEN</t>
  </si>
  <si>
    <t>SALOMON-SMITH/DLJ</t>
  </si>
  <si>
    <t>SALOMON-SMITH
(JB)/DLJ(JB)
LEH
CAZENOVE
PRUD-VOLPE</t>
  </si>
  <si>
    <t>Salomon Smith Barney
Donaldson Lufkin &amp; Jenrette Inc
Lehman Brothers
Cazenove &amp; Co
Prudential Volpe Technology Group</t>
  </si>
  <si>
    <t>The Medicines Co</t>
  </si>
  <si>
    <t>MDCO</t>
  </si>
  <si>
    <t>JP Morgan
Fleet Boston Corp
CIBC World Markets Inc
Bank am Bellevue
Needham &amp; Co LLC
Pacific Growth Equities Inc
US Bancorp Piper Jaffray
Parker Jackson
JP Morgan</t>
  </si>
  <si>
    <t>JPM/FLEET-BOSTON(JOINT)//CIBC-WORLD
//BAMBEL/NEEDHAM/PACIFIC-GROWTH
/US-PIPER/JACKSON//JPM(GC)</t>
  </si>
  <si>
    <t>JPM/FLEET-BOSTON</t>
  </si>
  <si>
    <t>JPM
/FLEET-BOSTON(JOINT)
CIBC-WORLD</t>
  </si>
  <si>
    <t>JP Morgan &amp; Co Inc
Fleet Boston Corp,Boston,Massachusetts
CIBC World Markets Inc</t>
  </si>
  <si>
    <t>JP Morgan
FleetBoston Robertson Stephens
CIBC World Markets Inc
JP Morgan</t>
  </si>
  <si>
    <t>JPM/FLEET-ROB-STEPH(JOINT)//CIBC-WORLD
//JPM(GC)</t>
  </si>
  <si>
    <t>JPM/FLEET-ROB-STEPH</t>
  </si>
  <si>
    <t>JPM
/FLEET-ROB-STEPH(JOINT)
CIBC-WORLD</t>
  </si>
  <si>
    <t>JP Morgan &amp; Co Inc
FleetBoston Robertson Stephens Inc
CIBC World Markets Inc</t>
  </si>
  <si>
    <t>Pemstar Inc</t>
  </si>
  <si>
    <t>PMTR</t>
  </si>
  <si>
    <t>Lehman Brothers
Fleet Boston Corp
Chase H&amp;Q
Fidelity Capital Markets
CIBC World Markets Inc
Banc of America Securities LLC
Salomon Brothers
Prudential Securities Inc
R. J. Steichen
Raymond James &amp; Associates Inc
Pacific Crest Securities Inc
John G Kinnard &amp; Co
CL King &amp; Associates Inc
Edward D Jones &amp; Co
SG Cowen Securities Corp
Donaldson Lufkin &amp; Jenrette
Merrill Lynch, Pierce, Fenner
Morgan Stanley &amp; Co
PaineWebber
AG Edwards &amp; Sons Inc
Deutsche Bank Securities
Lehman Brothers</t>
  </si>
  <si>
    <t>LEH//FLEET-BOSTON/CHASE-HQ/FIDELITY-CAP
/CIBC-WORLD//BA-SEC-LLC/SAL/PSI
/STEICHEN/RAYMOND/PACIFIC-CREST/KINNARD
/CL-KING/ED-JONES/SG-COWEN/DLJ/ML/MS
/PAINE-W/A-G-EDWARDS/DBSECU//LEH(GC)</t>
  </si>
  <si>
    <t>LEH
FLEET-BOSTON
CHASE-HQ
FIDELITY-CAP
CIBC-WORLD</t>
  </si>
  <si>
    <t>Lehman Brothers
Fleet Boston Corp,Boston,Massachusetts
Chase H&amp;Q
Fidelity Capital Markets
CIBC World Markets Inc</t>
  </si>
  <si>
    <t>Lehman Brothers
FleetBoston Robertson Stephens
CIBC World Markets Inc
Chase H&amp;Q
Lehman Brothers</t>
  </si>
  <si>
    <t>LEH/FLEET-ROB-STEPH(JOINT)//CIBC-WORLD
/CHASE-HQ//LEH(GC)</t>
  </si>
  <si>
    <t>LEH/FLEET-ROB-STEPH</t>
  </si>
  <si>
    <t>LEH
/FLEET-ROB-STEPH(JOINT)</t>
  </si>
  <si>
    <t>ChipPAC Inc</t>
  </si>
  <si>
    <t>CHPC</t>
  </si>
  <si>
    <t>CS First Boston Corp
Deutsche Banc Alex Brown
Fleet Boston Corp
Thomas Weisel Partners
Merrill Lynch
CIBC World Markets Inc
E*Offering Corp
CL King &amp; Associates Inc
Wit Soundview Group Inc
Invemed Associates Inc
AG Edwards &amp; Sons Inc
CS First Boston Corp</t>
  </si>
  <si>
    <t>CS-FB//DEUTSCHE-ALEX-B/FLEET-BOSTON
/THOMAS-WEISEL/MERRILL//CIBC-WORLD
/E*OFFERING/CL-KING/WIT-SOUNDVIEW
/INVEMED/A-G-EDWARDS//CS-FB(GC)</t>
  </si>
  <si>
    <t>CS-FB
DEUTSCHE-ALEX-B
FLEET-BOSTON
THOMAS-WEISEL
MERRILL</t>
  </si>
  <si>
    <t>CS First Boston Corp
Deutsche Banc Alex Brown
Fleet Boston Corp,Boston,Massachusetts
Thomas Weisel Partners
Merrill Lynch &amp; Co Inc</t>
  </si>
  <si>
    <t>Repeater Technologies Inc</t>
  </si>
  <si>
    <t>RPTR</t>
  </si>
  <si>
    <t>76027U102</t>
  </si>
  <si>
    <t>US Bancorp Piper Jaffray
Banc of America Securities LLC
Bear Stearns &amp; Co Inc
Chase Manhattan Bank NA
CIBC World Markets Inc
Dain Rauscher Corp
Deutsche Bank Securities Corp
Fleet Boston Corp
Paine, Webber, Jackson, Curtis
Prudential Securities Inc
Thomas Weisel Partners</t>
  </si>
  <si>
    <t>US-PIPER//BA-SEC-LLC//BEAR/CHASE
/CIBC-WORLD/DAIN-RAUSCHER
/DEUTSCHE-BK-SEC/FLEET-BOSTON/PW/PSI
/THOMAS-WEISEL</t>
  </si>
  <si>
    <t>US-PIPER
BA-SEC-LLC</t>
  </si>
  <si>
    <t>US Bancorp Piper Jaffray Inc
Banc of America Securities LLC</t>
  </si>
  <si>
    <t>TeleCommunication Systems Inc</t>
  </si>
  <si>
    <t>TSYS</t>
  </si>
  <si>
    <t>CHASE-HQ
/DEUTSCHE-ALEX-B(JB)</t>
  </si>
  <si>
    <t>87929J103</t>
  </si>
  <si>
    <t>Chase H&amp;Q
Deutsche Banc Alex Brown
Salomon Smith Barney
Banc of America Securities LLC
Bear Stearns &amp; Co Inc
Blaylock &amp; Partners LP
Donaldson Lufkin &amp; Jenrette
Fleet Boston Corp
Loop Capital Markets
Merrill Lynch, Pierce, Fenner
Mesirow
Thomas Weisel Partners
US Bancorp Investments Inc
Chatsworth Securities LLC
Ferris Baker Watts
Friedman Billings Ramsey Group
Parker Jackson
Legg Mason &amp; Co Inc
Ormes Capital Markets Inc
Scott &amp; Stringfellow Financial
Utendahl Capital Partners
Williams Capital Group LP</t>
  </si>
  <si>
    <t>CHASE-HQ(JB)/DEUTSCHE-ALEX-B(JB)
//SALOMON-SMITH//BA-SEC-LLC/BEAR
/BLAYLOCK-PTRNS/DLJ/FLEET-BOSTON/LOOP
/ML/MESIROW/THOMAS-WEISEL
/US-BANCORP-INV/CHATSWORTH/FERRIS-BAKER
/FRIEDMAN-B/JACKSON/LEGG-MASON/ORMES
/SCOTT-STRING/UTENDAHL-CAP/WILLIAMS-CAP</t>
  </si>
  <si>
    <t>CHASE-HQ/DEUTSCHE-ALEX-B</t>
  </si>
  <si>
    <t>CHASE-HQ
(JB)/DEUTSCHE-ALEX-B(JB)
SALOMON-SMITH</t>
  </si>
  <si>
    <t>Chase H&amp;Q
Deutsche Banc Alex Brown
Salomon Smith Barney</t>
  </si>
  <si>
    <t>MIND CTI Ltd</t>
  </si>
  <si>
    <t>MNDO</t>
  </si>
  <si>
    <t>M70240102</t>
  </si>
  <si>
    <t>Tel Aviv</t>
  </si>
  <si>
    <t>Lehman Brothers
Piper Jaffray Inc
CIBC World Markets Inc
Fidelity Capital Markets</t>
  </si>
  <si>
    <t>LEH//PIPER-J//CIBC-WORLD/FIDELITY-CAP</t>
  </si>
  <si>
    <t>LEH
PIPER-J</t>
  </si>
  <si>
    <t>Lehman Brothers
Piper Jaffray Inc</t>
  </si>
  <si>
    <t>AtheroGenics Inc</t>
  </si>
  <si>
    <t>AGIX</t>
  </si>
  <si>
    <t>047439104</t>
  </si>
  <si>
    <t>Chase H&amp;Q
Fleet Boston Corp
AG Edwards &amp; Sons Inc
Adams Harkness &amp; Hill Inc
CIBC World Markets Inc
SunTrust Equitable Securities
Redwine &amp; Company Inc
Wachovia Securities Inc
Robinson-Humphrey Co
Raymond James &amp; Associates Inc
Salomon Smith Barney
Deutsche Banc Alex Brown
Merrill Lynch
Prudential Securities Inc
Dain Rauscher Wessels</t>
  </si>
  <si>
    <t>CHASE-HQ//FLEET-BOSTON/A-G-EDWARDS
/ADAMS-HARKNESS//CIBC-WORLD
/SUNTRUST-EQUI/REDWINE-CO/WACHOVIA-SEC
/ROBINSON/RAYMOND/SALOMON-SMITH
/DEUTSCHE-ALEX-B/MERRILL/PSI
/DAIN-R-WESSELS</t>
  </si>
  <si>
    <t>CHASE-HQ
FLEET-BOSTON
A-G-EDWARDS
ADAMS-HARKNESS</t>
  </si>
  <si>
    <t>Chase H&amp;Q
Fleet Boston Corp,Boston,Massachusetts
AG Edwards &amp; Sons Inc
Adams Harkness &amp; Hill Inc</t>
  </si>
  <si>
    <t>Esperion Therapeutics Inc</t>
  </si>
  <si>
    <t>ESPR</t>
  </si>
  <si>
    <t>29664R106</t>
  </si>
  <si>
    <t>Fleet Boston Corp
Chase H&amp;Q
US Bancorp Piper Jaffray
Robert W Baird &amp; Co Inc
E*Offering Corp
Quick &amp; Reilly Group, Inc.
Sutro &amp; Co Inc</t>
  </si>
  <si>
    <t>FLEET-BOSTON/CHASE-HQ(JOINT)//US-PIPER
//BAIRD/E*OFFERING/QUICK-REILLY/SUTRO</t>
  </si>
  <si>
    <t>FLEET-BOSTON
/CHASE-HQ(JOINT)
US-PIPER</t>
  </si>
  <si>
    <t>Fleet Boston Corp,Boston,Massachusetts
Chase H&amp;Q
US Bancorp Piper Jaffray Inc</t>
  </si>
  <si>
    <t>Evolve Software Inc</t>
  </si>
  <si>
    <t>EVLV</t>
  </si>
  <si>
    <t>30049P104</t>
  </si>
  <si>
    <t>CS First Boston Corp
Deutsche Banc Alex Brown
Wit Soundview Group Inc
ABN-AMRO Holding NV
Blair House
Invemed Associates Inc
Rauscher Pierce Securities
Southwest Securities Group Inc
E*Offering Corp
Prudential Securities Inc
US Bancorp Piper Jaffray
CS First Boston Corp</t>
  </si>
  <si>
    <t>CS-FB/DEUTSCHE-ALEX-B(JOINT)
//WIT-SOUNDVIEW//ABN-AMRO/BLAIR/INVEMED
/RAUSCHER/SOUTHWEST-SEC/E*OFFERING/PSI
/US-PIPER//CS-FB(GC)</t>
  </si>
  <si>
    <t>CS-FB/DEUTSCHE-ALEX-B</t>
  </si>
  <si>
    <t>CS-FB
/DEUTSCHE-ALEX-B(JOINT)
WIT-SOUNDVIEW</t>
  </si>
  <si>
    <t>CS First Boston Corp
Deutsche Banc Alex Brown
Wit Soundview Group Inc</t>
  </si>
  <si>
    <t>Credit Suisse First Boston Inc
Deutsche Banc Alex Brown
Wit Soundview Group Inc
Credit Suisse First Boston Inc</t>
  </si>
  <si>
    <t>CSFB-INC//DEUTSCHE-ALEX-B/WIT-SOUNDVIEW
//CSFB-INC(GC)</t>
  </si>
  <si>
    <t>CSFB-INC
DEUTSCHE-ALEX-B
WIT-SOUNDVIEW</t>
  </si>
  <si>
    <t>Credit Suisse First Boston Inc
Deutsche Banc Alex Brown
Wit Soundview Group Inc</t>
  </si>
  <si>
    <t>H Power Corp</t>
  </si>
  <si>
    <t>HPOW</t>
  </si>
  <si>
    <t>40427A108</t>
  </si>
  <si>
    <t>Lehman Brothers
CIBC World Markets Inc
Josephthal &amp; Co Inc
Fidelity Capital Markets
Deutsche Banc Alex Brown
Edward D Jones &amp; Co
Goldman Sachs &amp; Co
Raymond James &amp; Associates Inc
Robert W Baird &amp; Co Inc
RBC Dominion Securities
HC Wainwright &amp; Co Inc
Chase Securities Inc
Friedman Billings Ramsey Group
Fahnestock &amp; Co
Broadband Capital Management
Wachovia Securities Inc
Pryor Govan Counts &amp; Co Inc
Gruntal &amp; Co Inc
UBS Warburg
Brean Murray &amp; Co Inc
Credit Suisse First Boston
Lehman Brothers</t>
  </si>
  <si>
    <t>LEH//CIBC-WORLD/JOSEPHTHAL/FIDELITY-CAP
/DEUTSCHE-ALEX-B//ED-JONES/GS/RAYMOND
/BAIRD/RBC-DOM/H-C-WAINWRIGHT/CHASE-SEC
/FRIEDMAN-B/FAHNESTOCK/BROADBAND
/WACHOVIA-SEC/PRYOR/GRUNTAL/UBS-WARBURG
/BREAN/CS-FB-CS//LEH(GC)</t>
  </si>
  <si>
    <t>LEH
CIBC-WORLD
JOSEPHTHAL
FIDELITY-CAP
DEUTSCHE-ALEX-B</t>
  </si>
  <si>
    <t>Lehman Brothers
CIBC World Markets Inc
Josephthal &amp; Co Inc
Fidelity Capital Markets
Deutsche Banc Alex Brown</t>
  </si>
  <si>
    <t>Lehman Brothers
CIBC World Markets Inc
Deutsche Banc Alex Brown
Josephthal Lyons &amp; Ross Inc
Fidelity Capital Markets
Lehman Brothers</t>
  </si>
  <si>
    <t>LEH//CIBC-WORLD/DEUTSCHE-ALEX-B
/JOSEPHTHAL-LYON/FIDELITY-CAP//LEH(GC)</t>
  </si>
  <si>
    <t>Large Scale Biology Corp</t>
  </si>
  <si>
    <t>JP Morgan
Chase H&amp;Q
William Blair &amp; Co
Allen &amp; Co Inc
Robert W Baird &amp; Co Inc
Deutsche Banc Alex Brown
Parker Jackson
First Security Van Kasper &amp; Co
JP Morgan</t>
  </si>
  <si>
    <t>JPM//CHASE-HQ/WM-BLAIR//ALLEN/BAIRD
/DEUTSCHE-ALEX-B/JACKSON/FIR-VAN-KASPER
//JPM(GC)</t>
  </si>
  <si>
    <t>JPM
CHASE-HQ
WM-BLAIR</t>
  </si>
  <si>
    <t>JP Morgan &amp; Co Inc
Chase H&amp;Q
William Blair &amp; Co</t>
  </si>
  <si>
    <t>JP Morgan
Chase Manhattan International
William Blair &amp; Co
JP Morgan</t>
  </si>
  <si>
    <t>JPM/CMUK/WM-BLAIR(JOINT)//JPM(GC)</t>
  </si>
  <si>
    <t>JPM/CMUK/WM-BLAIR</t>
  </si>
  <si>
    <t>JPM
/CMUK
/WM-BLAIR(JOINT)</t>
  </si>
  <si>
    <t>JP Morgan &amp; Co Inc
Chase Manhattan International Ltd
William Blair &amp; Co</t>
  </si>
  <si>
    <t>McData Corp</t>
  </si>
  <si>
    <t>MCDT</t>
  </si>
  <si>
    <t>Class B Shares</t>
  </si>
  <si>
    <t>CS First Boston Corp
Deutsche Banc Alex Brown
Merrill Lynch
Bear Stearns &amp; Co Inc
Buckingham Securities
Rauscher Pierce Securities
E*Offering Corp
Fleet Boston Corp
Gerard Klauer Mattison &amp; Co
Invemed Associates Inc
McDonald Investments
Morgan Keegan Inc
Needham &amp; Co LLC
Stifel Nicolaus &amp; Co Inc
SunTrust Securities, Inc.
CE Unterberg Towbin
Wasserstein Perella Securities
Wedbush, Noble, Cooke
Wit Soundview Group Inc
CS First Boston Corp</t>
  </si>
  <si>
    <t>CS-FB//DEUTSCHE-ALEX-B/MERRILL//BEAR
/BUCKINGHAM/RAUSCHER/E*OFFERING
/FLEET-BOSTON/GERARD-KLAUER/INVEMED
/MCDONALD/MORGAN-KEEGAN/NEEDHAM/STIFEL
/SUNTRUST-SEC/UNTERBERG/WP-SEC/WEDBUSH
/WIT-SOUNDVIEW//CS-FB(GC)</t>
  </si>
  <si>
    <t>CS-FB
DEUTSCHE-ALEX-B
MERRILL</t>
  </si>
  <si>
    <t>CS First Boston Corp
Deutsche Banc Alex Brown
Merrill Lynch &amp; Co Inc</t>
  </si>
  <si>
    <t>Millennium Cell Inc</t>
  </si>
  <si>
    <t>MCEL</t>
  </si>
  <si>
    <t>MORGAN-KEEGAN</t>
  </si>
  <si>
    <t>60038B105</t>
  </si>
  <si>
    <t>Morgan Keegan Inc
Robinson-Humphrey Co
DA Davidson &amp; Co Inc
First Southwest
Jefferies &amp; Co Inc
Johnson Rice &amp; Co
Sanders Morris Harris Inc
Southwest Securities Group Inc
Stephens Inc</t>
  </si>
  <si>
    <t>MORGAN-KEEGAN//ROBINSON//DAVIDSON
/FIRST-SW/JEFFERIES/JOHNSON-RICE
/SANDERS-HARRIS/SOUTHWEST-SEC/STEPHENS</t>
  </si>
  <si>
    <t>MORGAN-KEEGAN
ROBINSON</t>
  </si>
  <si>
    <t>Morgan Keegan Inc
Robinson-Humphrey Co</t>
  </si>
  <si>
    <t>Orient-Express Hotels Ltd</t>
  </si>
  <si>
    <t>OEH</t>
  </si>
  <si>
    <t>G67743107</t>
  </si>
  <si>
    <t>Merrill Lynch
Lazard
Salomon Smith Barney
Banc of America Securities LLC
Bear Stearns &amp; Co Inc
Credit Lyonnais Securities USA
Credit Suisse First Boston
Deutsche Banc Alex Brown
Donaldson Lufkin &amp; Jenrette
Fleet Boston Corp
Goldman Sachs &amp; Co
ING Barings
Morgan Stanley Dean Witter
PaineWebber
Scotia Capital Markets
Wasserstein Perella Securities
Crowell Weedon &amp; Co
Dominick &amp; Dominick Inc
Jackson Securities Inc
Janney Montgomery Scott Inc
Legg Mason Wood Walker
McDonald Investments
Ragen MacKenzie Group Inc
Raymond James &amp; Associates Inc
Tucker Anthony Inc
Merrill Lynch</t>
  </si>
  <si>
    <t>SCR</t>
  </si>
  <si>
    <t>Sea Containers Group</t>
  </si>
  <si>
    <t>MERRILL/LAZARD(JOINT)//SALOMON-SMITH
/BA-SEC-LLC//BEAR/CL-SEC-USA/CS-FB-CS
/DEUTSCHE-ALEX-B/DLJ/FLEET-BOSTON/GS
/ING-BARINGS/MSDW/PAINE-W
/SCOTIA-CAP-USA/WP-SEC/CROWELL/DOMINICK
/JACKSON-SEC/JANNEY/LEGG-MASON-WW
/MCDONALD/RAGEN/RAYMOND/TUCKER
//MERRILL(GC)</t>
  </si>
  <si>
    <t>MERRILL/LAZARD</t>
  </si>
  <si>
    <t>MERRILL
/LAZARD(JOINT)
SALOMON-SMITH
BA-SEC-LLC</t>
  </si>
  <si>
    <t>Merrill Lynch &amp; Co Inc
Lazard
Salomon Smith Barney
Banc of America Securities LLC</t>
  </si>
  <si>
    <t>MERRILL/LAZARD(JOINT)//SALOMON-SMITH
/BA-SEC-LLC/BEAR/CL-SEC-USA/CS-FB-CS
/DEUTSCHE-ALEX-B/DLJ/FLEET-BOSTON/GS
/ING-BARINGS/MSDW/PAINE-W
/SCOTIA-CAP-USA/WP-SEC/CROWELL/DOMINICK
/JACKSON-SEC/JANNEY/LEGG-MASON-WW
/MCDONALD/RAGEN/RAYMOND/TUCKER
//MERRILL(GC)</t>
  </si>
  <si>
    <t>MERRILL
/LAZARD(JOINT)</t>
  </si>
  <si>
    <t>Merrill Lynch &amp; Co Inc
Lazard</t>
  </si>
  <si>
    <t>Pharsight Corp</t>
  </si>
  <si>
    <t>PHST</t>
  </si>
  <si>
    <t>71721Q101</t>
  </si>
  <si>
    <t>Donaldson Lufkin &amp; Jenrette
Chase H&amp;Q
DLJdirect
Wit Soundview Group Inc
Bear Stearns &amp; Co Inc
US Bancorp Piper Jaffray
SG Cowen Securities Corp
Crowell Weedon &amp; Co
Unterburg, Towbin Co
McDonald Investments
Legg Mason &amp; Co Inc
Lebenthal
W. E. Kaufman
Johnston Lemon &amp; Co Inc
Janney Montgomery Scott Inc
Hoefer &amp; Arnett Inc
First Albany
Wachovia Securities Inc
Tucker Anthony Cleary Gull
Sutro &amp; Co Inc
SunTrust Equitable Securities
Stephens Inc
Scott &amp; Stringfellow Financial
Sands Brothers &amp; Co Ltd
Sanders Morris Harris Inc
Raymond James &amp; Associates Inc
Ragen MacKenzie Group Inc
Pennsylvania Merchant Group
Parker-Hunter Inc
Pacific Crest Securities Inc
Needham &amp; Co LLC
Fahnestock &amp; Co
Salomon Smith Barney
Merrill Lynch, Pierce, Fenner
First Union National Bancorp
Fleet Boston Corp
Lehman Brothers
AG Edwards &amp; Sons Inc</t>
  </si>
  <si>
    <t>DLJ//CHASE-HQ/DLJ-DIRECT/WIT-SOUNDVIEW
//BEAR/US-PIPER/SG-COWEN/CROWELL
/UNTERBURG/MCDONALD/LEGG-MASON
/LEBENTHAL/KAUFMAN/JOHNSTON-LEMON
/JANNEY/HOEFER-ARNETT/FIRST-ALBANY
/WACHOVIA-SEC/TUCKER-GULL/SUTRO
/SUNTRUST-EQUI/STEPHENS/SCOTT-STRING
/SANDS/SANDERS-HARRIS/RAYMOND/RAGEN
/PENN-MER-GROUP/PARKER-HUNTER
/PACIFIC-CREST/NEEDHAM/FAHNESTOCK
/SALOMON-SMITH/ML/FIRST-UNION
/FLEET-BOSTON/LEH/A-G-EDWARDS</t>
  </si>
  <si>
    <t>DLJ
CHASE-HQ
DLJ-DIRECT
WIT-SOUNDVIEW</t>
  </si>
  <si>
    <t>Donaldson Lufkin &amp; Jenrette Inc
Chase H&amp;Q
DLJdirect
Wit Soundview Group Inc</t>
  </si>
  <si>
    <t>Tvia Inc</t>
  </si>
  <si>
    <t>TVIA</t>
  </si>
  <si>
    <t>87307P101</t>
  </si>
  <si>
    <t>Banc of America Securities LLC
Dain Rauscher Wessels
US Bancorp Piper Jaffray
CIBC World Markets Inc
Bear Stearns &amp; Co Inc
UBS Warburg
Roth Capital Partners Inc
W. E. Kaufman
DA Davidson &amp; Co Inc
HC Wainwright &amp; Co Inc
CE Unterberg Towbin
Sandler Capital Markets
Pacific Securities Co Ltd
John G Kinnard &amp; Co
Adams
Cowen
Paine, Webber, Jackson, Curtis
Prudential Securities Inc
Salomon Smith Barney
Merrill Lynch</t>
  </si>
  <si>
    <t>BA-SEC-LLC//DAIN-R-WESSELS/US-PIPER
/CIBC-WORLD//BEAR/UBS-WARBURG
/ROTH-CAPITAL/KAUFMAN/DAVIDSON
/H-C-WAINWRIGHT/UNTERBERG/SANDLER
/PACIFIC-SEC/KINNARD/ADAMS/COWEN/PW/PSI
/SALOMON-SMITH/MERRILL</t>
  </si>
  <si>
    <t>BA-SEC-LLC
DAIN-R-WESSELS
US-PIPER
CIBC-WORLD</t>
  </si>
  <si>
    <t>Banc of America Securities LLC
Dain Rauscher Wessels
US Bancorp Piper Jaffray Inc
CIBC World Markets Inc</t>
  </si>
  <si>
    <t>RadView Software Ltd</t>
  </si>
  <si>
    <t>RDVW</t>
  </si>
  <si>
    <t>M81867109</t>
  </si>
  <si>
    <t>Donaldson Lufkin &amp; Jenrette
US Bancorp Piper Jaffray
DLJdirect
Wit Soundview Group Inc
Bear Stearns &amp; Co Inc
Merrill Lynch, Pierce, Fenner
CE Unterberg Towbin
Advest Inc
Adams Harkness &amp; Hill Inc
Ladenburg Thalmann &amp; Co
Johnston Lemon &amp; Co Inc
Janney Montgomery Scott Inc
Hoefer &amp; Arnett Inc
First Albany
Fahnestock &amp; Co
Crowell Weedon &amp; Co
Chatsworth Securities LLC
HC Wainwright &amp; Co Inc
Wachovia Securities Inc
Tucker Anthony Inc
Sutro &amp; Co Inc
SunTrust Equitable Securities
Stephens Inc
Scott &amp; Stringfellow Financial
Sands Brothers &amp; Co Ltd
Sanders &amp; Beckingham
Raymond James &amp; Associates Inc
Ragen MacKenzie Group Inc
Pennsylvania Merchant Group
Parker-Hunter Inc
Pacific Crest Securities Inc
Needham &amp; Co LLC
McDonald Investments
Robert W Baird &amp; Co Inc
Salomon Smith Barney
Fleet Boston Corp
Deutsche Bank Securities
AG Edwards &amp; Sons Inc
First Union National Bancorp
Dain Rauscher Corp</t>
  </si>
  <si>
    <t>DLJ//US-PIPER/DLJ-DIRECT/WIT-SOUNDVIEW
//BEAR/ML/UNTERBERG/ADVEST
/ADAMS-HARKNESS/LADENBURG
/JOHNSTON-LEMON/JANNEY/HOEFER-ARNETT
/FIRST-ALBANY/FAHNESTOCK/CROWELL
/CHATSWORTH/H-C-WAINWRIGHT/WACHOVIA-SEC
/TUCKER/SUTRO/SUNTRUST-EQUI/STEPHENS
/SCOTT-STRING/SANDS/SANDERS/RAYMOND
/RAGEN/PENN-MER-GROUP/PARKER-HUNTER
/PACIFIC-CREST/NEEDHAM/MCDONALD/BAIRD
/SALOMON-SMITH/FLEET-BOSTON/DBSECU
/A-G-EDWARDS/FIRST-UNION/DAIN-RAUSCHER</t>
  </si>
  <si>
    <t>American Med Sys Holdings Inc</t>
  </si>
  <si>
    <t>AMMD</t>
  </si>
  <si>
    <t>02744M108</t>
  </si>
  <si>
    <t>US Bancorp Piper Jaffray
Banc of America Securities LLC
Chase H&amp;Q
Bear Stearns &amp; Co Inc
CIBC World Markets Inc
Dain Rauscher Corp
Lehman Brothers
Morgan Stanley Dean Witter
Paine, Webber, Jackson, Curtis
Prudential Securities Inc
Salomon Brothers
SG Cowen Securities Corp
UBS Warburg
Adams
Fahnestock &amp; Co
Pennsylvania Merchant Group</t>
  </si>
  <si>
    <t>Warburg Pincus Equity Partners</t>
  </si>
  <si>
    <t>US-PIPER//BA-SEC-LLC/CHASE-HQ//BEAR
/CIBC-WORLD/DAIN-RAUSCHER/LEH/MSDW/PW
/PSI/SAL/SG-COWEN/UBS-WARBURG/ADAMS
/FAHNESTOCK/PENN-MER-GROUP</t>
  </si>
  <si>
    <t>US-PIPER
BA-SEC-LLC
CHASE-HQ</t>
  </si>
  <si>
    <t>US Bancorp Piper Jaffray Inc
Banc of America Securities LLC
Chase H&amp;Q</t>
  </si>
  <si>
    <t>Equinix Inc</t>
  </si>
  <si>
    <t>EQIX</t>
  </si>
  <si>
    <t>29444U106</t>
  </si>
  <si>
    <t>Goldman Sachs &amp; Co
Salomon Smith Barney
Chase H&amp;Q
Epoch Capital Corp
CIBC World Markets Inc
US Bancorp Piper Jaffray
Prudential Securities Inc
AG Edwards &amp; Sons Inc
Janney Montgomery Scott Inc
Lehman Brothers
Legg Mason Wood Walker
Dain Rauscher Corp
Goldman Sachs &amp; Co</t>
  </si>
  <si>
    <t>GS//SALOMON-SMITH/CHASE-HQ/EPOCH
//CIBC-WORLD/US-PIPER/PSI/A-G-EDWARDS
/JANNEY/LEH/LEGG-MASON-WW/DAIN-RAUSCHER
//GS(GC)</t>
  </si>
  <si>
    <t>GS
SALOMON-SMITH
CHASE-HQ
EPOCH</t>
  </si>
  <si>
    <t>Goldman Sachs &amp; Co
Salomon Smith Barney
Chase H&amp;Q
Epoch Capital Corp</t>
  </si>
  <si>
    <t>Goldman Sachs &amp; Co
Salomon Smith Barney
Chase H&amp;Q
Epoch Capital Corp
Goldman Sachs &amp; Co</t>
  </si>
  <si>
    <t>GS//SALOMON-SMITH/CHASE-HQ/EPOCH
//GS(GC)</t>
  </si>
  <si>
    <t>Regeneration Technologies Inc</t>
  </si>
  <si>
    <t>RTIX</t>
  </si>
  <si>
    <t>75886N100</t>
  </si>
  <si>
    <t>Banc of America Securities LLC
Lehman Brothers
Stephens Inc
Chase H&amp;Q
CIBC World Markets Inc
Rauscher Pierce Securities
Donaldson Lufkin &amp; Jenrette
Fleet Boston Corp
JP Morgan
Prudential Securities Inc
Blair House
Roth Capital Partners Inc
Fahnestock &amp; Co
John G Kinnard &amp; Co
Morgan Keegan Inc
Great Pacific Capital SA
Sandler Capital Markets
HC Wainwright &amp; Co Inc
Pennsylvania Merchant Group</t>
  </si>
  <si>
    <t>BA-SEC-LLC//LEH/STEPHENS//CHASE-HQ
/CIBC-WORLD/RAUSCHER/DLJ/FLEET-BOSTON
/JPM/PSI/BLAIR/ROTH-CAPITAL/FAHNESTOCK
/KINNARD/MORGAN-KEEGAN/PACIFIC/SANDLER
/H-C-WAINWRIGHT/PENN-MER-GROUP</t>
  </si>
  <si>
    <t>BA-SEC-LLC
LEH
STEPHENS</t>
  </si>
  <si>
    <t>Banc of America Securities LLC
Lehman Brothers
Stephens Inc</t>
  </si>
  <si>
    <t>Vina Technologies Inc</t>
  </si>
  <si>
    <t>VINA</t>
  </si>
  <si>
    <t>92719D100</t>
  </si>
  <si>
    <t>Lehman Brothers
Thomas Weisel Partners
US Bancorp Piper Jaffray
Chase Securities Inc
Donaldson Lufkin &amp; Jenrette
Fidelity Capital Markets
Fleet Boston Corp
WR Hambrecht &amp; Co LLC
Merrill Lynch, Pierce, Fenner
Morgan Stanley &amp; Co
SG Cowen Securities Corp
Chapman Co
Dain, Kalman &amp; Quail
Gruntal &amp; Co Inc
Nutmeg Securities Ltd
Pennsylvania Merchant Group
Raymond James &amp; Associates Inc
Robinson-Humphrey Co
Lehman Brothers</t>
  </si>
  <si>
    <t>LEH//THOMAS-WEISEL/US-PIPER//CHASE-SEC
/DLJ/FIDELITY-CAP/FLEET-BOSTON
/W-R-HAMBRECHT/ML/MS/SG-COWEN/CHAPMAN
/DAIN/GRUNTAL/NUTMEG-SEC/PENN-MER-GROUP
/RAYMOND/ROBINSON//LEH(GC)</t>
  </si>
  <si>
    <t>LEH
THOMAS-WEISEL
US-PIPER</t>
  </si>
  <si>
    <t>Lehman Brothers
Thomas Weisel Partners
US Bancorp Piper Jaffray Inc</t>
  </si>
  <si>
    <t>Lehman Brothers
Thomas Weisel Partners
US Bancorp Piper Jaffray
Chapman Co
Chase Securities Inc
Gruntal &amp; Co Inc
Donaldson Lufkin &amp; Jenrette
Fidelity Capital Markets
FleetBoston Robertson Stephens
Hambrecht &amp; Quist
Merrill Lynch, Pierce, Fenner
Morgan Stanley &amp; Co
SG Cowen Securities Corp
Dain Rauscher Corp
Nutmeg Securities Ltd
Pennsylvania Merchant Group
Raymond James &amp; Associates Inc
Robinson-Humphrey Co
Lehman Brothers</t>
  </si>
  <si>
    <t>LEH//THOMAS-WEISEL//US-PIPER/CHAPMAN
/CHASE-SEC/GRUNTAL/DLJ/FIDELITY-CAP
/FLEET-ROB-STEPH/HAMBRECHT/ML/MS
/SG-COWEN/DAIN-RAUSCHER/NUTMEG-SEC
/PENN-MER-GROUP/RAYMOND/ROBINSON
//LEH(GC)</t>
  </si>
  <si>
    <t>LEH
THOMAS-WEISEL</t>
  </si>
  <si>
    <t>Lehman Brothers
Thomas Weisel Partners</t>
  </si>
  <si>
    <t>Quintalinux Ltd</t>
  </si>
  <si>
    <t>QKLX</t>
  </si>
  <si>
    <t>G73286109</t>
  </si>
  <si>
    <t>Telik Inc</t>
  </si>
  <si>
    <t>TELK</t>
  </si>
  <si>
    <t>87959M109</t>
  </si>
  <si>
    <t>Lehman Brothers
Chase H&amp;Q
UBS Warburg
Legg Mason Wood Walker
Fidelity Capital Markets
Banc of America Securities LLC
Wachovia Securities Inc
Raymond James &amp; Associates Inc
JP Morgan
Thomas Weisel Partners
Gerard Klauer Mattison &amp; Co
Edward D Jones &amp; Co
SG Cowen Securities Corp
Lazard Freres &amp; Co LLC
Lehman Brothers</t>
  </si>
  <si>
    <t>LEH//CHASE-HQ/UBS-WARBURG/LEGG-MASON-WW
/FIDELITY-CAP//BA-SEC-LLC/WACHOVIA-SEC
/RAYMOND/JPM/THOMAS-WEISEL
/GERARD-KLAUER/ED-JONES/SG-COWEN/LAZ
//LEH(GC)</t>
  </si>
  <si>
    <t>LEH
CHASE-HQ
UBS-WARBURG
LEGG-MASON-WW
FIDELITY-CAP</t>
  </si>
  <si>
    <t>Lehman Brothers
Chase H&amp;Q
UBS Warburg
Legg Mason Wood Walker Inc
Fidelity Capital Markets</t>
  </si>
  <si>
    <t>Lehman Brothers
Chase H&amp;Q
Legg Mason Wood Walker
UBS Warburg (UK)
Fidelity Capital Markets
Lehman Brothers</t>
  </si>
  <si>
    <t>LEH/CHASE-HQ(JOINT)//LEGG-MASON-WW
/UBS-WARBURG-UK/FIDELITY-CAP//LEH(GC)</t>
  </si>
  <si>
    <t>LEH/CHASE-HQ</t>
  </si>
  <si>
    <t>LEH
/CHASE-HQ(JOINT)</t>
  </si>
  <si>
    <t>Compugen Ltd</t>
  </si>
  <si>
    <t>CGEN</t>
  </si>
  <si>
    <t>M25722105</t>
  </si>
  <si>
    <t>Fleet Boston Corp
US Bancorp Piper Jaffray
Invemed Associates Inc</t>
  </si>
  <si>
    <t>FLEET-BOSTON//US-PIPER/INVEMED</t>
  </si>
  <si>
    <t>FLEET-BOSTON
US-PIPER
INVEMED</t>
  </si>
  <si>
    <t>Fleet Boston Corp,Boston,Massachusetts
US Bancorp Piper Jaffray Inc
Invemed Associates Inc</t>
  </si>
  <si>
    <t>Dyax Corp</t>
  </si>
  <si>
    <t>DYAX</t>
  </si>
  <si>
    <t>26746E103</t>
  </si>
  <si>
    <t>JP Morgan
Lehman Brothers
Pacific Growth Equities Inc
Nomura Securities
Davenport
Parker Jackson
Lazard
Wilson A. Scott
JP Morgan</t>
  </si>
  <si>
    <t>JPM//LEH/PACIFIC-GROWTH//NOMURA
/DAVENPORT/JACKSON/LAZARD/SCOTT
//JPM(GC)</t>
  </si>
  <si>
    <t>JPM
LEH
PACIFIC-GROWTH</t>
  </si>
  <si>
    <t>JP Morgan &amp; Co Inc
Lehman Brothers
Pacific Growth Equities Inc</t>
  </si>
  <si>
    <t>JPML</t>
  </si>
  <si>
    <t>JP Morgan Securities Ltd
Lehman Brothers
Pacific Growth Equities Inc
JP Morgan Securities Ltd</t>
  </si>
  <si>
    <t>JPML//LEH/PACIFIC-GROWTH//JPML(GC)</t>
  </si>
  <si>
    <t>JP Morgan Securities Ltd (United Kingdom)</t>
  </si>
  <si>
    <t>Lexar Media Inc</t>
  </si>
  <si>
    <t>52886P104</t>
  </si>
  <si>
    <t>Chase H&amp;Q
JP Morgan
Wit Soundview Group Inc
SG Cowen Securities Corp
Fleet Boston Corp
CIBC World Markets Inc
Lehman Brothers
Thomas Weisel Partners
US Bancorp Piper Jaffray
UBS Warburg
W. E. Kaufman
Morgan Keegan Inc
Needham &amp; Co LLC
Raymond James &amp; Associates Inc
Sutro &amp; Co Inc
Tucker Anthony Cleary Gull</t>
  </si>
  <si>
    <t>CHASE-HQ/JPM(JOINT)//WIT-SOUNDVIEW
/SG-COWEN//FLEET-BOSTON/CIBC-WORLD/LEH
/THOMAS-WEISEL/US-PIPER/UBS-WARBURG
/KAUFMAN/MORGAN-KEEGAN/NEEDHAM/RAYMOND
/SUTRO/TUCKER-GULL</t>
  </si>
  <si>
    <t>CHASE-HQ/JPM</t>
  </si>
  <si>
    <t>CHASE-HQ
/JPM(JOINT)
WIT-SOUNDVIEW
SG-COWEN</t>
  </si>
  <si>
    <t>Chase H&amp;Q
JP Morgan &amp; Co Inc
Wit Soundview Group Inc
SG Cowen Securities Corp</t>
  </si>
  <si>
    <t>SynQuest Inc</t>
  </si>
  <si>
    <t>SYNQ</t>
  </si>
  <si>
    <t>87160X100</t>
  </si>
  <si>
    <t>Bear Stearns &amp; Co Inc
JP Morgan
Wit Soundview Group Inc
Banc of America Securities LLC
Chase H&amp;Q
CIBC World Markets Inc
Dain, Kalman &amp; Quail
Donaldson Lufkin &amp; Jenrette
Fleet Boston Corp
Morgan Stanley &amp; Co
Prudential Securities Inc
Salomon Brothers
SG Cowen Securities Corp
UBS Warburg
Thomas Weisel Partners
Adams Harkness &amp; Hill Inc
Aegis Capital
William Blair &amp; Co
Legg Mason Wood Walker
Needham &amp; Co LLC
Northeast Securities Inc.
Pacific Growth Equities Inc
Sanders Morris Harris Inc
Sands Brothers &amp; Co Ltd
Southwest Securities Group Inc
CE Unterberg Towbin
Wachovia Securities Inc</t>
  </si>
  <si>
    <t>BEAR//JPM/WIT-SOUNDVIEW//BA-SEC-LLC
/CHASE-HQ/CIBC-WORLD/DAIN/DLJ
/FLEET-BOSTON/MS/PSI/SAL/SG-COWEN
/UBS-WARBURG/THOMAS-WEISEL
/ADAMS-HARKNESS/AEGIS-CAP/WM-BLAIR
/LEGG-MASON-WW/NEEDHAM/NORTHEAST-SEC
/PACIFIC-GROWTH/SANDERS-HARRIS/SANDS
/SOUTHWEST-SEC/UNTERBERG/WACHOVIA-SEC</t>
  </si>
  <si>
    <t>BEAR
JPM
WIT-SOUNDVIEW</t>
  </si>
  <si>
    <t>Bear Stearns &amp; Co Inc
JP Morgan &amp; Co Inc
Wit Soundview Group Inc</t>
  </si>
  <si>
    <t>O2Wireless Solutions Inc</t>
  </si>
  <si>
    <t>Chase H&amp;Q
CS First Boston Corp
Thomas Weisel Partners
Fleet Boston Corp
Banc of America Securities LLC
Bear Stearns &amp; Co Inc
CIBC World Markets Inc
Deutsche Banc Alex Brown
Donaldson Lufkin &amp; Jenrette
First Union National Bancorp
Merrill Lynch
DA Davidson &amp; Co Inc
SunTrust Equitable Securities
Friedman Billings Ramsey Group
Redwine &amp; Company Inc
Robinson-Humphrey Co
Sanders Morris Harris Inc
Wachovia Securities Inc</t>
  </si>
  <si>
    <t>CHASE-HQ/CS-FB(JOINT)//THOMAS-WEISEL
//FLEET-BOSTON/BA-SEC-LLC/BEAR
/CIBC-WORLD/DEUTSCHE-ALEX-B/DLJ
/FIRST-UNION/MERRILL/DAVIDSON
/SUNTRUST-EQUI/FRIEDMAN-B/REDWINE-CO
/ROBINSON/SANDERS-HARRIS/WACHOVIA-SEC</t>
  </si>
  <si>
    <t>CHASE-HQ/CS-FB</t>
  </si>
  <si>
    <t>CHASE-HQ
/CS-FB(JOINT)
THOMAS-WEISEL</t>
  </si>
  <si>
    <t>Chase H&amp;Q
CS First Boston Corp
Thomas Weisel Partners</t>
  </si>
  <si>
    <t>PeoplePC Inc</t>
  </si>
  <si>
    <t>Chase H&amp;Q
Fleet Boston Corp
Prudential Volpe Technology Gr
JP Morgan
Banc of America Securities LLC
US Bancorp Piper Jaffray
First Southwest
Gerard Klauer Mattison &amp; Co
First Securities Corp. of NC
Sutro &amp; Co Inc
Sanders Morris Harris Inc
Pacific Crest Securities Inc
Robert W Baird &amp; Co Inc
Wit Soundview Group Inc
Deutsche Bank Securities
Donaldson Lufkin &amp; Jenrette
Salomon Smith Barney
CIBC World Markets Inc</t>
  </si>
  <si>
    <t>CHASE-HQ//FLEET-BOSTON/PRUD-VOLPE/JPM
//BA-SEC-LLC/US-PIPER/FIRST-SW
/GERARD-KLAUER/FIRST-SEC/SUTRO
/SANDERS-HARRIS/PACIFIC-CREST/BAIRD
/WIT-SOUNDVIEW/DBSECU/DLJ/SALOMON-SMITH
/CIBC-WORLD</t>
  </si>
  <si>
    <t>CHASE-HQ
FLEET-BOSTON
PRUD-VOLPE
JPM</t>
  </si>
  <si>
    <t>Chase H&amp;Q
Fleet Boston Corp,Boston,Massachusetts
Prudential Volpe Technology Group
JP Morgan &amp; Co Inc</t>
  </si>
  <si>
    <t>Avistar Communications Corp</t>
  </si>
  <si>
    <t>AVSR</t>
  </si>
  <si>
    <t>05379X208</t>
  </si>
  <si>
    <t>Chase H&amp;Q
UBS Warburg
Wit Soundview Group Inc
Fleet Boston Corp
Banc of America Securities LLC
Dain Rauscher Wessels
Deutsche Banc Alex Brown
Donaldson Lufkin &amp; Jenrette
US Bancorp Piper Jaffray
George K Baum &amp; Co
SunTrust Equitable Securities
First Albany
First Southwest
First Security Van Kasper &amp; Co
Jefferies &amp; Co Inc
Preferred Capital Markets
Sutro &amp; Co Inc
Tucker Anthony Cleary Gull</t>
  </si>
  <si>
    <t>CHASE-HQ//UBS-WARBURG/WIT-SOUNDVIEW
//FLEET-BOSTON/BA-SEC-LLC
/DAIN-R-WESSELS/DEUTSCHE-ALEX-B/DLJ
/US-PIPER/G-BAUM/SUNTRUST-EQUI
/FIRST-ALBANY/FIRST-SW/FIR-VAN-KASPER
/JEFFERIES/PREFERRED-CAP/SUTRO
/TUCKER-GULL</t>
  </si>
  <si>
    <t>CHASE-HQ
UBS-WARBURG
WIT-SOUNDVIEW</t>
  </si>
  <si>
    <t>Chase H&amp;Q
UBS Warburg
Wit Soundview Group Inc</t>
  </si>
  <si>
    <t>Integrated Telecom Express Inc</t>
  </si>
  <si>
    <t>ITXI</t>
  </si>
  <si>
    <t>45817U101</t>
  </si>
  <si>
    <t>Lehman Brothers
Bear Stearns &amp; Co Inc
Fidelity Capital Markets
Wit Soundview Group Inc
AG Edwards &amp; Sons Inc
Edward D Jones &amp; Co
Legg Mason Wood Walker
W. E. Kaufman
Wachovia Securities Inc
Raymond James &amp; Associates Inc
Gruntal &amp; Co Inc
SG Cowen Securities Corp
UBS Warburg
First Security Van Kasper &amp; Co
Thomas Weisel Partners
Salomon Brothers
Lehman Brothers</t>
  </si>
  <si>
    <t>LEH//BEAR/FIDELITY-CAP/WIT-SOUNDVIEW
//A-G-EDWARDS/ED-JONES/LEGG-MASON-WW
/KAUFMAN/WACHOVIA-SEC/RAYMOND/GRUNTAL
/SG-COWEN/UBS-WARBURG/FIR-VAN-KASPER
/THOMAS-WEISEL/SAL//LEH(GC)</t>
  </si>
  <si>
    <t>LEH
BEAR
FIDELITY-CAP
WIT-SOUNDVIEW</t>
  </si>
  <si>
    <t>Lehman Brothers
Bear Stearns &amp; Co Inc
Fidelity Capital Markets
Wit Soundview Group Inc</t>
  </si>
  <si>
    <t>Lehman Brothers
Wit Soundview Group Inc
Bear Stearns &amp; Co Inc
Fidelity Capital Markets
Lehman Brothers</t>
  </si>
  <si>
    <t>LEH//WIT-SOUNDVIEW/BEAR//FIDELITY-CAP
//LEH(GC)</t>
  </si>
  <si>
    <t>LEH
WIT-SOUNDVIEW
BEAR</t>
  </si>
  <si>
    <t>Lehman Brothers
Wit Soundview Group Inc
Bear Stearns &amp; Co Inc</t>
  </si>
  <si>
    <t>PECO II Inc</t>
  </si>
  <si>
    <t>PIII</t>
  </si>
  <si>
    <t>Fleet Boston Corp
CIBC World Markets Inc
Needham &amp; Co LLC
E*Offering Corp
Edward D Jones &amp; Co
Fidelity Capital Markets
McDonald Investments
Quick &amp; Reilly Group, Inc.
SG Cowen Securities Corp</t>
  </si>
  <si>
    <t>FLEET-BOSTON//CIBC-WORLD/NEEDHAM
//E*OFFERING/ED-JONES/FIDELITY-CAP
/MCDONALD/QUICK-REILLY/SG-COWEN</t>
  </si>
  <si>
    <t>FLEET-BOSTON
CIBC-WORLD
NEEDHAM</t>
  </si>
  <si>
    <t>Fleet Boston Corp,Boston,Massachusetts
CIBC World Markets Inc
Needham &amp; Co LLC</t>
  </si>
  <si>
    <t>Pinnacle Financial Partners,TN</t>
  </si>
  <si>
    <t>PNFP</t>
  </si>
  <si>
    <t>PAINE-W</t>
  </si>
  <si>
    <t>72346Q104</t>
  </si>
  <si>
    <t>PaineWebber
Robert W Baird &amp; Co Inc
JJB Hilliard WL Lyons Inc
Legg Mason Wood Walker
Morgan Keegan Inc
Norris &amp; Hirshberg
Robinson-Humphrey Co
SunTrust Equitable Securities
Wachovia Bank NA</t>
  </si>
  <si>
    <t>PAINE-W//BAIRD/HILLIARD/LEGG-MASON-WW
/MORGAN-KEEGAN/NORRIS/ROBINSON
/SUNTRUST-EQUI/WACHOVIA</t>
  </si>
  <si>
    <t>PaineWebber Inc</t>
  </si>
  <si>
    <t>Viasource Communications Inc</t>
  </si>
  <si>
    <t>VVVV</t>
  </si>
  <si>
    <t>92553W107</t>
  </si>
  <si>
    <t>Donaldson Lufkin &amp; Jenrette
Chase H&amp;Q
DLJdirect
Prudential Volpe Technology Gr
First Union Securities Inc
Lebenthal
McDonald Investments
Sutro &amp; Co Inc
Thomas Weisel Partners
King &amp; Shaxson Holdings
Fleet Boston Corp
Pacific Crest Securities Inc
Deutsche Bank Securities
Pennsylvania Merchant Group
Sanders Morris Mundy Inc
Robinson-Humphrey Co
Robert W Baird &amp; Co Inc
Fahnestock &amp; Co
Needham &amp; Co LLC
AG Edwards &amp; Sons Inc
Allen &amp; Co Inc
Lazard
Gerard Klauer Mattison &amp; Co
Hoak Breedlove Wesneski &amp; Co
Morgan Stanley &amp; Co
CE Unterberg Towbin
PaineWebber
Hoefer &amp; Arnett Inc
JJB Hilliard WL Lyons Inc
First Albany
DA Davidson &amp; Co Inc
Scott &amp; Stringfellow Financial
Sands Brothers &amp; Co Ltd
Raymond James &amp; Associates Inc
Parker-Hunter Inc
Tucker Anthony Inc
Stephens Inc
Morgan Keegan Inc
Legg Mason &amp; Co Inc
Ladenburg Thalmann &amp; Co
Johnston Lemon &amp; Co Inc
Merrill Lynch, Pierce, Fenner
CIBC World Markets Inc
Bear Stearns &amp; Co Inc</t>
  </si>
  <si>
    <t>DLJ//CHASE-HQ/DLJ-DIRECT/PRUD-VOLPE
/FIRST-UNION-SEC//LEBENTHAL/MCDONALD
/SUTRO/THOMAS-WEISEL/KING/FLEET-BOSTON
/PACIFIC-CREST/DBSECU/PENN-MER-GROUP
/SANDERS-MORRIS/ROBINSON/BAIRD
/FAHNESTOCK/NEEDHAM/A-G-EDWARDS/ALLEN
/LAZARD/GERARD-KLAUER/HOAK-BREEDLOVE/MS
/UNTERBERG/PAINE-W/HOEFER-ARNETT
/HILLIARD/FIRST-ALBANY/DAVIDSON
/SCOTT-STRING/SANDS/RAYMOND
/PARKER-HUNTER/TUCKER/STEPHENS
/MORGAN-KEEGAN/LEGG-MASON/LADENBURG
/JOHNSTON-LEMON/ML/CIBC-WORLD/BEAR</t>
  </si>
  <si>
    <t>DLJ
CHASE-HQ
DLJ-DIRECT
PRUD-VOLPE
FIRST-UNION-SEC</t>
  </si>
  <si>
    <t>Donaldson Lufkin &amp; Jenrette Inc
Chase H&amp;Q
DLJdirect
Prudential Volpe Technology Group
First Union Securities Inc</t>
  </si>
  <si>
    <t>WJ Communications Inc</t>
  </si>
  <si>
    <t>WJCI</t>
  </si>
  <si>
    <t>Chase H&amp;Q
CIBC World Markets Inc
Thomas Weisel Partners
Banc of America Securities LLC
CS First Boston Corp
Dain Rauscher Wessels
Deutsche Banc Alex Brown
Donaldson Lufkin &amp; Jenrette
Merrill Lynch, Pierce, Fenner
Salomon Smith Barney
Adams Harkness &amp; Hill Inc
Robert W Baird &amp; Co Inc
First Security Van Kasper &amp; Co
Hoak Breedlove Wesneski &amp; Co
Legg Mason &amp; Co Inc
Needham &amp; Co LLC
Tucker Anthony Inc</t>
  </si>
  <si>
    <t>CHASE-HQ//CIBC-WORLD/THOMAS-WEISEL
//BA-SEC-LLC/CS-FB/DAIN-R-WESSELS
/DEUTSCHE-ALEX-B/DLJ/ML/SALOMON-SMITH
/ADAMS-HARKNESS/BAIRD/FIR-VAN-KASPER
/HOAK-BREEDLOVE/LEGG-MASON/NEEDHAM
/TUCKER</t>
  </si>
  <si>
    <t>CHASE-HQ
CIBC-WORLD
THOMAS-WEISEL</t>
  </si>
  <si>
    <t>Chase H&amp;Q
CIBC World Markets Inc
Thomas Weisel Partners</t>
  </si>
  <si>
    <t>ISTA Pharmaceuticals Inc</t>
  </si>
  <si>
    <t>ISTA</t>
  </si>
  <si>
    <t>45031X105</t>
  </si>
  <si>
    <t>CIBC World Markets Inc
Prudential Securities Inc
Thomas Weisel Partners
Chase H&amp;Q
Deutsche Bank Securities
ING Barings
SG Cowen Securities Corp
Adams Harkness &amp; Hill Inc
Advest Inc
McDonald &amp; Co Investments Inc
Raymond James &amp; Associates Inc
Tucker Anthony Inc
Unterburg, Towbin Co</t>
  </si>
  <si>
    <t>CIBC-WORLD//PSI/THOMAS-WEISEL//CHASE-HQ
/DBSECU/ING-BARINGS/SG-COWEN
/ADAMS-HARKNESS/ADVEST/MCDON/RAYMOND
/TUCKER/UNTERBURG</t>
  </si>
  <si>
    <t>CIBC-WORLD
PSI
THOMAS-WEISEL</t>
  </si>
  <si>
    <t>CIBC World Markets Inc
Prudential Securities Inc
Thomas Weisel Partners</t>
  </si>
  <si>
    <t>O2 Micro International Limited</t>
  </si>
  <si>
    <t>Cayman Islands</t>
  </si>
  <si>
    <t>OIIM</t>
  </si>
  <si>
    <t>G6797E106</t>
  </si>
  <si>
    <t>Fleet Boston Corp
US Bancorp Piper Jaffray
Needham &amp; Co LLC
E*Offering Corp
Fidelity Capital Markets
Quick &amp; Reilly Group, Inc.
Fleet Boston Corp</t>
  </si>
  <si>
    <t>FLEET-BOSTON//US-PIPER/NEEDHAM
//E*OFFERING/FIDELITY-CAP/QUICK-REILLY
//FLEET-BOSTON(GC)</t>
  </si>
  <si>
    <t>FLEET-BOSTON
US-PIPER
NEEDHAM</t>
  </si>
  <si>
    <t>Fleet Boston Corp,Boston,Massachusetts
US Bancorp Piper Jaffray Inc
Needham &amp; Co LLC</t>
  </si>
  <si>
    <t>ServiceWare Technologies Inc</t>
  </si>
  <si>
    <t>SVCW</t>
  </si>
  <si>
    <t>UNTERBERG</t>
  </si>
  <si>
    <t>81763Q109</t>
  </si>
  <si>
    <t>CE Unterberg Towbin</t>
  </si>
  <si>
    <t>Chiles Offshore Inc</t>
  </si>
  <si>
    <t>COD</t>
  </si>
  <si>
    <t>16888M104</t>
  </si>
  <si>
    <t>CS First Boston Corp
Salomon Smith Barney
ING Barings
Wasserstein Perella Securities
Dain Rauscher Corp
Fearnley Fonds A/S
Fleet Boston Corp
Invemed Associates Inc
Legg Mason &amp; Co Inc
Dominion Securities Harris
Simmons &amp; Co International
CS First Boston Corp</t>
  </si>
  <si>
    <t>CS-FB/SALOMON-SMITH(JOINT)//ING-BARINGS
/WP-SEC//DAIN-RAUSCHER/FEARNLEY
/FLEET-BOSTON/INVEMED/LEGG-MASON
/DOMINION/SIMMONS//CS-FB(GC)</t>
  </si>
  <si>
    <t>CS-FB
/SALOMON-SMITH(JOINT)
ING-BARINGS
WP-SEC</t>
  </si>
  <si>
    <t>CS First Boston Corp
Salomon Smith Barney
ING Barings
Wasserstein Perella Securities</t>
  </si>
  <si>
    <t>C-S-F-B
/SALOMON-SMITH(JB)</t>
  </si>
  <si>
    <t>Credit Suisse First Boston Ltd
Salomon Smith Barney
Wasserstein Perella Group Inc
ING Barings
Credit Suisse First Boston Ltd</t>
  </si>
  <si>
    <t>C-S-F-B(JB)/SALOMON-SMITH(JB)//WP
//ING-BARINGS//C-S-F-B(GC)</t>
  </si>
  <si>
    <t>C-S-F-B/SALOMON-SMITH</t>
  </si>
  <si>
    <t>C-S-F-B
(JB)/SALOMON-SMITH(JB)
WP</t>
  </si>
  <si>
    <t>Credit Suisse First Boston Ltd
Salomon Smith Barney
Wasserstein Perella Group Inc</t>
  </si>
  <si>
    <t>ViryaNet Ltd</t>
  </si>
  <si>
    <t>VRYA</t>
  </si>
  <si>
    <t>M97540104</t>
  </si>
  <si>
    <t>Chase H&amp;Q
Salomon Smith Barney
Dain Rauscher Wessels
Banc of America Securities LLC
Bear Stearns &amp; Co Inc
CIBC World Markets Inc
Deutsche Bank Securities Corp
SG Cowen Securities Corp
US Bancorp Piper Jaffray
Wit Soundview Group Inc
Adams Harkness &amp; Hill Inc
Doft &amp; Co Inc
First Security Van Kasper &amp; Co
Jefferies &amp; Co Inc
Sands Brothers &amp; Co Ltd
Sutro &amp; Co Inc
CE Unterberg Towbin</t>
  </si>
  <si>
    <t>CHASE-HQ//SALOMON-SMITH/DAIN-R-WESSELS
//BA-SEC-LLC/BEAR/CIBC-WORLD
/DEUTSCHE-BK-SEC/SG-COWEN/US-PIPER
/WIT-SOUNDVIEW/ADAMS-HARKNESS/DOFT
/FIR-VAN-KASPER/JEFFERIES/SANDS/SUTRO
/UNTERBERG</t>
  </si>
  <si>
    <t>CHASE-HQ
SALOMON-SMITH
DAIN-R-WESSELS</t>
  </si>
  <si>
    <t>Chase H&amp;Q
Salomon Smith Barney
Dain Rauscher Wessels</t>
  </si>
  <si>
    <t>OmniSky Corp</t>
  </si>
  <si>
    <t>OMNY</t>
  </si>
  <si>
    <t>68213L103</t>
  </si>
  <si>
    <t>Credit Suisse First Boston
Chase H&amp;Q
Salomon Smith Barney
DLJdirect
Donaldson Lufkin &amp; Jenrette
Deutsche Bank
Invemed Associates Inc
Prudential Securities Inc
Fleet Boston Corp
US Bancorp Piper Jaffray
Merrill Lynch
E*Offering Corp
Credit Suisse First Boston</t>
  </si>
  <si>
    <t>CS-FB-CS//CHASE-HQ/SALOMON-SMITH
/DLJ-DIRECT/DLJ//DEUTSCHE-BANK/INVEMED
/PSI/FLEET-BOSTON/US-PIPER/MERRILL
/E*OFFERING//CS-FB-CS(GC)</t>
  </si>
  <si>
    <t>CS-FB-CS
CHASE-HQ
SALOMON-SMITH
DLJ-DIRECT
DLJ</t>
  </si>
  <si>
    <t>Credit Suisse First Boston Corp
Chase H&amp;Q
Salomon Smith Barney
DLJdirect
Donaldson Lufkin &amp; Jenrette Inc</t>
  </si>
  <si>
    <t>Credit Suisse First Boston Ltd
Chase H&amp;Q
DLJdirect
Salomon Smith Barney
Credit Suisse First Boston Ltd</t>
  </si>
  <si>
    <t>C-S-F-B//CHASE-HQ/DLJ-DIRECT
/SALOMON-SMITH//C-S-F-B(GC)</t>
  </si>
  <si>
    <t>C-S-F-B
CHASE-HQ
DLJ-DIRECT
SALOMON-SMITH</t>
  </si>
  <si>
    <t>Credit Suisse First Boston Ltd
Chase H&amp;Q
DLJdirect
Salomon Smith Barney</t>
  </si>
  <si>
    <t>TTM Technologies Inc</t>
  </si>
  <si>
    <t>87305R109</t>
  </si>
  <si>
    <t>Fleet Boston Corp
Chase H&amp;Q
First Union Securities Inc
Donaldson Lufkin &amp; Jenrette
E*Offering Corp
Needham &amp; Co LLC
Quick &amp; Reilly Group, Inc.
SunTrust Equitable Securities
Fidelity Capital Markets</t>
  </si>
  <si>
    <t>FLEET-BOSTON//CHASE-HQ/FIRST-UNION-SEC
/DLJ//E*OFFERING/NEEDHAM/QUICK-REILLY
/SUNTRUST-EQUI/FIDELITY-CAP</t>
  </si>
  <si>
    <t>FLEET-BOSTON
CHASE-HQ
FIRST-UNION-SEC
DLJ</t>
  </si>
  <si>
    <t>Fleet Boston Corp,Boston,Massachusetts
Chase H&amp;Q
First Union Securities Inc
Donaldson Lufkin &amp; Jenrette Inc</t>
  </si>
  <si>
    <t>Zengine Inc</t>
  </si>
  <si>
    <t>ZNGN</t>
  </si>
  <si>
    <t>WM-BLAIR</t>
  </si>
  <si>
    <t>98935C107</t>
  </si>
  <si>
    <t>William Blair &amp; Co
Friedman Billings Ramsey Group
Morgan Keegan Inc
E*Offering Corp
Bear Stearns &amp; Co Inc
Merrill Lynch, Pierce, Fenner
US Bancorp Piper Jaffray
Thomas Weisel Partners
Prudential Securities Inc
Pacific Crest Securities Inc
Legg Mason &amp; Co Inc
Jefferies &amp; Co Inc
Adams Harkness &amp; Hill Inc
Morgan Stanley &amp; Co
McDonald Investments
CIBC World Markets Inc
Dain Rauscher Corp
First Union Securities Inc
Chase Securities Inc</t>
  </si>
  <si>
    <t>WM-BLAIR//FRIEDMAN-B/MORGAN-KEEGAN
/E*OFFERING//BEAR/ML/US-PIPER
/THOMAS-WEISEL/PSI/PACIFIC-CREST
/LEGG-MASON/JEFFERIES/ADAMS-HARKNESS/MS
/MCDONALD/CIBC-WORLD/DAIN-RAUSCHER
/FIRST-UNION-SEC/CHASE-SEC</t>
  </si>
  <si>
    <t>WM-BLAIR
FRIEDMAN-B
MORGAN-KEEGAN
E*OFFERING</t>
  </si>
  <si>
    <t>William Blair &amp; Co
Friedman Billings Ramsey Group
Morgan Keegan Inc
E*Offering Corp</t>
  </si>
  <si>
    <t>Curon Medical Inc</t>
  </si>
  <si>
    <t>CURN</t>
  </si>
  <si>
    <t>UBS Warburg
CIBC World Markets Inc
SG Cowen Securities Corp
Donaldson Lufkin &amp; Jenrette
AG Edwards &amp; Sons Inc
US Bancorp Piper Jaffray
ING Barings
Merrill Lynch
Prudential Securities Inc
Morgan Stanley &amp; Co
PaineWebber
Fleet Boston Corp
Advest Inc
Robert W Baird &amp; Co Inc
Pacific Growth Equities Inc
Pennsylvania Merchant Group
Tucker Anthony Inc
UBS Warburg</t>
  </si>
  <si>
    <t>UBS-WARBURG//CIBC-WORLD/SG-COWEN//DLJ
/A-G-EDWARDS/US-PIPER/ING-BARINGS
/MERRILL/PSI/MS/PAINE-W/FLEET-BOSTON
/ADVEST/BAIRD/PACIFIC-GROWTH
/PENN-MER-GROUP/TUCKER//UBS-WARBURG(GC)</t>
  </si>
  <si>
    <t>UBS-WARBURG
CIBC-WORLD
SG-COWEN</t>
  </si>
  <si>
    <t>UBS Warburg
CIBC World Markets Inc
SG Cowen Securities Corp</t>
  </si>
  <si>
    <t>INRANGE Technologies Corp</t>
  </si>
  <si>
    <t>INRG</t>
  </si>
  <si>
    <t>45769V206</t>
  </si>
  <si>
    <t>Salomon Smith Barney
Bear Stearns &amp; Co Inc
Chase H&amp;Q
Fleet Boston Corp
Merrill Lynch, Pierce, Fenner
PaineWebber
John Burnham &amp; Co
Chapman Co
John G Kinnard &amp; Co
Morgan Keegan Inc
Needham &amp; Co LLC
Robinson-Humphrey Co
Stephens Inc
Tucker Anthony Inc</t>
  </si>
  <si>
    <t>SALOMON-SMITH//BEAR/CHASE-HQ
//FLEET-BOSTON/ML/PAINE-W/BURNHAM-J
/CHAPMAN/KINNARD/MORGAN-KEEGAN/NEEDHAM
/ROBINSON/STEPHENS/TUCKER</t>
  </si>
  <si>
    <t>SALOMON-SMITH
BEAR
CHASE-HQ</t>
  </si>
  <si>
    <t>Salomon Smith Barney
Bear Stearns &amp; Co Inc
Chase H&amp;Q</t>
  </si>
  <si>
    <t>ASE Group</t>
  </si>
  <si>
    <t>Taiwan</t>
  </si>
  <si>
    <t>GSINC/MSDWA(JB)
/DEUTSCHE-ALEX-B(JB)</t>
  </si>
  <si>
    <t>Goldman Sachs Group Inc
Morgan Stanley Dean (Asia)
Deutsche Banc Alex Brown
UBS Warburg (UK)</t>
  </si>
  <si>
    <t>GSINC(JB)/MSDWA(JB)/DEUTSCHE-ALEX-B(JB)
//UBS-WARBURG-UK</t>
  </si>
  <si>
    <t>GSINC/MSDWA/DEUTSCHE-ALEX-B</t>
  </si>
  <si>
    <t>GSINC
(JB)/MSDWA(JB)
/DEUTSCHE-ALEX-B(JB)
UBS-WARBURG-UK</t>
  </si>
  <si>
    <t>Goldman Sachs Group Inc
Morgan Stanley Dean Witter (Asia)
Deutsche Banc Alex Brown
UBS Warburg (UK)</t>
  </si>
  <si>
    <t>CoSine Communications Inc</t>
  </si>
  <si>
    <t>COSN</t>
  </si>
  <si>
    <t>Goldman Sachs &amp; Co
Chase H&amp;Q
JP Morgan
Fleet Boston Corp
Robert W Baird &amp; Co Inc
Citigroup/Salomon Smith Barney
Wit Soundview Group Inc
US Bancorp Piper Jaffray
Samuel A. Ramirez &amp; Co.
AG Edwards &amp; Sons Inc
Edward D Jones &amp; Co
May Davis Group Inc
Legg Mason Wood Walker
Dain Rauscher Corp
Goldman Sachs &amp; Co</t>
  </si>
  <si>
    <t>GS//CHASE-HQ/JPM/FLEET-BOSTON//BAIRD
/CITIGROUP-SSB/WIT-SOUNDVIEW/US-PIPER
/RAMIREZ/A-G-EDWARDS/ED-JONES/MAY-DAVIS
/LEGG-MASON-WW/DAIN-RAUSCHER//GS(GC)</t>
  </si>
  <si>
    <t>GS
CHASE-HQ
JPM
FLEET-BOSTON</t>
  </si>
  <si>
    <t>Goldman Sachs &amp; Co
Chase H&amp;Q
JP Morgan &amp; Co Inc
Fleet Boston Corp,Boston,Massachusetts</t>
  </si>
  <si>
    <t>Goldman Sachs &amp; Co
Chase H&amp;Q
FleetBoston Robertson Stephens
JP Morgan
Goldman Sachs &amp; Co</t>
  </si>
  <si>
    <t>GS//CHASE-HQ/FLEET-ROB-STEPH/JPM
//GS(GC)</t>
  </si>
  <si>
    <t>EDEN Bioscience Corp</t>
  </si>
  <si>
    <t>EDEN</t>
  </si>
  <si>
    <t>Merrill Lynch
Stephens Inc
George K Baum &amp; Co
Ragen MacKenzie Group Inc
DA Davidson &amp; Co Inc
Security Investment Company</t>
  </si>
  <si>
    <t>MERRILL/STEPHENS(JOINT)//G-BAUM/RAGEN
//DAVIDSON/SEC-INVEST</t>
  </si>
  <si>
    <t>MERRILL/STEPHENS</t>
  </si>
  <si>
    <t>MERRILL
/STEPHENS(JOINT)
G-BAUM
RAGEN</t>
  </si>
  <si>
    <t>Merrill Lynch &amp; Co Inc
Stephens Inc
George K Baum &amp; Co
Ragen MacKenzie Group Inc</t>
  </si>
  <si>
    <t>MERRILL/STEPHENS(JOINT)//G-BAUM/RAGEN
/DAVIDSON/SEC-INVEST</t>
  </si>
  <si>
    <t>MERRILL
/STEPHENS(JOINT)</t>
  </si>
  <si>
    <t>Merrill Lynch &amp; Co Inc
Stephens Inc</t>
  </si>
  <si>
    <t>Southern Energy Inc</t>
  </si>
  <si>
    <t>SOE</t>
  </si>
  <si>
    <t>GS/MSDW(JB)</t>
  </si>
  <si>
    <t>Goldman Sachs &amp; Co
Morgan Stanley Dean Witter
Banc of America Securities LLC
Lehman Brothers
Salomon Smith Barney
JP Morgan
Credit Suisse First Boston
ABN-AMRO Holding NV
Commerzbank AG
Williams Capital Group LP
Chase Securities Inc
Blaylock &amp; Partners LP
Goldman Sachs &amp; Co</t>
  </si>
  <si>
    <t>SO</t>
  </si>
  <si>
    <t>Southern Co</t>
  </si>
  <si>
    <t>GS(JB)/MSDW(JB)//BA-SEC-LLC/LEH
/SALOMON-SMITH/JPM/CS-FB-CS//ABN-AMRO
/COMMERZBANK/WILLIAMS-CAP/CHASE-SEC
/BLAYLOCK-PTRNS//GS(GC)</t>
  </si>
  <si>
    <t>GS
(JB)/MSDW(JB)
BA-SEC-LLC
LEH
SALOMON-SMITH
JPM
CS-FB-CS</t>
  </si>
  <si>
    <t>Goldman Sachs &amp; Co
Morgan Stanley Dean Witter &amp; Co
Banc of America Securities LLC
Lehman Brothers
Salomon Smith Barney
JP Morgan &amp; Co Inc
Credit Suisse First Boston Corp</t>
  </si>
  <si>
    <t>Goldman Sachs &amp; Co
Morgan Stanley Dean Witter
BA Securities Inc
Credit Suisse First Boston Inc
JP Morgan
Lehman Brothers
Salomon Smith Barney
Goldman Sachs &amp; Co
Morgan Stanley Dean Witter</t>
  </si>
  <si>
    <t>GS(JB)/MSDW(JB)//BA-SECURITIES/CSFB-INC
/JPM/LEH/SALOMON-SMITH//GS(GC)/MSDW(GC)</t>
  </si>
  <si>
    <t>GS
(JB)/MSDW(JB)</t>
  </si>
  <si>
    <t>AvantGo Inc</t>
  </si>
  <si>
    <t>AVGO</t>
  </si>
  <si>
    <t>05349M100</t>
  </si>
  <si>
    <t>CS First Boston Corp
Merrill Lynch
CIBC World Markets Inc
Deutsche Bank Securities Corp
E*Offering Corp
Fleet Boston Corp
Invemed Associates Inc
Prudential Securities Inc
Wedbush Securities
CS First Boston Corp</t>
  </si>
  <si>
    <t>CS-FB//MERRILL/CIBC-WORLD
//DEUTSCHE-BK-SEC/E*OFFERING
/FLEET-BOSTON/INVEMED/PSI/WEDBUSH-M
//CS-FB(GC)</t>
  </si>
  <si>
    <t>CS-FB
MERRILL
CIBC-WORLD</t>
  </si>
  <si>
    <t>CS First Boston Corp
Merrill Lynch &amp; Co Inc
CIBC World Markets Inc</t>
  </si>
  <si>
    <t>Credit Suisse First Boston Inc
Merrill Lynch
CIBC World Markets Inc
Credit Suisse First Boston Inc</t>
  </si>
  <si>
    <t>CSFB-INC//MERRILL/CIBC-WORLD
//CSFB-INC(GC)</t>
  </si>
  <si>
    <t>CSFB-INC
MERRILL
CIBC-WORLD</t>
  </si>
  <si>
    <t>Credit Suisse First Boston Inc
Merrill Lynch &amp; Co Inc
CIBC World Markets Inc</t>
  </si>
  <si>
    <t>DURECT Corp</t>
  </si>
  <si>
    <t>DRRX</t>
  </si>
  <si>
    <t>Morgan Stanley Dean Witter
Chase H&amp;Q
CIBC World Markets Inc
Allen &amp; Co Inc
Banc of America Securities LLC
Credit Suisse First Boston
Deutsche Bank
First Union Securities Inc
Edward D Jones &amp; Co
Legg Mason Wood Walker
Lehman Brothers
PaineWebber
Fleet Boston Corp
Salomon Smith Barney
SunTrust Equitable Securities
Thomas Weisel Partners</t>
  </si>
  <si>
    <t>MSDW//CHASE-HQ/CIBC-WORLD//ALLEN
/BA-SEC-LLC/CS-FB-CS/DEUTSCHE-BANK
/FIRST-UNION-SEC/ED-JONES/LEGG-MASON-WW
/LEH/PAINE-W/FLEET-BOSTON/SALOMON-SMITH
/SUNTRUST-EQUI/THOMAS-WEISEL</t>
  </si>
  <si>
    <t>MSDW
CHASE-HQ
CIBC-WORLD</t>
  </si>
  <si>
    <t>Morgan Stanley Dean Witter &amp; Co
Chase H&amp;Q
CIBC World Markets Inc</t>
  </si>
  <si>
    <t>ASUR</t>
  </si>
  <si>
    <t>Mexico</t>
  </si>
  <si>
    <t>ASR</t>
  </si>
  <si>
    <t>UBS Warburg
Merrill Lynch
Morgan Stanley Dean Witter
UBS Warburg</t>
  </si>
  <si>
    <t>Nacional Financiera SNC</t>
  </si>
  <si>
    <t>UBS-WARBURG//MERRILL/MSDW
//UBS-WARBURG(GC)</t>
  </si>
  <si>
    <t>UBS-WARBURG
MERRILL
MSDW</t>
  </si>
  <si>
    <t>UBS Warburg
Merrill Lynch &amp; Co Inc
Morgan Stanley Dean Witter &amp; Co</t>
  </si>
  <si>
    <t>Hydril Co LP</t>
  </si>
  <si>
    <t>HYDL</t>
  </si>
  <si>
    <t>Salomon Smith Barney
CS First Boston Corp
Dain Rauscher Wessels
Simmons &amp; Co International
Bear Stearns &amp; Co Inc
RBC Dominion Securities
Robinson-Humphrey Co
Sanders Morris Harris Inc</t>
  </si>
  <si>
    <t>SALOMON-SMITH/CS-FB(JOINT)
//DAIN-R-WESSELS/SIMMONS//BEAR/RBC-DOM
/ROBINSON/SANDERS-HARRIS</t>
  </si>
  <si>
    <t>SALOMON-SMITH/CS-FB</t>
  </si>
  <si>
    <t>SALOMON-SMITH
/CS-FB(JOINT)
DAIN-R-WESSELS
SIMMONS</t>
  </si>
  <si>
    <t>Salomon Smith Barney
CS First Boston Corp
Dain Rauscher Wessels
Simmons &amp; Co International</t>
  </si>
  <si>
    <t>University of Phoenix Online</t>
  </si>
  <si>
    <t>UOPX</t>
  </si>
  <si>
    <t>037604204</t>
  </si>
  <si>
    <t>CS First Boston Corp
Banc of America Securities LLC
Chase H&amp;Q
Barrington Research Inc.
William Blair &amp; Co
Deutsche Bank Securities
E*Offering Corp
First Union National Bancorp
Gerard Klauer Mattison &amp; Co
Hambrecht &amp; Quist
Invemed Associates Inc
Merrill Lynch, Pierce, Fenner
Pacific Crest Securities Inc
Prudential Securities Inc
Salomon Smith Barney
US Bancorp Piper Jaffray
Thomas Weisel Partners
CS First Boston Corp</t>
  </si>
  <si>
    <t>CS-FB/BA-SEC-LLC(JOINT)//CHASE-HQ
//BARRINGTON-RES/WM-BLAIR/DBSECU
/E*OFFERING/FIRST-UNION/GERARD-KLAUER
/HAMBRECHT/INVEMED/ML/PACIFIC-CREST/PSI
/SALOMON-SMITH/US-PIPER/THOMAS-WEISEL
//CS-FB(GC)</t>
  </si>
  <si>
    <t>CS-FB/BA-SEC-LLC</t>
  </si>
  <si>
    <t>CS-FB
/BA-SEC-LLC(JOINT)
CHASE-HQ</t>
  </si>
  <si>
    <t>CS First Boston Corp
Banc of America Securities LLC
Chase H&amp;Q</t>
  </si>
  <si>
    <t>Credit Suisse First Boston Inc
Banc of America Securities LLC
Chase H&amp;Q
Credit Suisse First Boston Inc</t>
  </si>
  <si>
    <t>CSFB-INC//BA-SEC-LLC/CHASE-HQ
//CSFB-INC(GC)</t>
  </si>
  <si>
    <t>CSFB-INC
BA-SEC-LLC
CHASE-HQ</t>
  </si>
  <si>
    <t>Credit Suisse First Boston Inc
Banc of America Securities LLC
Chase H&amp;Q</t>
  </si>
  <si>
    <t>At Road Inc</t>
  </si>
  <si>
    <t>ARDI</t>
  </si>
  <si>
    <t>04648K105</t>
  </si>
  <si>
    <t>CS First Boston Corp
Chase H&amp;Q
US Bancorp Piper Jaffray
William Blair &amp; Co
Pacific Crest Securities Inc
Deutsche Bank Securities Corp
Sands Brothers &amp; Co Ltd
E*Offering Corp
Invemed Associates Inc
Lehman Brothers
Needham &amp; Co LLC
Prudential Securities Inc
Wit Soundview Group Inc
CS First Boston Corp</t>
  </si>
  <si>
    <t>CS-FB//CHASE-HQ/US-PIPER//WM-BLAIR
/PACIFIC-CREST/DEUTSCHE-BK-SEC/SANDS
/E*OFFERING/INVEMED/LEH/NEEDHAM/PSI
/WIT-SOUNDVIEW//CS-FB(GC)</t>
  </si>
  <si>
    <t>CS-FB
CHASE-HQ
US-PIPER</t>
  </si>
  <si>
    <t>CS First Boston Corp
Chase H&amp;Q
US Bancorp Piper Jaffray Inc</t>
  </si>
  <si>
    <t>Credit Suisse First Boston Inc
Chase H&amp;Q
Piper Jaffray Inc
Credit Suisse First Boston Inc</t>
  </si>
  <si>
    <t>CSFB-INC//CHASE-HQ/PIPER-J
//CSFB-INC(GC)</t>
  </si>
  <si>
    <t>CSFB-INC
CHASE-HQ
PIPER-J</t>
  </si>
  <si>
    <t>Credit Suisse First Boston Inc
Chase H&amp;Q
Piper Jaffray Inc</t>
  </si>
  <si>
    <t>Ciphergen Biosystems Inc</t>
  </si>
  <si>
    <t>CIPH</t>
  </si>
  <si>
    <t>17252Y104</t>
  </si>
  <si>
    <t>SG Cowen Securities Corp
ING Barings
UBS Warburg
Chase H&amp;Q
CIBC World Markets Inc
Dain Rauscher Corp
Deutsche Bank Securities Corp
Donaldson Lufkin &amp; Jenrette
AG Edwards &amp; Sons Inc
Lehman Brothers
US Bancorp Piper Jaffray
Thomas Weisel Partners
Crowell Weedon &amp; Co
Dominick &amp; Dominick Inc
Fahnestock &amp; Co
Gerard Klauer Mattison &amp; Co
Gruntal &amp; Co Inc
Janney Montgomery Scott Inc
Morgan Keegan Inc
Raymond James &amp; Associates Inc
SunTrust Equitable Securities
Sutro &amp; Co Inc</t>
  </si>
  <si>
    <t>SG-COWEN//ING-BARINGS/UBS-WARBURG
//CHASE-HQ/CIBC-WORLD/DAIN-RAUSCHER
/DEUTSCHE-BK-SEC/DLJ/A-G-EDWARDS/LEH
/US-PIPER/THOMAS-WEISEL/CROWELL
/DOMINICK/FAHNESTOCK/GERARD-KLAUER
/GRUNTAL/JANNEY/MORGAN-KEEGAN/RAYMOND
/SUNTRUST-EQUI/SUTRO</t>
  </si>
  <si>
    <t>SG-COWEN
ING-BARINGS
UBS-WARBURG</t>
  </si>
  <si>
    <t>SG Cowen Securities Corp
ING Barings
UBS Warburg</t>
  </si>
  <si>
    <t>Docent Inc</t>
  </si>
  <si>
    <t>25608L106</t>
  </si>
  <si>
    <t>Deutsche Bank
Dain Rauscher Wessels
Thomas Weisel Partners
Deutsche Bank</t>
  </si>
  <si>
    <t>DEUTSCHE-BANK//DAIN-R-WESSELS
/THOMAS-WEISEL//DEUTSCHE-BANK(GC)</t>
  </si>
  <si>
    <t>Elastic Networks Inc</t>
  </si>
  <si>
    <t>ELAS</t>
  </si>
  <si>
    <t>Chase H&amp;Q
Fleet Boston Corp
UBS Warburg
CIBC World Markets Inc
Dain Rauscher Corp
Deutsche Banc Alex Brown
ING Barings
Lehman Brothers
Salomon Smith Barney
US Bancorp Piper Jaffray
Jefferies &amp; Co Inc
Kaufman Brothers LP
Raymond James &amp; Associates Inc
Redwine &amp; Company Inc
Robinson-Humphrey Co
Tucker Anthony Cleary Gull</t>
  </si>
  <si>
    <t>CHASE-HQ/FLEET-BOSTON(JOINT)
//UBS-WARBURG//CIBC-WORLD/DAIN-RAUSCHER
/DEUTSCHE-ALEX-B/ING-BARINGS/LEH
/SALOMON-SMITH/US-PIPER/JEFFERIES
/KAUFMAN-BROS/RAYMOND/REDWINE-CO
/ROBINSON/TUCKER-GULL</t>
  </si>
  <si>
    <t>CHASE-HQ/FLEET-BOSTON</t>
  </si>
  <si>
    <t>CHASE-HQ
/FLEET-BOSTON(JOINT)
UBS-WARBURG</t>
  </si>
  <si>
    <t>Chase H&amp;Q
Fleet Boston Corp,Boston,Massachusetts
UBS Warburg</t>
  </si>
  <si>
    <t>Proton Energy Systems Inc</t>
  </si>
  <si>
    <t>PRTN</t>
  </si>
  <si>
    <t>74371K101</t>
  </si>
  <si>
    <t>Morgan Stanley Dean Witter
CS First Boston Corp
Salomon Smith Barney
Adams Harkness &amp; Hill Inc
Coburn &amp; Meredith, Inc
Deutsche Bank Capital Corp
AG Edwards &amp; Sons Inc
First Union Securities Inc
Jefferies &amp; Co Inc
Edward D Jones &amp; Co
CL King &amp; Associates Inc</t>
  </si>
  <si>
    <t>MSDW//CS-FB/SALOMON-SMITH
//ADAMS-HARKNESS/COBURN/DBCC
/A-G-EDWARDS/FIRST-UNION-SEC/JEFFERIES
/ED-JONES/CL-KING</t>
  </si>
  <si>
    <t>MSDW
CS-FB
SALOMON-SMITH</t>
  </si>
  <si>
    <t>Morgan Stanley Dean Witter &amp; Co
CS First Boston Corp
Salomon Smith Barney</t>
  </si>
  <si>
    <t>Simple Technology Inc</t>
  </si>
  <si>
    <t>STEC</t>
  </si>
  <si>
    <t>Lehman Brothers
Banc of America Securities LLC
Fidelity Capital Markets
Lehman Brothers</t>
  </si>
  <si>
    <t>LEH//BA-SEC-LLC/FIDELITY-CAP//LEH(GC)</t>
  </si>
  <si>
    <t>Vastera Inc</t>
  </si>
  <si>
    <t>VAST</t>
  </si>
  <si>
    <t>92239N109</t>
  </si>
  <si>
    <t>Deutsche Banc Alex Brown
Chase H&amp;Q
Banc of America Securities LLC
ING Barings
Merrill Lynch
Morgan Stanley Dean Witter
Prudential Securities Inc
Salomon Smith Barney
Adams Harkness &amp; Hill Inc
Hoak Breedlove Wesneski &amp; Co
Josephthal &amp; Co Inc
Legg Mason Wood Walker
McDonald Investments
Pacific Crest Securities Inc
Parker-Hunter Inc
Scott &amp; Stringfellow Financial
Seaboard Planning
Wedbush, Noble, Cooke
Deutsche Banc Alex Brown</t>
  </si>
  <si>
    <t>DEUTSCHE-ALEX-B//CHASE-HQ/BA-SEC-LLC
//ING-BARINGS/MERRILL/MSDW/PSI
/SALOMON-SMITH/ADAMS-HARKNESS
/HOAK-BREEDLOVE/JOSEPHTHAL
/LEGG-MASON-WW/MCDONALD/PACIFIC-CREST
/PARKER-HUNTER/SCOTT-STRING/SEABOARD
/WEDBUSH//DEUTSCHE-ALEX-B(GC)</t>
  </si>
  <si>
    <t>DEUTSCHE-ALEX-B
CHASE-HQ
BA-SEC-LLC</t>
  </si>
  <si>
    <t>Deutsche Banc Alex Brown
Chase H&amp;Q
Banc of America Securities LLC</t>
  </si>
  <si>
    <t>Deutsche Bank
Bank of America
Chase H&amp;Q
Deutsche Bank</t>
  </si>
  <si>
    <t>DEUTSCHE-BANK//BANK-OF-AMERICA/CHASE-HQ
//DEUTSCHE-BANK(GC)</t>
  </si>
  <si>
    <t>DCNT</t>
  </si>
  <si>
    <t>DEUTSCHE-BANK
DAIN-R-WESSELS
THOMAS-WEISEL</t>
  </si>
  <si>
    <t>Deutsche Bank
Dain Rauscher Wessels
Thomas Weisel Partners</t>
  </si>
  <si>
    <t>Genomica Corp</t>
  </si>
  <si>
    <t>GNOM</t>
  </si>
  <si>
    <t>37243Q101</t>
  </si>
  <si>
    <t>CIBC World Markets Inc
Dain Rauscher Wessels
Prudential Vector Healthcare
Chase Manhattan Bank NA
Deutsche Bank
SG Cowen Securities Corp
Chapman Co
Dominick &amp; Dominick Inc
Fahnestock &amp; Co
JJB Hilliard WL Lyons Inc
Josephthal &amp; Co Inc
Legg Mason &amp; Co Inc
Oscar Ltd
Punk Ziegel &amp; Co LP
Sanders &amp; Beckingham
Tucker Anthony Inc</t>
  </si>
  <si>
    <t>CIBC-WORLD//DAIN-R-WESSELS/PRU-VEC-HC
//CHASE/DEUTSCHE-BANK/SG-COWEN/CHAPMAN
/DOMINICK/FAHNESTOCK/HILLIARD
/JOSEPHTHAL/LEGG-MASON/OSCAR/PUNK
/SANDERS/TUCKER</t>
  </si>
  <si>
    <t>CIBC-WORLD
DAIN-R-WESSELS
PRU-VEC-HC</t>
  </si>
  <si>
    <t>CIBC World Markets Inc
Dain Rauscher Wessels
Prudential Vector Healthcare</t>
  </si>
  <si>
    <t>LEH/CHASE-SEC(JB)</t>
  </si>
  <si>
    <t>Lehman Brothers
Chase Securities Inc
Banc of America Securities LLC
Fidelity Capital Markets
CIBC World Markets Inc
Edward D Jones &amp; Co
Needham &amp; Co LLC
AG Edwards &amp; Sons Inc
ING Barings
JP Morgan Securities Inc
SG Cowen Securities Corp
Thomas Weisel Partners
CL King &amp; Associates Inc
Raymond James &amp; Associates Inc
Lehman Brothers</t>
  </si>
  <si>
    <t>LEH(JB)/CHASE-SEC(JB)//BA-SEC-LLC
/FIDELITY-CAP//CIBC-WORLD/ED-JONES
/NEEDHAM/A-G-EDWARDS/ING-BARINGS
/J-P-MORGAN/SG-COWEN/THOMAS-WEISEL
/CL-KING/RAYMOND//LEH(GC)</t>
  </si>
  <si>
    <t>LEH/CHASE-SEC</t>
  </si>
  <si>
    <t>LEH
(JB)/CHASE-SEC(JB)
BA-SEC-LLC
FIDELITY-CAP</t>
  </si>
  <si>
    <t>Lehman Brothers
Chase Securities Inc
Banc of America Securities LLC
Fidelity Capital Markets</t>
  </si>
  <si>
    <t>Wilson Greatbatch Tech Inc</t>
  </si>
  <si>
    <t>GB</t>
  </si>
  <si>
    <t>DLJ/MERRILL(JB)</t>
  </si>
  <si>
    <t>Donaldson Lufkin &amp; Jenrette
Merrill Lynch
Banc of America Securities LLC
DLJdirect
US Bancorp Piper Jaffray
Sanders Morris Harris Inc
Ladenburg Thalmann &amp; Co
Johnston Lemon &amp; Co Inc
Gruntal &amp; Co Inc
Sutro &amp; Co Inc
Ragen MacKenzie Group Inc
Fahnestock &amp; Co
Thomas Weisel Partners
Prudential Securities Inc
John Burnham &amp; Co
Robinson-Humphrey Co
Deutsche Bank Securities Corp
Morgan Stanley Dean Witter
Goldman Sachs &amp; Co
Chase Securities Inc
Bear Stearns &amp; Co Inc
George K Baum &amp; Co
Robert W Baird &amp; Co Inc
Salomon Smith Barney
PaineWebber
HSBC Holdings PLC
Raymond James &amp; Associates Inc
Pennsylvania Merchant Group
Parker-Hunter Inc
Needham &amp; Co LLC
McDonald Investments
Williams Capital Group LP
Wachovia Securities Inc
CE Unterberg Towbin
Tucker Anthony Inc
Stephens Inc
Sands Brothers &amp; Co Ltd
King &amp; Shaxson Holdings
Janney Montgomery Scott Inc
Gerard Klauer Mattison &amp; Co
Crowell Weedon &amp; Co
Credit Suisse First Boston Int
AG Edwards &amp; Sons Inc
First Union National Bancorp
CIBC World Markets Inc
Donaldson Lufkin &amp; Jenrette
Merrill Lynch</t>
  </si>
  <si>
    <t>DLJ(JB)/MERRILL(JB)//BA-SEC-LLC
/DLJ-DIRECT/US-PIPER//SANDERS-HARRIS
/LADENBURG/JOHNSTON-LEMON/GRUNTAL/SUTRO
/RAGEN/FAHNESTOCK/THOMAS-WEISEL/PSI
/BURNHAM-J/ROBINSON/DEUTSCHE-BK-SEC
/MSDW/GS/CHASE-SEC/BEAR/G-BAUM/BAIRD
/SALOMON-SMITH/PAINE-W/HSBC/RAYMOND
/PENN-MER-GROUP/PARKER-HUNTER/NEEDHAM
/MCDONALD/WILLIAMS-CAP/WACHOVIA-SEC
/UNTERBERG/TUCKER/STEPHENS/SANDS/KING
/JANNEY/GERARD-KLAUER/CROWELL/CSFB
/A-G-EDWARDS/FIRST-UNION/CIBC-WORLD
//DLJ(GC)/MERRILL(GC)</t>
  </si>
  <si>
    <t>DLJ/MERRILL</t>
  </si>
  <si>
    <t>DLJ
(JB)/MERRILL(JB)
BA-SEC-LLC
DLJ-DIRECT
US-PIPER</t>
  </si>
  <si>
    <t>Donaldson Lufkin &amp; Jenrette Inc
Merrill Lynch &amp; Co Inc
Banc of America Securities LLC
DLJdirect
US Bancorp Piper Jaffray Inc</t>
  </si>
  <si>
    <t>MERRILL/DLJ(JB)</t>
  </si>
  <si>
    <t>Merrill Lynch
Donaldson Lufkin &amp; Jenrette
Merrill Lynch
Donaldson Lufkin &amp; Jenrette</t>
  </si>
  <si>
    <t>MERRILL(JB)/DLJ(JB)//MERRILL(GC)
/DLJ(GC)</t>
  </si>
  <si>
    <t>MERRILL/DLJ</t>
  </si>
  <si>
    <t>MERRILL
(JB)/DLJ(JB)</t>
  </si>
  <si>
    <t>Merrill Lynch &amp; Co Inc
Donaldson Lufkin &amp; Jenrette Inc</t>
  </si>
  <si>
    <t>InforMax Inc</t>
  </si>
  <si>
    <t>INMX</t>
  </si>
  <si>
    <t>BSI</t>
  </si>
  <si>
    <t>45677N205</t>
  </si>
  <si>
    <t>Bear Stearns International
US Bancorp Piper Jaffray
Adams Harkness &amp; Hill Inc
Banc of America Securities LLC
Chase Securities Inc
Dain Rauscher Corp
Deutsche Bank
Merrill Lynch, Pierce, Fenner
Morgan Stanley &amp; Co
Thomas Weisel Partners
Robert W Baird &amp; Co Inc
Blair House
Chatsworth Securities LLC
Gaines, Berland
Gerard Klauer Mattison &amp; Co
Jesup &amp; Lamont Securities
Josephthal &amp; Co Inc
Ladenburg Thalmann &amp; Co
Legg Mason Wood Walker
McDonald &amp; Co Investments Inc
Needham &amp; Co LLC
Robinson-Humphrey Co
Sanders Morris Mundy Inc
Sands Brothers &amp; Co Ltd
Scott &amp; Stringfellow Financial
Wunderlich Securities Inc</t>
  </si>
  <si>
    <t>BSI//US-PIPER/ADAMS-HARKNESS
//BA-SEC-LLC/CHASE-SEC/DAIN-RAUSCHER
/DEUTSCHE-BANK/ML/MS/THOMAS-WEISEL
/BAIRD/BLAIR/CHATSWORTH/GAINES-BERLAND
/GERARD-KLAUER/JESUP/JOSEPHTHAL
/LADENBURG/LEGG-MASON-WW/MCDON/NEEDHAM
/ROBINSON/SANDERS-MORRIS/SANDS
/SCOTT-STRING/WUNDERLICH</t>
  </si>
  <si>
    <t>BSI
US-PIPER
ADAMS-HARKNESS</t>
  </si>
  <si>
    <t>Bear Stearns International Ltd
US Bancorp Piper Jaffray Inc
Adams Harkness &amp; Hill Inc</t>
  </si>
  <si>
    <t>Advanced Switching Com Inc</t>
  </si>
  <si>
    <t>ASCX</t>
  </si>
  <si>
    <t>00757V106</t>
  </si>
  <si>
    <t>Morgan Stanley Dean Witter
Chase H&amp;Q
Fleet Boston Corp
CIBC World Markets Inc
Dain Rauscher Corp
Ferris Baker Watts
Nutmeg Securities Ltd
First Union Securities Inc
Guzman &amp; Co
Edward D Jones &amp; Co
Tucker Anthony Inc
Morgan Stanley Dean Witter</t>
  </si>
  <si>
    <t>MSDW//CHASE-HQ/FLEET-BOSTON//CIBC-WORLD
/DAIN-RAUSCHER/FERRIS-BAKER/NUTMEG-SEC
/FIRST-UNION-SEC/GUZMAN/ED-JONES/TUCKER
//MSDW(GC)</t>
  </si>
  <si>
    <t>MSDW
CHASE-HQ
FLEET-BOSTON</t>
  </si>
  <si>
    <t>Morgan Stanley Dean Witter &amp; Co
Chase H&amp;Q
Fleet Boston Corp,Boston,Massachusetts</t>
  </si>
  <si>
    <t>Morgan Stanley Dean Witter
Chase Securities Inc
FleetBoston Robertson Stephens
Morgan Stanley Dean Witter</t>
  </si>
  <si>
    <t>MSDW//CHASE-SEC/FLEET-ROB-STEPH
//MSDW(GC)</t>
  </si>
  <si>
    <t>Coach Inc</t>
  </si>
  <si>
    <t>COH</t>
  </si>
  <si>
    <t>Goldman Sachs &amp; Co
Morgan Stanley Dean Witter
Prudential Securities Inc
Goldman Sachs &amp; Co</t>
  </si>
  <si>
    <t>SLE</t>
  </si>
  <si>
    <t>Sara Lee Corp</t>
  </si>
  <si>
    <t>GS/MSDW(JOINT)//PSI//GS(GC)</t>
  </si>
  <si>
    <t>GS
/MSDW(JOINT)
PSI</t>
  </si>
  <si>
    <t>Goldman Sachs &amp; Co
Morgan Stanley Dean Witter &amp; Co
Prudential Securities Inc</t>
  </si>
  <si>
    <t>Goldman Sachs &amp; Co
Morgan Stanley Dean Witter
Prudential Securities Group
Goldman Sachs &amp; Co</t>
  </si>
  <si>
    <t>GS/MSDW(JOINT)//PRU-SEC-GROUP//GS(GC)</t>
  </si>
  <si>
    <t>Oplink Communications Inc</t>
  </si>
  <si>
    <t>OPLK</t>
  </si>
  <si>
    <t>68375Q106</t>
  </si>
  <si>
    <t>Fleet Boston Corp
CIBC World Markets Inc
JP Morgan
UBS Warburg
Dain Rauscher Corp
CE Unterberg Towbin
US Bancorp Piper Jaffray</t>
  </si>
  <si>
    <t>FLEET-BOSTON//CIBC-WORLD/JPM
/UBS-WARBURG//DAIN-RAUSCHER/UNTERBERG
/US-PIPER</t>
  </si>
  <si>
    <t>FLEET-BOSTON
CIBC-WORLD
JPM
UBS-WARBURG</t>
  </si>
  <si>
    <t>Fleet Boston Corp,Boston,Massachusetts
CIBC World Markets Inc
JP Morgan &amp; Co Inc
UBS Warburg</t>
  </si>
  <si>
    <t>TNPC Inc</t>
  </si>
  <si>
    <t>NPW</t>
  </si>
  <si>
    <t>CS-FB/DLJ(JB)</t>
  </si>
  <si>
    <t>87260K107</t>
  </si>
  <si>
    <t>CS First Boston Corp
Donaldson Lufkin &amp; Jenrette
Chase H&amp;Q
Salomon Smith Barney
DLJdirect
PaineWebber
CIBC World Markets Inc
E*Offering Corp
Gerard Klauer Mattison &amp; Co
Janney Montgomery Scott Inc
Johnston Lemon &amp; Co Inc
McDonald Investments
Petrie Parkman &amp; Co Inc
Prudential Securities Inc
Peninsula Merchant Group, Ltd
Sands Brothers &amp; Co Ltd
Sanders Morris Harris Inc
Raymond James &amp; Associates Inc
Parker-Hunter Inc
Legg Mason Wood Walker
Jefferies &amp; Co Inc
Invemed Associates Inc
First Albany
Fahnestock &amp; Co
CS First Boston Corp
Donaldson Lufkin &amp; Jenrette</t>
  </si>
  <si>
    <t>CS-FB(JB)/DLJ(JB)//CHASE-HQ
/SALOMON-SMITH/DLJ-DIRECT/PAINE-W
/CIBC-WORLD//E*OFFERING/GERARD-KLAUER
/JANNEY/JOHNSTON-LEMON/MCDONALD
/PETRIE-PARKMAN/PSI/PMG/SANDS
/SANDERS-HARRIS/RAYMOND/PARKER-HUNTER
/LEGG-MASON-WW/JEFFERIES/INVEMED
/FIRST-ALBANY/FAHNESTOCK//CS-FB(GC)
/DLJ(GC)</t>
  </si>
  <si>
    <t>CS-FB/DLJ</t>
  </si>
  <si>
    <t>CS-FB
(JB)/DLJ(JB)
CHASE-HQ
SALOMON-SMITH
DLJ-DIRECT
PAINE-W
CIBC-WORLD</t>
  </si>
  <si>
    <t>CS First Boston Corp
Donaldson Lufkin &amp; Jenrette Inc
Chase H&amp;Q
Salomon Smith Barney
DLJdirect
PaineWebber Inc
CIBC World Markets Inc</t>
  </si>
  <si>
    <t>CS-FB(JB)/DLJ(JB)//CHASE-HQ
/SALOMON-SMITH/DLJ-DIRECT/PAINE-W
/CIBC-WORLD/E*OFFERING/GERARD-KLAUER
/JANNEY/JOHNSTON-LEMON/MCDONALD
/PETRIE-PARKMAN/PSI/PMG/SANDS
/SANDERS-HARRIS/RAYMOND/PARKER-HUNTER
/LEGG-MASON-WW/JEFFERIES/INVEMED
/FIRST-ALBANY/FAHNESTOCK//CS-FB(GC)
/DLJ(GC)</t>
  </si>
  <si>
    <t>CS-FB
(JB)/DLJ(JB)</t>
  </si>
  <si>
    <t>CS First Boston Corp
Donaldson Lufkin &amp; Jenrette Inc</t>
  </si>
  <si>
    <t>Kosan Biosciences Inc</t>
  </si>
  <si>
    <t>KOSN</t>
  </si>
  <si>
    <t>50064W107</t>
  </si>
  <si>
    <t>Lehman Brothers
CIBC World Markets Inc
Fidelity Capital Markets
SG Cowen Securities Corp
Chase Securities Inc
Fahnestock &amp; Co
Raymond James &amp; Associates Inc
W. M. Smith Securities, Inc
Ragen MacKenzie Group Inc
Wachovia Securities Inc
UBS Warburg LLC
Edward D Jones &amp; Co
Prudential Securities Inc
ING Barings
Lazard Freres &amp; Co LLC
JP Morgan Securities Inc
AG Edwards &amp; Sons Inc</t>
  </si>
  <si>
    <t>LEH//CIBC-WORLD/FIDELITY-CAP/SG-COWEN
//CHASE-SEC/FAHNESTOCK/RAYMOND
/W-M-SMITH/RAGEN/WACHOVIA-SEC
/UBS-WARBURG-LLC/ED-JONES/PSI
/ING-BARINGS/LAZ/J-P-MORGAN/A-G-EDWARDS</t>
  </si>
  <si>
    <t>North American Palladium Ltd</t>
  </si>
  <si>
    <t>PDL</t>
  </si>
  <si>
    <t>Toronto</t>
  </si>
  <si>
    <t>BMO Nesbitt Burns Inc
RBC Dominion Securities
Scotia Capital Inc
TD Securities Inc
National Bank Financial Inc</t>
  </si>
  <si>
    <t>BMO-NES-INC//RBC-DOM/SCOTIA-CAP-CA
/TD-SECURITIES/NATL-BK-FIN</t>
  </si>
  <si>
    <t>BMO-NES-INC
RBC-DOM
SCOTIA-CAP-CA
TD-SECURITIES
NATL-BK-FIN</t>
  </si>
  <si>
    <t>BMO Nesbitt Burns Inc
RBC Dominion Securities Ltd
Scotia Capital Inc
TD Securities Inc
National Bank Financial Inc</t>
  </si>
  <si>
    <t>Asia Global Crossing Ltd</t>
  </si>
  <si>
    <t>AGCX</t>
  </si>
  <si>
    <t>SALOMON-SMITH/GS(JB)</t>
  </si>
  <si>
    <t>Salomon Smith Barney
Goldman Sachs &amp; Co
Merrill Lynch
Lehman Brothers
Chase H&amp;Q
ABN AMRO Bank NV
Deutsche Banc Alex Brown
CIBC Oppenheimer
Credit Suisse First Boston Ltd</t>
  </si>
  <si>
    <t>Euro Private</t>
  </si>
  <si>
    <t>SALOMON-SMITH(JB)/GS(JB)/MERRILL(JOINT)
//LEH/CHASE-HQ/ABN-AMRO-NV
/DEUTSCHE-ALEX-B/CIBC-OPPEN/C-S-F-B</t>
  </si>
  <si>
    <t>SALOMON-SMITH/GS/MERRILL</t>
  </si>
  <si>
    <t>SALOMON-SMITH
(JB)/GS(JB)
/MERRILL(JOINT)</t>
  </si>
  <si>
    <t>Salomon Smith Barney
Goldman Sachs &amp; Co
Merrill Lynch &amp; Co Inc</t>
  </si>
  <si>
    <t>Goldman Sachs &amp; Co
Salomon Smith Barney
Merrill Lynch
Credit Suisse First Boston Ltd
CIBC Oppenheimer
Deutsche Banc Alex Brown
ABN AMRO Bank NV
Chase H&amp;Q
Lehman Brothers</t>
  </si>
  <si>
    <t>GS(JB)/SALOMON-SMITH(JB)/MERRILL(JOINT)
//C-S-F-B/CIBC-OPPEN/DEUTSCHE-ALEX-B
/ABN-AMRO-NV/CHASE-HQ/LEH</t>
  </si>
  <si>
    <t>Pozen Inc</t>
  </si>
  <si>
    <t>POZN</t>
  </si>
  <si>
    <t>73941U102</t>
  </si>
  <si>
    <t>US Bancorp Piper Jaffray
Prudential Vector Healthcare
Pacific Growth Equities Inc
Banc of America Securities LLC
CIBC World Markets Inc
Dain Rauscher Corp
Lehman Brothers
SG Cowen Securities Corp
UBS Warburg LLC
Thomas Weisel Partners
Davenport
Redwine &amp; Company Inc</t>
  </si>
  <si>
    <t>US-PIPER//PRU-VEC-HC/PACIFIC-GROWTH
//BA-SEC-LLC/CIBC-WORLD/DAIN-RAUSCHER
/LEH/SG-COWEN/UBS-WARBURG-LLC
/THOMAS-WEISEL/DAVENPORT/REDWINE-CO</t>
  </si>
  <si>
    <t>US-PIPER
PRU-VEC-HC
PACIFIC-GROWTH</t>
  </si>
  <si>
    <t>US Bancorp Piper Jaffray Inc
Prudential Vector Healthcare
Pacific Growth Equities Inc</t>
  </si>
  <si>
    <t>W-H Energy Services Inc</t>
  </si>
  <si>
    <t>WHQ</t>
  </si>
  <si>
    <t>CS-FB/MSDW(JB)</t>
  </si>
  <si>
    <t>92925E108</t>
  </si>
  <si>
    <t>CS First Boston Corp
Morgan Stanley Dean Witter
Donaldson Lufkin &amp; Jenrette
DLJdirect
Simmons &amp; Co International
UBS Warburg
Robert W Baird &amp; Co Inc
Invemed Associates Inc
Jefferies &amp; Co Inc
PaineWebber
Raymond James &amp; Associates Inc
Sanders Morris Harris Inc
Prudential Securities Inc
Edward D Jones &amp; Co
First Union National Bancorp
Chatsworth Securities LLC
Credit Suisse First Boston Int
Morgan Stanley Dean Witter</t>
  </si>
  <si>
    <t>CS-FB(JB)/MSDW(JB)//DLJ/DLJ-DIRECT
/SIMMONS/UBS-WARBURG//BAIRD/INVEMED
/JEFFERIES/PAINE-W/RAYMOND
/SANDERS-HARRIS/PSI/ED-JONES
/FIRST-UNION/CHATSWORTH//CSFB(GC)
/MSDW(GC)</t>
  </si>
  <si>
    <t>CS-FB/MSDW</t>
  </si>
  <si>
    <t>CS-FB
(JB)/MSDW(JB)
DLJ
DLJ-DIRECT
SIMMONS
UBS-WARBURG</t>
  </si>
  <si>
    <t>CS First Boston Corp
Morgan Stanley Dean Witter &amp; Co
Donaldson Lufkin &amp; Jenrette Inc
DLJdirect
Simmons &amp; Co International
UBS Warburg</t>
  </si>
  <si>
    <t>Watson Wyatt &amp; Co Holdings</t>
  </si>
  <si>
    <t>WW</t>
  </si>
  <si>
    <t>Deutsche Banc Alex Brown
BA Asia Ltd
Baird Patrick &amp; Co Inc
Deutsche Banc Alex Brown</t>
  </si>
  <si>
    <t>Watson Wyatt Worldwide</t>
  </si>
  <si>
    <t>DEUTSCHE-ALEX-B//BAA/BAIRD-PATRICK
//DEUTSCHE-ALEX-B(GC)</t>
  </si>
  <si>
    <t>Introgen Therapeutics Inc</t>
  </si>
  <si>
    <t>INGN</t>
  </si>
  <si>
    <t>46119F107</t>
  </si>
  <si>
    <t>SG Cowen Securities Corp
PaineWebber
Prudential Vector Healthcare
ABN-AMRO Holding NV
Chase Securities Inc
CIBC World Markets Inc
ING Barings
Lehman Brothers
Nomura Securities New York Inc
US Bancorp Piper Jaffray
Salomon Smith Barney
UBS Warburg
Fahnestock &amp; Co
Gerard Klauer Mattison &amp; Co
Gruntal &amp; Co Inc
Janney Montgomery Scott Inc
Raymond James &amp; Associates Inc
Sanders Morris Harris Inc
Tucker Anthony Inc
First Security Van Kasper &amp; Co</t>
  </si>
  <si>
    <t>SG-COWEN//PAINE-W/PRU-VEC-HC//ABN-AMRO
/CHASE-SEC/CIBC-WORLD/ING-BARINGS/LEH
/NOMURA-SEC/US-PIPER/SALOMON-SMITH
/UBS-WARBURG/FAHNESTOCK/GERARD-KLAUER
/GRUNTAL/JANNEY/RAYMOND/SANDERS-HARRIS
/TUCKER/FIR-VAN-KASPER</t>
  </si>
  <si>
    <t>SG-COWEN
PAINE-W
PRU-VEC-HC</t>
  </si>
  <si>
    <t>SG Cowen Securities Corp
PaineWebber Inc
Prudential Vector Healthcare</t>
  </si>
  <si>
    <t>SFBC International Inc</t>
  </si>
  <si>
    <t>SFCC</t>
  </si>
  <si>
    <t>BROUS</t>
  </si>
  <si>
    <t>H. D. Brous
American Fronteer Financial
Sterling Financial Corp</t>
  </si>
  <si>
    <t>BROUS/AMER-FRONTEER(JOINT)
//STERLING-FIN</t>
  </si>
  <si>
    <t>BROUS/AMER-FRONTEER</t>
  </si>
  <si>
    <t>BROUS
/AMER-FRONTEER(JOINT)
STERLING-FIN</t>
  </si>
  <si>
    <t>H. D. Brous &amp; Co., Inc.
American Fronteer Financial Corp
Sterling Financial Corp</t>
  </si>
  <si>
    <t>Deutsche Banc Alex Brown
Banc of America Securities LLC
Robert W Baird &amp; Co Inc
CIBC World Markets Inc
Merrill Lynch
Morgan Stanley Dean Witter
PaineWebber
Prudential Securities Inc
Fleet Boston Corp
Salomon Smith Barney
Advest Inc
William Blair &amp; Co
Legg Mason Wood Walker
Edgar M. Norris &amp; Co
Raymond James &amp; Associates Inc
Shields
Deutsche Banc Alex Brown</t>
  </si>
  <si>
    <t>DEUTSCHE-ALEX-B//BA-SEC-LLC/BAIRD
//CIBC-WORLD/MERRILL/MSDW/PAINE-W/PSI
/FLEET-BOSTON/SALOMON-SMITH/ADVEST
/WM-BLAIR/LEGG-MASON-WW/EDGAR-NORRIS
/RAYMOND/SHIELDS//DEUTSCHE-ALEX-B(GC)</t>
  </si>
  <si>
    <t>DEUTSCHE-ALEX-B
BA-SEC-LLC
BAIRD</t>
  </si>
  <si>
    <t>Deutsche Banc Alex Brown
Banc of America Securities LLC
Robert W Baird &amp; Co Inc</t>
  </si>
  <si>
    <t>Synplicity Inc</t>
  </si>
  <si>
    <t>SYNP</t>
  </si>
  <si>
    <t>87160Y108</t>
  </si>
  <si>
    <t>Fleet Boston Corp
Dain Rauscher Wessels
SG Cowen Securities Corp
Needham &amp; Co LLC
First Security Van Kasper &amp; Co
DA Davidson &amp; Co Inc
Fleet Boston Corp</t>
  </si>
  <si>
    <t>FLEET-BOSTON//DAIN-R-WESSELS/SG-COWEN
//NEEDHAM/FIR-VAN-KASPER/DAVIDSON
//FLEET-BOSTON(GC)</t>
  </si>
  <si>
    <t>FLEET-BOSTON
DAIN-R-WESSELS
SG-COWEN</t>
  </si>
  <si>
    <t>Fleet Boston Corp,Boston,Massachusetts
Dain Rauscher Wessels
SG Cowen Securities Corp</t>
  </si>
  <si>
    <t>Waypoint Financial Corp,PA</t>
  </si>
  <si>
    <t>WYPT</t>
  </si>
  <si>
    <t>RYAN-BECK</t>
  </si>
  <si>
    <t>Ryan Beck &amp; Co
Legg Mason &amp; Co Inc</t>
  </si>
  <si>
    <t>RYAN-BECK//LEGG-MASON</t>
  </si>
  <si>
    <t>RYAN-BECK
LEGG-MASON</t>
  </si>
  <si>
    <t>Endwave Corp</t>
  </si>
  <si>
    <t>ENWV</t>
  </si>
  <si>
    <t>29264A107</t>
  </si>
  <si>
    <t>Deutsche Banc Alex Brown
JP Morgan
Epoch Capital Corp
US Bancorp Piper Jaffray
Edgar M. Norris &amp; Co
Banc of America Securities LLC
Fleet Boston Corp
Van Kasper &amp; Co
Hoefer &amp; Arnett Inc
Hoak Breedlove Wesneski &amp; Co
Sands Brothers &amp; Co Ltd
Needham &amp; Co LLC
Midwest Research Maxus Group
Wasserstein Perella Securities
CIBC World Markets Inc
Dain Rauscher Corp
Merrill Lynch
Chase Securities Inc
Morgan Stanley Dean Witter</t>
  </si>
  <si>
    <t>DEUTSCHE-ALEX-B//JPM/EPOCH/US-PIPER
//EDGAR-NORRIS/BA-SEC-LLC/FLEET-BOSTON
/VAN-KASPER/HOEFER-ARNETT
/HOAK-BREEDLOVE/SANDS/NEEDHAM/MIDWEST
/WP-SEC/CIBC-WORLD/DAIN-RAUSCHER
/MERRILL/CHASE-SEC/MSDW</t>
  </si>
  <si>
    <t>DEUTSCHE-ALEX-B
JPM
EPOCH
US-PIPER</t>
  </si>
  <si>
    <t>Deutsche Banc Alex Brown
JP Morgan &amp; Co Inc
Epoch Capital Corp
US Bancorp Piper Jaffray Inc</t>
  </si>
  <si>
    <t>IXIA</t>
  </si>
  <si>
    <t>XXIA</t>
  </si>
  <si>
    <t>45071R109</t>
  </si>
  <si>
    <t>Merrill Lynch
Donaldson Lufkin &amp; Jenrette
Dain Rauscher Wessels
Dominick &amp; Dominick Inc
Brean Murray &amp; Co Inc
Janney Montgomery Scott Inc
Legg Mason &amp; Co Inc
Tucker Anthony Inc
PMG Capital
Brad Peery Inc
Merrill Lynch</t>
  </si>
  <si>
    <t>MERRILL//DLJ/DAIN-R-WESSELS//DOMINICK
/BREAN/JANNEY/LEGG-MASON/TUCKER/PMG-CAP
/BRADPE//MERRILL(GC)</t>
  </si>
  <si>
    <t>MERRILL
DLJ
DAIN-R-WESSELS</t>
  </si>
  <si>
    <t>Merrill Lynch &amp; Co Inc
Donaldson Lufkin &amp; Jenrette Inc
Dain Rauscher Wessels</t>
  </si>
  <si>
    <t>Merrill Lynch
Donaldson Lufkin &amp; Jenrette
Dain Rauscher Wessels
Brean Murray &amp; Co Inc
Dominick &amp; Dominick Inc
Janney Montgomery Scott Inc
Legg Mason Wood Walker
Policy Master Group PLC
Brad Peery Inc
Tucker Anthony Capital Martket
Merrill Lynch</t>
  </si>
  <si>
    <t>MERRILL//DLJ/DAIN-R-WESSELS/BREAN
/DOMINICK/JANNEY/LEGG-MASON-WW
/POLICY-MASTER/BRADPE/TUCKER-CAPM
//MERRILL(GC)</t>
  </si>
  <si>
    <t>Monsanto Co</t>
  </si>
  <si>
    <t>MON</t>
  </si>
  <si>
    <t>61166W101</t>
  </si>
  <si>
    <t>Goldman Sachs &amp; Co
Salomon Smith Barney
JP Morgan
Morgan Stanley Dean Witter
Bear Stearns &amp; Co Inc
Merrill Lynch
Chase Securities Inc
Commerzbank Capital Markets
SG Cowen Securities Corp
Robertson Stephens &amp; Co
Edward D Jones &amp; Co LP
Deutsche Bank Securities
AG Edwards &amp; Sons Inc
ING Barings
PaineWebber</t>
  </si>
  <si>
    <t>PHA</t>
  </si>
  <si>
    <t>Pharmacia Corp</t>
  </si>
  <si>
    <t>GS(JB)/SALOMON-SMITH(JB)//JPM/MSDW/BEAR
/MERRILL/CHASE-SEC/COMMERZBANK-SEC
/SG-COWEN/ROBERTSON-S/ED-JONES-LP
/DBSECU/A-G-EDWARDS/ING-BARINGS/PAINE-W</t>
  </si>
  <si>
    <t>Delcath Systems Inc</t>
  </si>
  <si>
    <t>DCTH</t>
  </si>
  <si>
    <t>WHALE</t>
  </si>
  <si>
    <t>24661P104</t>
  </si>
  <si>
    <t>Whale Securities Inc
Whale Securities Inc</t>
  </si>
  <si>
    <t>WHALE//WHALE(GC)</t>
  </si>
  <si>
    <t>Whale Securities Inc</t>
  </si>
  <si>
    <t>Datalex(Datalex PLC)</t>
  </si>
  <si>
    <t>Credit Suisse First Boston Inc
FleetBoston Robertson Stephens
Goodbody Stockbrokers
Credit Suisse First Boston Inc</t>
  </si>
  <si>
    <t>CSFB-INC//FLEET-ROB-STEPH
/GOODBODY-STOCK//CSFB-INC(GC)</t>
  </si>
  <si>
    <t>CSFB-INC
FLEET-ROB-STEPH
GOODBODY-STOCK</t>
  </si>
  <si>
    <t>Credit Suisse First Boston Inc
FleetBoston Robertson Stephens Inc
Goodbody Stockbrokers</t>
  </si>
  <si>
    <t>Credit Suisse First Boston Inc
Goodbody Stockbrokers
FleetBoston Robertson Stephens
Credit Suisse First Boston Inc</t>
  </si>
  <si>
    <t>CSFB-INC//GOODBODY-STOCK
/FLEET-ROB-STEPH//CSFB-INC(GC)</t>
  </si>
  <si>
    <t>CSFB-INC
GOODBODY-STOCK
FLEET-ROB-STEPH</t>
  </si>
  <si>
    <t>Credit Suisse First Boston Inc
Goodbody Stockbrokers
FleetBoston Robertson Stephens Inc</t>
  </si>
  <si>
    <t>Westport Resources Corp</t>
  </si>
  <si>
    <t>WRC</t>
  </si>
  <si>
    <t>CSFB</t>
  </si>
  <si>
    <t>Credit Suisse First Boston Int
Donaldson Lufkin &amp; Jenrette
Banc of America Securities LLC
Petrie Parkman &amp; Co Inc
Lehman Brothers
AG Edwards &amp; Sons Inc
JP Morgan Securities Inc
PaineWebber
Howard Weil Labouisse Freid
Credit Suisse First Boston Int</t>
  </si>
  <si>
    <t>CSFB//DLJ/BA-SEC-LLC/PETRIE-PARKMAN/LEH
//A-G-EDWARDS/J-P-MORGAN/PAINE-W
/HOWARD-WEIL//CSFB(GC)</t>
  </si>
  <si>
    <t>CSFB
DLJ
BA-SEC-LLC
PETRIE-PARKMAN
LEH</t>
  </si>
  <si>
    <t>Credit Suisse First Boston Ltd International
Donaldson Lufkin &amp; Jenrette Inc
Banc of America Securities LLC
Petrie Parkman &amp; Co Inc
Lehman Brothers</t>
  </si>
  <si>
    <t>Credit Suisse First Boston Ltd
Donaldson Lufkin &amp; Jenrette
Lehman Brothers
Bank of America
Petrie Parkman &amp; Co Inc
Credit Suisse First Boston Ltd</t>
  </si>
  <si>
    <t>C-S-F-B//DLJ/LEH/BANK-OF-AMERICA
/PETRIE-PARKMAN//C-S-F-B(GC)</t>
  </si>
  <si>
    <t>C-S-F-B
DLJ
LEH
BANK-OF-AMERICA
PETRIE-PARKMAN</t>
  </si>
  <si>
    <t>Credit Suisse First Boston Ltd
Donaldson Lufkin &amp; Jenrette Inc
Lehman Brothers
Bank of America
Petrie Parkman &amp; Co Inc</t>
  </si>
  <si>
    <t>Wipro Ltd</t>
  </si>
  <si>
    <t>WIT</t>
  </si>
  <si>
    <t>97651M109</t>
  </si>
  <si>
    <t>Morgan Stanley Dean Witter
CSFB Hong Kong
Bank of America (HK)
Cazenove Inc
Wit Soundview Group Inc
Daiwa Securities Ltd (India)
Epoch Capital Corp</t>
  </si>
  <si>
    <t>MSDW//CSFBHK/BOAHK//CAZENOVE-INC
/WIT-SOUNDVIEW/DAIWA-SEC-INDIA/EPOCH</t>
  </si>
  <si>
    <t>MSDW
CSFBHK
BOAHK</t>
  </si>
  <si>
    <t>Morgan Stanley Dean Witter &amp; Co
CSFB Hong Kong
Bank of America (HK)</t>
  </si>
  <si>
    <t>Utek Corp</t>
  </si>
  <si>
    <t>UTEX</t>
  </si>
  <si>
    <t>SCHNEIDER</t>
  </si>
  <si>
    <t>91759P106</t>
  </si>
  <si>
    <t>Schneider Securities, Inc.
GunnAllen Financial Inc</t>
  </si>
  <si>
    <t>SCHNEIDER//GUNNALLEN-FINL</t>
  </si>
  <si>
    <t>Schneider Securities, Inc.</t>
  </si>
  <si>
    <t>Crucell NV</t>
  </si>
  <si>
    <t>CRXL</t>
  </si>
  <si>
    <t>EuronextAM</t>
  </si>
  <si>
    <t>Goldman Sachs International
UBS Warburg (UK)
ING Barings
Goldman Sachs International</t>
  </si>
  <si>
    <t>Netherlands Publi</t>
  </si>
  <si>
    <t>GS-I//UBS-WARBURG-UK/ING-BARINGS
//GS-I(GC)</t>
  </si>
  <si>
    <t>GS-I
UBS-WARBURG-UK
ING-BARINGS</t>
  </si>
  <si>
    <t>Goldman Sachs International
UBS Warburg (UK)
ING Barings</t>
  </si>
  <si>
    <t>Devx Energy Inc</t>
  </si>
  <si>
    <t>DVXE</t>
  </si>
  <si>
    <t>25189P104</t>
  </si>
  <si>
    <t>Friedman Billings Ramsey Group
Stifel Nicolaus &amp; Co Inc
Advest Inc
William Blair &amp; Co
Dominick &amp; Dominick Inc
Fahnestock &amp; Co
First Southwest
Janney Montgomery Scott Inc
Jefferies &amp; Co Inc
Sanders Morris Harris Inc
Scott &amp; Stringfellow Financial
SunTrust Equitable Securities
Tucker Anthony Inc</t>
  </si>
  <si>
    <t>FRIEDMAN-B//STIFEL//ADVEST/WM-BLAIR
/DOMINICK/FAHNESTOCK/FIRST-SW/JANNEY
/JEFFERIES/SANDERS-HARRIS/SCOTT-STRING
/SUNTRUST-EQUI/TUCKER</t>
  </si>
  <si>
    <t>FRIEDMAN-B
STIFEL</t>
  </si>
  <si>
    <t>Friedman Billings Ramsey Group
Stifel Nicolaus &amp; Co Inc</t>
  </si>
  <si>
    <t>Hydrogenics Corp</t>
  </si>
  <si>
    <t>HYGS</t>
  </si>
  <si>
    <t>Salomon Smith Barney
CIBC World Markets Inc
BMO Nesbitt Burns Equity</t>
  </si>
  <si>
    <t>SALOMON-SMITH//CIBC-WORLD/NESBUR</t>
  </si>
  <si>
    <t>Salomon Smith Barney</t>
  </si>
  <si>
    <t>MediChem Life Sciences Inc</t>
  </si>
  <si>
    <t>MCLS</t>
  </si>
  <si>
    <t>UBS Warburg
Chase Securities Inc
William Blair &amp; Co
CIBC World Markets Inc
Deutsche Bank
Lazard
Lehman Brothers
PaineWebber
Prudential Securities Inc
Thomas Weisel Partners
Fahnestock &amp; Co
First Analysis Securities
CL King &amp; Associates Inc
Peninsula Merchant Group, Ltd
Tucker Anthony Inc
UBS Warburg</t>
  </si>
  <si>
    <t>UBS-WARBURG//CHASE-SEC/WM-BLAIR
//CIBC-WORLD/DEUTSCHE-BANK/LAZARD/LEH
/PAINE-W/PSI/THOMAS-WEISEL/FAHNESTOCK
/F-ANALYSIS/CL-KING/PMG/TUCKER
//UBS-WARBURG(GC)</t>
  </si>
  <si>
    <t>UBS-WARBURG
CHASE-SEC
WM-BLAIR</t>
  </si>
  <si>
    <t>UBS Warburg
Chase Securities Inc
William Blair &amp; Co</t>
  </si>
  <si>
    <t>Sun Bancshares Inc,SC</t>
  </si>
  <si>
    <t>SNBA</t>
  </si>
  <si>
    <t>WACHOVIA-SEC</t>
  </si>
  <si>
    <t>86663U100</t>
  </si>
  <si>
    <t>Wachovia Securities Inc
Wachovia Securities Inc</t>
  </si>
  <si>
    <t>WACHOVIA-SEC//WACHOVIA-SEC(GC)</t>
  </si>
  <si>
    <t>Wachovia Securities Inc</t>
  </si>
  <si>
    <t>Energy Partners Ltd</t>
  </si>
  <si>
    <t>ERPLQ</t>
  </si>
  <si>
    <t>29270U105</t>
  </si>
  <si>
    <t>Merrill Lynch
UBS Warburg
Credit Suisse First Boston
Howard Weil Labouisse Freid
Merrill Lynch</t>
  </si>
  <si>
    <t>MERRILL/UBS-WARBURG(JOINT)//CS-FB-CS
/HOWARD-WEIL//MERRILL(GC)</t>
  </si>
  <si>
    <t>MERRILL/UBS-WARBURG</t>
  </si>
  <si>
    <t>MERRILL
/UBS-WARBURG(JOINT)
CS-FB-CS
HOWARD-WEIL</t>
  </si>
  <si>
    <t>Merrill Lynch &amp; Co Inc
UBS Warburg
Credit Suisse First Boston Corp
Howard Weil Labouisse Friedrichs Inc</t>
  </si>
  <si>
    <t>Merrill Lynch Intl Ltd
Credit Suisse First Boston Ltd
Howard Weil Labouisse Freid
UBS Warburg (UK)
Merrill Lynch Intl Ltd</t>
  </si>
  <si>
    <t>ML-I//C-S-F-B/HOWARD-WEIL
//UBS-WARBURG-UK//ML-I(GC)</t>
  </si>
  <si>
    <t>ML-I
C-S-F-B
HOWARD-WEIL</t>
  </si>
  <si>
    <t>Merrill Lynch International Ltd
Credit Suisse First Boston Ltd
Howard Weil Labouisse Friedrichs Inc</t>
  </si>
  <si>
    <t>Evergreen Solar Inc</t>
  </si>
  <si>
    <t>ESLR</t>
  </si>
  <si>
    <t>30033R108</t>
  </si>
  <si>
    <t>Banc of America Securities LLC
CIBC World Markets Inc
FAC/Equities
Chase Securities Inc
Lehman Brothers
Merrill Lynch, Pierce, Fenner
Brean Murray &amp; Co Inc
John G Kinnard &amp; Co
Pacific Crest Securities Inc
Roth Capital Partners Inc
Sandler O'Neill Partners
HC Wainwright &amp; Co Inc</t>
  </si>
  <si>
    <t>BA-SEC-LLC//CIBC-WORLD/FAC-EQUITIES
//CHASE-SEC/LEH/ML/BREAN/KINNARD
/PACIFIC-CREST/ROTH-CAPITAL
/SANDLER-ONEILL/H-C-WAINWRIGHT</t>
  </si>
  <si>
    <t>BA-SEC-LLC
CIBC-WORLD
FAC-EQUITIES</t>
  </si>
  <si>
    <t>Banc of America Securities LLC
CIBC World Markets Inc
FAC/Equities</t>
  </si>
  <si>
    <t>UTi Worldwide Inc</t>
  </si>
  <si>
    <t>UTIW</t>
  </si>
  <si>
    <t>G87210103</t>
  </si>
  <si>
    <t>Bear Stearns &amp; Co Inc
Lazard
BB&amp;T Capital Markets
Banc of America Securities LLC
Deutsche Bank
AG Edwards &amp; Sons Inc
ING Barings
Merrill Lynch, Pierce, Fenner
Morgan Stanley Dean Witter
US Bancorp Piper Jaffray
Wit Soundview Group Inc
Axiom Partners
William Blair &amp; Co
Branch, Cabell and Company
Brean Murray &amp; Co Inc
Morgan Keegan Inc
Raymond James &amp; Associates Inc
Stephens Inc
Tucker Anthony Inc</t>
  </si>
  <si>
    <t>BEAR//LAZARD/BB-T-CAP//BA-SEC-LLC
/DEUTSCHE-BANK/A-G-EDWARDS/ING-BARINGS
/ML/MSDW/US-PIPER/WIT-SOUNDVIEW
/AXIOM-PARTNERS/WM-BLAIR/BRANCH-CABELL
/BREAN/MORGAN-KEEGAN/RAYMOND/STEPHENS
/TUCKER</t>
  </si>
  <si>
    <t>BEAR
LAZARD
BB-T-CAP</t>
  </si>
  <si>
    <t>Bear Stearns &amp; Co Inc
Lazard
BB&amp;T Capital Markets</t>
  </si>
  <si>
    <t>OCPI</t>
  </si>
  <si>
    <t>68382T101</t>
  </si>
  <si>
    <t>UBS Warburg
JP Morgan
US Bancorp Piper Jaffray
Wit Soundview Group Inc
Banc of America Securities LLC
Cantor Fitzgerald Inc
CIBC World Markets Inc
Morgan Stanley Dean Witter
Thomas Weisel Partners
Robert W Baird &amp; Co Inc
Morgan Keegan Inc
Raymond James &amp; Associates Inc
Ryan Beck &amp; Co
Sands Brothers &amp; Co Ltd
Tucker Anthony Inc
UBS Warburg</t>
  </si>
  <si>
    <t>Furukawa Electric N America</t>
  </si>
  <si>
    <t>UBS-WARBURG/JPM(JOINT)//US-PIPER
/WIT-SOUNDVIEW//BA-SEC-LLC/CANTOR
/CIBC-WORLD/MSDW/THOMAS-WEISEL/BAIRD
/MORGAN-KEEGAN/RAYMOND/RYAN-BECK/SANDS
/TUCKER//UBS-WARBURG(GC)</t>
  </si>
  <si>
    <t>UBS-WARBURG/JPM</t>
  </si>
  <si>
    <t>UBS-WARBURG
/JPM(JOINT)
US-PIPER
WIT-SOUNDVIEW</t>
  </si>
  <si>
    <t>UBS Warburg
JP Morgan &amp; Co Inc
US Bancorp Piper Jaffray Inc
Wit Soundview Group Inc</t>
  </si>
  <si>
    <t>Transmeta Corp</t>
  </si>
  <si>
    <t>TMTA</t>
  </si>
  <si>
    <t>89376R109</t>
  </si>
  <si>
    <t>Morgan Stanley Dean Witter
Deutsche Banc Alex Brown
Salomon Smith Barney
Banc of America Securities LLC
SG Cowen Securities Corp
ABN-AMRO Holding NV
Edward D Jones &amp; Co
First Union Securities Inc
Great Pacific Capital SA
Sanford C Bernstein &amp; Co Inc
Chatsworth Securities LLC
Dain Rauscher Corp
AG Edwards &amp; Sons Inc
Chase Manhattan Bank NA
Adams Harkness &amp; Hill Inc
Morgan Stanley Dean Witter</t>
  </si>
  <si>
    <t>MSDW/DEUTSCHE-ALEX-B(JOINT)
//SALOMON-SMITH/BA-SEC-LLC/SG-COWEN
//ABN-AMRO/ED-JONES/FIRST-UNION-SEC
/PACIFIC/BERNSTEIN/CHATSWORTH
/DAIN-RAUSCHER/A-G-EDWARDS/CHASE
/ADAMS-HARKNESS//MSDW(GC)</t>
  </si>
  <si>
    <t>MSDW/DEUTSCHE-ALEX-B</t>
  </si>
  <si>
    <t>MSDW
/DEUTSCHE-ALEX-B(JOINT)
SALOMON-SMITH
BA-SEC-LLC
SG-COWEN</t>
  </si>
  <si>
    <t>Morgan Stanley Dean Witter &amp; Co
Deutsche Banc Alex Brown
Salomon Smith Barney
Banc of America Securities LLC
SG Cowen Securities Corp</t>
  </si>
  <si>
    <t>89376M100</t>
  </si>
  <si>
    <t>Morgan Stanley Dean Witter
Deutsche Banc Alex Brown
Banc of America Securities LLC
Schroder Salomon Smith Barney
SG Cowen Securities Corp
Morgan Stanley Dean Witter</t>
  </si>
  <si>
    <t>MSDW//DEUTSCHE-ALEX-B//BA-SEC-LLC/SSSB
/SG-COWEN//MSDW(GC)</t>
  </si>
  <si>
    <t>MSDW
DEUTSCHE-ALEX-B</t>
  </si>
  <si>
    <t>Morgan Stanley Dean Witter &amp; Co
Deutsche Banc Alex Brown</t>
  </si>
  <si>
    <t>INFICON Holding AG</t>
  </si>
  <si>
    <t>Switzerland</t>
  </si>
  <si>
    <t>IFCN</t>
  </si>
  <si>
    <t>45663T109</t>
  </si>
  <si>
    <t>CS First Boston Corp
Arnhold and S Bleichroeder Inc
Credit Suisse First Boston,Zur
Deutsche Bank AG (London)
Bank Julius Baer &amp; Co Ltd
Pictet
Bank J Vontobel &amp; Co AG
CS First Boston Corp</t>
  </si>
  <si>
    <t>UNAX</t>
  </si>
  <si>
    <t>Unaxis Holding AG</t>
  </si>
  <si>
    <t>CS-FB//ARNHOLD//CSFBZ/DEUTSCHE-LONDON
/JULIUS-BAER-SZ/PICTET/VONTOBEL
//CS-FB(GC)</t>
  </si>
  <si>
    <t>CS-FB
ARNHOLD</t>
  </si>
  <si>
    <t>CS First Boston Corp
Arnhold and S Bleichroeder Inc</t>
  </si>
  <si>
    <t>Go2pharmacy.com Inc</t>
  </si>
  <si>
    <t>GORX</t>
  </si>
  <si>
    <t>UTENDAHL-CAP</t>
  </si>
  <si>
    <t>Utendahl Capital Partners
Nutmeg Securities Ltd
Montrose Capital
Sterling Financial Corp
Schneider Securities, Inc.
West Park Capital</t>
  </si>
  <si>
    <t>UTENDAHL-CAP//NUTMEG-SEC/MONTROSE
/STERLING-FIN/SCHNEIDER/WEST-PARK-CAP</t>
  </si>
  <si>
    <t>Utendahl Capital Partners</t>
  </si>
  <si>
    <t>Luminent Inc</t>
  </si>
  <si>
    <t>55027R103</t>
  </si>
  <si>
    <t>CS First Boston Corp
CIBC World Markets Inc
US Bancorp Piper Jaffray
First Security Van Kasper &amp; Co
Fleet Boston Corp
CE Unterberg Towbin
Sanders Morris Mundy Inc
Crowell Weedon &amp; Co
Prudential Securities Inc
W.J. Nolan &amp; Company, Inc.
First Albany
L.H. Friend Weinress &amp;Frankson
Schneider Securities, Inc.
William Blair &amp; Co
Hoak Breedlove Wesneski &amp; Co
Gruntal &amp; Co Inc
Sands Brothers &amp; Co Ltd
Raymond James &amp; Associates Inc
PMG Capital
McDonald Investments
CL King &amp; Associates Inc
Invemed Associates Inc
AG Edwards &amp; Sons Inc
Chase Securities Inc
DA Davidson &amp; Co Inc
CS First Boston Corp</t>
  </si>
  <si>
    <t>MRVC</t>
  </si>
  <si>
    <t>MRV Communications Inc</t>
  </si>
  <si>
    <t>CS-FB//CIBC-WORLD/US-PIPER
/FIR-VAN-KASPER/FLEET-BOSTON//UNTERBERG
/SANDERS-MORRIS/CROWELL/PSI/W-J-NOLAN
/FIRST-ALBANY/F-WEINRESS/SCHNEIDER
/WM-BLAIR/HOAK-BREEDLOVE/GRUNTAL/SANDS
/RAYMOND/PMG-CAP/MCDONALD/CL-KING
/INVEMED/A-G-EDWARDS/CHASE-SEC/DAVIDSON
//CS-FB(GC)</t>
  </si>
  <si>
    <t>CS-FB
CIBC-WORLD
US-PIPER
FIR-VAN-KASPER
FLEET-BOSTON</t>
  </si>
  <si>
    <t>CS First Boston Corp
CIBC World Markets Inc
US Bancorp Piper Jaffray Inc
First Security Van Kasper &amp; Co
Fleet Boston Corp,Boston,Massachusetts</t>
  </si>
  <si>
    <t>Credit Suisse First Boston Ltd
CIBC (Atlanta)
Piper Jaffray &amp; Hopwood Inc
First Security Van Kasper &amp; Co
Robertson Stephens &amp; Co
Credit Suisse First Boston Ltd</t>
  </si>
  <si>
    <t>C-S-F-B//CATLAN/PIPER/FIR-VAN-KASPER
/ROBERTSON-S//C-S-F-B(GC)</t>
  </si>
  <si>
    <t>AeroGen Inc</t>
  </si>
  <si>
    <t>AEGN</t>
  </si>
  <si>
    <t>007779101</t>
  </si>
  <si>
    <t>Chase H&amp;Q
CIBC World Markets Inc
SG Cowen Securities Corp
Deutsche Bank Securities
Banc of America Securities LLC
Bear Stearns &amp; Co Inc
ING Barings
US Bancorp Piper Jaffray
Fleet Boston Corp
UBS Warburg LLC
Thomas Weisel Partners
Adams Harkness &amp; Hill Inc
Fahnestock &amp; Co
First Southwest
Legg Mason Wood Walker
Needham &amp; Co LLC
Raymond James &amp; Associates Inc
Robinson-Humphrey Co
CE Unterberg Towbin
First Security Van Kasper &amp; Co</t>
  </si>
  <si>
    <t>CHASE-HQ//CIBC-WORLD/SG-COWEN//DBSECU
/BA-SEC-LLC/BEAR/ING-BARINGS/US-PIPER
/FLEET-BOSTON/UBS-WARBURG-LLC
/THOMAS-WEISEL/ADAMS-HARKNESS
/FAHNESTOCK/FIRST-SW/LEGG-MASON-WW
/NEEDHAM/RAYMOND/ROBINSON/UNTERBERG
/FIR-VAN-KASPER</t>
  </si>
  <si>
    <t>CHASE-HQ
CIBC-WORLD
SG-COWEN</t>
  </si>
  <si>
    <t>Chase H&amp;Q
CIBC World Markets Inc
SG Cowen Securities Corp</t>
  </si>
  <si>
    <t>Computer Access Technology</t>
  </si>
  <si>
    <t>CATZ</t>
  </si>
  <si>
    <t>Fleet Boston Corp
CIBC World Markets Inc
SG Cowen Securities Corp
Needham &amp; Co LLC</t>
  </si>
  <si>
    <t>FLEET-BOSTON//CIBC-WORLD/SG-COWEN
/NEEDHAM</t>
  </si>
  <si>
    <t>FLEET-BOSTON
CIBC-WORLD
SG-COWEN
NEEDHAM</t>
  </si>
  <si>
    <t>Fleet Boston Corp,Boston,Massachusetts
CIBC World Markets Inc
SG Cowen Securities Corp
Needham &amp; Co LLC</t>
  </si>
  <si>
    <t>Adolor Corp</t>
  </si>
  <si>
    <t>ADLR</t>
  </si>
  <si>
    <t>00724X102</t>
  </si>
  <si>
    <t>Merrill Lynch
Lehman Brothers
Pacific Growth Equities Inc
Banc of America Securities LLC
Lazard
Chase Securities Inc
Prudential Securities Inc
Utendahl Capital Partners
Merrill Lynch</t>
  </si>
  <si>
    <t>MERRILL/LEH(JOINT)//PACIFIC-GROWTH
//BA-SEC-LLC/LAZARD/CHASE-SEC/PSI
/UTENDAHL-CAP//MERRILL(GC)</t>
  </si>
  <si>
    <t>MERRILL/LEH</t>
  </si>
  <si>
    <t>MERRILL
/LEH(JOINT)
PACIFIC-GROWTH</t>
  </si>
  <si>
    <t>Merrill Lynch &amp; Co Inc
Lehman Brothers
Pacific Growth Equities Inc</t>
  </si>
  <si>
    <t>Merrill Lynch
Lehman Brothers
Pacific Growth Equities Inc
Banc of America Securities LLC
Chase Securities Inc
Lazard Freres et Cie
Prudential Securities Inc
Utendahl Capital Partners
Merrill Lynch</t>
  </si>
  <si>
    <t>MERRILL/LEH(JOINT)//PACIFIC-GROWTH
/BA-SEC-LLC/CHASE-SEC/LAZ-PARIS/PSI
/UTENDAHL-CAP//MERRILL(GC)</t>
  </si>
  <si>
    <t>MERRILL
/LEH(JOINT)</t>
  </si>
  <si>
    <t>Merrill Lynch &amp; Co Inc
Lehman Brothers</t>
  </si>
  <si>
    <t>Orion Power Holdings Inc</t>
  </si>
  <si>
    <t>ORN</t>
  </si>
  <si>
    <t>Goldman Sachs &amp; Co
CS First Boston Corp
Deutsche Banc Alex Brown
Merrill Lynch
Morgan Stanley Dean Witter
Goldman Sachs &amp; Co</t>
  </si>
  <si>
    <t>GS//CS-FB/DEUTSCHE-ALEX-B/MERRILL/MSDW
//GS(GC)</t>
  </si>
  <si>
    <t>GS
CS-FB
DEUTSCHE-ALEX-B
MERRILL
MSDW</t>
  </si>
  <si>
    <t>Goldman Sachs &amp; Co
CS First Boston Corp
Deutsche Banc Alex Brown
Merrill Lynch &amp; Co Inc
Morgan Stanley Dean Witter &amp; Co</t>
  </si>
  <si>
    <t>Goldman Sachs &amp; Co
Credit Suisse First Boston Ltd
Deutsche Banc Alex Brown
Merrill Lynch
Morgan Stanley Dean Witter
Goldman Sachs &amp; Co</t>
  </si>
  <si>
    <t>GS//C-S-F-B/DEUTSCHE-ALEX-B/MERRILL
/MSDW//GS(GC)</t>
  </si>
  <si>
    <t>Novatel Wireless Inc</t>
  </si>
  <si>
    <t>NVTL</t>
  </si>
  <si>
    <t>66987M109</t>
  </si>
  <si>
    <t>CS First Boston Corp
US Bancorp Piper Jaffray
Banc of America Securities LLC
Invemed Associates Inc
McDonald Investments
Kaufman Brothers LP
Gruntal &amp; Co Inc
Sanders Morris Mundy Inc
SG Cowen Securities Corp
Robinson-Humphrey Co
CE Unterberg Towbin
Peninsula Merchant Group, Ltd
Raymond James &amp; Associates Inc
Robert W Baird &amp; Co Inc
Bear Stearns &amp; Co Inc
Hoak Breedlove Wesneski &amp; Co
Chapman Co
Chase Securities Inc
CIBC World Markets Inc
AG Edwards &amp; Sons Inc
Fahnestock &amp; Co
ING Barings
Johnston Lemon &amp; Co Inc
Legg Mason Wood Walker
Pacific Crest Securities Inc
Prudential Securities Inc
Fleet Boston Corp
Salomon Smith Barney
Sands Brothers &amp; Co Ltd
Tucker Anthony Inc
Thomas Weisel Partners
CS First Boston Corp</t>
  </si>
  <si>
    <t>CS-FB//US-PIPER/BA-SEC-LLC//INVEMED
/MCDONALD/KAUFMAN-BROS/GRUNTAL
/SANDERS-MORRIS/SG-COWEN/ROBINSON
/UNTERBERG/PMG/RAYMOND/BAIRD/BEAR
/HOAK-BREEDLOVE/CHAPMAN/CHASE-SEC
/CIBC-WORLD/A-G-EDWARDS/FAHNESTOCK
/ING-BARINGS/JOHNSTON-LEMON
/LEGG-MASON-WW/PACIFIC-CREST/PSI
/FLEET-BOSTON/SALOMON-SMITH/SANDS
/TUCKER/THOMAS-WEISEL//CS-FB(GC)</t>
  </si>
  <si>
    <t>CS-FB
US-PIPER
BA-SEC-LLC</t>
  </si>
  <si>
    <t>CS First Boston Corp
US Bancorp Piper Jaffray Inc
Banc of America Securities LLC</t>
  </si>
  <si>
    <t>Credit Suisse First Boston Ltd
Piper Jaffray &amp; Hopwood Inc
Bank of America
Credit Suisse First Boston Ltd</t>
  </si>
  <si>
    <t>C-S-F-B//PIPER/BANK-OF-AMERICA
//C-S-F-B(GC)</t>
  </si>
  <si>
    <t>C-S-F-B
PIPER
BANK-OF-AMERICA</t>
  </si>
  <si>
    <t>Credit Suisse First Boston Ltd
Piper Jaffray &amp; Hopwood Inc
Bank of America</t>
  </si>
  <si>
    <t>Beacon Power Corp</t>
  </si>
  <si>
    <t>BCON</t>
  </si>
  <si>
    <t>073677106</t>
  </si>
  <si>
    <t>Salomon Smith Barney
Banc of America Securities LLC
CIBC World Markets Inc
Allen &amp; Co Inc
Bear Stearns &amp; Co Inc
Credit Suisse First Boston
AG Edwards &amp; Sons Inc
First Union Securities Inc
Lehman Brothers
Morgan Stanley &amp; Co
Adams Harkness &amp; Hill Inc
Friedman Billings Ramsey Group
Jefferies &amp; Co Inc
CL King &amp; Associates Inc
Stephens Inc
Tucker Anthony Inc</t>
  </si>
  <si>
    <t>SALOMON-SMITH//BA-SEC-LLC/CIBC-WORLD
//ALLEN/BEAR/CS-FB-CS/A-G-EDWARDS
/FIRST-UNION-SEC/LEH/MS/ADAMS-HARKNESS
/FRIEDMAN-B/JEFFERIES/CL-KING/STEPHENS
/TUCKER</t>
  </si>
  <si>
    <t>SALOMON-SMITH
BA-SEC-LLC
CIBC-WORLD</t>
  </si>
  <si>
    <t>Salomon Smith Barney
Banc of America Securities LLC
CIBC World Markets Inc</t>
  </si>
  <si>
    <t>Array Biopharma Inc</t>
  </si>
  <si>
    <t>ARRY</t>
  </si>
  <si>
    <t>04269X105</t>
  </si>
  <si>
    <t>Lehman Brothers
Deutsche Banc Alex Brown
Legg Mason &amp; Co Inc
Edward D Jones &amp; Co
Chase Securities Inc
ING Barings
PMG Capital
Chatsworth Securities LLC
Prudential Securities Inc
SG Cowen Securities Corp
UBS Warburg LLC
Thomas Weisel Partners
Dominick &amp; Dominick Inc
Gerard Klauer Mattison &amp; Co
Raymond James &amp; Associates Inc
Fahnestock &amp; Co
Lehman Brothers</t>
  </si>
  <si>
    <t>LEH//DEUTSCHE-ALEX-B/LEGG-MASON
//ED-JONES/CHASE-SEC/ING-BARINGS
/PMG-CAP/CHATSWORTH/PSI/SG-COWEN
/UBS-WARBURG-LLC/THOMAS-WEISEL/DOMINICK
/GERARD-KLAUER/RAYMOND/FAHNESTOCK
//LEH(GC)</t>
  </si>
  <si>
    <t>LEH
DEUTSCHE-ALEX-B
LEGG-MASON</t>
  </si>
  <si>
    <t>Lehman Brothers
Deutsche Banc Alex Brown
Legg Mason &amp; Co Inc</t>
  </si>
  <si>
    <t>Lehman Brothers
Deutsche Banc Alex Brown
Legg Mason &amp; Co Inc
Lehman Brothers</t>
  </si>
  <si>
    <t>LEH//DEUTSCHE-ALEX-B/LEGG-MASON
//LEH(GC)</t>
  </si>
  <si>
    <t>Dynacare Inc</t>
  </si>
  <si>
    <t>DNCR</t>
  </si>
  <si>
    <t>UBS Warburg
Banc of America Securities LLC
US Bancorp Piper Jaffray
Cantor Fitzgerald Inc
Chase Securities Inc
ING Barings
Merrill Lynch
UBS Warburg</t>
  </si>
  <si>
    <t>UBS-WARBURG//BA-SEC-LLC/US-PIPER
//CANTOR/CHASE-SEC/ING-BARINGS/MERRILL
//UBS-WARBURG(GC)</t>
  </si>
  <si>
    <t>UBS-WARBURG
BA-SEC-LLC
US-PIPER</t>
  </si>
  <si>
    <t>UBS Warburg
Banc of America Securities LLC
US Bancorp Piper Jaffray Inc</t>
  </si>
  <si>
    <t>Alliance Fiber Optic Products</t>
  </si>
  <si>
    <t>AFOP</t>
  </si>
  <si>
    <t>018680108</t>
  </si>
  <si>
    <t>Merrill Lynch
US Bancorp Piper Jaffray
Wit Soundview Group Inc
SG Cowen Securities Corp
ABN-AMRO Holding NV
Bear Stearns &amp; Co Inc
Dain Rauscher Corp
Salomon Smith Barney
UBS Warburg LLC
Thomas Weisel Partners
Sands Brothers &amp; Co Ltd
Hoefer &amp; Arnett Inc
Raymond James &amp; Associates Inc
Utendahl Capital Partners
WR Hambrecht &amp; Co LLC
William Blair &amp; Co
Merrill Lynch</t>
  </si>
  <si>
    <t>MERRILL//US-PIPER/WIT-SOUNDVIEW
/SG-COWEN//ABN-AMRO/BEAR/DAIN-RAUSCHER
/SALOMON-SMITH/UBS-WARBURG-LLC
/THOMAS-WEISEL/SANDS/HOEFER-ARNETT
/RAYMOND/UTENDAHL-CAP/W-R-HAMBRECHT
/WM-BLAIR//MERRILL(GC)</t>
  </si>
  <si>
    <t>MERRILL
US-PIPER
WIT-SOUNDVIEW
SG-COWEN</t>
  </si>
  <si>
    <t>Merrill Lynch &amp; Co Inc
US Bancorp Piper Jaffray Inc
Wit Soundview Group Inc
SG Cowen Securities Corp</t>
  </si>
  <si>
    <t>Merrill Lynch Intl Ltd
US Bancorp Piper Jaffray
Wit Soundview Group Inc
SG Cowen Securities Corp
Merrill Lynch Intl Ltd</t>
  </si>
  <si>
    <t>ML-I//US-PIPER/WIT-SOUNDVIEW/SG-COWEN
//ML-I(GC)</t>
  </si>
  <si>
    <t>iMagicTV</t>
  </si>
  <si>
    <t>IMTV</t>
  </si>
  <si>
    <t>45247E107</t>
  </si>
  <si>
    <t>Merrill Lynch
Chase H&amp;Q
CIBC World Markets Inc
Merrill Lynch</t>
  </si>
  <si>
    <t>MERRILL//CHASE-HQ/CIBC-WORLD
//MERRILL(GC)</t>
  </si>
  <si>
    <t>MERRILL
CHASE-HQ
CIBC-WORLD</t>
  </si>
  <si>
    <t>Merrill Lynch &amp; Co Inc
Chase H&amp;Q
CIBC World Markets Inc</t>
  </si>
  <si>
    <t>Merrill Lynch Intl Ltd
Chase Manhattan Corp
CIBC World Markets Inc
Merrill Lynch Intl Ltd</t>
  </si>
  <si>
    <t>ML-I//CHASE-CORP/CIBC-WORLD//ML-I(GC)</t>
  </si>
  <si>
    <t>Rigel Pharmaceuticals Inc</t>
  </si>
  <si>
    <t>RIGL</t>
  </si>
  <si>
    <t>Morgan Stanley Dean Witter
Lehman Brothers
Fleet Boston Corp
Blair House
Dain Rauscher Corp
AG Edwards &amp; Sons Inc
First Union Securities Inc
Janney Montgomery Scott Inc
Edward D Jones &amp; Co
Needham &amp; Co LLC
UBS Warburg
Morgan Stanley Dean Witter</t>
  </si>
  <si>
    <t>MSDW//LEH/FLEET-BOSTON//BLAIR
/DAIN-RAUSCHER/A-G-EDWARDS
/FIRST-UNION-SEC/JANNEY/ED-JONES
/NEEDHAM/UBS-WARBURG//MSDW(GC)</t>
  </si>
  <si>
    <t>Telenor ASA</t>
  </si>
  <si>
    <t>TELN</t>
  </si>
  <si>
    <t>87944W105</t>
  </si>
  <si>
    <t>Goldman Sachs &amp; Co
Credit Suisse First Boston Ltd
DnB Holding ASA
HSBC Investment Banking Ltd
Merrill Lynch Intl Ltd
Carnegie AS
Dresdner Kleinwort Benson (UK)
Schroder Salomon Smith Barney
Goldman Sachs &amp; Co
DnB Holding ASA</t>
  </si>
  <si>
    <t>GS//C-S-F-B/DNB-HLDGS/HSBC-INVEST/ML-I
/CARNEGIE-AS/DBKB/SSSB//GS(GC)
/DNB-HLDGS(GC)</t>
  </si>
  <si>
    <t>GS
C-S-F-B
DNB-HLDGS
HSBC-INVEST
ML-I
CARNEGIE-AS
DBKB
SSSB</t>
  </si>
  <si>
    <t>Goldman Sachs &amp; Co
Credit Suisse First Boston Ltd
DnB Holding ASA
HSBC Investment Banking Ltd
Merrill Lynch International Ltd
Carnegie AS
Dresdner Kleinwort Benson (UK)
Schroder Salomon Smith Barney</t>
  </si>
  <si>
    <t>American Physicians Capital</t>
  </si>
  <si>
    <t>ACAP</t>
  </si>
  <si>
    <t>ABN-AMRO</t>
  </si>
  <si>
    <t>028884104</t>
  </si>
  <si>
    <t>ABN-AMRO Holding NV
Sandler O'Neill Partners
Raymond James &amp; Associates Inc
Advest Inc
Conning &amp; Co
Legg Mason Wood Walker
McDonald Investments
William Blair &amp; Co
Fox-Pitt Kelton</t>
  </si>
  <si>
    <t>ABN-AMRO//SANDLER-ONEILL/RAYMOND/ADVEST
//CONNING-COMPANY/LEGG-MASON-WW
/MCDONALD/WM-BLAIR/FOX-PITT</t>
  </si>
  <si>
    <t>ABN-AMRO
SANDLER-ONEILL
RAYMOND
ADVEST</t>
  </si>
  <si>
    <t>ABN-AMRO Holding NV
Sandler O'Neill Partners  L.P.
Raymond James &amp; Associates Inc
Advest Inc</t>
  </si>
  <si>
    <t>Harvard Bioscience Inc</t>
  </si>
  <si>
    <t>HBIO</t>
  </si>
  <si>
    <t>Thomas Weisel Partners
Dain Rauscher Wessels
ING Barings
Bear Stearns &amp; Co Inc
CIBC World Markets Inc
First Union National Bancorp
Lazard
Morgan Stanley Dean Witter
US Bancorp Piper Jaffray
UBS Warburg
Adams Harkness &amp; Hill Inc
Fahnestock &amp; Co
Gerard Klauer Mattison &amp; Co
Legg Mason Wood Walker
Needham &amp; Co LLC
Tucker Anthony Inc
Wedbush, Noble, Cooke
William Blair &amp; Co</t>
  </si>
  <si>
    <t>THOMAS-WEISEL//DAIN-R-WESSELS
/ING-BARINGS//BEAR/CIBC-WORLD
/FIRST-UNION/LAZARD/MSDW/US-PIPER
/UBS-WARBURG/ADAMS-HARKNESS/FAHNESTOCK
/GERARD-KLAUER/LEGG-MASON-WW/NEEDHAM
/TUCKER/WEDBUSH/WM-BLAIR</t>
  </si>
  <si>
    <t>THOMAS-WEISEL
DAIN-R-WESSELS
ING-BARINGS</t>
  </si>
  <si>
    <t>Thomas Weisel Partners
Dain Rauscher Wessels
ING Barings</t>
  </si>
  <si>
    <t>Specialty Laboratories Inc</t>
  </si>
  <si>
    <t>SP</t>
  </si>
  <si>
    <t>84749R100</t>
  </si>
  <si>
    <t>Merrill Lynch
UBS Warburg
US Bancorp Piper Jaffray
Merrill Lynch</t>
  </si>
  <si>
    <t>MERRILL//UBS-WARBURG/US-PIPER
//MERRILL(GC)</t>
  </si>
  <si>
    <t>MERRILL
UBS-WARBURG
US-PIPER</t>
  </si>
  <si>
    <t>Merrill Lynch &amp; Co Inc
UBS Warburg
US Bancorp Piper Jaffray Inc</t>
  </si>
  <si>
    <t>Merrill Lynch
UBS Warburg (UK)
US Bancorp Piper Jaffray
Merrill Lynch</t>
  </si>
  <si>
    <t>MERRILL//UBS-WARBURG-UK/US-PIPER
//MERRILL(GC)</t>
  </si>
  <si>
    <t>WP Stewart &amp; Co Ltd</t>
  </si>
  <si>
    <t>WPL</t>
  </si>
  <si>
    <t>G84922106</t>
  </si>
  <si>
    <t>Goldman Sachs &amp; Co
Lazard
Salomon Smith Barney
Bear Stearns &amp; Co Inc
AG Edwards &amp; Sons Inc
First Union National Bancorp
Keefe Bruyette &amp; Woods Inc
Neuberger Berman Inc
Putnam, Lovell , de Guardiola
Wit Soundview Group Inc
Stifel Nicolaus &amp; Co Inc
Wasserstein Perella Securities
Goldman Sachs &amp; Co</t>
  </si>
  <si>
    <t>GS/LAZARD(JOINT)//SALOMON-SMITH/BEAR
//A-G-EDWARDS/FIRST-UNION/KEEFE
/NEUBERGER/PUTNAM-LOVELL/WIT-SOUNDVIEW
/STIFEL/WP-SEC//GS(GC)</t>
  </si>
  <si>
    <t>GS/LAZARD</t>
  </si>
  <si>
    <t>GS
/LAZARD(JOINT)
SALOMON-SMITH
BEAR</t>
  </si>
  <si>
    <t>Goldman Sachs &amp; Co
Lazard
Salomon Smith Barney
Bear Stearns &amp; Co Inc</t>
  </si>
  <si>
    <t>Goldman Sachs &amp; Co
Lazard Freres et Cie
Schroder Salomon Smith Barney
Bear Stearns &amp; Co Inc
Goldman Sachs &amp; Co</t>
  </si>
  <si>
    <t>GS//LAZ-PARIS/SSSB/BEAR//GS(GC)</t>
  </si>
  <si>
    <t>Gemplus Intl SA</t>
  </si>
  <si>
    <t>GEM</t>
  </si>
  <si>
    <t>36866Y102</t>
  </si>
  <si>
    <t>Euro P.P.M</t>
  </si>
  <si>
    <t>CS First Boston Corp
UBS Warburg
BNP Paribas SA
Credit Lyonnais SA
Thomas Weisel Partners
CS First Boston Corp</t>
  </si>
  <si>
    <t>CS-FB/UBS-WARBURG(JOINT)//BNP-PARIBAS
/CRED-LYONNAIS/THOMAS-WEISEL//CS-FB(GC)</t>
  </si>
  <si>
    <t>CS-FB/UBS-WARBURG</t>
  </si>
  <si>
    <t>CS-FB
/UBS-WARBURG(JOINT)
BNP-PARIBAS
CRED-LYONNAIS
THOMAS-WEISEL</t>
  </si>
  <si>
    <t>CS First Boston Corp
UBS Warburg
BNP Paribas SA
Credit Lyonnais SA
Thomas Weisel Partners</t>
  </si>
  <si>
    <t>Garmin Ltd</t>
  </si>
  <si>
    <t>GRMN</t>
  </si>
  <si>
    <t>MERRILL/CS-FB-CS(JB)</t>
  </si>
  <si>
    <t>G37260109</t>
  </si>
  <si>
    <t>Merrill Lynch
Credit Suisse First Boston
Salomon Smith Barney
Merrill Lynch
Credit Suisse First Boston</t>
  </si>
  <si>
    <t>MERRILL(JB)/CS-FB-CS(JB)//SALOMON-SMITH
//MERRILL(GC)/CS-FB-CS(GC)</t>
  </si>
  <si>
    <t>MERRILL/CS-FB-CS</t>
  </si>
  <si>
    <t>MERRILL
(JB)/CS-FB-CS(JB)
SALOMON-SMITH</t>
  </si>
  <si>
    <t>Merrill Lynch &amp; Co Inc
Credit Suisse First Boston Corp
Salomon Smith Barney</t>
  </si>
  <si>
    <t>CSFB-INC/MERRILL(JB)</t>
  </si>
  <si>
    <t>Credit Suisse First Boston Inc
Merrill Lynch
Salomon Smith Barney
Credit Suisse First Boston Inc
Merrill Lynch</t>
  </si>
  <si>
    <t>CSFB-INC(JB)/MERRILL(JB)//SALOMON-SMITH
//CSFB-INC(GC)/MERRILL(GC)</t>
  </si>
  <si>
    <t>CSFB-INC/MERRILL</t>
  </si>
  <si>
    <t>CSFB-INC
(JB)/MERRILL(JB)</t>
  </si>
  <si>
    <t>Credit Suisse First Boston Inc
Merrill Lynch &amp; Co Inc</t>
  </si>
  <si>
    <t>GenVec Inc</t>
  </si>
  <si>
    <t>GNVC</t>
  </si>
  <si>
    <t>37246C109</t>
  </si>
  <si>
    <t>JP Morgan
UBS Warburg
AG Edwards &amp; Sons Inc
First Union Securities Inc
Jackson Securities Inc
McDonald Investments
Legg Mason Wood Walker
Needham &amp; Co LLC
JP Morgan</t>
  </si>
  <si>
    <t>JPM//UBS-WARBURG/A-G-EDWARDS
//FIRST-UNION-SEC/JACKSON-SEC/MCDONALD
/LEGG-MASON-WW/NEEDHAM//JPM(GC)</t>
  </si>
  <si>
    <t>JPM
UBS-WARBURG
A-G-EDWARDS</t>
  </si>
  <si>
    <t>JP Morgan &amp; Co Inc
UBS Warburg
AG Edwards &amp; Sons Inc</t>
  </si>
  <si>
    <t>JP Morgan
AG Edwards Inc
UBS Warburg (UK)
JP Morgan</t>
  </si>
  <si>
    <t>JPM//AG-EDWARDS-INC//UBS-WARBURG-UK
//JPM(GC)</t>
  </si>
  <si>
    <t>JPM
AG-EDWARDS-INC</t>
  </si>
  <si>
    <t>JP Morgan &amp; Co Inc
AG Edwards Inc</t>
  </si>
  <si>
    <t>Resources Connection Inc</t>
  </si>
  <si>
    <t>RECN</t>
  </si>
  <si>
    <t>CS-FB-CS
/DEUTSCHE-ALEX-B(JB)</t>
  </si>
  <si>
    <t>76122Q105</t>
  </si>
  <si>
    <t>Credit Suisse First Boston
Deutsche Banc Alex Brown
Robert W Baird &amp; Co Inc
Banc of America Securities LLC
Bear Stearns &amp; Co Inc
Blair House
Crowell Weedon &amp; Co
First Union Securities Inc
Gerard Klauer Mattison &amp; Co
Gruntal &amp; Co Inc
Invemed Associates Inc
Janney Montgomery Scott Inc
Johnston Lemon &amp; Co Inc
CL King &amp; Associates Inc
Legg Mason &amp; Co Inc
Lehman Brothers
McDonald Investments
Merrill Lynch, Pierce, Fenner
Parker-Hunter Inc
PMG Capital
Prudential Securities Inc
Robinson-Humphrey Co
Sanders Morris Harris Inc
Sands Brothers &amp; Co Ltd
CE Unterberg Towbin
Wachovia Bank NA
Credit Suisse First Boston
Deutsche Banc Alex Brown</t>
  </si>
  <si>
    <t>CS-FB-CS(JB)/DEUTSCHE-ALEX-B(JB)//BAIRD
//BA-SEC-LLC/BEAR/BLAIR/CROWELL
/FIRST-UNION-SEC/GERARD-KLAUER/GRUNTAL
/INVEMED/JANNEY/JOHNSTON-LEMON/CL-KING
/LEGG-MASON/LEH/MCDONALD/ML
/PARKER-HUNTER/PMG-CAP/PSI/ROBINSON
/SANDERS-HARRIS/SANDS/UNTERBERG
/WACHOVIA//CS-FB-CS(GC)
/DEUTSCHE-ALEX-B(GC)</t>
  </si>
  <si>
    <t>CS-FB-CS/DEUTSCHE-ALEX-B</t>
  </si>
  <si>
    <t>CS-FB-CS
(JB)/DEUTSCHE-ALEX-B(JB)
BAIRD</t>
  </si>
  <si>
    <t>Credit Suisse First Boston Corp
Deutsche Banc Alex Brown
Robert W Baird &amp; Co Inc</t>
  </si>
  <si>
    <t>C-S-F-B
/DEUTSCHE-ALEX-B(JB)</t>
  </si>
  <si>
    <t>Credit Suisse First Boston Ltd
Deutsche Banc Alex Brown
Robert W Baird &amp; Co Inc
Credit Suisse First Boston Ltd
Deutsche Banc Alex Brown</t>
  </si>
  <si>
    <t>C-S-F-B(JB)/DEUTSCHE-ALEX-B(JB)//BAIRD
//C-S-F-B(GC)/DEUTSCHE-ALEX-B(GC)</t>
  </si>
  <si>
    <t>C-S-F-B/DEUTSCHE-ALEX-B</t>
  </si>
  <si>
    <t>C-S-F-B
(JB)/DEUTSCHE-ALEX-B(JB)
BAIRD</t>
  </si>
  <si>
    <t>Credit Suisse First Boston Ltd
Deutsche Banc Alex Brown
Robert W Baird &amp; Co Inc</t>
  </si>
  <si>
    <t>Westlinks Resources Ltd</t>
  </si>
  <si>
    <t>WLKS</t>
  </si>
  <si>
    <t>SPENCER-EDWARDS</t>
  </si>
  <si>
    <t>Spencer Edwards
Merit Capital Associates, Inc</t>
  </si>
  <si>
    <t>SPENCER-EDWARDS/MERITC(JOINT)</t>
  </si>
  <si>
    <t>SPENCER-EDWARDS/MERITC</t>
  </si>
  <si>
    <t>SPENCER-EDWARDS
/MERITC(JOINT)</t>
  </si>
  <si>
    <t>Nuveen MD Div Adv Muni  Fund</t>
  </si>
  <si>
    <t>NFM</t>
  </si>
  <si>
    <t>67069R107</t>
  </si>
  <si>
    <t>Salomon Smith Barney
John Nuveen Co
AG Edwards &amp; Sons Inc
UBS Warburg LLC
First Union Securities Inc
Legg
Ferris Baker Watts
Prudential Securities Inc
Deutsche Banc Alex Brown
CIBC World Markets Inc
Chapman Co
Gruntal &amp; Co Inc
Raymond James &amp; Associates Inc
Robinson-Humphrey Co
Johnston Lemon &amp; Co Inc
Folger, Nolan, Fleming
Advest Inc</t>
  </si>
  <si>
    <t>SALOMON-SMITH//NUVEEN/A-G-EDWARDS
/UBS-WARBURG-LLC/FIRST-UNION-SEC/LEGG
/FERRIS-BAKER/PSI/DEUTSCHE-ALEX-B
//CIBC-WORLD/CHAPMAN/GRUNTAL/RAYMOND
/ROBINSON/JOHNSTON-LEMON/FOLGER-NOLAN
/ADVEST</t>
  </si>
  <si>
    <t>SALOMON-SMITH
NUVEEN
A-G-EDWARDS
UBS-WARBURG-LLC
FIRST-UNION-SEC
LEGG
FERRIS-BAKER
PSI
DEUTSCHE-ALEX-B</t>
  </si>
  <si>
    <t>Salomon Smith Barney
John Nuveen Co
AG Edwards &amp; Sons Inc
UBS Warburg LLC
First Union Securities Inc
Legg &amp; Co.
Ferris Baker Watts Inc
Prudential Securities Inc
Deutsche Banc Alex Brown</t>
  </si>
  <si>
    <t>Nuveen Virginia Dividend</t>
  </si>
  <si>
    <t>NGB</t>
  </si>
  <si>
    <t>67069M108</t>
  </si>
  <si>
    <t>Salomon Smith Barney
John Nuveen Co
Deutsche Bank Securities Corp
Ferris Baker Watts
UBS Warburg
Legg Mason &amp; Co Inc
Raymond James &amp; Associates Inc
First Union Securities Inc
Prudential Securities Inc
AG Edwards &amp; Sons Inc
Advest Inc
BB&amp;T Capital Markets
Davenport
Josephthal &amp; Co Inc
Robinson-Humphrey Co
Wachovia Securities Inc
Morgan Keegan Inc
Johnston Lemon &amp; Co Inc
Friedman Billings Ramsey Group
Branch, Cabell and Company
Anderson &amp; Strudwick</t>
  </si>
  <si>
    <t>SALOMON-SMITH/NUVEEN(JOINT)
//DEUTSCHE-BK-SEC/FERRIS-BAKER
/UBS-WARBURG/LEGG-MASON/RAYMOND
/FIRST-UNION-SEC/PSI/A-G-EDWARDS
//ADVEST/BB-T-CAP/DAVENPORT/JOSEPHTHAL
/ROBINSON/WACHOVIA-SEC/MORGAN-KEEGAN
/JOHNSTON-LEMON/FRIEDMAN-B
/BRANCH-CABELL/ANDERSON</t>
  </si>
  <si>
    <t>SALOMON-SMITH/NUVEEN</t>
  </si>
  <si>
    <t>SALOMON-SMITH
/NUVEEN(JOINT)
DEUTSCHE-BK-SEC
FERRIS-BAKER
UBS-WARBURG
LEGG-MASON
RAYMOND
FIRST-UNION-SEC
PSI
A-G-EDWARDS</t>
  </si>
  <si>
    <t>Salomon Smith Barney
John Nuveen Co
Deutsche Bank Securities Corp.
Ferris Baker Watts Inc
UBS Warburg
Legg Mason &amp; Co Inc
Raymond James &amp; Associates Inc
First Union Securities Inc
Prudential Securities Inc
AG Edwards &amp; Sons Inc</t>
  </si>
  <si>
    <t>Align Technology Inc</t>
  </si>
  <si>
    <t>ALGN</t>
  </si>
  <si>
    <t>016255101</t>
  </si>
  <si>
    <t>Deutsche Banc Alex Brown
Bear Stearns &amp; Co Inc
Fleet Boston Corp
JP Morgan
BancAmerica Securities Inc
Piper Jaffray &amp; Hopwood Inc
Robert W Baird &amp; Co Inc
UBS Warburg
Wells Fargo Bank NA
Wedbush, Noble, Cooke
Tucker Anthony Inc
SunTrust Equitable Securities
Parker-Hunter Inc
CL King &amp; Associates Inc
Chatsworth Securities LLC
Blair House
SG Cowen Securities Corp
Lehman Brothers
Merrill Lynch, Pierce, Fenner
Salomon Smith Barney
Morgan Stanley &amp; Co
ING Barings
Deutsche Banc Alex Brown</t>
  </si>
  <si>
    <t>DEUTSCHE-ALEX-B//BEAR/FLEET-BOSTON/JPM
//BANC-AMERICA/PIPER/BAIRD/UBS-WARBURG
/WELLS-FARGO/WEDBUSH/TUCKER
/SUNTRUST-EQUI/PARKER-HUNTER/CL-KING
/CHATSWORTH/BLAIR/SG-COWEN/LEH/ML
/SALOMON-SMITH/MS/ING-BARINGS
//DEUTSCHE-ALEX-B(GC)</t>
  </si>
  <si>
    <t>DEUTSCHE-ALEX-B
BEAR
FLEET-BOSTON
JPM</t>
  </si>
  <si>
    <t>Deutsche Banc Alex Brown
Bear Stearns &amp; Co Inc
Fleet Boston Corp,Boston,Massachusetts
JP Morgan &amp; Co Inc</t>
  </si>
  <si>
    <t>Nuveen North Carolina</t>
  </si>
  <si>
    <t>NRB</t>
  </si>
  <si>
    <t>67069N106</t>
  </si>
  <si>
    <t>Salomon Smith Barney
John Nuveen Co
AG Edwards &amp; Sons Inc
UBS Warburg LLC
First Union Securities Inc
Raymond James &amp; Associates Inc
Robinson-Humphrey Co
Wachovia Bank NA
Legg Mason &amp; Co Inc
Deutsche Banc Alex Brown
Prudential Securities Inc
Advest Inc
Fahnestock &amp; Co
JJB Hilliard WL Lyons Inc
Redwine &amp; Company Inc
Josephthal &amp; Co Inc
Ferris Baker Watts
BB&amp;T Capital Markets</t>
  </si>
  <si>
    <t>SALOMON-SMITH/NUVEEN(JOINT)
//A-G-EDWARDS/UBS-WARBURG-LLC
/FIRST-UNION-SEC/RAYMOND/ROBINSON
/WACHOVIA/LEGG-MASON/DEUTSCHE-ALEX-B
/PSI//ADVEST/FAHNESTOCK/HILLIARD
/REDWINE-CO/JOSEPHTHAL/FERRIS-BAKER
/BB-T-CAP</t>
  </si>
  <si>
    <t>SALOMON-SMITH
/NUVEEN(JOINT)
A-G-EDWARDS
UBS-WARBURG-LLC
FIRST-UNION-SEC
RAYMOND
ROBINSON
WACHOVIA
LEGG-MASON
DEUTSCHE-ALEX-B
PSI</t>
  </si>
  <si>
    <t>Salomon Smith Barney
John Nuveen Co
AG Edwards &amp; Sons Inc
UBS Warburg LLC
First Union Securities Inc
Raymond James &amp; Associates Inc
Robinson-Humphrey Co
Wachovia Bank NA
Legg Mason &amp; Co Inc
Deutsche Banc Alex Brown
Prudential Securities Inc</t>
  </si>
  <si>
    <t>Nuveen CT Div Adv Muni Fund</t>
  </si>
  <si>
    <t>NFC</t>
  </si>
  <si>
    <t>67069T103</t>
  </si>
  <si>
    <t>Salomon Smith Barney
John Nuveen Co
AG Edwards &amp; Sons Inc
UBS Warburg LLC
Raymond James &amp; Associates Inc
Advest Inc
Prudential Securities Inc
Deutsche Banc Alex Brown
CIBC World Markets Inc
Piper Jaffray Inc
First Union Securities Inc
Fahnestock &amp; Co
Gruntal &amp; Co Inc
Josephthal &amp; Co Inc
Robinson-Humphrey Co
Tucker Anthony Inc
Legg Mason &amp; Co Inc
Janney Montgomery Scott Inc
Fechtor, Detwiler
Coburn &amp; Meredith, Inc</t>
  </si>
  <si>
    <t>SALOMON-SMITH//NUVEEN/A-G-EDWARDS
/UBS-WARBURG-LLC/RAYMOND/ADVEST/PSI
/DEUTSCHE-ALEX-B//CIBC-WORLD/PIPER-J
/FIRST-UNION-SEC/FAHNESTOCK/GRUNTAL
/JOSEPHTHAL/ROBINSON/TUCKER/LEGG-MASON
/JANNEY/FECHTOR/COBURN</t>
  </si>
  <si>
    <t>SALOMON-SMITH
NUVEEN
A-G-EDWARDS
UBS-WARBURG-LLC
RAYMOND
ADVEST
PSI
DEUTSCHE-ALEX-B</t>
  </si>
  <si>
    <t>Salomon Smith Barney
John Nuveen Co
AG Edwards &amp; Sons Inc
UBS Warburg LLC
Raymond James &amp; Associates Inc
Advest Inc
Prudential Securities Inc
Deutsche Banc Alex Brown</t>
  </si>
  <si>
    <t>Peet's Coffee &amp; Tea Inc</t>
  </si>
  <si>
    <t>PEET</t>
  </si>
  <si>
    <t>WR Hambrecht &amp; Co LLC
Pacific Growth Equities Inc</t>
  </si>
  <si>
    <t>W-R-HAMBRECHT/PACIFIC-GROWTH(JOINT)</t>
  </si>
  <si>
    <t>W-R-HAMBRECHT/PACIFIC-GROWTH</t>
  </si>
  <si>
    <t>W-R-HAMBRECHT
/PACIFIC-GROWTH(JOINT)</t>
  </si>
  <si>
    <t>Exact Sciences Corp</t>
  </si>
  <si>
    <t>EXAS</t>
  </si>
  <si>
    <t>30063P105</t>
  </si>
  <si>
    <t>Merrill Lynch
CIBC World Markets Inc
Thomas Weisel Partners
Merrill Lynch</t>
  </si>
  <si>
    <t>MERRILL//CIBC-WORLD/THOMAS-WEISEL
//MERRILL(GC)</t>
  </si>
  <si>
    <t>MERRILL
CIBC-WORLD
THOMAS-WEISEL</t>
  </si>
  <si>
    <t>Merrill Lynch &amp; Co Inc
CIBC World Markets Inc
Thomas Weisel Partners</t>
  </si>
  <si>
    <t>Merrill Lynch
CIBC World Markets Inc
Thomas Weisel Partners
SG Cowen Securities Corp
Merrill Lynch</t>
  </si>
  <si>
    <t>MERRILL//CIBC-WORLD/THOMAS-WEISEL
/SG-COWEN//MERRILL(GC)</t>
  </si>
  <si>
    <t>Nuveen Arizona Div Muni Fund</t>
  </si>
  <si>
    <t>NFZ</t>
  </si>
  <si>
    <t>67069L100</t>
  </si>
  <si>
    <t>Salomon Smith Barney
John Nuveen Co
Deutsche Banc Alex Brown
Prudential Securities Inc
Raymond James &amp; Associates Inc
UBS Warburg LLC
AG Edwards &amp; Sons Inc
CIBC World Markets Inc
Wedbush Securities
Sutro &amp; Co Inc
Advest Inc
First Union Securities Inc
Gruntal &amp; Co Inc
Robinson-Humphrey Co
Peacock Hislop Staley &amp; Given
DA Davidson &amp; Co Inc
Piper Jaffray Inc</t>
  </si>
  <si>
    <t>SALOMON-SMITH/NUVEEN(JOINT)
//DEUTSCHE-ALEX-B/PSI/RAYMOND
/UBS-WARBURG-LLC/A-G-EDWARDS
//CIBC-WORLD/WEDBUSH-M/SUTRO/ADVEST
/FIRST-UNION-SEC/GRUNTAL/ROBINSON
/PEACOCK-HISLOP/DAVIDSON/PIPER-J</t>
  </si>
  <si>
    <t>SALOMON-SMITH
/NUVEEN(JOINT)
DEUTSCHE-ALEX-B
PSI
RAYMOND
UBS-WARBURG-LLC
A-G-EDWARDS</t>
  </si>
  <si>
    <t>Salomon Smith Barney
John Nuveen Co
Deutsche Banc Alex Brown
Prudential Securities Inc
Raymond James &amp; Associates Inc
UBS Warburg LLC
AG Edwards &amp; Sons Inc</t>
  </si>
  <si>
    <t>Nuveen MASS Div Advantage Fund</t>
  </si>
  <si>
    <t>NMB</t>
  </si>
  <si>
    <t>67069P101</t>
  </si>
  <si>
    <t>Salomon Smith Barney
John Nuveen Co
AG Edwards &amp; Sons Inc
UBS Warburg
Raymond James &amp; Associates Inc
Deutsche Bank
Prudential Securities Inc
CIBC World Markets Inc
HC Wainwright &amp; Co Inc
Tucker Anthony Inc
Robinson-Humphrey Co
Moors &amp; Cabot Inc
Piper Jaffray Inc
Fechtor, Detwiler
Gruntal &amp; Co Inc
Legg Mason &amp; Co Inc
Janney Montgomery Scott Inc
Advest Inc
First Union Securities Inc</t>
  </si>
  <si>
    <t>SALOMON-SMITH/NUVEEN(JOINT)
//A-G-EDWARDS/UBS-WARBURG/RAYMOND
/DEUTSCHE-BANK/PSI//CIBC-WORLD
/H-C-WAINWRIGHT/TUCKER/ROBINSON/MOORS
/PIPER-J/FECHTOR/GRUNTAL/LEGG-MASON
/JANNEY/ADVEST/FIRST-UNION-SEC</t>
  </si>
  <si>
    <t>SALOMON-SMITH
/NUVEEN(JOINT)
A-G-EDWARDS
UBS-WARBURG
RAYMOND
DEUTSCHE-BANK
PSI</t>
  </si>
  <si>
    <t>Salomon Smith Barney
John Nuveen Co
AG Edwards &amp; Sons Inc
UBS Warburg
Raymond James &amp; Associates Inc
Deutsche Bank
Prudential Securities Inc</t>
  </si>
  <si>
    <t>ATP Oil &amp; Gas Corp</t>
  </si>
  <si>
    <t>ATPG</t>
  </si>
  <si>
    <t>00208J108</t>
  </si>
  <si>
    <t>Lehman Brothers
CIBC World Markets Inc
Raymond James &amp; Associates Inc
Fidelity Capital Markets
Dain Rauscher Corp
AG Edwards &amp; Sons Inc
Gruntal &amp; Co Inc
Fahnestock &amp; Co
Wachovia Bank NA
Sanders Morris Harris Inc
Legg Mason Wood Walker
Edward D Jones &amp; Co
Jefferies &amp; Co Inc
Hibernia Southcoast Capital
ING Barings
Petrie Parkman &amp; Co Inc
UBS Warburg LLC
Chatsworth Securities LLC
Johnson Rice &amp; Co
First Union Securities Inc
Lehman Brothers</t>
  </si>
  <si>
    <t>LEH//CIBC-WORLD/RAYMOND/FIDELITY-CAP
/DAIN-RAUSCHER//A-G-EDWARDS/GRUNTAL
/FAHNESTOCK/WACHOVIA/SANDERS-HARRIS
/LEGG-MASON-WW/ED-JONES/JEFFERIES
/HIBERNIA-SOUTH/ING-BARINGS
/PETRIE-PARKMAN/UBS-WARBURG-LLC
/CHATSWORTH/JOHNSON-RICE
/FIRST-UNION-SEC//LEH(GC)</t>
  </si>
  <si>
    <t>LEH
CIBC-WORLD
RAYMOND
FIDELITY-CAP
DAIN-RAUSCHER</t>
  </si>
  <si>
    <t>Lehman Brothers
CIBC World Markets Inc
Raymond James &amp; Associates Inc
Fidelity Capital Markets
Dain Rauscher Corp</t>
  </si>
  <si>
    <t>Lehman Brothers
CIBC World Markets Inc
Dain Rauscher Wessels
Raymond James &amp; Associates Inc
Lehman Brothers</t>
  </si>
  <si>
    <t>LEH//CIBC-WORLD//DAIN-R-WESSELS/RAYMOND
//LEH(GC)</t>
  </si>
  <si>
    <t>LEH
CIBC-WORLD</t>
  </si>
  <si>
    <t>Lehman Brothers
CIBC World Markets Inc</t>
  </si>
  <si>
    <t>Williams Energy Partners LP</t>
  </si>
  <si>
    <t>WEG</t>
  </si>
  <si>
    <t>Lehman Brothers
Banc of America Securities LLC
Dain Rauscher Wessels
AG Edwards &amp; Sons Inc
UBS Warburg</t>
  </si>
  <si>
    <t>WMB</t>
  </si>
  <si>
    <t>The Williams Cos Inc</t>
  </si>
  <si>
    <t>LEH/BA-SEC-LLC(JOINT)//DAIN-R-WESSELS
/A-G-EDWARDS/UBS-WARBURG</t>
  </si>
  <si>
    <t>LEH
/BA-SEC-LLC(JOINT)
DAIN-R-WESSELS
A-G-EDWARDS
UBS-WARBURG</t>
  </si>
  <si>
    <t>KPMG Consulting Inc</t>
  </si>
  <si>
    <t>KCIN</t>
  </si>
  <si>
    <t>48265R109</t>
  </si>
  <si>
    <t>Morgan Stanley Dean Witter
Goldman Sachs &amp; Co
Merrill Lynch
JP Morgan
Banc of America Securities LLC
PNC Securities Corp
SG Cowen Securities Corp
Sanders &amp; Beckingham
Lehman Brothers
Blaylock &amp; Partners LP
Epoch Capital Corp
Edward D Jones &amp; Co
Janney Montgomery Scott Inc
BNY Capital Markets Inc
Morgan Stanley Dean Witter</t>
  </si>
  <si>
    <t>KPMG LLP</t>
  </si>
  <si>
    <t>MSDW//GS/MERRILL/JPM//BA-SEC-LLC
/PNC-SEC/SG-COWEN/SANDERS/LEH
/BLAYLOCK-PTRNS/EPOCH/ED-JONES/JANNEY
/BNY-CAP//MSDW(GC)</t>
  </si>
  <si>
    <t>MSDW
GS
MERRILL
JPM</t>
  </si>
  <si>
    <t>Morgan Stanley Dean Witter &amp; Co
Goldman Sachs &amp; Co
Merrill Lynch &amp; Co Inc
JP Morgan &amp; Co Inc</t>
  </si>
  <si>
    <t>Investors Capital Holdings Ltd</t>
  </si>
  <si>
    <t>ICH</t>
  </si>
  <si>
    <t>46147M108</t>
  </si>
  <si>
    <t>NYSE Alter</t>
  </si>
  <si>
    <t>Schneider Securities, Inc.
Investors Capital Corp
Berry-Shino Securities Inc
Kashner Davidson Securities
Neidiger, Tucker, Bruner Inc.
West Park Capital
Schneider Securities, Inc.</t>
  </si>
  <si>
    <t>SCHNEIDER//INVEST-CAPITAL//BERRY-SHINO
/KASHNER/NEIDIGER/WEST-PARK-CAP
//SCHNEIDER(GC)</t>
  </si>
  <si>
    <t>SCHNEIDER
INVEST-CAPITAL</t>
  </si>
  <si>
    <t>Schneider Securities, Inc.
Investors Capital Corp</t>
  </si>
  <si>
    <t>Oil States International Inc</t>
  </si>
  <si>
    <t>OIS</t>
  </si>
  <si>
    <t>Merrill Lynch
Credit Suisse First Boston
Simmons &amp; Co International
Merrill Lynch</t>
  </si>
  <si>
    <t>MERRILL(JB)/CS-FB-CS(JB)//SIMMONS
//MERRILL(GC)</t>
  </si>
  <si>
    <t>MERRILL
(JB)/CS-FB-CS(JB)
SIMMONS</t>
  </si>
  <si>
    <t>Merrill Lynch &amp; Co Inc
Credit Suisse First Boston Corp
Simmons &amp; Co International</t>
  </si>
  <si>
    <t>Merrill Lynch
Credit Suisse First Boston Inc
Simmons &amp; Co International
Merrill Lynch</t>
  </si>
  <si>
    <t>MERRILL//CSFB-INC//SIMMONS//MERRILL(GC)</t>
  </si>
  <si>
    <t>MERRILL
CSFB-INC</t>
  </si>
  <si>
    <t>Aquacell Technologies Inc</t>
  </si>
  <si>
    <t>AQUA</t>
  </si>
  <si>
    <t>SOMERSET-FIN</t>
  </si>
  <si>
    <t>03840N107</t>
  </si>
  <si>
    <t>Somerset Financial Group Inc
Kirlin Securities Inc.</t>
  </si>
  <si>
    <t>SOMERSET-FIN/KIRLIN(JOINT)</t>
  </si>
  <si>
    <t>SOMERSET-FIN/KIRLIN</t>
  </si>
  <si>
    <t>SOMERSET-FIN
/KIRLIN(JOINT)</t>
  </si>
  <si>
    <t>Third Wave Technologies Inc</t>
  </si>
  <si>
    <t>TWTI</t>
  </si>
  <si>
    <t>88428W108</t>
  </si>
  <si>
    <t>Lehman Brothers
CIBC World Markets Inc
Dain Rauscher Corp
Fidelity Capital Markets
Robert W Baird &amp; Co Inc
AG Edwards &amp; Sons Inc
Josephthal &amp; Co Inc
Edward D Jones &amp; Co
Wachovia Securities Inc
Tucker Anthony Inc
Pacific Growth Equities Inc
Legg Mason Wood Walker
JP Morgan Securities Inc
Chatsworth Securities LLC
Fahnestock &amp; Co
Gruntal &amp; Co Inc
SG Cowen Securities Corp
Lazard
Lehman Brothers</t>
  </si>
  <si>
    <t>LEH//CIBC-WORLD/DAIN-RAUSCHER
/FIDELITY-CAP/BAIRD//A-G-EDWARDS
/JOSEPHTHAL/ED-JONES/WACHOVIA-SEC
/TUCKER/PACIFIC-GROWTH/LEGG-MASON-WW
/J-P-MORGAN/CHATSWORTH/FAHNESTOCK
/GRUNTAL/SG-COWEN/LAZARD//LEH(GC)</t>
  </si>
  <si>
    <t>LEH
CIBC-WORLD
DAIN-RAUSCHER
FIDELITY-CAP
BAIRD</t>
  </si>
  <si>
    <t>Lehman Brothers
CIBC World Markets Inc
Dain Rauscher Corp
Fidelity Capital Markets
Robert W Baird &amp; Co Inc</t>
  </si>
  <si>
    <t>Lehman Brothers
CIBC World Markets Inc
Dain Rauscher Wessels
Robert W Baird &amp; Co Inc
Fidelity Capital Markets
SG Cowen Securities Corp
Lehman Brothers</t>
  </si>
  <si>
    <t>LEH//CIBC-WORLD//DAIN-R-WESSELS/BAIRD
/FIDELITY-CAP/SG-COWEN//LEH(GC)</t>
  </si>
  <si>
    <t>GMX Resources Inc</t>
  </si>
  <si>
    <t>GMXR</t>
  </si>
  <si>
    <t>38011M207</t>
  </si>
  <si>
    <t>PAULSON//I-BANKERS-SEC</t>
  </si>
  <si>
    <t>Riverstone Networks Inc</t>
  </si>
  <si>
    <t>RSTN</t>
  </si>
  <si>
    <t>Morgan Stanley Dean Witter
Lehman Brothers
JP Morgan Securities Inc
Salomon Smith Barney
AG Edwards &amp; Sons Inc
SunTrust Securities
UBS Warburg
SG Cowen Securities Corp
First Albany
W. E. Kaufman
Fleet Boston Corp
Ferris Baker Watts</t>
  </si>
  <si>
    <t>CS</t>
  </si>
  <si>
    <t>Cabletron Systems Inc</t>
  </si>
  <si>
    <t>MSDW//LEH/J-P-MORGAN/SALOMON-SMITH
//A-G-EDWARDS/SUN-TRUST-SEC/UBS-WARBURG
/SG-COWEN/FIRST-ALBANY/KAUFMAN
/FLEET-BOSTON/FERRIS-BAKER</t>
  </si>
  <si>
    <t>MSDW
LEH
J-P-MORGAN
SALOMON-SMITH</t>
  </si>
  <si>
    <t>Morgan Stanley Dean Witter &amp; Co
Lehman Brothers
JP Morgan Securities Inc
Salomon Smith Barney</t>
  </si>
  <si>
    <t>CNOOC Ltd</t>
  </si>
  <si>
    <t>MERRILL/CS-FB-CS(JB)
/BK-CHINA-INTL(JB)</t>
  </si>
  <si>
    <t>Merrill Lynch
Credit Suisse First Boston
Bank of China International
Deutsche Bank
UBS Warburg
JP Morgan
Lehman Brothers Asia
Merrill Lynch
Credit Suisse First Boston
Bank of China International</t>
  </si>
  <si>
    <t>China National Offshore Oil Co</t>
  </si>
  <si>
    <t>MERRILL(JB)/CS-FB-CS(JB)
/BK-CHINA-INTL(JB)//DEUTSCHE-BANK
/UBS-WARBURG/JPM/LEH-ASIA//MERRILL(GC)
/CS-FB-CS(GC)/BK-CHINA-INTL(GC)</t>
  </si>
  <si>
    <t>MERRILL/CS-FB-CS/BK-CHINA-INTL</t>
  </si>
  <si>
    <t>MERRILL
(JB)/CS-FB-CS(JB)
/BK-CHINA-INTL(JB)
DEUTSCHE-BANK
UBS-WARBURG
JPM
LEH-ASIA</t>
  </si>
  <si>
    <t>Merrill Lynch &amp; Co Inc
Credit Suisse First Boston Corp
Bank of China International Capital
Deutsche Bank
UBS Warburg
JP Morgan &amp; Co Inc
Lehman Brothers Asia</t>
  </si>
  <si>
    <t>AFC Enterprises Inc</t>
  </si>
  <si>
    <t>AFCE</t>
  </si>
  <si>
    <t>00104Q107</t>
  </si>
  <si>
    <t>Goldman Sachs &amp; Co
Credit Suisse First Boston
Deutsche Bank
Parker Jackson
Legg Mason Wood Walker
Loop Capital Markets
Prudential Securities Inc
Raymond James &amp; Associates Inc
Robinson-Humphrey Co
US Bancorp Piper Jaffray
BB&amp;T Capital Markets
Chapman Co
JJB Hilliard WL Lyons Inc
Morgan Keegan Inc
Ragen MacKenzie Group Inc
SunTrust Equitable Securities
Utendahl Capital Partners
Wachovia Securities Inc
Williams Capital Group LP
Goldman Sachs &amp; Co</t>
  </si>
  <si>
    <t>GS/CS-FB-CS(JOINT)//DEUTSCHE-BANK
//JACKSON/LEGG-MASON-WW/LOOP/PSI
/RAYMOND/ROBINSON/US-PIPER/BB-T-CAP
/CHAPMAN/HILLIARD/MORGAN-KEEGAN/RAGEN
/SUNTRUST-EQUI/UTENDAHL-CAP
/WACHOVIA-SEC/WILLIAMS-CAP//GS(GC)</t>
  </si>
  <si>
    <t>GS/CS-FB-CS</t>
  </si>
  <si>
    <t>GS
/CS-FB-CS(JOINT)
DEUTSCHE-BANK</t>
  </si>
  <si>
    <t>Goldman Sachs &amp; Co
Credit Suisse First Boston Corp
Deutsche Bank</t>
  </si>
  <si>
    <t>Hemosol Inc</t>
  </si>
  <si>
    <t>HMSL</t>
  </si>
  <si>
    <t>42369K102</t>
  </si>
  <si>
    <t>UBS Warburg
Dain Rauscher Corp
Bear Stearns &amp; Co Inc
JP Morgan
Prudential Securities Inc
Salomon Smith Barney
SG Cowen Securities Corp
UBS Bunting Warburg Inc
Adams Harkness &amp; Hill Inc
Robert W Baird &amp; Co Inc
Needham &amp; Co LLC</t>
  </si>
  <si>
    <t>UBS-WARBURG/DAIN-RAUSCHER(JOINT)//BEAR
/JPM/PSI/SALOMON-SMITH/SG-COWEN
/UBS-BUNTING/ADAMS-HARKNESS/BAIRD
/NEEDHAM</t>
  </si>
  <si>
    <t>UBS-WARBURG/DAIN-RAUSCHER</t>
  </si>
  <si>
    <t>UBS-WARBURG
/DAIN-RAUSCHER(JOINT)
BEAR
JPM
PSI
SALOMON-SMITH
SG-COWEN
UBS-BUNTING
ADAMS-HARKNESS
BAIRD
NEEDHAM</t>
  </si>
  <si>
    <t>UBS Warburg
Dain Rauscher Corp
Bear Stearns &amp; Co Inc
JP Morgan &amp; Co Inc
Prudential Securities Inc
Salomon Smith Barney
SG Cowen Securities Corp
UBS Bunting Warburg Inc
Adams Harkness &amp; Hill Inc
Robert W Baird &amp; Co Inc
Needham &amp; Co LLC</t>
  </si>
  <si>
    <t>Seattle Genetics Inc</t>
  </si>
  <si>
    <t>SGEN</t>
  </si>
  <si>
    <t>JP Morgan
CIBC World Markets Inc
Banc of America Securities LLC
AG Edwards &amp; Sons Inc
Ragen MacKenzie Group Inc</t>
  </si>
  <si>
    <t>JPM/CIBC-WORLD(JOINT)//BA-SEC-LLC
//A-G-EDWARDS/RAGEN</t>
  </si>
  <si>
    <t>JPM/CIBC-WORLD</t>
  </si>
  <si>
    <t>JPM
/CIBC-WORLD(JOINT)
BA-SEC-LLC</t>
  </si>
  <si>
    <t>JP Morgan &amp; Co Inc
CIBC World Markets Inc
Banc of America Securities LLC</t>
  </si>
  <si>
    <t>Stelmar Shipping Ltd</t>
  </si>
  <si>
    <t>Greece</t>
  </si>
  <si>
    <t>SJH</t>
  </si>
  <si>
    <t>JEFFERIES</t>
  </si>
  <si>
    <t>V8726M103</t>
  </si>
  <si>
    <t>Jefferies &amp; Co Inc
Alpha Finance AE
Credit Suisse First Boston
Credit Lyonnais SA
AG Edwards &amp; Sons Inc
ING Barings
Lazard
JP Morgan
Morgan Stanley Dean Witter
Ladenburg Thalmann &amp; Co
Southcoast Capital
Tucker Anthony Inc
First Security Van Kasper &amp; Co</t>
  </si>
  <si>
    <t>JEFFERIES/ALPHA-FINANCE(JOINT)
//CS-FB-CS/CRED-LYONNAIS/A-G-EDWARDS
/ING-BARINGS/LAZARD/JPM/MSDW/LADENBURG
/SOUTHCOAST/TUCKER/FIR-VAN-KASPER</t>
  </si>
  <si>
    <t>JEFFERIES/ALPHA-FINANCE</t>
  </si>
  <si>
    <t>JEFFERIES
/ALPHA-FINANCE(JOINT)</t>
  </si>
  <si>
    <t>Jefferies &amp; Co Inc
Alpha Finance AE</t>
  </si>
  <si>
    <t>Encore Acquisition Co</t>
  </si>
  <si>
    <t>EAC</t>
  </si>
  <si>
    <t>29255W100</t>
  </si>
  <si>
    <t>Goldman Sachs &amp; Co
Credit Suisse First Boston
Petrie Parkman &amp; Co Inc
Dain Rauscher Corp
First Union National Bancorp
Stephens Inc
Wasserstein Perella Securities
Sanders &amp; Beckingham
Prudential Securities Inc
Raymond James &amp; Associates Inc
Robertson, Colman &amp; Stephens
Josephthal &amp; Co Inc</t>
  </si>
  <si>
    <t>GS//CS-FB-CS/PETRIE-PARKMAN
/DAIN-RAUSCHER//FIRST-UNION/STEPHENS
/WP-SEC/SANDERS/PSI/RAYMOND/ROBERTSON
/JOSEPHTHAL</t>
  </si>
  <si>
    <t>GS
CS-FB-CS
PETRIE-PARKMAN
DAIN-RAUSCHER</t>
  </si>
  <si>
    <t>Goldman Sachs &amp; Co
Credit Suisse First Boston Corp
Petrie Parkman &amp; Co Inc
Dain Rauscher Corp</t>
  </si>
  <si>
    <t>Loudcloud Inc</t>
  </si>
  <si>
    <t>LDCL</t>
  </si>
  <si>
    <t>MSDW/GS(JB)</t>
  </si>
  <si>
    <t>Morgan Stanley Dean Witter
Goldman Sachs &amp; Co
Thomas Weisel Partners
Epoch Capital Corp
Allen &amp; Co Inc
CIBC World Markets Inc
Dain Rauscher Corp
Raymond James &amp; Associates Inc
Fleet Boston Corp
Wit Soundview Group Inc</t>
  </si>
  <si>
    <t>MSDW(JB)/GS(JB)//THOMAS-WEISEL/EPOCH
//ALLEN/CIBC-WORLD/DAIN-RAUSCHER
/RAYMOND/FLEET-BOSTON/WIT-SOUNDVIEW</t>
  </si>
  <si>
    <t>MSDW/GS</t>
  </si>
  <si>
    <t>MSDW
(JB)/GS(JB)
THOMAS-WEISEL
EPOCH</t>
  </si>
  <si>
    <t>Morgan Stanley Dean Witter &amp; Co
Goldman Sachs &amp; Co
Thomas Weisel Partners
Epoch Capital Corp</t>
  </si>
  <si>
    <t>SureBeam Corp(Titan Corp)</t>
  </si>
  <si>
    <t>SURE</t>
  </si>
  <si>
    <t>86866R102</t>
  </si>
  <si>
    <t>Merrill Lynch
Credit Suisse First Boston
First Union Securities Inc
AG Edwards &amp; Sons Inc
BB&amp;T Capital Markets
John Burnham &amp; Co
Gruntal &amp; Co Inc
Davenport
Gerard Klauer Mattison &amp; Co
Gilford Securities
Wells Fargo Bank NA
Merrill Lynch</t>
  </si>
  <si>
    <t>TTN</t>
  </si>
  <si>
    <t>Titan Corp</t>
  </si>
  <si>
    <t>MERRILL/CS-FB-CS(JOINT)
//FIRST-UNION-SEC/A-G-EDWARDS//BB-T-CAP
/BURNHAM-J/GRUNTAL/DAVENPORT
/GERARD-KLAUER/GILFORD/WELLS-FARGO
//MERRILL(GC)</t>
  </si>
  <si>
    <t>MERRILL
/CS-FB-CS(JOINT)
FIRST-UNION-SEC
A-G-EDWARDS</t>
  </si>
  <si>
    <t>Merrill Lynch &amp; Co Inc
Credit Suisse First Boston Corp
First Union Securities Inc
AG Edwards &amp; Sons Inc</t>
  </si>
  <si>
    <t>Merrill Lynch
Credit Suisse First Boston Inc
First Union Securities Inc
AG Edwards &amp; Sons Inc
Merrill Lynch</t>
  </si>
  <si>
    <t>MERRILL/CSFB-INC(JOINT)
//FIRST-UNION-SEC/A-G-EDWARDS
//MERRILL(GC)</t>
  </si>
  <si>
    <t>Verisity Ltd</t>
  </si>
  <si>
    <t>VRST</t>
  </si>
  <si>
    <t>M97385112</t>
  </si>
  <si>
    <t>Fleet Boston Corp
Dain Rauscher Corp
SG Cowen Securities Corp
Fleet Boston Corp</t>
  </si>
  <si>
    <t>FLEET-BOSTON//DAIN-RAUSCHER/SG-COWEN
//FLEET-BOSTON(GC)</t>
  </si>
  <si>
    <t>FLEET-BOSTON
DAIN-RAUSCHER
SG-COWEN</t>
  </si>
  <si>
    <t>Fleet Boston Corp,Boston,Massachusetts
Dain Rauscher Corp
SG Cowen Securities Corp</t>
  </si>
  <si>
    <t>FLEET-ROB-STEPH</t>
  </si>
  <si>
    <t>FleetBoston Robertson Stephens
Dain Rauscher Wessels
SG Cowen Securities Corp
FleetBoston Robertson Stephens</t>
  </si>
  <si>
    <t>FLEET-ROB-STEPH//DAIN-R-WESSELS
/SG-COWEN//FLEET-ROB-STEPH(GC)</t>
  </si>
  <si>
    <t>FleetBoston Robertson Stephens Inc</t>
  </si>
  <si>
    <t>Agere Systems Inc</t>
  </si>
  <si>
    <t>AGR.A</t>
  </si>
  <si>
    <t>MS</t>
  </si>
  <si>
    <t>00845V100</t>
  </si>
  <si>
    <t>Morgan Stanley &amp; Co
Bear Stearns &amp; Co Inc
JP Morgan
Salomon Smith Barney
ABN AMRO Rothschild
Blaylock &amp; Partners LP
SG Cowen Securities Corp
Deutsche Banc Alex Brown
Banc of America Securities LLC
CIBC World Markets Inc
HSBC Holdings PLC
Mellon Financial Services Inc
Paribas SA
Scotia Capital Markets
Williams Capital Group LP
Thomas Weisel Partners
Fleet Boston Corp
Merrill Lynch
Edward D Jones &amp; Co
ING Barings
AG Edwards &amp; Sons Inc
BNY Capital Markets Inc
Morgan Stanley Dean Witter</t>
  </si>
  <si>
    <t>LU</t>
  </si>
  <si>
    <t>Lucent Technologies Inc</t>
  </si>
  <si>
    <t>MS//BEAR/JPM/SALOMON-SMITH
/ABN-ROTHSCHILD/BLAYLOCK-PTRNS/SG-COWEN
/DEUTSCHE-ALEX-B//BA-SEC-LLC/CIBC-WORLD
/HSBC/MELLON-FIN/PARIBAS/SCOTIA-CAP-USA
/WILLIAMS-CAP/THOMAS-WEISEL
/FLEET-BOSTON/MERRILL/ED-JONES
/ING-BARINGS/A-G-EDWARDS/BNY-CAP
//MSDW(GC)</t>
  </si>
  <si>
    <t>MS
BEAR
JPM
SALOMON-SMITH
ABN-ROTHSCHILD
BLAYLOCK-PTRNS
SG-COWEN
DEUTSCHE-ALEX-B</t>
  </si>
  <si>
    <t>Morgan Stanley &amp; Co
Bear Stearns &amp; Co Inc
JP Morgan &amp; Co Inc
Salomon Smith Barney
ABN AMRO Rothschild
Blaylock &amp; Partners LP
SG Cowen Securities Corp
Deutsche Banc Alex Brown</t>
  </si>
  <si>
    <t>Nuveen California Dividend</t>
  </si>
  <si>
    <t>NVX</t>
  </si>
  <si>
    <t>67069X104</t>
  </si>
  <si>
    <t>Salomon Smith Barney
John Nuveen Co
AG Edwards &amp; Sons Inc
UBS Warburg LLC
First Union Securities Inc
Wedbush Securities
Sutro &amp; Co Inc
Crowell Weedon &amp; Co
Prudential Securities Inc
CIBC World Markets Inc
US Bancorp Piper Jaffray
Fahnestock &amp; Co
Legg Mason Wood Walker
Raymond James &amp; Associates Inc
Banque Stern
Wulff, Hansen
TD Securities Inc
Robinson-Humphrey Co
Quick &amp; Reilly Group, Inc.
Wayne Hummer &amp; Co
Gruntal &amp; Co Inc
Advest Inc
Deutsche Banc Alex Brown</t>
  </si>
  <si>
    <t>SALOMON-SMITH/NUVEEN(JOINT)
//A-G-EDWARDS/UBS-WARBURG-LLC
/FIRST-UNION-SEC/WEDBUSH-M/SUTRO
/CROWELL/PSI//CIBC-WORLD/US-PIPER
/FAHNESTOCK/LEGG-MASON-WW/RAYMOND/STERN
/WULFF-HANSEN/TD-SECURITIES/ROBINSON
/QUICK-REILLY/HUMMER/GRUNTAL/ADVEST
/DEUTSCHE-ALEX-B</t>
  </si>
  <si>
    <t>SALOMON-SMITH
/NUVEEN(JOINT)
A-G-EDWARDS
UBS-WARBURG-LLC
FIRST-UNION-SEC
WEDBUSH-M
SUTRO
CROWELL
PSI</t>
  </si>
  <si>
    <t>Salomon Smith Barney
John Nuveen Co
AG Edwards &amp; Sons Inc
UBS Warburg LLC
First Union Securities Inc
Wedbush Securities
Sutro &amp; Co Inc
Crowell Weedon &amp; Co
Prudential Securities Inc</t>
  </si>
  <si>
    <t>Nuveen NJ Div Avd Muni Fund</t>
  </si>
  <si>
    <t>NXJ</t>
  </si>
  <si>
    <t>67069Y102</t>
  </si>
  <si>
    <t>Salomon Smith Barney
John Nuveen Co
AG Edwards &amp; Sons Inc
UBS Warburg
Gruntal &amp; Co Inc
Legg Mason &amp; Co Inc
First Union National Bancorp
Prudential Securities Inc
CIBC World Markets Inc
US Bancorp Piper Jaffray
Fahnestock &amp; Co
Janney Montgomery Scott Inc
Raymond James &amp; Associates Inc
Tucker Anthony Inc
Robinson-Humphrey Co
Josephthal &amp; Co Inc
JJB Hilliard WL Lyons Inc
Advest Inc
Deutsche Bank</t>
  </si>
  <si>
    <t>SALOMON-SMITH/NUVEEN(JOINT)
//A-G-EDWARDS/UBS-WARBURG/GRUNTAL
/LEGG-MASON/FIRST-UNION/PSI//CIBC-WORLD
/US-PIPER/FAHNESTOCK/JANNEY/RAYMOND
/TUCKER/ROBINSON/JOSEPHTHAL/HILLIARD
/ADVEST/DEUTSCHE-BANK</t>
  </si>
  <si>
    <t>SALOMON-SMITH
/NUVEEN(JOINT)
A-G-EDWARDS
UBS-WARBURG
GRUNTAL
LEGG-MASON
FIRST-UNION
PSI</t>
  </si>
  <si>
    <t>Salomon Smith Barney
John Nuveen Co
AG Edwards &amp; Sons Inc
UBS Warburg
Gruntal &amp; Co Inc
Legg Mason &amp; Co Inc
First Union National Bancorp Inc.
Prudential Securities Inc</t>
  </si>
  <si>
    <t>Nuveen NY Div Adv Muni Fund 2</t>
  </si>
  <si>
    <t>NXK</t>
  </si>
  <si>
    <t>67070A101</t>
  </si>
  <si>
    <t>Salomon Smith Barney
John Nuveen Co
Deutsche Banc Alex Brown
AG Edwards &amp; Sons Inc
Prudential Securities Inc
UBS Warburg LLC
First Union National Bancorp
Gruntal &amp; Co Inc
CIBC World Markets Inc
Piper Jaffray Inc
Advest Inc
Fahnestock &amp; Co
Janney Montgomery Scott LLC
Josephthal &amp; Co Inc
Legg Mason &amp; Co Inc
McDonald Investments
Nutmeg Securities Ltd
Quick &amp; Reilly Inc
Raymond James &amp; Associates Inc
Robinson-Humphrey Co
Tucker Anthony Inc</t>
  </si>
  <si>
    <t>SALOMON-SMITH/NUVEEN(JOINT)
//DEUTSCHE-ALEX-B/A-G-EDWARDS/PSI
/UBS-WARBURG-LLC/FIRST-UNION/GRUNTAL
//CIBC-WORLD/PIPER-J/ADVEST/FAHNESTOCK
/JANNEY-LLC/JOSEPHTHAL/LEGG-MASON
/MCDONALD/NUTMEG-SEC/Q&amp;R/RAYMOND
/ROBINSON/TUCKER</t>
  </si>
  <si>
    <t>SALOMON-SMITH
/NUVEEN(JOINT)
DEUTSCHE-ALEX-B
A-G-EDWARDS
PSI
UBS-WARBURG-LLC
FIRST-UNION
GRUNTAL</t>
  </si>
  <si>
    <t>Salomon Smith Barney
John Nuveen Co
Deutsche Banc Alex Brown
AG Edwards &amp; Sons Inc
Prudential Securities Inc
UBS Warburg LLC
First Union National Bancorp Inc.
Gruntal &amp; Co Inc</t>
  </si>
  <si>
    <t>Nuveen Ohio Div Adv Muni Fund</t>
  </si>
  <si>
    <t>NXI</t>
  </si>
  <si>
    <t>67070C107</t>
  </si>
  <si>
    <t>Salomon Smith Barney
John Nuveen Co
AG Edwards &amp; Sons Inc
UBS Warburg
McDonald Investments
First Union National Bancorp
Prudential Securities Inc
Deutsche Bank
Stifel Nicolaus &amp; Co Inc
Robinson-Humphrey Co
Raymond James &amp; Associates Inc
Legg Mason &amp; Co Inc
Advest Inc
Fifth Third Bancorp
Gruntal &amp; Co Inc
Josephthal &amp; Co Inc
JJB Hilliard WL Lyons Inc
Fahnestock &amp; Co
US Bancorp Piper Jaffray</t>
  </si>
  <si>
    <t>SALOMON-SMITH/NUVEEN(JOINT)
//A-G-EDWARDS/UBS-WARBURG/MCDONALD
/FIRST-UNION/PSI//DEUTSCHE-BANK/STIFEL
/ROBINSON/RAYMOND/LEGG-MASON/ADVEST
/FIFTH-THIRD/GRUNTAL/JOSEPHTHAL
/HILLIARD/FAHNESTOCK/US-PIPER</t>
  </si>
  <si>
    <t>SALOMON-SMITH
/NUVEEN(JOINT)
A-G-EDWARDS
UBS-WARBURG
MCDONALD
FIRST-UNION
PSI</t>
  </si>
  <si>
    <t>Salomon Smith Barney
John Nuveen Co
AG Edwards &amp; Sons Inc
UBS Warburg
McDonald Investments Inc
First Union National Bancorp Inc.
Prudential Securities Inc</t>
  </si>
  <si>
    <t>Nuveen PA Div Adv Mun Fund</t>
  </si>
  <si>
    <t>NXM</t>
  </si>
  <si>
    <t>67070E103</t>
  </si>
  <si>
    <t>Salomon Smith Barney
John Nuveen Co
AG Edwards &amp; Sons Inc
Prudential Securities Inc
UBS Warburg LLC
First Union Securities Inc
Gruntal &amp; Co Inc
Janney Montgomery Scott Inc
Legg Mason Wood Walker
Fahnestock &amp; Co
Deutsche Banc Alex Brown
US Bancorp Piper Jaffray
Advest Inc
JJB Hilliard WL Lyons Inc
Parker-Hunter Inc
PMG Capital
Raymond James &amp; Associates Inc
Robinson-Humphrey Co
Tucker Anthony Inc</t>
  </si>
  <si>
    <t>SALOMON-SMITH/NUVEEN(JOINT)
//A-G-EDWARDS/PSI/UBS-WARBURG-LLC
/FIRST-UNION-SEC/GRUNTAL/JANNEY
/LEGG-MASON-WW/FAHNESTOCK
//DEUTSCHE-ALEX-B/US-PIPER/ADVEST
/HILLIARD/PARKER-HUNTER/PMG-CAP/RAYMOND
/ROBINSON/TUCKER</t>
  </si>
  <si>
    <t>SALOMON-SMITH
/NUVEEN(JOINT)
A-G-EDWARDS
PSI
UBS-WARBURG-LLC
FIRST-UNION-SEC
GRUNTAL
JANNEY
LEGG-MASON-WW
FAHNESTOCK</t>
  </si>
  <si>
    <t>Salomon Smith Barney
John Nuveen Co
AG Edwards &amp; Sons Inc
Prudential Securities Inc
UBS Warburg LLC
First Union Securities Inc
Gruntal &amp; Co Inc
Janney Montgomery Scott Inc
Legg Mason Wood Walker Inc
Fahnestock &amp; Co</t>
  </si>
  <si>
    <t>Nuveen Div Adv Muni Fund 2</t>
  </si>
  <si>
    <t>NXZ</t>
  </si>
  <si>
    <t>67070F100</t>
  </si>
  <si>
    <t>Salomon Smith Barney
John Nuveen Co
Deutsche Banc Alex Brown
Prudential Securities Inc
Dain Rauscher Wessels
First Union Securities Inc
Legg Mason Wood Walker
Raymond James &amp; Associates Inc
Gruntal &amp; Co Inc
Ferris Baker Watts
UBS Warburg LLC
AG Edwards &amp; Sons Inc
CIBC World Markets Inc
Advest Inc
BB&amp;T Capital Markets
Fahnestock &amp; Co
Janney Montgomery Scott Inc
Morgan Keegan Inc
Robinson-Humphrey Co
Ragen MacKenzie Group Inc
Mesirow Financial Corp
LaSalle Street Securities Inc
Kirkpatrick, Pettis, Smith, Po
Wayne Hummer &amp; Co
Howe Barnes Investments Inc
JJB Hilliard WL Lyons Inc
H&amp;R Block Financial Advisors
DA Davidson &amp; Co Inc
HC Wainwright &amp; Co Inc
Sterne Agee &amp; Leach Inc
M. L. Stern
Southwest Securities Group Inc
Quick &amp; Reilly Inc
David A. Noyes
Moors &amp; Cabot Inc
Coburn &amp; Meredith, Inc
City Securities
Anderson &amp; Strudwick
Allen &amp; Company of Florida
Wedbush Securities
Wachovia Bank NA
Tucker Anthony Inc
Stifel Nicolaus &amp; Co Inc
Stephens Inc
Josephthal &amp; Co Inc
Fifth Third Securities Inc
Crowell Weedon &amp; Co
William Blair &amp; Co
Robert W Baird &amp; Co Inc
Piper Jaffray Inc
McDonald Investments</t>
  </si>
  <si>
    <t>SALOMON-SMITH/NUVEEN(JOINT)
//DEUTSCHE-ALEX-B/PSI/DAIN-R-WESSELS
/FIRST-UNION-SEC/LEGG-MASON-WW/RAYMOND
/GRUNTAL/FERRIS-BAKER/UBS-WARBURG-LLC
/A-G-EDWARDS//CIBC-WORLD/ADVEST
/BB-T-CAP/FAHNESTOCK/JANNEY
/MORGAN-KEEGAN/ROBINSON/RAGEN
/MESIROW-FIN/LASALLE-SEC/KIRKPATRICK
/HUMMER/HOWE-BARNES/HILLIARD
/HR-BLOCK-FIN/DAVIDSON/H-C-WAINWRIGHT
/STERNE-AGEE/M-L-STERN/SOUTHWEST-SEC
/Q&amp;R/D-A-NOYES/MOORS/COBURN/CITY-SEC
/ANDERSON/ALLEN-FL/WEDBUSH-M/WACHOVIA
/TUCKER/STIFEL/STEPHENS/JOSEPHTHAL
/FIFTH-THIRD-SEC/CROWELL/WM-BLAIR/BAIRD
/PIPER-J/MCDONALD</t>
  </si>
  <si>
    <t>SALOMON-SMITH
/NUVEEN(JOINT)
DEUTSCHE-ALEX-B
PSI
DAIN-R-WESSELS
FIRST-UNION-SEC
LEGG-MASON-WW
RAYMOND
GRUNTAL
FERRIS-BAKER
UBS-WARBURG-LLC
A-G-EDWARDS</t>
  </si>
  <si>
    <t>Salomon Smith Barney
John Nuveen Co
Deutsche Banc Alex Brown
Prudential Securities Inc
Dain Rauscher Wessels
First Union Securities Inc
Legg Mason Wood Walker Inc
Raymond James &amp; Associates Inc
Gruntal &amp; Co Inc
Ferris Baker Watts Inc
UBS Warburg LLC
AG Edwards &amp; Sons Inc</t>
  </si>
  <si>
    <t>Select Medical Corp</t>
  </si>
  <si>
    <t>SLMC</t>
  </si>
  <si>
    <t>Merrill Lynch
JP Morgan
Credit Suisse First Boston
Societe Generale
CIBC World Markets Inc
First Union Securities Inc
Merrill Lynch</t>
  </si>
  <si>
    <t>MERRILL/JPM(JOINT)//CS-FB-CS/SOC-GEN
/CIBC-WORLD/FIRST-UNION-SEC
//MERRILL(GC)</t>
  </si>
  <si>
    <t>MERRILL/JPM</t>
  </si>
  <si>
    <t>MERRILL
/JPM(JOINT)
CS-FB-CS
SOC-GEN
CIBC-WORLD
FIRST-UNION-SEC</t>
  </si>
  <si>
    <t>Merrill Lynch &amp; Co Inc
JP Morgan &amp; Co Inc
Credit Suisse First Boston Corp
Societe Generale SA
CIBC World Markets Inc
First Union Securities Inc</t>
  </si>
  <si>
    <t>Merrill Lynch
JP Morgan
CIBC World Markets Inc
Credit Suisse First Boston Inc
SG Cowen Securities Corp
First Union Securities Inc
Merrill Lynch</t>
  </si>
  <si>
    <t>MERRILL/JPM(JOINT)//CIBC-WORLD/CSFB-INC
/SG-COWEN/FIRST-UNION-SEC//MERRILL(GC)</t>
  </si>
  <si>
    <t>MERRILL
/JPM(JOINT)</t>
  </si>
  <si>
    <t>Merrill Lynch &amp; Co Inc
JP Morgan &amp; Co Inc</t>
  </si>
  <si>
    <t>Shamrock Logistics LP</t>
  </si>
  <si>
    <t>UDL</t>
  </si>
  <si>
    <t>Goldman Sachs &amp; Co
Dain Rauscher Corp
AG Edwards &amp; Sons Inc
UBS Warburg LLC
Lehman Brothers</t>
  </si>
  <si>
    <t>UDS</t>
  </si>
  <si>
    <t>Ultramar Diamond Shamrock Corp</t>
  </si>
  <si>
    <t>GS//DAIN-RAUSCHER/A-G-EDWARDS
/UBS-WARBURG-LLC/LEH</t>
  </si>
  <si>
    <t>GS
DAIN-RAUSCHER
A-G-EDWARDS
UBS-WARBURG-LLC
LEH</t>
  </si>
  <si>
    <t>Aquila Inc(Utilicorp United)</t>
  </si>
  <si>
    <t>ILA</t>
  </si>
  <si>
    <t>LEH/MERRILL(JB)</t>
  </si>
  <si>
    <t>03840J106</t>
  </si>
  <si>
    <t>Lehman Brothers
Merrill Lynch
Salomon Smith Barney
Credit Lyonnais Securities USA
JP Morgan
Banc of America Securities LLC
Dain Rauscher Corp
Deutsche Banc Alex Brown
AG Edwards &amp; Sons Inc
Fidelity Capital Markets
First Union Securities Inc
Lazard
Prudential Securities Inc
UBS Warburg LLC
Robert W Baird &amp; Co Inc
Blaylock &amp; Partners LP
Chatsworth Securities LLC
Fahnestock &amp; Co
Janney Montgomery Scott Inc
Edward D Jones &amp; Co
Legg Mason Wood Walker
Neuberger Berman Inc
Petrie Parkman &amp; Co Inc
Pryor McClendon Counts &amp; Co
Ragen MacKenzie Group Inc
Raymond James &amp; Associates Inc
Sanders Morris Harris Inc
Security Investment Company
Simmons &amp; Co International
Stifel Nicolaus &amp; Co Inc
Utendahl Capital Partners
Lehman Brothers
Merrill Lynch</t>
  </si>
  <si>
    <t>LEH(JB)/MERRILL(JB)//SALOMON-SMITH
/CL-SEC-USA/JPM//BA-SEC-LLC
/DAIN-RAUSCHER/DEUTSCHE-ALEX-B
/A-G-EDWARDS/FIDELITY-CAP
/FIRST-UNION-SEC/LAZARD/PSI
/UBS-WARBURG-LLC/BAIRD/BLAYLOCK-PTRNS
/CHATSWORTH/FAHNESTOCK/JANNEY/ED-JONES
/LEGG-MASON-WW/NEUBERGER/PETRIE-PARKMAN
/PRYOR-MC/RAGEN/RAYMOND/SANDERS-HARRIS
/SEC-INVEST/SIMMONS/STIFEL/UTENDAHL-CAP
//LEH(GC)/MERRILL(GC)</t>
  </si>
  <si>
    <t>LEH/MERRILL</t>
  </si>
  <si>
    <t>LEH
(JB)/MERRILL(JB)
SALOMON-SMITH
CL-SEC-USA
JPM</t>
  </si>
  <si>
    <t>Lehman Brothers
Merrill Lynch &amp; Co Inc
Salomon Smith Barney
Credit Lyonnais Securities USA
JP Morgan &amp; Co Inc</t>
  </si>
  <si>
    <t>LEH/ML-I(JB)</t>
  </si>
  <si>
    <t>Lehman Brothers
Merrill Lynch Intl Ltd
Salomon Smith Barney
Credit Lyonnais Securities USA
JP Morgan
Lehman Brothers
Merrill Lynch Intl Ltd</t>
  </si>
  <si>
    <t>LEH(JB)/ML-I(JB)/SALOMON-SMITH(JOINT)
//CL-SEC-USA//JPM//LEH(GC)/ML-I(GC)</t>
  </si>
  <si>
    <t>LEH/ML-I/SALOMON-SMITH</t>
  </si>
  <si>
    <t>LEH
(JB)/ML-I(JB)
/SALOMON-SMITH(JOINT)
CL-SEC-USA</t>
  </si>
  <si>
    <t>Lehman Brothers
Merrill Lynch International Ltd
Salomon Smith Barney
Credit Lyonnais Securities USA</t>
  </si>
  <si>
    <t>Reliant Resources Inc</t>
  </si>
  <si>
    <t>RRI</t>
  </si>
  <si>
    <t>75952B105</t>
  </si>
  <si>
    <t>Goldman Sachs &amp; Co
Credit Suisse First Boston
ABN-AMRO Holding NV
Banc of America Securities LLC
Merrill Lynch
UBS Warburg
Deutsche Banc Alex Brown
Legg Mason Wood Walker
Commerzbank AG
First Union National Bancorp
MR Beal &amp; Co
BNY Capital Markets Inc
Guzman &amp; Co
Sanders &amp; Beckingham
Williams Capital Group LP
Raymond James &amp; Associates Inc
Edward D Jones &amp; Co
AG Edwards &amp; Sons Inc
Blaylock &amp; Partners LP
Dresdner Bank AG
Dain Rauscher Corp
Goldman Sachs &amp; Co</t>
  </si>
  <si>
    <t>REI</t>
  </si>
  <si>
    <t>Reliant Energy Inc</t>
  </si>
  <si>
    <t>GS/CS-FB-CS(JOINT)//ABN-AMRO/BA-SEC-LLC
/MERRILL/UBS-WARBURG/DEUTSCHE-ALEX-B
/LEGG-MASON-WW/COMMERZBANK/FIRST-UNION
/M-R-BEAL/BNY-CAP/GUZMAN/SANDERS
/WILLIAMS-CAP/RAYMOND/ED-JONES
/A-G-EDWARDS/BLAYLOCK-PTRNS/DRESDNER
/DAIN-RAUSCHER//GS(GC)</t>
  </si>
  <si>
    <t>GS
/CS-FB-CS(JOINT)</t>
  </si>
  <si>
    <t>Goldman Sachs &amp; Co
Credit Suisse First Boston Corp</t>
  </si>
  <si>
    <t>Briazz Inc</t>
  </si>
  <si>
    <t>10782M104</t>
  </si>
  <si>
    <t>WR Hambrecht &amp; Co LLC</t>
  </si>
  <si>
    <t>07/31/01
10/29/01
04/27/02</t>
  </si>
  <si>
    <t>0.064
56.464
9.112</t>
  </si>
  <si>
    <t>90
180
360</t>
  </si>
  <si>
    <t>3738.00
3286732.00
530412.00</t>
  </si>
  <si>
    <t>Simplex Solutions Inc</t>
  </si>
  <si>
    <t>SPLX</t>
  </si>
  <si>
    <t>Credit Suisse First Boston
Fleet Boston Corp
SG Cowen Securities Corp
Crowell Weedon &amp; Co
Dain Rauscher Corp
DA Davidson &amp; Co Inc
Gruntal &amp; Co Inc
Hoak Breedlove Wesneski &amp; Co
Hoefer &amp; Arnett Inc
Invemed Associates Inc
King &amp; Shaxson Holdings
Lebenthal
McDonald Investments
Merrill Lynch, Pierce, Fenner
PMG Capital
Prudential Securities Inc
Sands Brothers &amp; Co Ltd
Sutro &amp; Co Inc
Wedbush, Noble, Cooke
Wells Fargo Bank NA
Wit Soundview Group Inc
Credit Suisse First Boston</t>
  </si>
  <si>
    <t>CS-FB-CS//FLEET-BOSTON/SG-COWEN
//CROWELL/DAIN-RAUSCHER/DAVIDSON
/GRUNTAL/HOAK-BREEDLOVE/HOEFER-ARNETT
/INVEMED/KING/LEBENTHAL/MCDONALD/ML
/PMG-CAP/PSI/SANDS/SUTRO/WEDBUSH
/WELLS-FARGO/WIT-SOUNDVIEW
//CS-FB-CS(GC)</t>
  </si>
  <si>
    <t>CS-FB-CS
FLEET-BOSTON
SG-COWEN</t>
  </si>
  <si>
    <t>Credit Suisse First Boston Corp
Fleet Boston Corp,Boston,Massachusetts
SG Cowen Securities Corp</t>
  </si>
  <si>
    <t>Credit Suisse First Boston Inc
FleetBoston Robertson Stephens
SG Cowen Securities Corp
Credit Suisse First Boston Inc</t>
  </si>
  <si>
    <t>CSFB-INC//FLEET-ROB-STEPH/SG-COWEN
//CSFB-INC(GC)</t>
  </si>
  <si>
    <t>Credit Suisse First Boston Inc</t>
  </si>
  <si>
    <t>Taser International Inc</t>
  </si>
  <si>
    <t>TASR</t>
  </si>
  <si>
    <t>87651B203</t>
  </si>
  <si>
    <t>Paulson Investment Co</t>
  </si>
  <si>
    <t>Kinder Morgan Mgmt LLC</t>
  </si>
  <si>
    <t>KMR</t>
  </si>
  <si>
    <t>49455U100</t>
  </si>
  <si>
    <t>Goldman Sachs &amp; Co
CS First Boston Corp
Dain Rauscher Wessels
First Union National Bancorp
Lehman Brothers
AG Edwards &amp; Sons Inc
Legg Mason Wood Walker
Advest Inc
Sanders &amp; Beckingham
Prudential Securities Inc</t>
  </si>
  <si>
    <t>KMP</t>
  </si>
  <si>
    <t>Kinder Morgan Energy Partners</t>
  </si>
  <si>
    <t>GS//CS-FB/DAIN-R-WESSELS/FIRST-UNION
/LEH//A-G-EDWARDS/LEGG-MASON-WW/ADVEST
/SANDERS/PSI</t>
  </si>
  <si>
    <t>GS
CS-FB
DAIN-R-WESSELS
FIRST-UNION
LEH</t>
  </si>
  <si>
    <t>Goldman Sachs &amp; Co
CS First Boston Corp
Dain Rauscher Wessels
First Union National Bancorp Inc.
Lehman Brothers</t>
  </si>
  <si>
    <t>Satyam Computer Services Ltd</t>
  </si>
  <si>
    <t>SAY</t>
  </si>
  <si>
    <t>Merrill Lynch
Deutsche Banc Alex Brown
Banc of America Securities LLC
Credit Lyonnais Securities USA
Salomon Smith Barney
Merrill Lynch</t>
  </si>
  <si>
    <t>MERRILL//DEUTSCHE-ALEX-B/BA-SEC-LLC
/CL-SEC-USA/SALOMON-SMITH//MERRILL(GC)</t>
  </si>
  <si>
    <t>MERRILL
DEUTSCHE-ALEX-B
BA-SEC-LLC
CL-SEC-USA
SALOMON-SMITH</t>
  </si>
  <si>
    <t>Merrill Lynch &amp; Co Inc
Deutsche Banc Alex Brown
Banc of America Securities LLC
Credit Lyonnais Securities USA
Salomon Smith Barney</t>
  </si>
  <si>
    <t>Global Power Equipment Group</t>
  </si>
  <si>
    <t>GLPW</t>
  </si>
  <si>
    <t>CS-FB-CS
/SALOMON-SMITH(JB)</t>
  </si>
  <si>
    <t>37941P108</t>
  </si>
  <si>
    <t>Credit Suisse First Boston
Salomon Smith Barney
Deutsche Banc Alex Brown
Raymond James &amp; Associates Inc
Banc of America Securities LLC
CIBC World Markets Inc
Dain Rauscher Corp
Dresdner Kleinwort Wasserstein
Merrill Lynch
Fleet Boston Corp
US Bancorp Piper Jaffray
Jefferies &amp; Co Inc
Johnson Rice &amp; Co
Morgan Keegan Inc
Sanders &amp; Beckingham
Tucker Anthony Inc
Credit Suisse First Boston
Salomon Smith Barney</t>
  </si>
  <si>
    <t>CS-FB-CS(JB)/SALOMON-SMITH(JB)
//DEUTSCHE-ALEX-B/RAYMOND//BA-SEC-LLC
/CIBC-WORLD/DAIN-RAUSCHER
/DRES-KLEIN-WASS/MERRILL/FLEET-BOSTON
/US-PIPER/JEFFERIES/JOHNSON-RICE
/MORGAN-KEEGAN/SANDERS/TUCKER
//CS-FB-CS(GC)/SALOMON-SMITH(GC)</t>
  </si>
  <si>
    <t>CS-FB-CS/SALOMON-SMITH</t>
  </si>
  <si>
    <t>CS-FB-CS
(JB)/SALOMON-SMITH(JB)
DEUTSCHE-ALEX-B
RAYMOND</t>
  </si>
  <si>
    <t>Credit Suisse First Boston Corp
Salomon Smith Barney
Deutsche Banc Alex Brown
Raymond James &amp; Associates Inc</t>
  </si>
  <si>
    <t>Credit Suisse First Boston Inc
Salomon Smith Barney
Deutsche Banc Alex Brown
Raymond James &amp; Associates Inc
Credit Suisse First Boston Inc
Salomon Smith Barney</t>
  </si>
  <si>
    <t>CSFB-INC(JB)/SALOMON-SMITH(JB)
//DEUTSCHE-ALEX-B/RAYMOND//CSFB-INC(GC)
/SALOMON-SMITH(GC)</t>
  </si>
  <si>
    <t>CSFB-INC
(JB)/SALOMON-SMITH(JB)</t>
  </si>
  <si>
    <t>Credit Suisse First Boston Inc
Salomon Smith Barney</t>
  </si>
  <si>
    <t>Instinet Group Inc</t>
  </si>
  <si>
    <t>INGP</t>
  </si>
  <si>
    <t>Credit Suisse First Boston
Deutsche Banc Alex Brown
Bear Stearns &amp; Co Inc
JP Morgan
Salomon Smith Barney
WR Hambrecht &amp; Co LLC
Merrill Lynch
CIBC World Markets Inc
Prudential Securities Inc
Fleet Boston Corp
US Bancorp Piper Jaffray
Thomas Weisel Partners
SG Cowen Securities Corp
First Union Securities Inc
Dain Rauscher Corp
Robertson Stephens &amp; Co
William Blair &amp; Co
Credit Suisse First Boston</t>
  </si>
  <si>
    <t>RTRS</t>
  </si>
  <si>
    <t>Reuters Group PLC</t>
  </si>
  <si>
    <t>CS-FB-CS/DEUTSCHE-ALEX-B(JOINT)//BEAR
/JPM/SALOMON-SMITH/W-R-HAMBRECHT
/MERRILL//CIBC-WORLD/PSI/FLEET-BOSTON
/US-PIPER/THOMAS-WEISEL/SG-COWEN
/FIRST-UNION-SEC/DAIN-RAUSCHER
/ROBERTSON-S/WM-BLAIR//CS-FB-CS(GC)</t>
  </si>
  <si>
    <t>CS-FB-CS
/DEUTSCHE-ALEX-B(JOINT)
BEAR
JPM
SALOMON-SMITH
W-R-HAMBRECHT
MERRILL</t>
  </si>
  <si>
    <t>Credit Suisse First Boston Corp
Deutsche Banc Alex Brown
Bear Stearns &amp; Co Inc
JP Morgan &amp; Co Inc
Salomon Smith Barney
WR Hambrecht &amp; Co LLC
Merrill Lynch &amp; Co Inc</t>
  </si>
  <si>
    <t>Tellium Inc</t>
  </si>
  <si>
    <t>TELM</t>
  </si>
  <si>
    <t>87967E107</t>
  </si>
  <si>
    <t>Morgan Stanley
Thomas Weisel Partners
UBS Warburg
Wit Soundview Group Inc
CIBC World Markets Inc
Robert W Baird &amp; Co Inc
Brad Peery Inc
AG Edwards &amp; Sons Inc
First Albany
Neuberger Berman Inc
Edward D Jones &amp; Co
Dain Rauscher Corp</t>
  </si>
  <si>
    <t>08/15/01
11/13/01</t>
  </si>
  <si>
    <t>3.986
71.253</t>
  </si>
  <si>
    <t>90
180</t>
  </si>
  <si>
    <t>4356188.00
77874325.00</t>
  </si>
  <si>
    <t>MORGAN-STANLEY/THOMAS-WEISEL(JOINT)
//UBS-WARBURG/WIT-SOUNDVIEW/CIBC-WORLD
//BAIRD/BRADPE/A-G-EDWARDS/FIRST-ALBANY
/NEUBERGER/ED-JONES/DAIN-RAUSCHER</t>
  </si>
  <si>
    <t>MORGAN-STANLEY/THOMAS-WEISEL</t>
  </si>
  <si>
    <t>MORGAN-STANLEY
/THOMAS-WEISEL(JOINT)
UBS-WARBURG
WIT-SOUNDVIEW
CIBC-WORLD</t>
  </si>
  <si>
    <t>Morgan Stanley
Thomas Weisel Partners
UBS Warburg
Wit Soundview Group Inc
CIBC World Markets Inc</t>
  </si>
  <si>
    <t>Siderca SAIC</t>
  </si>
  <si>
    <t>SDT</t>
  </si>
  <si>
    <t>JP Morgan
JP Morgan</t>
  </si>
  <si>
    <t>JPM//JPM(GC)</t>
  </si>
  <si>
    <t>JP Morgan &amp; Co Inc</t>
  </si>
  <si>
    <t>Peabody Energy Corp</t>
  </si>
  <si>
    <t>BTY</t>
  </si>
  <si>
    <t>Lehman Brothers
Bear Stearns &amp; Co Inc
Morgan Stanley
AG Edwards &amp; Sons Inc
UBS Warburg
Merrill Lynch
ABN-AMRO Holding NV
Sanders &amp; Beckingham
Petrie Parkman &amp; Co Inc
Edward D Jones &amp; Co
Johnson Rice &amp; Co
First Southwest
Fahnestock &amp; Co
Chatsworth Securities LLC
Prudential Securities Inc
Scotia Capital Markets
SG Cowen Securities Corp
Cazenove &amp; Co
Stifel Nicolaus &amp; Co Inc
Fleet Boston Corp
Fidelity Capital Markets
Lehman Brothers</t>
  </si>
  <si>
    <t>Lehman Brothers Merchant</t>
  </si>
  <si>
    <t>LEH//BEAR/MORGAN-STANLEY/A-G-EDWARDS
/UBS-WARBURG/MERRILL//ABN-AMRO/SANDERS
/PETRIE-PARKMAN/ED-JONES/JOHNSON-RICE
/FIRST-SW/FAHNESTOCK/CHATSWORTH/PSI
/SCOTIA-CAP-USA/SG-COWEN/CAZENOVE
/STIFEL/FLEET-BOSTON/FIDELITY-CAP
//LEH(GC)</t>
  </si>
  <si>
    <t>LEH
BEAR
MORGAN-STANLEY
A-G-EDWARDS
UBS-WARBURG
MERRILL</t>
  </si>
  <si>
    <t>Lehman Brothers
Bear Stearns &amp; Co Inc
Morgan Stanley
AG Edwards &amp; Sons Inc
UBS Warburg
Merrill Lynch &amp; Co Inc</t>
  </si>
  <si>
    <t>Lehman Brothers
Bear Stearns &amp; Co Inc
Merrill Lynch
Morgan Stanley Dean Witter
UBS Warburg (UK)
Cazenove &amp; Co
Lehman Brothers</t>
  </si>
  <si>
    <t>005</t>
  </si>
  <si>
    <t>LEH/BEAR/MERRILL/MSDW
/UBS-WARBURG-UK(JOINT)//CAZENOVE
//LEH(GC)</t>
  </si>
  <si>
    <t>LEH/BEAR/MERRILL/MSDW/UBS-WARBURG-UK</t>
  </si>
  <si>
    <t>LEH
/BEAR
/MERRILL
/MSDW
/UBS-WARBURG-UK(JOINT)
CAZENOVE</t>
  </si>
  <si>
    <t>Lehman Brothers
Bear Stearns &amp; Co Inc
Merrill Lynch &amp; Co Inc
Morgan Stanley Dean Witter &amp; Co
UBS Warburg (UK)
Cazenove &amp; Co</t>
  </si>
  <si>
    <t>Smith &amp; Wollensky Rntnt Grp</t>
  </si>
  <si>
    <t>SWRG</t>
  </si>
  <si>
    <t>CE Unterberg Towbin
McDonald Investments
Morgan Keegan Inc
Banc of America Securities LLC
Dain Rauscher Corp
AG Edwards &amp; Sons Inc
JP Morgan
US Bancorp Piper Jaffray
SG Cowen Securities Corp
Thomas Weisel Partners
Fahnestock &amp; Co
Gerard Klauer Mattison &amp; Co
SunTrust Equitable Securities
Wedbush Securities
WR Hambrecht &amp; Co LLC</t>
  </si>
  <si>
    <t>UNTERBERG//MCDONALD/MORGAN-KEEGAN
//BA-SEC-LLC/DAIN-RAUSCHER/A-G-EDWARDS
/JPM/US-PIPER/SG-COWEN/THOMAS-WEISEL
/FAHNESTOCK/GERARD-KLAUER/SUNTRUST-EQUI
/WEDBUSH-M/W-R-HAMBRECHT</t>
  </si>
  <si>
    <t>UNTERBERG
MCDONALD
MORGAN-KEEGAN</t>
  </si>
  <si>
    <t>CE Unterberg Towbin
McDonald Investments Inc
Morgan Keegan Inc</t>
  </si>
  <si>
    <t>Cohen &amp; Steers Adv Inc Fund In</t>
  </si>
  <si>
    <t>RLF</t>
  </si>
  <si>
    <t>19247W102</t>
  </si>
  <si>
    <t>Salomon Smith Barney
UBS Warburg
Legg Mason Wood Walker
Prudential Securities Group
Raymond James &amp; Associates Inc
First Union Securities Inc
CIBC World Markets Inc
JJB Hilliard WL Lyons Inc
Gruntal &amp; Co Inc
Wachovia Bank NA
Tucker Anthony Inc
Stifel Nicolaus &amp; Co Inc
Robinson-Humphrey Co
Quick &amp; Reilly Group, Inc.
McDonald Investments
Josephthal &amp; Co Inc
Janney Montgomery Scott Inc
Dain Rauscher Corp
US Bancorp Piper Jaffray
Crowell Weedon &amp; Co
Fahnestock &amp; Co
Advest Inc
AG Edwards &amp; Sons Inc</t>
  </si>
  <si>
    <t>SALOMON-SMITH//UBS-WARBURG
/LEGG-MASON-WW/PRU-SEC-GROUP/RAYMOND
/FIRST-UNION-SEC//CIBC-WORLD/HILLIARD
/GRUNTAL/WACHOVIA/TUCKER/STIFEL
/ROBINSON/QUICK-REILLY/MCDONALD
/JOSEPHTHAL/JANNEY/DAIN-RAUSCHER
/US-PIPER/CROWELL/FAHNESTOCK/ADVEST
/A-G-EDWARDS</t>
  </si>
  <si>
    <t>SALOMON-SMITH
UBS-WARBURG
LEGG-MASON-WW
PRU-SEC-GROUP
RAYMOND
FIRST-UNION-SEC</t>
  </si>
  <si>
    <t>Salomon Smith Barney
UBS Warburg
Legg Mason Wood Walker Inc
Prudential Securities Group Inc
Raymond James &amp; Associates Inc
First Union Securities Inc</t>
  </si>
  <si>
    <t>Unilab Corp</t>
  </si>
  <si>
    <t>ULAB</t>
  </si>
  <si>
    <t>Credit Suisse First Boston
Salomon Smith Barney
US Bancorp Piper Jaffray
Dresdner Bank AG
First Union National Bancorp
Needham &amp; Co LLC
SG Cowen Securities Corp
Stephens Inc
Credit Suisse First Boston
Salomon Smith Barney</t>
  </si>
  <si>
    <t>CS-FB-CS(JB)/SALOMON-SMITH(JB)
//US-PIPER//DRESDNER/FIRST-UNION
/NEEDHAM/SG-COWEN/STEPHENS
//CS-FB-CS(GC)/SALOMON-SMITH(GC)</t>
  </si>
  <si>
    <t>CS-FB-CS
(JB)/SALOMON-SMITH(JB)
US-PIPER</t>
  </si>
  <si>
    <t>Credit Suisse First Boston Corp
Salomon Smith Barney
US Bancorp Piper Jaffray Inc</t>
  </si>
  <si>
    <t>Credit Suisse First Boston Inc
Salomon Smith Barney
Piper Jaffray Inc
Credit Suisse First Boston Inc
Salomon Smith Barney</t>
  </si>
  <si>
    <t>CSFB-INC(JB)/SALOMON-SMITH(JB)//PIPER-J
//CSFB-INC(GC)/SALOMON-SMITH(GC)</t>
  </si>
  <si>
    <t>Alliance Data Systems Corp</t>
  </si>
  <si>
    <t>018581108</t>
  </si>
  <si>
    <t>Bear Stearns &amp; Co Inc
Merrill Lynch
Credit Suisse First Boston
Banc of America Securities LLC
Deutsche Bank
First Union Securities Inc
Lazard
Lehman Brothers
JP Morgan
Fleet Boston Corp
SG Cowen Securities Corp
UBS Warburg
Wit Soundview Group Inc
Adams Harkness &amp; Hill Inc
William Blair &amp; Co
Blaylock &amp; Partners LP
Chatsworth Securities LLC
Fox-Pitt Kelton
Gaines, Berland
Gerard Klauer Mattison &amp; Co
Hoak Breedlove Wesneski &amp; Co
Josephthal &amp; Co Inc
McDonald Investments
Nesbitt Burns Securities
Raymond James &amp; Associates Inc
Sanders Morris Harris Inc
CE Unterberg Towbin</t>
  </si>
  <si>
    <t>BEAR/MERRILL(JOINT)//CS-FB-CS
//BA-SEC-LLC/DEUTSCHE-BANK
/FIRST-UNION-SEC/LAZARD/LEH/JPM
/FLEET-BOSTON/SG-COWEN/UBS-WARBURG
/WIT-SOUNDVIEW/ADAMS-HARKNESS/WM-BLAIR
/BLAYLOCK-PTRNS/CHATSWORTH/FOX-PITT
/GAINES-BERLAND/GERARD-KLAUER
/HOAK-BREEDLOVE/JOSEPHTHAL/MCDONALD
/NESBITT-SEC/RAYMOND/SANDERS-HARRIS
/UNTERBERG</t>
  </si>
  <si>
    <t>BEAR/MERRILL</t>
  </si>
  <si>
    <t>BEAR
/MERRILL(JOINT)
CS-FB-CS</t>
  </si>
  <si>
    <t>Bear Stearns &amp; Co Inc
Merrill Lynch &amp; Co Inc
Credit Suisse First Boston Corp</t>
  </si>
  <si>
    <t>Torch Offshore Inc</t>
  </si>
  <si>
    <t>TORC</t>
  </si>
  <si>
    <t>UBS Warburg
CIBC World Markets Inc
Howard Weil Labouisse Freid
Ladenburg Thalmann &amp; Co
Morgan Keegan Inc
Petrie Parkman &amp; Co Inc
Raymond James &amp; Associates Inc
CE Unterberg Towbin
Doley Securities
First Southwest
Janco Partners
CL King &amp; Associates Inc
Sanders Morris Mundy Inc
UBS Warburg</t>
  </si>
  <si>
    <t>UBS-WARBURG//CIBC-WORLD/HOWARD-WEIL
//LADENBURG/MORGAN-KEEGAN
/PETRIE-PARKMAN/RAYMOND/UNTERBERG
/DOLEY-SEC/FIRST-SW/JANCO-PARTNERS
/CL-KING/SANDERS-MORRIS
//UBS-WARBURG(GC)</t>
  </si>
  <si>
    <t>UBS-WARBURG
CIBC-WORLD
HOWARD-WEIL</t>
  </si>
  <si>
    <t>UBS Warburg
CIBC World Markets Inc
Howard Weil Labouisse Friedrichs Inc</t>
  </si>
  <si>
    <t>UBS Warburg (UK)
CIBC World Markets Inc
Howard Weil Financial Corp
UBS Warburg (UK)</t>
  </si>
  <si>
    <t>UBS-WARBURG-UK//CIBC-WORLD
/HOWARD-WEIL-FIN//UBS-WARBURG-UK(GC)</t>
  </si>
  <si>
    <t>United Surgical Partners Intl</t>
  </si>
  <si>
    <t>USPI</t>
  </si>
  <si>
    <t>Credit Suisse First Boston
Lehman Brothers
SG Cowen Securities Corp
Advest Inc
Banc of America Securities LLC
Chapman Co
CIBC World Markets Inc
Deutsche Banc Alex Brown
Fahnestock &amp; Co
First Southwest
Gerard Klauer Mattison &amp; Co
Gruntal &amp; Co Inc
Invemed Associates Inc
Jefferies &amp; Co Inc
King &amp; Shaxson Holdings
Legg Mason &amp; Co Inc
McDonald Investments
Prudential Securities Inc
Raymond James &amp; Associates Inc
Sanders Morris Mundy Inc
Stephens Inc
SunTrust Securities
US Bancorp Piper Jaffray
HC Wainwright &amp; Co Inc
First Union National Bancorp
Credit Suisse First Boston</t>
  </si>
  <si>
    <t>CS-FB-CS//LEH/SG-COWEN//ADVEST
/BA-SEC-LLC/CHAPMAN/CIBC-WORLD
/DEUTSCHE-ALEX-B/FAHNESTOCK/FIRST-SW
/GERARD-KLAUER/GRUNTAL/INVEMED
/JEFFERIES/KING/LEGG-MASON/MCDONALD/PSI
/RAYMOND/SANDERS-MORRIS/STEPHENS
/SUN-TRUST-SEC/US-PIPER/H-C-WAINWRIGHT
/FIRST-UNION//CS-FB-CS(GC)</t>
  </si>
  <si>
    <t>CS-FB-CS
LEH
SG-COWEN</t>
  </si>
  <si>
    <t>Credit Suisse First Boston Corp
Lehman Brothers
SG Cowen Securities Corp</t>
  </si>
  <si>
    <t>Credit Suisse First Boston Inc
Lehman Brothers
SG Cowen Securities Corp
Credit Suisse First Boston Inc</t>
  </si>
  <si>
    <t>CSFB-INC//LEH/SG-COWEN//CSFB-INC(GC)</t>
  </si>
  <si>
    <t>CSFB-INC
LEH
SG-COWEN</t>
  </si>
  <si>
    <t>Credit Suisse First Boston Inc
Lehman Brothers
SG Cowen Securities Corp</t>
  </si>
  <si>
    <t>Willis Group Holdings Ltd</t>
  </si>
  <si>
    <t>G96655108</t>
  </si>
  <si>
    <t>Salomon Smith Barney
JP Morgan
Morgan Stanley
Banc of America Securities LLC
Merrill Lynch
UBS Warburg
Dowling &amp; Partners Securities
Keefe Bruyette &amp; Woods Inc
Neuberger Berman Inc
Legg Mason &amp; Co Inc
Conning &amp; Co
Cochran, Caronia &amp; Co.
BNP Paribas SA
Muriel Siebert &amp; Co
The Shemano Group, Inc.
Janney Montgomery Scott Inc
AG Edwards &amp; Sons Inc
First Union Securities Inc
Friedman Manger
Fox-Pitt Kelton
Epoch Capital Corp</t>
  </si>
  <si>
    <t>SALOMON-SMITH//JPM/MORGAN-STANLEY
/BA-SEC-LLC/MERRILL/UBS-WARBURG//DOWL
/KEEFE/NEUBERGER/LEGG-MASON
/CONNING-COMPANY/COCHRAN-CARONIA
/BNP-PARIBAS/MURIEL/SHEMANO/JANNEY
/A-G-EDWARDS/FIRST-UNION-SEC/FRIEDMAN
/FOX-PITT/EPOCH</t>
  </si>
  <si>
    <t>SALOMON-SMITH
JPM
MORGAN-STANLEY
BA-SEC-LLC
MERRILL
UBS-WARBURG</t>
  </si>
  <si>
    <t>Salomon Smith Barney
JP Morgan &amp; Co Inc
Morgan Stanley
Banc of America Securities LLC
Merrill Lynch &amp; Co Inc
UBS Warburg</t>
  </si>
  <si>
    <t>Kraft Foods Inc</t>
  </si>
  <si>
    <t>KFT</t>
  </si>
  <si>
    <t>50075N104</t>
  </si>
  <si>
    <t>Credit Suisse First Boston
Salomon Smith Barney
Deutsche Banc Alex Brown
UBS Warburg
HSBC Holdings PLC
Blaylock &amp; Partners LP
Prudential Securities Inc
Sanford C Bernstein &amp; Co Inc
Utendahl Capital Partners
Samuel A. Ramirez &amp; Co.
Dresdner Bank AG
Lehman Brothers
BNP Paribas SA
Morgan Stanley
JP Morgan
ABN AMRO Rothschild
Fleet Boston Corp
BNY Capital Markets Inc
Davenport
Invemed Associates Inc
Advest Inc
Adams Harkness &amp; Hill Inc
Gruntal &amp; Co Inc
Gardner Rich &amp; Co
Fahnestock &amp; Co
Doley Securities
DA Davidson &amp; Co Inc
Danske Traelastkompagni AS
DLJdirect
Crowell Weedon &amp; Co
Raymond James &amp; Associates Inc
Pryor Govan Counts &amp; Co Inc
Parker-Hunter Inc
Ormes Capital Markets Inc
Neuberger Berman Inc
Mizuho Intl PLC
Melvin Securities Corporation
McDonald Investments
Williams Capital Group LP
Tucker Anthony Inc
Sturdivant &amp; Co Inc
Stifel Nicolaus &amp; Co Inc
Stephens Inc
Banco Santander de Negocios SA
Sanders Morris Harris Inc
Redwood Capital Markets
Loop Capital Markets
Legg Mason &amp; Co Inc
Lebenthal
Janney Montgomery Scott Inc
King &amp; Shaxson Holdings
Parker Jackson
Banca Intesa SpA
Guzman &amp; Co
Chatsworth Securities LLC
Chapman Co
BOE Merchant Bank
Blair House
Banque Europeenne l'Amer Lat
BBVA
BB&amp;T Capital Markets
Banca Akros SpA
Robert W Baird &amp; Co Inc
AG Edwards &amp; Sons Inc
Dain Rauscher Corp
Muriel Siebert &amp; Co
SG Cowen Securities Corp
ING Barings
Credit Lyonnais Securities USA
Credit Suisse First Boston
Salomon Smith Barney</t>
  </si>
  <si>
    <t>12/09/01
12/09/01</t>
  </si>
  <si>
    <t>MO</t>
  </si>
  <si>
    <t>Philip Morris Cos Inc</t>
  </si>
  <si>
    <t>CS-FB-CS(JB)/SALOMON-SMITH(JB)
//DEUTSCHE-ALEX-B/UBS-WARBURG/HSBC
/BLAYLOCK-PTRNS/PSI/BERNSTEIN
/UTENDAHL-CAP/RAMIREZ/DRESDNER/LEH
/BNP-PARIBAS/MORGAN-STANLEY/JPM
//ABN-ROTHSCHILD/FLEET-BOSTON/BNY-CAP
/DAVENPORT/INVEMED/ADVEST
/ADAMS-HARKNESS/GRUNTAL/GARDNER-RICH
/FAHNESTOCK/DOLEY-SEC/DAVIDSON/DANSKE
/DLJ-DIRECT/CROWELL/RAYMOND/PRYOR
/PARKER-HUNTER/ORMES/NEUBERGER/MILTD
/MELVIN-SEC/MCDONALD/WILLIAMS-CAP
/TUCKER/STURDIVANT/STIFEL/STEPHENS
/SANTANDER/SANDERS-HARRIS/REDWOOD/LOOP
/LEGG-MASON/LEBENTHAL/JANNEY/KING
/JACKSON/INTESA/GUZMAN/CHATSWORTH
/CHAPMAN/BOE/BLAIR/BEAL/BBVA/BB-T-CAP
/BANCA-AKROS/BAIRD/A-G-EDWARDS
/DAIN-RAUSCHER/MURIEL/SG-COWEN
/ING-BARINGS/CL-SEC-USA//CS-FB-CS(GC)
/SALOMON-SMITH(GC)</t>
  </si>
  <si>
    <t>CS-FB-CS
(JB)/SALOMON-SMITH(JB)
DEUTSCHE-ALEX-B
UBS-WARBURG
HSBC
BLAYLOCK-PTRNS
PSI
BERNSTEIN
UTENDAHL-CAP
RAMIREZ
DRESDNER
LEH
BNP-PARIBAS
MORGAN-STANLEY
JPM</t>
  </si>
  <si>
    <t>Credit Suisse First Boston Corp
Salomon Smith Barney
Deutsche Banc Alex Brown
UBS Warburg
HSBC Holdings PLC (United Kingdom)
Blaylock &amp; Partners LP
Prudential Securities Inc
Sanford C Bernstein &amp; Co Inc
Utendahl Capital Partners
Samuel A. Ramirez &amp; Co.
Dresdner Bank AG
Lehman Brothers
BNP Paribas SA
Morgan Stanley
JP Morgan &amp; Co Inc</t>
  </si>
  <si>
    <t>Credit Suisse First Boston Inc
Salomon Smith Barney
Deutsche Banc Alex Brown
JP Morgan
Morgan Stanley Dean Witter
UBS Warburg (UK)
Blaylock &amp; Partners LP
BNP Paribas SA
Dresdner Kleinwort Wasserstein
HSBC Investment Banking Ltd
Lehman Brothers
Prudential Securities Inc
Sanford C Bernstein &amp; Co Inc
Utendahl Capital Partners
Samuel A. Ramirez &amp; Co.
Credit Suisse First Boston Inc
Salomon Smith Barney</t>
  </si>
  <si>
    <t>CSFB-INC(JB)/SALOMON-SMITH(JB)
//DEUTSCHE-ALEX-B/JPM/MSDW
/UBS-WARBURG-UK/BLAYLOCK-PTRNS
/BNP-PARIBAS/DRES-KLEIN-WASS
/HSBC-INVEST/LEH/PSI/BERNSTEIN
/UTENDAHL-CAP/RAMIREZ//CSFB-INC(GC)
/SALOMON-SMITH(GC)</t>
  </si>
  <si>
    <t>General Maritime Corp</t>
  </si>
  <si>
    <t>GMR</t>
  </si>
  <si>
    <t>Y2692M103</t>
  </si>
  <si>
    <t>Lehman Brothers
ABN AMRO Rothschild
Jefferies &amp; Co Inc
Dain Rauscher Wessels
AG Edwards &amp; Sons Inc
Lazard
Merrill Lynch, Pierce, Fenner
Prudential Securities Inc
Chatsworth Securities LLC
Fahnestock &amp; Co
Johnson Rice &amp; Co
Edward D Jones &amp; Co
CL King &amp; Associates Inc
Petrie Parkman &amp; Co Inc
Raymond James &amp; Associates Inc
Sanders Morris Harris Inc
Lehman Brothers</t>
  </si>
  <si>
    <t>LEH/ABN-ROTHSCHILD(JOINT)//JEFFERIES
//DAIN-R-WESSELS/A-G-EDWARDS/LAZARD/ML
/PSI/CHATSWORTH/FAHNESTOCK/JOHNSON-RICE
/ED-JONES/CL-KING/PETRIE-PARKMAN
/RAYMOND/SANDERS-HARRIS//LEH(GC)</t>
  </si>
  <si>
    <t>LEH/ABN-ROTHSCHILD</t>
  </si>
  <si>
    <t>LEH
/ABN-ROTHSCHILD(JOINT)
JEFFERIES</t>
  </si>
  <si>
    <t>Lehman Brothers
ABN AMRO Rothschild
Jefferies &amp; Co Inc</t>
  </si>
  <si>
    <t>Y2696M103</t>
  </si>
  <si>
    <t>Lehman Brothers
ABN AMRO Rothschild
Jefferies &amp; Co Inc
Lehman Brothers</t>
  </si>
  <si>
    <t>LEH/ABN-ROTHSCHILD(JOINT)//JEFFERIES
//LEH(GC)</t>
  </si>
  <si>
    <t>LEH
/ABN-ROTHSCHILD(JOINT)</t>
  </si>
  <si>
    <t>Lehman Brothers
ABN AMRO Rothschild</t>
  </si>
  <si>
    <t>FMC Technologies Inc</t>
  </si>
  <si>
    <t>FTI</t>
  </si>
  <si>
    <t>30249U101</t>
  </si>
  <si>
    <t>Merrill Lynch
Credit Suisse First Boston
Banc of America Securities LLC
Salomon Smith Barney
ABN-AMRO Holding NV
Scotia Capital Markets
UBS Warburg
Simmons &amp; Co International
Wachovia Bank NA
Morgan Stanley &amp; Co
Danske Bank
Deutsche Bank
Midwest Research Maxus Group
Lehman Brothers
BNY Capital Markets Inc
Merrill Lynch</t>
  </si>
  <si>
    <t>FMC</t>
  </si>
  <si>
    <t>FMC Corp</t>
  </si>
  <si>
    <t>MERRILL//CS-FB-CS/BA-SEC-LLC
/SALOMON-SMITH//ABN-AMRO/SCOTIA-CAP-USA
/UBS-WARBURG/SIMMONS/WACHOVIA/MS
/DEN-DANSKE-AKT/DEUTSCHE-BANK/MIDWEST
/LEH/BNY-CAP//MERRILL(GC)</t>
  </si>
  <si>
    <t>MERRILL
CS-FB-CS
BA-SEC-LLC
SALOMON-SMITH</t>
  </si>
  <si>
    <t>Merrill Lynch &amp; Co Inc
Credit Suisse First Boston Corp
Banc of America Securities LLC
Salomon Smith Barney</t>
  </si>
  <si>
    <t>Merrill Lynch Intl Ltd
Credit Suisse First Boston Inc
Salomon Smith Barney
Banc of America Securities LLC
Merrill Lynch Intl Ltd</t>
  </si>
  <si>
    <t>ML-I//CSFB-INC/SALOMON-SMITH/BA-SEC-LLC
//ML-I(GC)</t>
  </si>
  <si>
    <t>Odyssey Re Holdings Corp</t>
  </si>
  <si>
    <t>ORH</t>
  </si>
  <si>
    <t>BA-SEC-LLC
/CIBC-WORLD(JB)</t>
  </si>
  <si>
    <t>67612W108</t>
  </si>
  <si>
    <t>Banc of America Securities LLC
CIBC World Markets Inc
Bear Stearns &amp; Co Inc
JP Morgan
Morgan Stanley
UBS Warburg
BMO Nesbitt Thomson Ltd
Cochran, Caronia &amp; Co.
Ferris Baker Watts
Fox-Pitt Kelton
Janney Montgomery Scott Inc
Keefe Bruyette &amp; Woods Inc
Legg Mason Wood Walker
RBC Dominion Securities
Scotia Capital Markets</t>
  </si>
  <si>
    <t>BA-SEC-LLC(JB)/CIBC-WORLD(JB)//BEAR/JPM
//MORGAN-STANLEY/UBS-WARBURG
/BMO-NESBITT/COCHRAN-CARONIA
/FERRIS-BAKER/FOX-PITT/JANNEY/KEEFE
/LEGG-MASON-WW/RBC-DOM/SCOTIA-CAP-USA</t>
  </si>
  <si>
    <t>BA-SEC-LLC/CIBC-WORLD</t>
  </si>
  <si>
    <t>BA-SEC-LLC
(JB)/CIBC-WORLD(JB)
BEAR
JPM</t>
  </si>
  <si>
    <t>Banc of America Securities LLC
CIBC World Markets Inc
Bear Stearns &amp; Co Inc
JP Morgan &amp; Co Inc</t>
  </si>
  <si>
    <t>Distribuidora De Gas Petroleo</t>
  </si>
  <si>
    <t>BB-BANCO-INV</t>
  </si>
  <si>
    <t>Preferred Shs</t>
  </si>
  <si>
    <t>BB Banco de Investimento SA</t>
  </si>
  <si>
    <t>Brazil Public</t>
  </si>
  <si>
    <t>The Princeton Review Inc</t>
  </si>
  <si>
    <t>REVU</t>
  </si>
  <si>
    <t>JP Morgan
US Bancorp Piper Jaffray
Legg Mason Wood Walker
Banc of America Securities LLC
Credit Suisse First Boston
Deutsche Banc Alex Brown
Merrill Lynch
Prudential Securities Inc
Salomon Smith Barney
Parker Jackson
Jefferies &amp; Co Inc
Morgan Keegan Inc
Needham &amp; Co LLC
ThinkEquity Partners
CE Unterberg Towbin</t>
  </si>
  <si>
    <t>JPM//US-PIPER/LEGG-MASON-WW//BA-SEC-LLC
/CS-FB-CS/DEUTSCHE-ALEX-B/MERRILL/PSI
/SALOMON-SMITH/JACKSON/JEFFERIES
/MORGAN-KEEGAN/NEEDHAM/THINK/UNTERBERG</t>
  </si>
  <si>
    <t>JPM
US-PIPER
LEGG-MASON-WW</t>
  </si>
  <si>
    <t>JP Morgan &amp; Co Inc
US Bancorp Piper Jaffray Inc
Legg Mason Wood Walker Inc</t>
  </si>
  <si>
    <t>Phoenix Cos Inc</t>
  </si>
  <si>
    <t>PNX</t>
  </si>
  <si>
    <t>71902E109</t>
  </si>
  <si>
    <t>Morgan Stanley
Merrill Lynch
AG Edwards &amp; Sons Inc
Deutsche Banc Alex Brown
UBS Warburg
Bear Stearns &amp; Co Inc
ABN-AMRO Holding NV
Fox-Pitt Kelton
Dresdner Bank AG
Williams Capital Group LP
Wachovia Securities Inc
Putnam, Coffin, Doolittle, New
Neuberger Berman Inc
Morgan Keegan Inc
Keefe Bruyette &amp; Woods Inc
Edward D Jones &amp; Co
Janney Montgomery Scott Inc
Banc of America Securities LLC
BMO Nesbitt Thomson Ltd
Bank of New York
Conning &amp; Co
Barrington Associates
Advest Inc</t>
  </si>
  <si>
    <t>MORGAN-STANLEY/MERRILL(JOINT)
//A-G-EDWARDS/DEUTSCHE-ALEX-B
/UBS-WARBURG/BEAR//ABN-AMRO/FOX-PITT
/DRESDNER/WILLIAMS-CAP/WACHOVIA-SEC
/PUTNAM/NEUBERGER/MORGAN-KEEGAN/KEEFE
/ED-JONES/JANNEY/BA-SEC-LLC/BMO-NESBITT
/BK-NEW-YORK/CONNING-COMPANY/BARRINGTON
/ADVEST</t>
  </si>
  <si>
    <t>MORGAN-STANLEY/MERRILL</t>
  </si>
  <si>
    <t>MORGAN-STANLEY
/MERRILL(JOINT)
A-G-EDWARDS
DEUTSCHE-ALEX-B
UBS-WARBURG
BEAR</t>
  </si>
  <si>
    <t>Morgan Stanley
Merrill Lynch &amp; Co Inc
AG Edwards &amp; Sons Inc
Deutsche Banc Alex Brown
UBS Warburg
Bear Stearns &amp; Co Inc</t>
  </si>
  <si>
    <t>Multilink Technology Corp</t>
  </si>
  <si>
    <t>MLTC</t>
  </si>
  <si>
    <t>62544T109</t>
  </si>
  <si>
    <t>Credit Suisse First Boston
Salomon Smith Barney
Thomas Weisel Partners
Bear Stearns &amp; Co Inc
AG Edwards &amp; Sons Inc
Dain Rauscher Corp
Invemed Associates Inc
US Bancorp Piper Jaffray
Prudential Securities Inc
Raymond James &amp; Associates Inc
UBS Warburg
Wit Soundview Group Inc
Morgan Keegan Inc
PMG Capital
CE Unterberg Towbin
Credit Suisse First Boston</t>
  </si>
  <si>
    <t>CS-FB-CS//SALOMON-SMITH/THOMAS-WEISEL
//BEAR/A-G-EDWARDS/DAIN-RAUSCHER
/INVEMED/US-PIPER/PSI/RAYMOND
/UBS-WARBURG/WIT-SOUNDVIEW
/MORGAN-KEEGAN/PMG-CAP/UNTERBERG
//CS-FB-CS(GC)</t>
  </si>
  <si>
    <t>CS-FB-CS
SALOMON-SMITH
THOMAS-WEISEL</t>
  </si>
  <si>
    <t>Credit Suisse First Boston Corp
Salomon Smith Barney
Thomas Weisel Partners</t>
  </si>
  <si>
    <t>Credit Suisse First Boston Inc
Salomon Smith Barney
Thomas Weisel Partners
Credit Suisse First Boston Inc</t>
  </si>
  <si>
    <t>CSFB-INC//SALOMON-SMITH/THOMAS-WEISEL
//CSFB-INC(GC)</t>
  </si>
  <si>
    <t>Galyan's Trading Co Inc</t>
  </si>
  <si>
    <t>GLYN</t>
  </si>
  <si>
    <t>36458R101</t>
  </si>
  <si>
    <t>Goldman Sachs &amp; Co
Salomon Smith Barney
Banc of America Securities LLC
JP Morgan</t>
  </si>
  <si>
    <t>GS/SALOMON-SMITH(JOINT)//BA-SEC-LLC/JPM</t>
  </si>
  <si>
    <t>GS
/SALOMON-SMITH(JOINT)
BA-SEC-LLC
JPM</t>
  </si>
  <si>
    <t>Goldman Sachs &amp; Co
Salomon Smith Barney
Banc of America Securities LLC
JP Morgan &amp; Co Inc</t>
  </si>
  <si>
    <t>Pimco CA Mun Inc Fund</t>
  </si>
  <si>
    <t>PCQ</t>
  </si>
  <si>
    <t>72200N106</t>
  </si>
  <si>
    <t>UBS Warburg
CIBC World Markets Inc
Wedbush Securities
AG Edwards &amp; Sons Inc
Bear Stearns &amp; Co Inc
Gruntal &amp; Co Inc
M. L. Stern
TD Waterhouse Securities
Tucker Anthony Inc
Seidler Corp
Santa Barbara Securities
Wells Fargo &amp; Co
Quick &amp; Reilly Inc
First Union Securities Inc
US Bancorp Piper Jaffray
Crowell Weedon &amp; Co
Fahnestock &amp; Co
Deutsche Banc Alex Brown</t>
  </si>
  <si>
    <t>UBS-WARBURG//CIBC-WORLD/WEDBUSH-M
/A-G-EDWARDS//BEAR/GRUNTAL/M-L-STERN
/TDWS/TUCKER/SEIDLER-COS/SANTA-BARBARA
/WF/Q&amp;R/FIRST-UNION-SEC/US-PIPER
/CROWELL/FAHNESTOCK/DEUTSCHE-ALEX-B</t>
  </si>
  <si>
    <t>UBS-WARBURG
CIBC-WORLD
WEDBUSH-M
A-G-EDWARDS</t>
  </si>
  <si>
    <t>UBS Warburg
CIBC World Markets Inc
Wedbush Securities
AG Edwards &amp; Sons Inc</t>
  </si>
  <si>
    <t>Pimco Municipal Income Fund</t>
  </si>
  <si>
    <t>PMF</t>
  </si>
  <si>
    <t>72200R107</t>
  </si>
  <si>
    <t>UBS Warburg
CIBC World Markets Inc
AG Edwards &amp; Sons Inc
Bear Stearns &amp; Co Inc
Deutsche Banc Alex Brown
US Bancorp Piper Jaffray
Advest Inc
Robert W Baird &amp; Co Inc
BB&amp;T Capital Markets
William Blair &amp; Co
Crowell Weedon &amp; Co
DA Davidson &amp; Co Inc
Fahnestock &amp; Co
Ferris Baker Watts
First Union Securities Inc
Gruntal &amp; Co Inc
Janney Montgomery Scott Inc
Josephthal &amp; Co Inc
McDonald Investments
Morgan Keegan Inc
Parker-Hunter Inc
Quick &amp; Reilly Inc
Sanders Morris Harris Inc
Stephens Inc
M. L. Stern
Stifel Nicolaus &amp; Co Inc
TD Waterhouse Securities
Tucker Anthony Inc
Wachovia Securities Inc
Wedbush Securities
Wells Fargo &amp; Co
Anderson &amp; Strudwick
City Securities Ltd
Coburn &amp; Meredith, Inc
First Southwest
Howe Barnes Investments Inc
Wayne Hummer &amp; Co
Kirkpatrick, Pettis, Smith, Po
Mesirow Financial Corp
Moors &amp; Cabot Inc
Natcity Investments Inc.
Pacific Crest Securities Inc
Peacock Hislop Staley &amp; Given
Redwine &amp; Company Inc
Southwest Securities Group Inc
HC Wainwright &amp; Co Inc</t>
  </si>
  <si>
    <t>UBS-WARBURG//CIBC-WORLD/A-G-EDWARDS
//BEAR/DEUTSCHE-ALEX-B/US-PIPER/ADVEST
/BAIRD/BB-T-CAP/WM-BLAIR/CROWELL
/DAVIDSON/FAHNESTOCK/FERRIS-BAKER
/FIRST-UNION-SEC/GRUNTAL/JANNEY
/JOSEPHTHAL/MCDONALD/MORGAN-KEEGAN
/PARKER-HUNTER/Q&amp;R/SANDERS-HARRIS
/STEPHENS/M-L-STERN/STIFEL/TDWS/TUCKER
/WACHOVIA-SEC/WEDBUSH-M/WF/ANDERSON
/CITYSEC/COBURN/FIRST-SW/HOWE-BARNES
/HUMMER/KIRKPATRICK/MESIROW-FIN/MOORS
/NATCITY-INVEST/PACIFIC-CREST
/PEACOCK-HISLOP/REDWINE-CO
/SOUTHWEST-SEC/H-C-WAINWRIGHT</t>
  </si>
  <si>
    <t>UBS-WARBURG
CIBC-WORLD
A-G-EDWARDS</t>
  </si>
  <si>
    <t>UBS Warburg
CIBC World Markets Inc
AG Edwards &amp; Sons Inc</t>
  </si>
  <si>
    <t>Pimco NY Mun Inc Fund</t>
  </si>
  <si>
    <t>PNF</t>
  </si>
  <si>
    <t>72200T103</t>
  </si>
  <si>
    <t>UBS Warburg
CIBC World Markets Inc
AG Edwards &amp; Sons Inc
Advest Inc
Bear Stearns &amp; Co Inc
Deutsche Banc Alex Brown
US Bancorp Piper Jaffray
Gruntal &amp; Co Inc
Josephthal &amp; Co Inc
McDonald Investments
Ladenburg Thalmann &amp; Co
Brean Murray &amp; Co Inc
CE Unterberg Towbin
Tucker Anthony Inc
Muriel Siebert &amp; Co
Sanders &amp; Beckingham
Quick &amp; Reilly Inc
Needham &amp; Co LLC
Janney Montgomery Scott Inc
Gerard Klauer Mattison &amp; Co
Fahnestock &amp; Co
First Union Securities Inc</t>
  </si>
  <si>
    <t>UBS-WARBURG//CIBC-WORLD/A-G-EDWARDS
/ADVEST//BEAR/DEUTSCHE-ALEX-B/US-PIPER
/GRUNTAL/JOSEPHTHAL/MCDONALD/LADENBURG
/BREAN/UNTERBERG/TUCKER/MURIEL/SANDERS
/Q&amp;R/NEEDHAM/JANNEY/GERARD-KLAUER
/FAHNESTOCK/FIRST-UNION-SEC</t>
  </si>
  <si>
    <t>UBS-WARBURG
CIBC-WORLD
A-G-EDWARDS
ADVEST</t>
  </si>
  <si>
    <t>UBS Warburg
CIBC World Markets Inc
AG Edwards &amp; Sons Inc
Advest Inc</t>
  </si>
  <si>
    <t>Monolithic System Tech Inc</t>
  </si>
  <si>
    <t>MOSY</t>
  </si>
  <si>
    <t>A-G-EDWARDS</t>
  </si>
  <si>
    <t>AG Edwards &amp; Sons Inc
Needham &amp; Co LLC
Credit Lyonnais Securities USA
Deutsche Banc Alex Brown
First Union Securities Inc
Lehman Brothers
Morgan Stanley &amp; Co
Prudential Securities Inc
UBS Warburg LLC
Wit Soundview Group Inc
Adams Harkness &amp; Hill Inc
Brean Murray &amp; Co Inc
Jefferies &amp; Co Inc
Josephthal &amp; Co Inc
CL King &amp; Associates Inc
Legg Mason Wood Walker
McDonald Investments
Sanders Morris Harris Inc
CE Unterberg Towbin</t>
  </si>
  <si>
    <t>A-G-EDWARDS/NEEDHAM(JOINT)//CL-SEC-USA
/DEUTSCHE-ALEX-B/FIRST-UNION-SEC/LEH/MS
/PSI/UBS-WARBURG-LLC/WIT-SOUNDVIEW
/ADAMS-HARKNESS/BREAN/JEFFERIES
/JOSEPHTHAL/CL-KING/LEGG-MASON-WW
/MCDONALD/SANDERS-HARRIS/UNTERBERG</t>
  </si>
  <si>
    <t>A-G-EDWARDS/NEEDHAM</t>
  </si>
  <si>
    <t>A-G-EDWARDS
/NEEDHAM(JOINT)</t>
  </si>
  <si>
    <t>AG Edwards &amp; Sons Inc
Needham &amp; Co LLC</t>
  </si>
  <si>
    <t>Wright Medical Group Inc</t>
  </si>
  <si>
    <t>WMGI</t>
  </si>
  <si>
    <t>98235T107</t>
  </si>
  <si>
    <t>JP Morgan
Credit Suisse First Boston
US Bancorp Piper Jaffray
Dain Rauscher Corp
Deutsche Banc Alex Brown
Salomon Smith Barney
Fleet Boston Corp
Banc of America Securities LLC
Bear Stearns &amp; Co Inc
Merrill Lynch
Morgan Keegan Inc
Fahnestock &amp; Co
Brean Murray &amp; Co Inc
Stephens Inc
William Blair &amp; Co</t>
  </si>
  <si>
    <t>JPM//CS-FB-CS/US-PIPER//DAIN-RAUSCHER
/DEUTSCHE-ALEX-B/SALOMON-SMITH
/FLEET-BOSTON/BA-SEC-LLC/BEAR/MERRILL
/MORGAN-KEEGAN/FAHNESTOCK/BREAN
/STEPHENS/WM-BLAIR</t>
  </si>
  <si>
    <t>JPM
CS-FB-CS
US-PIPER</t>
  </si>
  <si>
    <t>JP Morgan &amp; Co Inc
Credit Suisse First Boston Corp
US Bancorp Piper Jaffray Inc</t>
  </si>
  <si>
    <t>Accenture Ltd</t>
  </si>
  <si>
    <t>ACN</t>
  </si>
  <si>
    <t>GS/MORGAN-STANLEY(JB)</t>
  </si>
  <si>
    <t>G1150G111</t>
  </si>
  <si>
    <t>Goldman Sachs &amp; Co
Morgan Stanley
Credit Suisse First Boston
Deutsche Banc Alex Brown
JP Morgan
Banc of America Securities LLC
Merrill Lynch
ABN AMRO Rothschild
UBS Warburg
Lehman Brothers
Salomon Smith Barney
Goldman Sachs &amp; Co
Morgan Stanley</t>
  </si>
  <si>
    <t>GS(JB)/MORGAN-STANLEY(JB)//CS-FB-CS
/DEUTSCHE-ALEX-B/JPM/BA-SEC-LLC/MERRILL
/ABN-ROTHSCHILD/UBS-WARBURG/LEH
/SALOMON-SMITH//GS(GC)
/MORGAN-STANLEY(GC)</t>
  </si>
  <si>
    <t>GS/MORGAN-STANLEY</t>
  </si>
  <si>
    <t>GS
(JB)/MORGAN-STANLEY(JB)
CS-FB-CS
DEUTSCHE-ALEX-B
JPM
BA-SEC-LLC
MERRILL
ABN-ROTHSCHILD
UBS-WARBURG
LEH
SALOMON-SMITH</t>
  </si>
  <si>
    <t>Goldman Sachs &amp; Co
Morgan Stanley
Credit Suisse First Boston Corp
Deutsche Banc Alex Brown
JP Morgan &amp; Co Inc
Banc of America Securities LLC
Merrill Lynch &amp; Co Inc
ABN AMRO Rothschild
UBS Warburg
Lehman Brothers
Salomon Smith Barney</t>
  </si>
  <si>
    <t>Goldman Sachs &amp; Co
Morgan Stanley
Credit Suisse First Boston Ltd
Deutsche Bank
JP Morgan (Suisse) SA
Salomon Smith Barney
Banc of America Securities LLC
Lehman Brothers
Merrill Lynch
UBS Warburg LLC
ABN AMRO Rothschild
Goldman Sachs &amp; Co
Morgan Stanley</t>
  </si>
  <si>
    <t>GS(JB)/MORGAN-STANLEY(JB)//C-S-F-B
/DEUTSCHE-BANK/JPM-SZ/SALOMON-SMITH
/BA-SEC-LLC/LEH/MERRILL/UBS-WARBURG-LLC
/ABN-ROTHSCHILD//GS(GC)
/MORGAN-STANLEY(GC)</t>
  </si>
  <si>
    <t>GS
(JB)/MORGAN-STANLEY(JB)</t>
  </si>
  <si>
    <t>Goldman Sachs &amp; Co
Morgan Stanley</t>
  </si>
  <si>
    <t>MORGAN-STANLEY/GS(JB)</t>
  </si>
  <si>
    <t>Morgan Stanley
Goldman Sachs &amp; Co
ABN AMRO Rothschild
UBS Warburg LLC
Merrill Lynch
Lehman Brothers
Banc of America Securities LLC
Salomon Smith Barney
JP Morgan (Suisse) SA
Deutsche Bank
Credit Suisse First Boston Ltd
Morgan Stanley
Goldman Sachs &amp; Co</t>
  </si>
  <si>
    <t>MORGAN-STANLEY(JB)/GS(JB)
//ABN-ROTHSCHILD/UBS-WARBURG-LLC
/MERRILL/LEH/BA-SEC-LLC/SALOMON-SMITH
/JPM-SZ/DEUTSCHE-BANK/C-S-F-B
//MORGAN-STANLEY(GC)/GS(GC)</t>
  </si>
  <si>
    <t>MORGAN-STANLEY/GS</t>
  </si>
  <si>
    <t>MORGAN-STANLEY
(JB)/GS(JB)</t>
  </si>
  <si>
    <t>Morgan Stanley
Goldman Sachs &amp; Co</t>
  </si>
  <si>
    <t>Natus Medical Inc</t>
  </si>
  <si>
    <t>BABY</t>
  </si>
  <si>
    <t>Dain Rauscher Wessels
First Union Securities Inc
Adams Harkness &amp; Hill Inc
Banc of America Securities LLC
CIBC World Markets Inc
Deutsche Banc Alex Brown
Morgan Stanley &amp; Co
US Bancorp Piper Jaffray
RBC Dominion Securities
William Blair &amp; Co
Legg Mason Wood Walker
Morgan Keegan Inc
Raymond James &amp; Associates Inc
Tucker Anthony Inc
SG Cowen Securities Corp
Wedbush Securities</t>
  </si>
  <si>
    <t>DAIN-R-WESSELS//FIRST-UNION-SEC
/ADAMS-HARKNESS//BA-SEC-LLC/CIBC-WORLD
/DEUTSCHE-ALEX-B/MS/US-PIPER/RBC-DOM
/WM-BLAIR/LEGG-MASON-WW/MORGAN-KEEGAN
/RAYMOND/TUCKER/SG-COWEN/WEDBUSH-M</t>
  </si>
  <si>
    <t>DAIN-R-WESSELS
FIRST-UNION-SEC
ADAMS-HARKNESS</t>
  </si>
  <si>
    <t>Dain Rauscher Wessels
First Union Securities Inc
Adams Harkness &amp; Hill Inc</t>
  </si>
  <si>
    <t>HDFC Bank Ltd</t>
  </si>
  <si>
    <t>HDB</t>
  </si>
  <si>
    <t>MORGAN-STANLEY/MLSI(JB)</t>
  </si>
  <si>
    <t>40415F101</t>
  </si>
  <si>
    <t>Morgan Stanley
Merrill Lynch(Singapore)Pte
Cazenove &amp; Co
CLSA Global Emerging Markets
Dresdner Kleinwort Benson
Morgan Stanley
Merrill Lynch(Singapore)Pte</t>
  </si>
  <si>
    <t>MORGAN-STANLEY(JB)/MLSI(JB)//CAZENOVE
/CLSAGL/DRESDNER-KLEINW
//MORGAN-STANLEY(GC)/MLSI(GC)</t>
  </si>
  <si>
    <t>MORGAN-STANLEY/MLSI</t>
  </si>
  <si>
    <t>MORGAN-STANLEY
(JB)/MLSI(JB)
CAZENOVE
CLSAGL
DRESDNER-KLEINW</t>
  </si>
  <si>
    <t>Morgan Stanley
Merrill Lynch(Singapore)Pte Ltd
Cazenove &amp; Co
CLSA Global Emerging Markets
Dresdner Kleinwort Benson (Germany)</t>
  </si>
  <si>
    <t>MedCath Corp</t>
  </si>
  <si>
    <t>MDTH</t>
  </si>
  <si>
    <t>DEUTSCHE-ALEX-B
/BA-SEC-LLC(JB)</t>
  </si>
  <si>
    <t>58404W109</t>
  </si>
  <si>
    <t>Deutsche Banc Alex Brown
Banc of America Securities LLC
JP Morgan
First Union Securities Inc
Bear Stearns &amp; Co Inc
CIBC World Markets Inc
Credit Suisse First Boston
Goldman Sachs &amp; Co
Merrill Lynch
Morgan Stanley &amp; Co
Fleet Boston Corp
Citigroup/Salomon Smith Barney
UBS Warburg
Gerard Klauer Mattison &amp; Co
CL King &amp; Associates Inc
Legg Mason Wood Walker
Raymond James &amp; Associates Inc
Redwine &amp; Company Inc
Sanders Morris Harris Inc
Shields
Stephens Inc</t>
  </si>
  <si>
    <t>DEUTSCHE-ALEX-B(JB)/BA-SEC-LLC(JB)//JPM
/FIRST-UNION-SEC//BEAR/CIBC-WORLD
/CS-FB-CS/GS/MERRILL/MS/FLEET-BOSTON
/CITIGROUP-SSB/UBS-WARBURG
/GERARD-KLAUER/CL-KING/LEGG-MASON-WW
/RAYMOND/REDWINE-CO/SANDERS-HARRIS
/SHIELDS/STEPHENS</t>
  </si>
  <si>
    <t>DEUTSCHE-ALEX-B/BA-SEC-LLC</t>
  </si>
  <si>
    <t>DEUTSCHE-ALEX-B
(JB)/BA-SEC-LLC(JB)
JPM
FIRST-UNION-SEC</t>
  </si>
  <si>
    <t>Deutsche Banc Alex Brown
Banc of America Securities LLC
JP Morgan &amp; Co Inc
First Union Securities Inc</t>
  </si>
  <si>
    <t>Inergy LP</t>
  </si>
  <si>
    <t>NRGY</t>
  </si>
  <si>
    <t>AG Edwards &amp; Sons Inc
First Union Securities Inc
Raymond James &amp; Associates Inc</t>
  </si>
  <si>
    <t>A-G-EDWARDS//FIRST-UNION-SEC/RAYMOND</t>
  </si>
  <si>
    <t>A-G-EDWARDS
FIRST-UNION-SEC
RAYMOND</t>
  </si>
  <si>
    <t>Alliance Imaging Inc</t>
  </si>
  <si>
    <t>AIQ</t>
  </si>
  <si>
    <t>CITIGROUP-SSB
/DEUTSCHE-ALEX-B(JB)</t>
  </si>
  <si>
    <t>018606202</t>
  </si>
  <si>
    <t>Citigroup/Salomon Smith Barney
Deutsche Banc Alex Brown
JP Morgan
UBS Warburg
Banc of America Securities LLC
Bear Stearns &amp; Co Inc
CIBC World Markets Inc
Credit Lyonnais Securities USA
First Union Securities Inc
Goldman Sachs &amp; Co
Lehman Brothers
Merrill Lynch, Pierce, Fenner
Morgan Stanley
US Bancorp Piper Jaffray
Fleet Boston Corp
SG Cowen Securities Corp
BNY Capital Markets Inc
RBC Dominion Securities Corp
Scotia Capital Markets (USA)
Tucker Anthony Inc
Wells Fargo Bank NA</t>
  </si>
  <si>
    <t>10/24/01
01/22/02</t>
  </si>
  <si>
    <t>5.739
74.456</t>
  </si>
  <si>
    <t>2722570.00
35319610.00</t>
  </si>
  <si>
    <t>CITIGROUP-SSB(JB)/DEUTSCHE-ALEX-B(JB)
//JPM/UBS-WARBURG//BA-SEC-LLC/BEAR
/CIBC-WORLD/CL-SEC-USA/FIRST-UNION-SEC
/GS/LEH/ML/MORGAN-STANLEY/US-PIPER
/FLEET-BOSTON/SG-COWEN/BNY-CAP
/RBC-DOM-US/SCAPUS/TUCKER/WELLS-FARGO</t>
  </si>
  <si>
    <t>CITIGROUP-SSB/DEUTSCHE-ALEX-B</t>
  </si>
  <si>
    <t>CITIGROUP-SSB
(JB)/DEUTSCHE-ALEX-B(JB)
JPM
UBS-WARBURG</t>
  </si>
  <si>
    <t>Citigroup/Salomon Smith Barney
Deutsche Banc Alex Brown
JP Morgan &amp; Co Inc
UBS Warburg</t>
  </si>
  <si>
    <t>BlackRock CA Mun Inc Trst</t>
  </si>
  <si>
    <t>BFZ</t>
  </si>
  <si>
    <t>CITIGROUP-SSB
/MERRILL(JB)</t>
  </si>
  <si>
    <t>09248E102</t>
  </si>
  <si>
    <t>Citigroup/Salomon Smith Barney
Merrill Lynch
AG Edwards &amp; Sons Inc
Prudential Securities Group
UBS Warburg
Gruntal &amp; Co Inc
Raymond James &amp; Associates Inc
Wedbush Securities
Deutsche Banc Alex Brown
US Bancorp Piper Jaffray
Robert W Baird &amp; Co Inc
City Securities
Fahnestock &amp; Co
JJB Hilliard WL Lyons Inc
Janney Montgomery Scott Inc
Legg Mason Wood Walker
Ladenburg Thalmann &amp; Co
Wells Fargo Bank NA
Tucker Anthony Inc
TD Waterhouse Securities
M. L. Stern
Charles Schwab &amp; Co Inc
Robinson-Humphrey Co
Quick &amp; Reilly Inc
McDonald Investments
Wayne Hummer &amp; Co
Ferris Baker Watts
Crowell Weedon &amp; Co
BB&amp;T Capital Markets
Advest Inc
First Union Securities Inc</t>
  </si>
  <si>
    <t>CITIGROUP-SSB(JB)/MERRILL(JB)
//A-G-EDWARDS/PRU-SEC-GROUP/UBS-WARBURG
/GRUNTAL/RAYMOND/WEDBUSH-M
//DEUTSCHE-ALEX-B/US-PIPER/BAIRD
/CITY-SEC/FAHNESTOCK/HILLIARD/JANNEY
/LEGG-MASON-WW/LADENBURG/WELLS-FARGO
/TUCKER/TDWS/M-L-STERN/CHARLES-SCHWAB
/ROBINSON/Q&amp;R/MCDONALD/HUMMER
/FERRIS-BAKER/CROWELL/BB-T-CAP/ADVEST
/FIRST-UNION-SEC</t>
  </si>
  <si>
    <t>CITIGROUP-SSB/MERRILL</t>
  </si>
  <si>
    <t>CITIGROUP-SSB
(JB)/MERRILL(JB)
A-G-EDWARDS
PRU-SEC-GROUP
UBS-WARBURG
GRUNTAL
RAYMOND
WEDBUSH-M</t>
  </si>
  <si>
    <t>Citigroup/Salomon Smith Barney
Merrill Lynch &amp; Co Inc
AG Edwards &amp; Sons Inc
Prudential Securities Group Inc
UBS Warburg
Gruntal &amp; Co Inc
Raymond James &amp; Associates Inc
Wedbush Securities</t>
  </si>
  <si>
    <t>BlackRock Municipal Income</t>
  </si>
  <si>
    <t>BFK</t>
  </si>
  <si>
    <t>09248F109</t>
  </si>
  <si>
    <t>Citigroup/Salomon Smith Barney
Merrill Lynch
AG Edwards &amp; Sons Inc
UBS Warburg
Gruntal &amp; Co Inc
Raymond James &amp; Associates Inc
JJB Hilliard WL Lyons Inc
Dain Rauscher Wessels
Prudential Securities Group</t>
  </si>
  <si>
    <t>CITIGROUP-SSB(JB)/MERRILL(JB)
//A-G-EDWARDS/UBS-WARBURG/GRUNTAL
/RAYMOND/HILLIARD/DAIN-R-WESSELS
/PRU-SEC-GROUP</t>
  </si>
  <si>
    <t>CITIGROUP-SSB
(JB)/MERRILL(JB)
A-G-EDWARDS
UBS-WARBURG
GRUNTAL
RAYMOND
HILLIARD
DAIN-R-WESSELS
PRU-SEC-GROUP</t>
  </si>
  <si>
    <t>Citigroup/Salomon Smith Barney
Merrill Lynch &amp; Co Inc
AG Edwards &amp; Sons Inc
UBS Warburg
Gruntal &amp; Co Inc
Raymond James &amp; Associates Inc
JJB Hilliard WL Lyons Inc
Dain Rauscher Wessels
Prudential Securities Group Inc</t>
  </si>
  <si>
    <t>BlackRock Fl Mun Inc Trust</t>
  </si>
  <si>
    <t>BBF</t>
  </si>
  <si>
    <t>09248H105</t>
  </si>
  <si>
    <t>Citigroup/Salomon Smith Barney
Merrill Lynch
AG Edwards &amp; Sons Inc
Prudential Securities Inc
UBS Warburg
Gruntal &amp; Co Inc
Raymond James &amp; Associates Inc
Deutsche Banc Alex Brown
Robinson-Humphrey Co
Morgan Keegan Inc
McDonald Investments
Legg Mason Wood Walker
Ladenburg Thalmann &amp; Co
Janney Montgomery Scott Inc
JJB Hilliard WL Lyons Inc
Ferris Baker Watts
TD Waterhouse Securities
Charles Schwab &amp; Co Inc
Quick &amp; Reilly Inc
Kirkpatrick, Pettis, Smith, Po
Wayne Hummer &amp; Co
Allen &amp; Company of Florida
Wachovia Bank NA
Tucker Anthony Inc
Stifel Nicolaus &amp; Co Inc
US Bancorp Piper Jaffray
Robert W Baird &amp; Co Inc
BB&amp;T Capital Markets
Fahnestock &amp; Co
Crowell Weedon &amp; Co
Advest Inc
First Union Securities Inc</t>
  </si>
  <si>
    <t>CITIGROUP-SSB(JB)/MERRILL(JB)
//A-G-EDWARDS/PSI/UBS-WARBURG/GRUNTAL
/RAYMOND//DEUTSCHE-ALEX-B/ROBINSON
/MORGAN-KEEGAN/MCDONALD/LEGG-MASON-WW
/LADENBURG/JANNEY/HILLIARD/FERRIS-BAKER
/TDWS/CHARLES-SCHWAB/Q&amp;R/KIRKPATRICK
/HUMMER/ALLEN-FL/WACHOVIA/TUCKER/STIFEL
/US-PIPER/BAIRD/BB-T-CAP/FAHNESTOCK
/CROWELL/ADVEST/FIRST-UNION-SEC</t>
  </si>
  <si>
    <t>CITIGROUP-SSB
(JB)/MERRILL(JB)
A-G-EDWARDS
PSI
UBS-WARBURG
GRUNTAL
RAYMOND</t>
  </si>
  <si>
    <t>Citigroup/Salomon Smith Barney
Merrill Lynch &amp; Co Inc
AG Edwards &amp; Sons Inc
Prudential Securities Inc
UBS Warburg
Gruntal &amp; Co Inc
Raymond James &amp; Associates Inc</t>
  </si>
  <si>
    <t>BlackRock NJ Municipal Income</t>
  </si>
  <si>
    <t>BNJ</t>
  </si>
  <si>
    <t>09248J101</t>
  </si>
  <si>
    <t>Citigroup/Salomon Smith Barney
Merrill Lynch
AG Edwards &amp; Sons Inc
Prudential Securities Inc
Gruntal &amp; Co Inc
JJB Hilliard WL Lyons Inc
Raymond James &amp; Associates Inc
UBS Warburg
Deutsche Banc Alex Brown
US Bancorp Piper Jaffray
Robert W Baird &amp; Co Inc
Crowell Weedon &amp; Co
Ferris Baker Watts
Janney Montgomery Scott Inc
Ladenburg Thalmann &amp; Co
Quick &amp; Reilly Inc
Legg Mason Wood Walker
Tucker Anthony Inc
TD Waterhouse Securities
Stifel Nicolaus &amp; Co Inc
Charles Schwab &amp; Co Inc
Robinson-Humphrey Co
Josephthal &amp; Co Inc
Howe Barnes Investments Inc
Fahnestock &amp; Co
BB&amp;T Capital Markets
Advest Inc
First Union Securities Inc</t>
  </si>
  <si>
    <t>CITIGROUP-SSB(JB)/MERRILL(JB)
//A-G-EDWARDS/PSI/GRUNTAL/HILLIARD
/RAYMOND/UBS-WARBURG//DEUTSCHE-ALEX-B
/US-PIPER/BAIRD/CROWELL/FERRIS-BAKER
/JANNEY/LADENBURG/Q&amp;R/LEGG-MASON-WW
/TUCKER/TDWS/STIFEL/CHARLES-SCHWAB
/ROBINSON/JOSEPHTHAL/HOWE-BARNES
/FAHNESTOCK/BB-T-CAP/ADVEST
/FIRST-UNION-SEC</t>
  </si>
  <si>
    <t>CITIGROUP-SSB
(JB)/MERRILL(JB)
A-G-EDWARDS
PSI
GRUNTAL
HILLIARD
RAYMOND
UBS-WARBURG</t>
  </si>
  <si>
    <t>Citigroup/Salomon Smith Barney
Merrill Lynch &amp; Co Inc
AG Edwards &amp; Sons Inc
Prudential Securities Inc
Gruntal &amp; Co Inc
JJB Hilliard WL Lyons Inc
Raymond James &amp; Associates Inc
UBS Warburg</t>
  </si>
  <si>
    <t>BlackRock New York Municipal</t>
  </si>
  <si>
    <t>BNY</t>
  </si>
  <si>
    <t>09248L106</t>
  </si>
  <si>
    <t>Citigroup/Salomon Smith Barney
Merrill Lynch
JP Morgan
AG Edwards &amp; Sons Inc
Gruntal &amp; Co Inc
Raymond James &amp; Associates Inc
UBS Warburg
Prudential Securities Group
Deutsche Banc Alex Brown
Advest Inc
Robert W Baird &amp; Co Inc
Crowell Weedon &amp; Co
Ferris Baker Watts
Janney Montgomery Scott Inc
Ladenburg Thalmann &amp; Co
McDonald Investments
Legg Mason Wood Walker
TD Waterhouse Securities
M. L. Stern
Charles Schwab &amp; Co Inc
Quick &amp; Reilly Inc
Moors &amp; Cabot Inc
City Securities
Tucker Anthony Inc
Stifel Nicolaus &amp; Co Inc
Robinson-Humphrey Co
Josephthal &amp; Co Inc
JJB Hilliard WL Lyons Inc
Fahnestock &amp; Co
BB&amp;T Capital Markets
US Bancorp Piper Jaffray
First Union Securities Inc</t>
  </si>
  <si>
    <t>CITIGROUP-SSB(JB)/MERRILL(JB)
/JPM(JOINT)//A-G-EDWARDS/GRUNTAL
/RAYMOND/UBS-WARBURG/PRU-SEC-GROUP
//DEUTSCHE-ALEX-B/ADVEST/BAIRD/CROWELL
/FERRIS-BAKER/JANNEY/LADENBURG/MCDONALD
/LEGG-MASON-WW/TDWS/M-L-STERN
/CHARLES-SCHWAB/Q&amp;R/MOORS/CITY-SEC
/TUCKER/STIFEL/ROBINSON/JOSEPHTHAL
/HILLIARD/FAHNESTOCK/BB-T-CAP/US-PIPER
/FIRST-UNION-SEC</t>
  </si>
  <si>
    <t>CITIGROUP-SSB/MERRILL/JPM</t>
  </si>
  <si>
    <t>CITIGROUP-SSB
(JB)/MERRILL(JB)
/JPM(JOINT)
A-G-EDWARDS
GRUNTAL
RAYMOND
UBS-WARBURG
PRU-SEC-GROUP</t>
  </si>
  <si>
    <t>Citigroup/Salomon Smith Barney
Merrill Lynch &amp; Co Inc
JP Morgan &amp; Co Inc
AG Edwards &amp; Sons Inc
Gruntal &amp; Co Inc
Raymond James &amp; Associates Inc
UBS Warburg
Prudential Securities Group Inc</t>
  </si>
  <si>
    <t>PDF Solutions Inc</t>
  </si>
  <si>
    <t>PDFS</t>
  </si>
  <si>
    <t>Credit Suisse First Boston
Fleet Boston Corp
Dain Rauscher Wessels
Deutsche Banc Alex Brown
Gerard Klauer Mattison &amp; Co
Hoefer &amp; Arnett Inc
Invemed Associates Inc
Johnston Lemon &amp; Co Inc
JP Morgan Securities Inc
Parker-Hunter Inc
PMG Capital
Prudential Securities Inc
Sanders Morris Harris Inc
Sands Brothers &amp; Co Ltd
SG Cowen Securities Corp
Tucker Anthony Inc
CE Unterberg Towbin
Credit Suisse First Boston</t>
  </si>
  <si>
    <t>CS-FB-CS//FLEET-BOSTON/DAIN-R-WESSELS
//DEUTSCHE-ALEX-B/GERARD-KLAUER
/HOEFER-ARNETT/INVEMED/JOHNSTON-LEMON
/J-P-MORGAN/PARKER-HUNTER/PMG-CAP/PSI
/SANDERS-HARRIS/SANDS/SG-COWEN/TUCKER
/UNTERBERG//CS-FB-CS(GC)</t>
  </si>
  <si>
    <t>CS-FB-CS
FLEET-BOSTON
DAIN-R-WESSELS</t>
  </si>
  <si>
    <t>Credit Suisse First Boston Corp
Fleet Boston Corp,Boston,Massachusetts
Dain Rauscher Wessels</t>
  </si>
  <si>
    <t>Credit Suisse First Boston Inc
FleetBoston Robertson Stephens
Dain Rauscher Wessels
Credit Suisse First Boston Inc</t>
  </si>
  <si>
    <t>CSFB-INC//FLEET-ROB-STEPH
/DAIN-R-WESSELS//CSFB-INC(GC)</t>
  </si>
  <si>
    <t>CSFB-INC
FLEET-ROB-STEPH
DAIN-R-WESSELS</t>
  </si>
  <si>
    <t>Credit Suisse First Boston Inc
FleetBoston Robertson Stephens Inc
Dain Rauscher Wessels</t>
  </si>
  <si>
    <t>HPL Technologies Inc</t>
  </si>
  <si>
    <t>HPLA</t>
  </si>
  <si>
    <t>40426C105</t>
  </si>
  <si>
    <t>UBS Warburg
Dain Rauscher Wessels
Adams Harkness &amp; Hill Inc
Wit Soundview Group Inc
SG Cowen Securities Corp
Needham &amp; Co LLC
Unterburg, Towbin Co
Wells Fargo &amp; Co
DA Davidson &amp; Co Inc</t>
  </si>
  <si>
    <t>UBS-WARBURG//DAIN-R-WESSELS
/ADAMS-HARKNESS/WIT-SOUNDVIEW//SG-COWEN
/NEEDHAM/UNTERBURG/WF/DAVIDSON</t>
  </si>
  <si>
    <t>UBS-WARBURG
DAIN-R-WESSELS
ADAMS-HARKNESS
WIT-SOUNDVIEW</t>
  </si>
  <si>
    <t>UBS Warburg
Dain Rauscher Wessels
Adams Harkness &amp; Hill Inc
Wit Soundview Group Inc</t>
  </si>
  <si>
    <t>Intier Automotive Inc</t>
  </si>
  <si>
    <t>IAIA</t>
  </si>
  <si>
    <t>Cl A Sub Vot Sh</t>
  </si>
  <si>
    <t>46115N104</t>
  </si>
  <si>
    <t>BMO Nesbitt Burns Inc
Credit Suisse First Boston
RBC Dominion Securities Corp
Scotia Capital Markets (USA)
TD Securities Inc
BMO Nesbitt Burns Inc</t>
  </si>
  <si>
    <t>MGA</t>
  </si>
  <si>
    <t>Magna International Inc</t>
  </si>
  <si>
    <t>BMO-NES-INC/CS-FB-CS(JOINT)//RBC-DOM-US
/SCAPUS/TD-SECURITIES//BMO-NES-INC(GC)</t>
  </si>
  <si>
    <t>BMO-NES-INC/CS-FB-CS</t>
  </si>
  <si>
    <t>BMO-NES-INC
/CS-FB-CS(JOINT)
RBC-DOM-US
SCAPUS
TD-SECURITIES</t>
  </si>
  <si>
    <t>BMO Nesbitt Burns Inc
Credit Suisse First Boston Corp
RBC Dominion Securities Corp
Scotia Capital Markets (USA)
TD Securities Inc</t>
  </si>
  <si>
    <t>Bunge Ltd</t>
  </si>
  <si>
    <t>BG</t>
  </si>
  <si>
    <t>G16962105</t>
  </si>
  <si>
    <t>Morgan Stanley
Credit Suisse First Boston
Deutsche Banc Alex Brown
Prudential Securities Group
Salomon Smith Barney
Merrill Lynch
ABN AMRO Rothschild
Credit Lyonnais Securities USA
Edward D Jones &amp; Co
JP Morgan Securities Inc
Williams Capital Group LP
AG Edwards &amp; Sons Inc
BNP Paribas SA</t>
  </si>
  <si>
    <t>MORGAN-STANLEY/CS-FB-CS(JOINT)
//DEUTSCHE-ALEX-B/PRU-SEC-GROUP
/SALOMON-SMITH/MERRILL//ABN-ROTHSCHILD
/CL-SEC-USA/ED-JONES/J-P-MORGAN
/WILLIAMS-CAP/A-G-EDWARDS/BNP-PARIBAS</t>
  </si>
  <si>
    <t>MORGAN-STANLEY/CS-FB-CS</t>
  </si>
  <si>
    <t>MORGAN-STANLEY
/CS-FB-CS(JOINT)
DEUTSCHE-ALEX-B
PRU-SEC-GROUP
SALOMON-SMITH
MERRILL</t>
  </si>
  <si>
    <t>Morgan Stanley
Credit Suisse First Boston Corp
Deutsche Banc Alex Brown
Prudential Securities Group Inc
Salomon Smith Barney
Merrill Lynch &amp; Co Inc</t>
  </si>
  <si>
    <t>Omnicell Inc</t>
  </si>
  <si>
    <t>OMCL</t>
  </si>
  <si>
    <t>68213N109</t>
  </si>
  <si>
    <t>US Bancorp Piper Jaffray
CIBC World Markets Inc
SG Cowen Securities Corp
Banc of America Securities LLC
Bear Stearns &amp; Co Inc
Dain Rauscher Corp
First Union Securities Inc
JP Morgan Securities Inc
Thomas Weisel Partners</t>
  </si>
  <si>
    <t>US-PIPER//CIBC-WORLD/SG-COWEN
//BA-SEC-LLC/BEAR/DAIN-RAUSCHER
/FIRST-UNION-SEC/J-P-MORGAN
/THOMAS-WEISEL</t>
  </si>
  <si>
    <t>US-PIPER
CIBC-WORLD
SG-COWEN</t>
  </si>
  <si>
    <t>US Bancorp Piper Jaffray Inc
CIBC World Markets Inc
SG Cowen Securities Corp</t>
  </si>
  <si>
    <t>Mykrolis Corp</t>
  </si>
  <si>
    <t>MYK</t>
  </si>
  <si>
    <t>62852P103</t>
  </si>
  <si>
    <t>Banc of America Securities LLC
Salomon Smith Barney
ABN AMRO Rothschild
Bear Stearns &amp; Co Inc
CIBC World Markets Inc
Deutsche Banc Alex Brown
Merrill Lynch, Pierce, Fenner
UBS Warburg LLC
Adams Harkness &amp; Hill Inc
Robert W Baird &amp; Co Inc
First Analysis Securities
Goldsmith &amp; Harris
Josephthal &amp; Co Inc
Scotia Capital Inc
Tucker Anthony Sutro
CE Unterberg Towbin</t>
  </si>
  <si>
    <t>MIL</t>
  </si>
  <si>
    <t>Millipore Corp</t>
  </si>
  <si>
    <t>BA-SEC-LLC/SALOMON-SMITH(JOINT)
//ABN-ROTHSCHILD//BEAR/CIBC-WORLD
/DEUTSCHE-ALEX-B/ML/UBS-WARBURG-LLC
/ADAMS-HARKNESS/BAIRD/F-ANALYSIS
/GOLDSMITH-H/JOSEPHTHAL/SCOTIA-CAP-CA
/TAS/UNTERBERG</t>
  </si>
  <si>
    <t>BA-SEC-LLC/SALOMON-SMITH</t>
  </si>
  <si>
    <t>BA-SEC-LLC
/SALOMON-SMITH(JOINT)
ABN-ROTHSCHILD</t>
  </si>
  <si>
    <t>Banc of America Securities LLC
Salomon Smith Barney
ABN AMRO Rothschild</t>
  </si>
  <si>
    <t>Max Re Capital Ltd</t>
  </si>
  <si>
    <t>MXRE</t>
  </si>
  <si>
    <t>MORGAN-STANLEY
/CITIGROUP-SSB(JB)</t>
  </si>
  <si>
    <t>G6052F103</t>
  </si>
  <si>
    <t>Morgan Stanley
Citigroup/Salomon Smith Barney
Goldman Sachs &amp; Co
Dresdner Kleinwort Wasserstein
Banc of America Securities LLC
MR Beal &amp; Co
Fleet Boston Corp
Putnam Lovell Group Inc
Keefe Bruyette &amp; Woods Inc
Dowling &amp; Partners Securities
AG Edwards &amp; Sons Inc
Edward D Jones &amp; Co
Fox-Pitt Kelton
Chatsworth Securities LLC</t>
  </si>
  <si>
    <t>MORGAN-STANLEY(JB)/CITIGROUP-SSB(JB)
//GS/DRES-KLEIN-WASS/BA-SEC-LLC
//M-R-BEAL/FLEET-BOSTON/PLG/KEEFE/DOWL
/A-G-EDWARDS/ED-JONES/FOX-PITT
/CHATSWORTH</t>
  </si>
  <si>
    <t>MORGAN-STANLEY/CITIGROUP-SSB</t>
  </si>
  <si>
    <t>MORGAN-STANLEY
(JB)/CITIGROUP-SSB(JB)
GS
DRES-KLEIN-WASS
BA-SEC-LLC</t>
  </si>
  <si>
    <t>Morgan Stanley
Citigroup/Salomon Smith Barney
Goldman Sachs &amp; Co
Dresdner Kleinwort Wasserstein
Banc of America Securities LLC</t>
  </si>
  <si>
    <t>Gladstone Capital Corp</t>
  </si>
  <si>
    <t>GLAD</t>
  </si>
  <si>
    <t>UBS Warburg
First Union Securities Inc
Fleet Boston Corp
BB&amp;T Capital Markets
Ferris Baker Watts
Banc of America Securities LLC
Tucker Anthony Sutro
Legg Mason Wood Walker
First Security Van Kasper &amp; Co
Unterburg, Towbin Co
Merrill Lynch, Pierce, Fenner
Fahnestock &amp; Co
JJB Hilliard WL Lyons Inc
Ladenburg Thalmann &amp; Co
US Bancorp Piper Jaffray
AG Edwards &amp; Sons Inc
UBS Warburg</t>
  </si>
  <si>
    <t>UBS-WARBURG/FIRST-UNION-SEC(JOINT)
//FLEET-BOSTON/BB-T-CAP/FERRIS-BAKER
//BA-SEC-LLC/TAS/LEGG-MASON-WW
/FIR-VAN-KASPER/UNTERBURG/ML/FAHNESTOCK
/HILLIARD/LADENBURG/US-PIPER
/A-G-EDWARDS//UBS-WARBURG(GC)</t>
  </si>
  <si>
    <t>UBS-WARBURG/FIRST-UNION-SEC</t>
  </si>
  <si>
    <t>UBS-WARBURG
/FIRST-UNION-SEC(JOINT)
FLEET-BOSTON
BB-T-CAP
FERRIS-BAKER</t>
  </si>
  <si>
    <t>UBS Warburg
First Union Securities Inc
Fleet Boston Corp,Boston,Massachusetts
BB&amp;T Capital Markets
Ferris Baker Watts Inc</t>
  </si>
  <si>
    <t>Brockton Capital Corp</t>
  </si>
  <si>
    <t>BKC0F</t>
  </si>
  <si>
    <t>RAYMOND</t>
  </si>
  <si>
    <t>Raymond James &amp; Associates Inc</t>
  </si>
  <si>
    <t>Corporate High Yield Fund IV</t>
  </si>
  <si>
    <t>HYW</t>
  </si>
  <si>
    <t>Merrill Lynch</t>
  </si>
  <si>
    <t>CITIGROUP-SSB</t>
  </si>
  <si>
    <t>67070R104</t>
  </si>
  <si>
    <t>Citigroup/Salomon Smith Barney
John Nuveen Co
AG Edwards &amp; Sons Inc
UBS Warburg
McDonald Investments
Raymond James &amp; Associates Inc
Wachovia Bank NA
Prudential Securities Inc
Bear Stearns &amp; Co Inc
Merrill Lynch, Pierce, Fenner
Advest Inc
BB&amp;T Corp
Fifth Third Bank
JJB Hilliard WL Lyons Inc
Legg Mason &amp; Co Inc
SunTrust Banks
Parker-Hunter Inc
TD Waterhouse Securities
Charles Schwab &amp; Co Inc
Wayne Hummer &amp; Co
H&amp;R Block Financial Advisors
Janney Montgomery Scott Inc
Gruntal &amp; Co Inc
Fahnestock &amp; Co
Robert W Baird &amp; Co Inc
US Bancorp Piper Jaffray
Deutsche Bank</t>
  </si>
  <si>
    <t>CITIGROUP-SSB/NUVEEN(JOINT)
//A-G-EDWARDS/UBS-WARBURG/MCDONALD
/RAYMOND/WACHOVIA/PSI//BEAR/ML/ADVEST
/BBT-NC/FIFTH-THIRD-BK/HILLIARD
/LEGG-MASON/SUNTRUST-BK/PARKER-HUNTER
/TDWS/CHARLES-SCHWAB/HUMMER
/HR-BLOCK-FIN/JANNEY/GRUNTAL/FAHNESTOCK
/BAIRD/US-PIPER/DEUTSCHE-BANK</t>
  </si>
  <si>
    <t>CITIGROUP-SSB/NUVEEN</t>
  </si>
  <si>
    <t>CITIGROUP-SSB
/NUVEEN(JOINT)
A-G-EDWARDS
UBS-WARBURG
MCDONALD
RAYMOND
WACHOVIA
PSI</t>
  </si>
  <si>
    <t>Citigroup/Salomon Smith Barney
John Nuveen Co
AG Edwards &amp; Sons Inc
UBS Warburg
McDonald Investments Inc
Raymond James &amp; Associates Inc
Wachovia Bank NA
Prudential Securities Inc</t>
  </si>
  <si>
    <t>Nuveen GA Div Adv Mun Fund</t>
  </si>
  <si>
    <t>NZX</t>
  </si>
  <si>
    <t>67070T100</t>
  </si>
  <si>
    <t>Citigroup/Salomon Smith Barney
John Nuveen Co
AG Edwards &amp; Sons Inc
UBS Warburg
Wachovia Bank NA
Raymond James &amp; Associates Inc
Prudential Securities Inc
Bear Stearns &amp; Co Inc
TD Waterhouse Securities
SunTrust Capital Markets
Charles Schwab &amp; Co Inc
Janney Montgomery Scott Inc
Deutsche Bank
US Bancorp Piper Jaffray
Advest Inc
First Union National Bancorp
Robert W Baird &amp; Co Inc
Merrill Lynch, Pierce, Fenner
CIBC World Markets Inc</t>
  </si>
  <si>
    <t>CITIGROUP-SSB/NUVEEN(JOINT)
//A-G-EDWARDS/UBS-WARBURG/WACHOVIA
/RAYMOND/PSI//BEAR/TDWS/SUNTRUST-CAP
/CHARLES-SCHWAB/JANNEY/DEUTSCHE-BANK
/US-PIPER/ADVEST/FIRST-UNION/BAIRD/ML
/CIBC-WORLD</t>
  </si>
  <si>
    <t>CITIGROUP-SSB
/NUVEEN(JOINT)
A-G-EDWARDS
UBS-WARBURG
WACHOVIA
RAYMOND
PSI</t>
  </si>
  <si>
    <t>Citigroup/Salomon Smith Barney
John Nuveen Co
AG Edwards &amp; Sons Inc
UBS Warburg
Wachovia Bank NA
Raymond James &amp; Associates Inc
Prudential Securities Inc</t>
  </si>
  <si>
    <t>Nuveen MD Div Adv Mun Fund 2</t>
  </si>
  <si>
    <t>NZR</t>
  </si>
  <si>
    <t>67070V105</t>
  </si>
  <si>
    <t>Citigroup/Salomon Smith Barney
John Nuveen Co
AG Edwards &amp; Sons Inc
Prudential Securities Group
UBS Warburg
Ferris Baker Watts
First Union Securities Inc
Raymond James &amp; Associates Inc
Legg Mason Wood Walker
Bear Stearns &amp; Co Inc
Deutsche Bank
Merrill Lynch, Pierce, Fenner
US Bancorp Piper Jaffray
Advest Inc
Anderson &amp; Strudwick
Robert W Baird &amp; Co Inc
BB&amp;T Capital Markets
Folger, Nolan, Fleming
Gruntal &amp; Co Inc
Janney Montgomery Scott Inc
Johnston Associates
Charles Schwab &amp; Co Inc
SunTrust Securities, Inc.
TD Waterhouse Securities</t>
  </si>
  <si>
    <t>CITIGROUP-SSB/NUVEEN(JOINT)
//A-G-EDWARDS/PRU-SEC-GROUP/UBS-WARBURG
/FERRIS-BAKER/FIRST-UNION-SEC/RAYMOND
//LEGG-MASON-WW/BEAR/DEUTSCHE-BANK/ML
/US-PIPER/ADVEST/ANDERSON/BAIRD
/BB-T-CAP/FOLGER-NOLAN/GRUNTAL/JANNEY
/JOHNSTON/CHARLES-SCHWAB/SUNTRUST-SEC
/TDWS</t>
  </si>
  <si>
    <t>CITIGROUP-SSB
/NUVEEN(JOINT)
A-G-EDWARDS
PRU-SEC-GROUP
UBS-WARBURG
FERRIS-BAKER
FIRST-UNION-SEC
RAYMOND</t>
  </si>
  <si>
    <t>Citigroup/Salomon Smith Barney
John Nuveen Co
AG Edwards &amp; Sons Inc
Prudential Securities Group Inc
UBS Warburg
Ferris Baker Watts Inc
First Union Securities Inc
Raymond James &amp; Associates Inc</t>
  </si>
  <si>
    <t>Nuveen Michigan Dividend</t>
  </si>
  <si>
    <t>NZW</t>
  </si>
  <si>
    <t>67070W103</t>
  </si>
  <si>
    <t>Citigroup/Salomon Smith Barney
John Nuveen Co
AG Edwards &amp; Sons Inc
UBS Warburg
McDonald Investments
Raymond James &amp; Associates Inc
Fahnestock &amp; Co
Prudential Securities Inc
Bear Stearns &amp; Co Inc
Merrill Lynch, Pierce, Fenner
Advest Inc
BB&amp;T Capital Markets
First Union National Bancorp
JJB Hilliard WL Lyons Inc
Janney Montgomery Scott Inc
SunTrust Capital Markets
Charles Schwab &amp; Co Inc
Tucker Anthony Inc
TD Waterhouse Securities
Wayne Hummer &amp; Co
H&amp;R Block Financial Advisors
Fifth Third Bancorp
Robert W Baird &amp; Co Inc
US Bancorp Piper Jaffray
Deutsche Bank</t>
  </si>
  <si>
    <t>CITIGROUP-SSB/NUVEEN(JOINT)
//A-G-EDWARDS/UBS-WARBURG/MCDONALD
/RAYMOND/FAHNESTOCK/PSI//BEAR/ML/ADVEST
/BB-T-CAP/FIRST-UNION/HILLIARD/JANNEY
/SUNTRUST-CAP/CHARLES-SCHWAB/TUCKER
/TDWS/HUMMER/HR-BLOCK-FIN/FIFTH-THIRD
/BAIRD/US-PIPER/DEUTSCHE-BANK</t>
  </si>
  <si>
    <t>CITIGROUP-SSB
/NUVEEN(JOINT)
A-G-EDWARDS
UBS-WARBURG
MCDONALD
RAYMOND
FAHNESTOCK
PSI</t>
  </si>
  <si>
    <t>Citigroup/Salomon Smith Barney
John Nuveen Co
AG Edwards &amp; Sons Inc
UBS Warburg
McDonald Investments Inc
Raymond James &amp; Associates Inc
Fahnestock &amp; Co
Prudential Securities Inc</t>
  </si>
  <si>
    <t>Nuveen Div Adv Mun Fund 3</t>
  </si>
  <si>
    <t>NZF</t>
  </si>
  <si>
    <t>67070X101</t>
  </si>
  <si>
    <t>Citigroup/Salomon Smith Barney
John Nuveen Co
AG Edwards &amp; Sons Inc
Prudential Securities Inc
Dain Rauscher Wessels
First Union Securities Inc
Legg Mason Wood Walker
Raymond James &amp; Associates Inc
Wells Fargo Bank NA
McDonald Investments
Gruntal &amp; Co Inc
Ferris &amp; Company
UBS Warburg</t>
  </si>
  <si>
    <t>CITIGROUP-SSB/NUVEEN(JOINT)
//A-G-EDWARDS/PSI/DAIN-R-WESSELS
/FIRST-UNION-SEC/LEGG-MASON-WW/RAYMOND
/WELLS-FARGO/MCDONALD/GRUNTAL/FERRIS
/UBS-WARBURG</t>
  </si>
  <si>
    <t>CITIGROUP-SSB
/NUVEEN(JOINT)
A-G-EDWARDS
PSI
DAIN-R-WESSELS
FIRST-UNION-SEC
LEGG-MASON-WW
RAYMOND
WELLS-FARGO
MCDONALD
GRUNTAL
FERRIS
UBS-WARBURG</t>
  </si>
  <si>
    <t>Citigroup/Salomon Smith Barney
John Nuveen Co
AG Edwards &amp; Sons Inc
Prudential Securities Inc
Dain Rauscher Wessels
First Union Securities Inc
Legg Mason Wood Walker Inc
Raymond James &amp; Associates Inc
Wells Fargo Bank NA
McDonald Investments Inc
Gruntal &amp; Co Inc
Ferris &amp; Company, Incorporated
UBS Warburg</t>
  </si>
  <si>
    <t>Nuveen Ca Div Adv Mun Fund 3</t>
  </si>
  <si>
    <t>NZH</t>
  </si>
  <si>
    <t>67070Y109</t>
  </si>
  <si>
    <t>Citigroup/Salomon Smith Barney
John Nuveen Co
AG Edwards &amp; Sons Inc
Prudential Securities Inc
UBS Warburg
First Union Securities Inc
Tucker Anthony Inc
Wells Fargo Bank NA
Wedbush Securities
Raymond James &amp; Associates Inc
Crowell Weedon &amp; Co</t>
  </si>
  <si>
    <t>CITIGROUP-SSB/NUVEEN(JOINT)
//A-G-EDWARDS/PSI/UBS-WARBURG
/FIRST-UNION-SEC/TUCKER/WELLS-FARGO
/WEDBUSH-M/RAYMOND/CROWELL</t>
  </si>
  <si>
    <t>CITIGROUP-SSB
/NUVEEN(JOINT)
A-G-EDWARDS
PSI
UBS-WARBURG
FIRST-UNION-SEC
TUCKER
WELLS-FARGO
WEDBUSH-M
RAYMOND
CROWELL</t>
  </si>
  <si>
    <t>Given Imaging Ltd</t>
  </si>
  <si>
    <t>GIVN</t>
  </si>
  <si>
    <t>M52020100</t>
  </si>
  <si>
    <t>Lehman Brothers
Credit Suisse First Boston
Fleet Boston Corp
Fidelity Capital Markets
Fahnestock &amp; Co
Merrill Lynch, Pierce, Fenner
CL King &amp; Associates Inc
AG Edwards &amp; Sons Inc
Prudential Securities Inc
SG Cowen Securities Corp
Chatsworth Securities LLC
Edward D Jones &amp; Co LP
Raymond James &amp; Associates Inc
Lehman Brothers</t>
  </si>
  <si>
    <t>04/01/02
09/28/02</t>
  </si>
  <si>
    <t>66.691
13.392</t>
  </si>
  <si>
    <t>180
360</t>
  </si>
  <si>
    <t>16742746.00
3362167.00</t>
  </si>
  <si>
    <t>LEH/CS-FB-CS(JOINT)//FLEET-BOSTON
/FIDELITY-CAP//FAHNESTOCK/ML/CL-KING
/A-G-EDWARDS/PSI/SG-COWEN/CHATSWORTH
/ED-JONES-LP/RAYMOND//LEH(GC)</t>
  </si>
  <si>
    <t>LEH/CS-FB-CS</t>
  </si>
  <si>
    <t>LEH
/CS-FB-CS(JOINT)
FLEET-BOSTON
FIDELITY-CAP</t>
  </si>
  <si>
    <t>Lehman Brothers
Credit Suisse First Boston Corp
Fleet Boston Corp,Boston,Massachusetts
Fidelity Capital Markets</t>
  </si>
  <si>
    <t>TheraSense Inc</t>
  </si>
  <si>
    <t>THER</t>
  </si>
  <si>
    <t>US Bancorp Piper Jaffray
SG Cowen Securities Corp
Thomas Weisel Partners
Banc of America Securities LLC
CIBC World Markets Inc
Credit Suisse First Boston
Dain Rauscher Corp
First Union Securities Inc
Merrill Lynch, Pierce, Fenner
JP Morgan Securities Inc
Salomon Smith Barney
UBS Warburg LLC
William Blair &amp; Co
McDonald Investments
Raymond James &amp; Associates Inc</t>
  </si>
  <si>
    <t>US-PIPER//SG-COWEN/THOMAS-WEISEL
//BA-SEC-LLC/CIBC-WORLD/CS-FB-CS
/DAIN-RAUSCHER/FIRST-UNION-SEC/ML
/J-P-MORGAN/SALOMON-SMITH
/UBS-WARBURG-LLC/WM-BLAIR/MCDONALD
/RAYMOND</t>
  </si>
  <si>
    <t>US-PIPER
SG-COWEN
THOMAS-WEISEL</t>
  </si>
  <si>
    <t>US Bancorp Piper Jaffray Inc
SG Cowen Securities Corp
Thomas Weisel Partners</t>
  </si>
  <si>
    <t>Principal Financial Group Inc</t>
  </si>
  <si>
    <t>PFG</t>
  </si>
  <si>
    <t>74251V102</t>
  </si>
  <si>
    <t>Goldman Sachs &amp; Co
Credit Suisse First Boston
Citigroup/Salomon Smith Barney
AG Edwards &amp; Sons Inc
Bear Stearns &amp; Co Inc
Fox-Pitt Kelton
UBS Warburg
Lehman Brothers
Samuel A. Ramirez &amp; Co.
JP Morgan
Banc of America Securities LLC
Merrill Lynch
ABN AMRO Rothschild
Dain Rauscher Corp
First Union National Bancorp
Putnam, Coffin, Doolittle, New
Fleet Boston Corp
Utendahl Capital Partners
Williams Capital Group LP
Wells Fargo Bank NA
Sturdivant &amp; Co Inc
Muriel Siebert &amp; Co
Raymond James &amp; Associates Inc
Neuberger Berman Inc
Mitchell Securities Corp
Legg Mason Wood Walker
Guzman &amp; Co
Doley Securities
Chatsworth Securities LLC
MR Beal &amp; Co
Bank of New York
Sandler Capital Markets
RBC Dominion Securities
Prudential Securities Inc
Keefe Bruyette &amp; Woods Inc
Epoch Capital Corp
Sanford C Bernstein &amp; Co Inc
Goldman Sachs &amp; Co</t>
  </si>
  <si>
    <t>GS//CS-FB-CS/CITIGROUP-SSB/A-G-EDWARDS
/BEAR/FOX-PITT/UBS-WARBURG/LEH/RAMIREZ
/JPM/BA-SEC-LLC/MERRILL//ABN-ROTHSCHILD
/DAIN-RAUSCHER/FIRST-UNION/PUTNAM
/FLEET-BOSTON/UTENDAHL-CAP/WILLIAMS-CAP
/WELLS-FARGO/STURDIVANT/MURIEL/RAYMOND
/NEUBERGER/MITCHELL-SEC/LEGG-MASON-WW
/GUZMAN/DOLEY-SEC/CHATSWORTH/M-R-BEAL
/BK-NEW-YORK/SANDLER/RBC-DOM/PSI/KEEFE
/EPOCH/BERNSTEIN//GS(GC)</t>
  </si>
  <si>
    <t>GS
CS-FB-CS
CITIGROUP-SSB
A-G-EDWARDS
BEAR
FOX-PITT
UBS-WARBURG
LEH
RAMIREZ
JPM
BA-SEC-LLC
MERRILL</t>
  </si>
  <si>
    <t>Goldman Sachs &amp; Co
Credit Suisse First Boston Corp
Citigroup/Salomon Smith Barney
AG Edwards &amp; Sons Inc
Bear Stearns &amp; Co Inc
Fox-Pitt Kelton
UBS Warburg
Lehman Brothers
Samuel A. Ramirez &amp; Co.
JP Morgan &amp; Co Inc
Banc of America Securities LLC
Merrill Lynch &amp; Co Inc</t>
  </si>
  <si>
    <t>Goldman Sachs &amp; Co
Credit Suisse First Boston Inc
Merrill Lynch Intl Ltd
Salomon Smith Barney
AG Edwards &amp; Sons Inc
Banc of America Securities LLC
Bear Stearns &amp; Co Inc
Fox-Pitt Kelton SA
JP Morgan
Lehman Brothers
Samuel A. Ramirez &amp; Co.
UBS Warburg (UK)
Credit Lyonnais SA
ABN AMRO Rothschild
BNP Paribas SA
Commerzbank AG
Goldman Sachs &amp; Co</t>
  </si>
  <si>
    <t>GS//CSFB-INC/ML-I/SALOMON-SMITH
/A-G-EDWARDS/BA-SEC-LLC/BEAR
/FOX-PITT-NV/JPM/LEH/RAMIREZ
/UBS-WARBURG-UK/CRED-LYONNAIS
/ABN-ROTHSCHILD/BNP-PARIBAS/COMMERZBANK
//GS(GC)</t>
  </si>
  <si>
    <t>Cross Country Inc</t>
  </si>
  <si>
    <t>CCRN</t>
  </si>
  <si>
    <t>22748P105</t>
  </si>
  <si>
    <t>Merrill Lynch
Citigroup/Salomon Smith Barney
Banc of America Securities LLC
CIBC World Markets Inc
Robinson-Humphrey Co
Merrill Lynch</t>
  </si>
  <si>
    <t>MERRILL/CITIGROUP-SSB(JOINT)
//BA-SEC-LLC/CIBC-WORLD/ROBINSON
//MERRILL(GC)</t>
  </si>
  <si>
    <t>MERRILL/CITIGROUP-SSB</t>
  </si>
  <si>
    <t>MERRILL
/CITIGROUP-SSB(JOINT)
BA-SEC-LLC
CIBC-WORLD
ROBINSON</t>
  </si>
  <si>
    <t>Merrill Lynch &amp; Co Inc
Citigroup/Salomon Smith Barney
Banc of America Securities LLC
CIBC World Markets Inc
Robinson-Humphrey Co</t>
  </si>
  <si>
    <t>Merrill Lynch
Salomon Smith Barney
Banc of America Securities LLC
SunTrust Securities
CIBC World Markets Inc
Merrill Lynch</t>
  </si>
  <si>
    <t>MERRILL/SALOMON-SMITH(JOINT)
//BA-SEC-LLC/SUN-TRUST-SEC/CIBC-WORLD
//MERRILL(GC)</t>
  </si>
  <si>
    <t>MERRILL
/SALOMON-SMITH(JOINT)</t>
  </si>
  <si>
    <t>Merrill Lynch &amp; Co Inc
Salomon Smith Barney</t>
  </si>
  <si>
    <t>Penn Virginia Resource</t>
  </si>
  <si>
    <t>PVR</t>
  </si>
  <si>
    <t>Lehman Brothers
UBS Warburg
Banc of America Securities LLC
Dain Rauscher Wessels
Wachovia Securities Inc</t>
  </si>
  <si>
    <t>PVA</t>
  </si>
  <si>
    <t>Penn Virginia Corp</t>
  </si>
  <si>
    <t>LEH/UBS-WARBURG(JOINT)//BA-SEC-LLC
/DAIN-R-WESSELS/WACHOVIA-SEC</t>
  </si>
  <si>
    <t>LEH/UBS-WARBURG</t>
  </si>
  <si>
    <t>LEH
/UBS-WARBURG(JOINT)
BA-SEC-LLC
DAIN-R-WESSELS
WACHOVIA-SEC</t>
  </si>
  <si>
    <t>BlackRock Mun 2018 Term Trust</t>
  </si>
  <si>
    <t>BPK</t>
  </si>
  <si>
    <t>Shs Benficl Int</t>
  </si>
  <si>
    <t>09248C106</t>
  </si>
  <si>
    <t>Merrill Lynch
Citigroup/Salomon Smith Barney
AG Edwards &amp; Sons Inc
Prudential Securities Group
Gruntal &amp; Co Inc
JJB Hilliard WL Lyons Inc
Legg Mason Wood Walker
Quick &amp; Reilly Inc
Raymond James &amp; Associates Inc
Tucker Anthony Sutro
Wells Fargo Bank NA
Bear Stearns &amp; Co Inc
CIBC World Markets Inc
Dain Rauscher Wessels
Deutsche Bank
First Union Securities Inc
US Bancorp Piper Jaffray
UBS Warburg
Advest Inc
BB&amp;T Capital Markets
Robert W Baird &amp; Co Inc
William Blair &amp; Co
Crowell Weedon &amp; Co
DA Davidson &amp; Co Inc
Fahnestock &amp; Co
Ferris Baker Watts
Fifth Third Securities Inc
H&amp;R Block Financial Advisors
Janney Montgomery Scott Inc
Ladenburg Thalmann &amp; Co
McDonald Investments
Morgan Keegan Inc
Parker-Hunter Inc
Charles Schwab &amp; Co Inc
Stephens Inc
Stifel Nicolaus &amp; Co Inc
TD Waterhouse Securities
CE Unterberg Towbin
Wedbush Securities
Anderson &amp; Strudwick
City Securities
Coburn &amp; Meredith, Inc
Howe Barnes Investments Inc
Kirkpatrick, Pettis, Smith, Po
LaSalle Street Securities Inc
Mesirow Financial Corp
David A. Noyes
Ryan Beck &amp; Co
SWS Group
Sterne Agee &amp; Leach Inc
HC Wainwright &amp; Co Inc</t>
  </si>
  <si>
    <t>MERRILL/CITIGROUP-SSB(JOINT)
//A-G-EDWARDS/PRU-SEC-GROUP/GRUNTAL
/HILLIARD/LEGG-MASON-WW/Q&amp;R/RAYMOND/TAS
/WELLS-FARGO//BEAR/CIBC-WORLD
/DAIN-R-WESSELS/DEUTSCHE-BANK
/FIRST-UNION-SEC/US-PIPER/UBS-WARBURG
/ADVEST/BB-T-CAP/BAIRD/WM-BLAIR/CROWELL
/DAVIDSON/FAHNESTOCK/FERRIS-BAKER
/FIFTH-THIRD-SEC/HR-BLOCK-FIN/JANNEY
/LADENBURG/MCDONALD/MORGAN-KEEGAN
/PARKER-HUNTER/CHARLES-SCHWAB/STEPHENS
/STIFEL/TDWS/UNTERBERG/WEDBUSH-M
/ANDERSON/CITY-SEC/COBURN/HOWE-BARNES
/KIRKPATRICK/LASALLE-SEC/MESIROW-FIN
/D-A-NOYES/RYAN-BECK/SWS-GROUP
/STERNE-AGEE/H-C-WAINWRIGHT</t>
  </si>
  <si>
    <t>MERRILL
/CITIGROUP-SSB(JOINT)
A-G-EDWARDS
PRU-SEC-GROUP
GRUNTAL
HILLIARD
LEGG-MASON-WW
Q&amp;R
RAYMOND
TAS
WELLS-FARGO</t>
  </si>
  <si>
    <t>Merrill Lynch &amp; Co Inc
Citigroup/Salomon Smith Barney
AG Edwards &amp; Sons Inc
Prudential Securities Group Inc
Gruntal &amp; Co Inc
JJB Hilliard WL Lyons Inc
Legg Mason Wood Walker Inc
Quick &amp; Reilly Inc
Raymond James &amp; Associates Inc
Tucker Anthony Sutro
Wells Fargo Bank NA</t>
  </si>
  <si>
    <t>Blackrock NY Mun 2018 Term Tr</t>
  </si>
  <si>
    <t>BLJ</t>
  </si>
  <si>
    <t>09248K108</t>
  </si>
  <si>
    <t>Merrill Lynch
Citigroup/Salomon Smith Barney
AG Edwards &amp; Sons Inc
Gruntal &amp; Co Inc
Raymond James &amp; Associates Inc
Legg Mason Wood Walker
Wells Fargo Bank NA
Tucker Anthony Sutro
JJB Hilliard WL Lyons Inc
Quick &amp; Reilly Inc
Prudential Securities Group
Bear Stearns &amp; Co Inc
Deutsche Bank
US Bancorp Piper Jaffray
Fahnestock &amp; Co
Ladenburg Thalmann &amp; Co
Ryan Beck &amp; Co
TD Securities Inc
McDonald Investments
Janney Montgomery Scott Inc
Advest Inc
UBS Securities Inc
First Union Securities Inc
CIBC World Markets Inc</t>
  </si>
  <si>
    <t>MERRILL/CITIGROUP-SSB(JOINT)
//A-G-EDWARDS/GRUNTAL/RAYMOND
/LEGG-MASON-WW/WELLS-FARGO/TAS/HILLIARD
/Q&amp;R/PRU-SEC-GROUP//BEAR/DEUTSCHE-BANK
/US-PIPER/FAHNESTOCK/LADENBURG
/RYAN-BECK/TD-SECURITIES/MCDONALD
/JANNEY/ADVEST/UBS-SEC/FIRST-UNION-SEC
/CIBC-WORLD</t>
  </si>
  <si>
    <t>MERRILL
/CITIGROUP-SSB(JOINT)
A-G-EDWARDS
GRUNTAL
RAYMOND
LEGG-MASON-WW
WELLS-FARGO
TAS
HILLIARD
Q&amp;R
PRU-SEC-GROUP</t>
  </si>
  <si>
    <t>Merrill Lynch &amp; Co Inc
Citigroup/Salomon Smith Barney
AG Edwards &amp; Sons Inc
Gruntal &amp; Co Inc
Raymond James &amp; Associates Inc
Legg Mason Wood Walker Inc
Wells Fargo Bank NA
Tucker Anthony Sutro
JJB Hilliard WL Lyons Inc
Quick &amp; Reilly Inc
Prudential Securities Group Inc</t>
  </si>
  <si>
    <t>Blackrock Ca Mun 2018 Term Tr</t>
  </si>
  <si>
    <t>BJZ</t>
  </si>
  <si>
    <t>09249C105</t>
  </si>
  <si>
    <t>Merrill Lynch
Citigroup/Salomon Smith Barney
AG Edwards &amp; Sons Inc
Gruntal &amp; Co Inc
Raymond James &amp; Associates Inc
Wells Fargo Bank NA
Tucker Anthony Sutro
Quick &amp; Reilly Inc
Prudential Securities Group
Bear Stearns &amp; Co Inc
US Bancorp Piper Jaffray
CIBC World Markets Inc
Deutsche Bank
First Union Securities Inc
UBS Securities Inc
Robert W Baird &amp; Co Inc
Fahnestock &amp; Co
JJB Hilliard WL Lyons Inc
Ladenburg Thalmann &amp; Co
Janney Montgomery Scott Inc
Wedbush Securities
TD Securities Inc
Seidler Corp
Ryan Beck &amp; Co
McDonald Investments
Ferris Baker Watts
Crowell Weedon &amp; Co
Advest Inc
Legg Mason Wood Walker</t>
  </si>
  <si>
    <t>MERRILL/CITIGROUP-SSB(JOINT)
//A-G-EDWARDS/GRUNTAL/RAYMOND
/WELLS-FARGO/TAS/Q&amp;R/PRU-SEC-GROUP
//BEAR/US-PIPER/CIBC-WORLD
/DEUTSCHE-BANK/FIRST-UNION-SEC/UBS-SEC
/BAIRD/FAHNESTOCK/HILLIARD/LADENBURG
/JANNEY/WEDBUSH-M/TD-SECURITIES
/SEIDLER-COS/RYAN-BECK/MCDONALD
/FERRIS-BAKER/CROWELL/ADVEST
/LEGG-MASON-WW</t>
  </si>
  <si>
    <t>MERRILL
/CITIGROUP-SSB(JOINT)
A-G-EDWARDS
GRUNTAL
RAYMOND
WELLS-FARGO
TAS
Q&amp;R
PRU-SEC-GROUP</t>
  </si>
  <si>
    <t>Merrill Lynch &amp; Co Inc
Citigroup/Salomon Smith Barney
AG Edwards &amp; Sons Inc
Gruntal &amp; Co Inc
Raymond James &amp; Associates Inc
Wells Fargo Bank NA
Tucker Anthony Sutro
Quick &amp; Reilly Inc
Prudential Securities Group Inc</t>
  </si>
  <si>
    <t>Anthem Inc</t>
  </si>
  <si>
    <t>03674B104</t>
  </si>
  <si>
    <t>Goldman Sachs &amp; Co
Merrill Lynch
JP Morgan
Credit Suisse First Boston
UBS Warburg
Dresdner Kleinwort Wasserstein
McDonald Investments
Utendahl Capital Partners
AG Edwards &amp; Sons Inc
ABN-AMRO Holding NV
Lehman Brothers
Banc of America Securities LLC
Morgan Stanley
Bank of New York
Epoch Capital Corp
Edward D Jones &amp; Co
Prudential Securities Inc
SunTrust Capital Markets
Advest Inc
William Blair &amp; Co
Dowling &amp; Partners Securities
Blaylock &amp; Partners LP
May Davis Group Inc
Stifel Nicolaus &amp; Co Inc
Stephens Inc
Samuel A. Ramirez &amp; Co.
Neuberger Berman Inc
NC Investments
Melvin Securities Corporation
Loop Capital Markets
Legg Mason Wood Walker
CL King &amp; Associates Inc
Robert W Baird &amp; Co Inc
Wells Fargo Bank NA
Sandler Capital Markets
Keefe Bruyette &amp; Woods Inc
Wachovia Bank NA
Dain Rauscher Corp</t>
  </si>
  <si>
    <t>Anthem Insurance Cos Inc</t>
  </si>
  <si>
    <t>GS//MERRILL/JPM/CS-FB-CS/UBS-WARBURG
/DRES-KLEIN-WASS/MCDONALD/UTENDAHL-CAP
/A-G-EDWARDS/ABN-AMRO/LEH/BA-SEC-LLC
/MORGAN-STANLEY//BK-NEW-YORK/EPOCH
/ED-JONES/PSI/SUNTRUST-CAP/ADVEST
/WM-BLAIR/DOWL/BLAYLOCK-PTRNS/MAY-DAVIS
/STIFEL/STEPHENS/RAMIREZ/NEUBERGER
/NC-INV/MELVIN-SEC/LOOP/LEGG-MASON-WW
/CL-KING/BAIRD/WELLS-FARGO/SANDLER
/KEEFE/WACHOVIA/DAIN-RAUSCHER</t>
  </si>
  <si>
    <t>GS
MERRILL
JPM
CS-FB-CS
UBS-WARBURG
DRES-KLEIN-WASS
MCDONALD
UTENDAHL-CAP
A-G-EDWARDS
ABN-AMRO
LEH
BA-SEC-LLC
MORGAN-STANLEY</t>
  </si>
  <si>
    <t>Goldman Sachs &amp; Co
Merrill Lynch &amp; Co Inc
JP Morgan &amp; Co Inc
Credit Suisse First Boston Corp
UBS Warburg
Dresdner Kleinwort Wasserstein
McDonald Investments Inc
Utendahl Capital Partners
AG Edwards &amp; Sons Inc
ABN-AMRO Holding NV
Lehman Brothers
Banc of America Securities LLC
Morgan Stanley</t>
  </si>
  <si>
    <t>Odyssey HealthCare Inc</t>
  </si>
  <si>
    <t>ODSY</t>
  </si>
  <si>
    <t>67611V101</t>
  </si>
  <si>
    <t>Merrill Lynch
CIBC World Markets Inc
SG Cowen Securities Corp
Merrill Lynch</t>
  </si>
  <si>
    <t>MERRILL//CIBC-WORLD/SG-COWEN
//MERRILL(GC)</t>
  </si>
  <si>
    <t>MERRILL
CIBC-WORLD
SG-COWEN</t>
  </si>
  <si>
    <t>Merrill Lynch &amp; Co Inc
CIBC World Markets Inc
SG Cowen Securities Corp</t>
  </si>
  <si>
    <t>LogicVision Inc</t>
  </si>
  <si>
    <t>LGVN</t>
  </si>
  <si>
    <t>54140W107</t>
  </si>
  <si>
    <t>UBS Warburg
SG Cowen Securities Corp
Dain Rauscher Wessels
Adams Harkness &amp; Hill Inc
Needham &amp; Co LLC
CE Unterberg Towbin
UBS Warburg</t>
  </si>
  <si>
    <t>UBS-WARBURG//SG-COWEN/DAIN-R-WESSELS
//ADAMS-HARKNESS/NEEDHAM/UNTERBERG
//UBS-WARBURG(GC)</t>
  </si>
  <si>
    <t>UBS-WARBURG
SG-COWEN
DAIN-R-WESSELS</t>
  </si>
  <si>
    <t>UBS Warburg
SG Cowen Securities Corp
Dain Rauscher Wessels</t>
  </si>
  <si>
    <t>Amerigroup Corp</t>
  </si>
  <si>
    <t>AMGP</t>
  </si>
  <si>
    <t>BA-SEC-LLC
/UBS-WARBURG(JB)</t>
  </si>
  <si>
    <t>03073T102</t>
  </si>
  <si>
    <t>Banc of America Securities LLC
UBS Warburg
CIBC World Markets Inc
Stephens Inc
Bear Stearns &amp; Co Inc
Deutsche Banc Alex Brown
JP Morgan
Merrill Lynch, Pierce, Fenner
AG Edwards &amp; Sons Inc
Legg Mason Wood Walker
Redwine &amp; Company Inc
Roth Capital Partners Inc
UBS Warburg
Banc of America Securities LLC</t>
  </si>
  <si>
    <t>BA-SEC-LLC(JB)/UBS-WARBURG(JB)
//CIBC-WORLD/STEPHENS//BEAR
/DEUTSCHE-ALEX-B/JPM/ML/A-G-EDWARDS
/LEGG-MASON-WW/REDWINE-CO/ROTH-CAPITAL
//UBS-WARBURG(GC)/BA-SEC-LLC(GC)</t>
  </si>
  <si>
    <t>BA-SEC-LLC/UBS-WARBURG</t>
  </si>
  <si>
    <t>BA-SEC-LLC
(JB)/UBS-WARBURG(JB)
CIBC-WORLD
STEPHENS</t>
  </si>
  <si>
    <t>Banc of America Securities LLC
UBS Warburg
CIBC World Markets Inc
Stephens Inc</t>
  </si>
  <si>
    <t>UBS-WARBURG-UK
/BA-SEC-LLC(JB)</t>
  </si>
  <si>
    <t>UBS Warburg (UK)
Banc of America Securities LLC
CIBC World Markets Inc
Stephens Inc
UBS Warburg (UK)
Banc of America Securities LLC</t>
  </si>
  <si>
    <t>UBS-WARBURG-UK(JB)/BA-SEC-LLC(JB)
//CIBC-WORLD/STEPHENS
//UBS-WARBURG-UK(GC)/BA-SEC-LLC(GC)</t>
  </si>
  <si>
    <t>UBS-WARBURG-UK/BA-SEC-LLC</t>
  </si>
  <si>
    <t>UBS-WARBURG-UK
(JB)/BA-SEC-LLC(JB)</t>
  </si>
  <si>
    <t>UBS Warburg (UK)
Banc of America Securities LLC</t>
  </si>
  <si>
    <t>AMN Healthcare Services Inc</t>
  </si>
  <si>
    <t>AHS</t>
  </si>
  <si>
    <t>001744101</t>
  </si>
  <si>
    <t>Banc of America Securities LLC
UBS Warburg
JP Morgan
Bear Stearns &amp; Co Inc
Credit Suisse First Boston
Deutsche Banc Alex Brown
Lehman Brothers
Merrill Lynch, Pierce, Fenner
Morgan Stanley
Citigroup/Salomon Smith Barney
US Bancorp Piper Jaffray
Advest Inc
Robert W Baird &amp; Co Inc
Buckingham Securities
First Southwest
Gerard Klauer Mattison &amp; Co
Jefferies &amp; Co Inc
Legg Mason Wood Walker
Morgan Keegan Inc
Raymond James &amp; Associates Inc
SunTrust Robinson Humphrey
Wells Fargo Bank NA
William Blair &amp; Co
Banc of America Securities LLC
UBS Warburg</t>
  </si>
  <si>
    <t>Haas Wheat &amp; Partners Inc</t>
  </si>
  <si>
    <t>BA-SEC-LLC(JB)/UBS-WARBURG(JB)//JPM
//BEAR/CS-FB-CS/DEUTSCHE-ALEX-B/LEH/ML
/MORGAN-STANLEY/CITIGROUP-SSB/US-PIPER
/ADVEST/BAIRD/BUCKINGHAM/FIRST-SW
/GERARD-KLAUER/JEFFERIES/LEGG-MASON-WW
/MORGAN-KEEGAN/RAYMOND/SUNTRUST-RH
/WELLS-FARGO/WM-BLAIR//BA-SEC-LLC(GC)
/UBS-WARBURG(GC)</t>
  </si>
  <si>
    <t>BA-SEC-LLC
(JB)/UBS-WARBURG(JB)
JPM</t>
  </si>
  <si>
    <t>Banc of America Securities LLC
UBS Warburg
JP Morgan &amp; Co Inc</t>
  </si>
  <si>
    <t>BA-SEC-LLC
/UBS-WARBURG-UK(JB)</t>
  </si>
  <si>
    <t>Banc of America Securities LLC
UBS Warburg (UK)
JP Morgan
Banc of America Securities LLC
UBS Warburg (UK)</t>
  </si>
  <si>
    <t>BA-SEC-LLC(JB)/UBS-WARBURG-UK(JB)//JPM
//BA-SEC-LLC(GC)/UBS-WARBURG-UK(GC)</t>
  </si>
  <si>
    <t>BA-SEC-LLC/UBS-WARBURG-UK</t>
  </si>
  <si>
    <t>BA-SEC-LLC
(JB)/UBS-WARBURG-UK(JB)</t>
  </si>
  <si>
    <t>Banc of America Securities LLC
UBS Warburg (UK)</t>
  </si>
  <si>
    <t>The Advisory Board Co</t>
  </si>
  <si>
    <t>ABCO</t>
  </si>
  <si>
    <t>00762W107</t>
  </si>
  <si>
    <t>Credit Suisse First Boston
Deutsche Banc Alex Brown
UBS Warburg
William Blair &amp; Co
Adams
Allen &amp; Co Inc
Buckingham Research Group
Friedman Billings Ramsey Group
Merrill Lynch
Deutsche Banc Alex Brown
Credit Suisse First Boston</t>
  </si>
  <si>
    <t>CS-FB-CS(JB)/DEUTSCHE-ALEX-B(JB)
//UBS-WARBURG/WM-BLAIR//ADAMS/ALLEN
/BUCKINGHAM-RES/FRIEDMAN-B/MERRILL
//DEUTSCHE-ALEX-B(GC)/CS-FB-CS(GC)</t>
  </si>
  <si>
    <t>CS-FB-CS
(JB)/DEUTSCHE-ALEX-B(JB)
UBS-WARBURG
WM-BLAIR</t>
  </si>
  <si>
    <t>Credit Suisse First Boston Corp
Deutsche Banc Alex Brown
UBS Warburg
William Blair &amp; Co</t>
  </si>
  <si>
    <t>CSFB-INC
/DEUTSCHE-ALEX-B(JB)</t>
  </si>
  <si>
    <t>Credit Suisse First Boston Inc
Deutsche Banc Alex Brown
UBS Warburg
William Blair &amp; Co
Credit Suisse First Boston Inc
Deutsche Banc Alex Brown</t>
  </si>
  <si>
    <t>CSFB-INC(JB)/DEUTSCHE-ALEX-B(JB)
//UBS-WARBURG/WM-BLAIR//CSFB-INC(GC)
/DEUTSCHE-ALEX-B(GC)</t>
  </si>
  <si>
    <t>CSFB-INC/DEUTSCHE-ALEX-B</t>
  </si>
  <si>
    <t>CSFB-INC
(JB)/DEUTSCHE-ALEX-B(JB)</t>
  </si>
  <si>
    <t>Credit Suisse First Boston Inc
Deutsche Banc Alex Brown</t>
  </si>
  <si>
    <t>Fisher &amp; Paykel Healthcare Ltd</t>
  </si>
  <si>
    <t>New Zealand</t>
  </si>
  <si>
    <t>FPHC</t>
  </si>
  <si>
    <t>33774M106</t>
  </si>
  <si>
    <t>Deutsche Banc Alex Brown
Banc of America Securities LLC
US Bancorp Piper Jaffray
Merrill Lynch
JP Morgan
Morgan Stanley
Citigroup/Salomon Smith Barney
SG Cowen Securities Corp
UBS Warburg
William Blair &amp; Co
Keefe Bruyette &amp; Woods Inc
CL King &amp; Associates Inc
McDonald Investments
S. C. Parker
Sandler O'Neill Partners
Wells Fargo Bank NA</t>
  </si>
  <si>
    <t>DEUTSCHE-ALEX-B//BA-SEC-LLC/US-PIPER
//MERRILL/JPM/MORGAN-STANLEY
/CITIGROUP-SSB/SG-COWEN/UBS-WARBURG
/WM-BLAIR/KEEFE/CL-KING/MCDONALD/PARKER
/SANDLER-ONEILL/WELLS-FARGO</t>
  </si>
  <si>
    <t>DEUTSCHE-ALEX-B
BA-SEC-LLC
US-PIPER</t>
  </si>
  <si>
    <t>Deutsche Banc Alex Brown
Banc of America Securities LLC
US Bancorp Piper Jaffray Inc</t>
  </si>
  <si>
    <t>Bam Entertainment Inc</t>
  </si>
  <si>
    <t>BFUN</t>
  </si>
  <si>
    <t>059361105</t>
  </si>
  <si>
    <t>Jefferies &amp; Co Inc
Morgan Keegan Inc
Credit Lyonnais Securities USA
AG Edwards &amp; Sons Inc
Gerard Klauer Mattison &amp; Co
Lazard
Soundview Technology
Southwest Securities Inc</t>
  </si>
  <si>
    <t>JEFFERIES/MORGAN-KEEGAN(JOINT)
//CL-SEC-USA/A-G-EDWARDS/GERARD-KLAUER
/LAZARD/SOUNDV/SWS-SEC</t>
  </si>
  <si>
    <t>JEFFERIES/MORGAN-KEEGAN</t>
  </si>
  <si>
    <t>JEFFERIES
/MORGAN-KEEGAN(JOINT)</t>
  </si>
  <si>
    <t>Jefferies &amp; Co Inc
Morgan Keegan Inc</t>
  </si>
  <si>
    <t>DJ Orthopedics Inc</t>
  </si>
  <si>
    <t>DJO</t>
  </si>
  <si>
    <t>23325G104</t>
  </si>
  <si>
    <t>Goldman Sachs &amp; Co
JP Morgan
UBS Warburg
Wachovia Bank NA
US Bancorp Piper Jaffray
Blair House
First Albany
Prudential Securities Inc
Stephens Inc
Epoch Capital Corp</t>
  </si>
  <si>
    <t>ENMC</t>
  </si>
  <si>
    <t>Encore Medical Corp</t>
  </si>
  <si>
    <t>GS/JPM(JOINT)//UBS-WARBURG/WACHOVIA
/US-PIPER//BLAIR/FIRST-ALBANY/PSI
/STEPHENS/EPOCH</t>
  </si>
  <si>
    <t>GS/JPM</t>
  </si>
  <si>
    <t>GS
/JPM(JOINT)
UBS-WARBURG
WACHOVIA
US-PIPER</t>
  </si>
  <si>
    <t>Goldman Sachs &amp; Co
JP Morgan &amp; Co Inc
UBS Warburg
Wachovia Bank NA
US Bancorp Piper Jaffray Inc</t>
  </si>
  <si>
    <t>Weight Watchers Intl Inc</t>
  </si>
  <si>
    <t>WTW</t>
  </si>
  <si>
    <t>Credit Suisse First Boston
Goldman Sachs &amp; Co
Merrill Lynch
Citigroup/Salomon Smith Barney
UBS Warburg
ABN-AMRO Holding NV
Prudential Securities Inc
JP Morgan
Edward D Jones &amp; Co
Johnston Lemon &amp; Co Inc
Janney Montgomery Scott Inc
Gruntal &amp; Co Inc
Davenport
Robert W Baird &amp; Co Inc
US Bancorp Piper Jaffray
Scotia Capital Inc
Williams Capital Group LP
SunTrust Capital Markets
Sanders Morris Harris Inc
Raymond James &amp; Associates Inc
Parker-Hunter Inc
Legg Mason Wood Walker
CL King &amp; Associates Inc
Dain Rauscher Corp
Bear Stearns &amp; Co Inc
AG Edwards &amp; Sons Inc
Invemed Associates Inc
Lehman Brothers
Deutsche Banc Alex Brown
Banc of America Securities LLC
Credit Suisse First Boston</t>
  </si>
  <si>
    <t>CS-FB-CS/GS(JOINT)//MERRILL
/CITIGROUP-SSB/UBS-WARBURG//ABN-AMRO
/PSI/JPM/ED-JONES/JOHNSTON-LEMON/JANNEY
/GRUNTAL/DAVENPORT/BAIRD/US-PIPER
/SCOTIA-CAP-CA/WILLIAMS-CAP
/SUNTRUST-CAP/SANDERS-HARRIS/RAYMOND
/PARKER-HUNTER/LEGG-MASON-WW/CL-KING
/DAIN-RAUSCHER/BEAR/A-G-EDWARDS/INVEMED
/LEH/DEUTSCHE-ALEX-B/BA-SEC-LLC
//CS-FB-CS(GC)</t>
  </si>
  <si>
    <t>CS-FB-CS/GS</t>
  </si>
  <si>
    <t>CS-FB-CS
/GS(JOINT)
MERRILL
CITIGROUP-SSB
UBS-WARBURG</t>
  </si>
  <si>
    <t>Credit Suisse First Boston Corp
Goldman Sachs &amp; Co
Merrill Lynch &amp; Co Inc
Citigroup/Salomon Smith Barney
UBS Warburg</t>
  </si>
  <si>
    <t>Credit Suisse First Boston Inc
Goldman Sachs &amp; Co
Merrill Lynch
Salomon Smith Barney
UBS Warburg
Credit Suisse First Boston Inc</t>
  </si>
  <si>
    <t>CSFB-INC//GS//MERRILL/SALOMON-SMITH
/UBS-WARBURG//CSFB-INC(GC)</t>
  </si>
  <si>
    <t>CSFB-INC
GS</t>
  </si>
  <si>
    <t>Credit Suisse First Boston Inc
Goldman Sachs &amp; Co</t>
  </si>
  <si>
    <t>Nuveen Real Estate Income Fund</t>
  </si>
  <si>
    <t>JRS</t>
  </si>
  <si>
    <t>67071B108</t>
  </si>
  <si>
    <t>Citigroup/Salomon Smith Barney
John Nuveen Co
AG Edwards &amp; Sons Inc
Dain Rauscher Wessels
Legg Mason Wood Walker
Wachovia Bank NA
McDonald Investments
Gruntal &amp; Co Inc
Prudential Securities Group
CIBC World Markets Inc
Merrill Lynch, Pierce, Fenner
Advest Inc
DA Davidson &amp; Co Inc
Ferris Baker Watts
Janney Montgomery Scott Inc
Morgan Keegan Inc
Mesirow
Wells Fargo Bank NA
Wedbush, Noble, Cooke
TD Waterhouse Securities
SunTrust Securities, Inc.
Stifel Nicolaus &amp; Co Inc
Quick &amp; Reilly Group, Inc.
Parker-Hunter Inc
JJB Hilliard WL Lyons Inc
Fahnestock &amp; Co
Crowell Weedon &amp; Co
H&amp;R Block Financial Advisors
US Bancorp Piper Jaffray
Deutsche Bank</t>
  </si>
  <si>
    <t>CITIGROUP-SSB/NUVEEN(JOINT)
//A-G-EDWARDS/DAIN-R-WESSELS
/LEGG-MASON-WW/WACHOVIA/MCDONALD
/GRUNTAL/PRU-SEC-GROUP//CIBC-WORLD/ML
/ADVEST/DAVIDSON/FERRIS-BAKER/JANNEY
/MORGAN-KEEGAN/MESIROW/WELLS-FARGO
/WEDBUSH/TDWS/SUNTRUST-SEC/STIFEL
/QUICK-REILLY/PARKER-HUNTER/HILLIARD
/FAHNESTOCK/CROWELL/HR-BLOCK-FIN
/US-PIPER/DEUTSCHE-BANK</t>
  </si>
  <si>
    <t>CITIGROUP-SSB
/NUVEEN(JOINT)
A-G-EDWARDS
DAIN-R-WESSELS
LEGG-MASON-WW
WACHOVIA
MCDONALD
GRUNTAL
PRU-SEC-GROUP</t>
  </si>
  <si>
    <t>Citigroup/Salomon Smith Barney
John Nuveen Co
AG Edwards &amp; Sons Inc
Dain Rauscher Wessels
Legg Mason Wood Walker Inc
Wachovia Bank NA
McDonald Investments Inc
Gruntal &amp; Co Inc
Prudential Securities Group Inc</t>
  </si>
  <si>
    <t>Nuveen NC Div Adv Mun Fund 2</t>
  </si>
  <si>
    <t>NNO</t>
  </si>
  <si>
    <t>67071D104</t>
  </si>
  <si>
    <t>Citigroup/Salomon Smith Barney
John Nuveen Co
AG Edwards &amp; Sons Inc
UBS Warburg
Legg Mason Wood Walker
Raymond James &amp; Associates Inc
Wachovia Bank NA
Prudential Securities Inc
Deutsche Bank
Advest Inc
Ferris Baker Watts
Quick &amp; Reilly Group, Inc.
SunTrust Capital Markets
TD Waterhouse Securities
Redwine &amp; Company Inc
JJB Hilliard WL Lyons Inc
BB&amp;T Corp
Merrill Lynch, Pierce, Fenner</t>
  </si>
  <si>
    <t>CITIGROUP-SSB/NUVEEN(JOINT)
//A-G-EDWARDS/UBS-WARBURG/LEGG-MASON-WW
/RAYMOND/WACHOVIA/PSI//DEUTSCHE-BANK
/ADVEST/FERRIS-BAKER/QUICK-REILLY
/SUNTRUST-CAP/TDWS/REDWINE-CO/HILLIARD
/BBT-NC/ML</t>
  </si>
  <si>
    <t>CITIGROUP-SSB
/NUVEEN(JOINT)
A-G-EDWARDS
UBS-WARBURG
LEGG-MASON-WW
RAYMOND
WACHOVIA
PSI</t>
  </si>
  <si>
    <t>Citigroup/Salomon Smith Barney
John Nuveen Co
AG Edwards &amp; Sons Inc
UBS Warburg
Legg Mason Wood Walker Inc
Raymond James &amp; Associates Inc
Wachovia Bank NA
Prudential Securities Inc</t>
  </si>
  <si>
    <t>Diversified Security Solutions</t>
  </si>
  <si>
    <t>DVS</t>
  </si>
  <si>
    <t>GUNNALLEN-FINL</t>
  </si>
  <si>
    <t>25533P107</t>
  </si>
  <si>
    <t>GunnAllen Financial Inc</t>
  </si>
  <si>
    <t>GunnAllen Financial, Inc.</t>
  </si>
  <si>
    <t>Microhelix Inc</t>
  </si>
  <si>
    <t>MHLXU</t>
  </si>
  <si>
    <t>59507X200</t>
  </si>
  <si>
    <t>Nuveen VA Div Adv Mun Fund 2</t>
  </si>
  <si>
    <t>NNB</t>
  </si>
  <si>
    <t>67071C106</t>
  </si>
  <si>
    <t>Citigroup/Salomon Smith Barney
John Nuveen Co
AG Edwards &amp; Sons Inc
UBS Warburg
Legg Mason Wood Walker
Raymond James &amp; Associates Inc
Wachovia Bank NA
Prudential Securities Group
Deutsche Bank
Advest Inc
BB&amp;T Capital Markets
Ferris Baker Watts
JJB Hilliard WL Lyons Inc
Johnston Associates
Quick &amp; Reilly Group, Inc.
TD Waterhouse Securities
SunTrust Capital Markets
Morgan Keegan Inc
Janney Montgomery Scott Inc
Friedman Manger
Davenport
Andersen Consulting
Merrill Lynch</t>
  </si>
  <si>
    <t>CITIGROUP-SSB/NUVEEN(JOINT)
//A-G-EDWARDS/UBS-WARBURG/LEGG-MASON-WW
/RAYMOND/WACHOVIA/PRU-SEC-GROUP
//DEUTSCHE-BANK/ADVEST/BB-T-CAP
/FERRIS-BAKER/HILLIARD/JOHNSTON
/QUICK-REILLY/TDWS/SUNTRUST-CAP
/MORGAN-KEEGAN/JANNEY/FRIEDMAN
/DAVENPORT/ANDERSEN/MERRILL</t>
  </si>
  <si>
    <t>CITIGROUP-SSB
/NUVEEN(JOINT)
A-G-EDWARDS
UBS-WARBURG
LEGG-MASON-WW
RAYMOND
WACHOVIA
PRU-SEC-GROUP</t>
  </si>
  <si>
    <t>Citigroup/Salomon Smith Barney
John Nuveen Co
AG Edwards &amp; Sons Inc
UBS Warburg
Legg Mason Wood Walker Inc
Raymond James &amp; Associates Inc
Wachovia Bank NA
Prudential Securities Group Inc</t>
  </si>
  <si>
    <t>Magma Design Automation Inc</t>
  </si>
  <si>
    <t>LAVA</t>
  </si>
  <si>
    <t>Credit Suisse First Boston
Fleet Boston Corp
SG Cowen Securities Corp
Fahnestock &amp; Co
Invemed Associates Inc
CL King &amp; Associates Inc
Needham &amp; Co LLC
Prudential Securities Inc
Dain Rauscher Corp
Stifel Nicolaus &amp; Co Inc
UBS Warburg
Wedbush Securities
Thomas Weisel Partners
Credit Suisse First Boston</t>
  </si>
  <si>
    <t>CS-FB-CS//FLEET-BOSTON/SG-COWEN
//FAHNESTOCK/INVEMED/CL-KING/NEEDHAM
/PSI/DAIN-RAUSCHER/STIFEL/UBS-WARBURG
/WEDBUSH-M/THOMAS-WEISEL//CS-FB-CS(GC)</t>
  </si>
  <si>
    <t>VCA Antech Inc</t>
  </si>
  <si>
    <t>0742</t>
  </si>
  <si>
    <t>WOOF</t>
  </si>
  <si>
    <t>Credit Suisse First Boston
Goldman Sachs &amp; Co
Banc of America Securities LLC
Jefferies &amp; Co Inc
Wells Fargo Bank NA
Chapman Co
Wachovia Bank NA
US Bancorp Piper Jaffray
Thomas Weisel Partners
Deutsche Bank Securities
McDonald Investments
Morgan Stanley
Stifel Nicolaus &amp; Co Inc
Janney Montgomery Scott Inc
CIBC World Markets Inc
Credit Suisse First Boston</t>
  </si>
  <si>
    <t>CS-FB-CS/GS(JOINT)//BA-SEC-LLC
/JEFFERIES/WELLS-FARGO//CHAPMAN
/WACHOVIA/US-PIPER/THOMAS-WEISEL/DBSECU
/MCDONALD/MORGAN-STANLEY/STIFEL/JANNEY
/CIBC-WORLD//CS-FB-CS(GC)</t>
  </si>
  <si>
    <t>CS-FB-CS
/GS(JOINT)
BA-SEC-LLC
JEFFERIES
WELLS-FARGO</t>
  </si>
  <si>
    <t>Credit Suisse First Boston Corp
Goldman Sachs &amp; Co
Banc of America Securities LLC
Jefferies &amp; Co Inc
Wells Fargo Bank NA</t>
  </si>
  <si>
    <t>Credit Suisse First Boston Inc
Goldman Sachs &amp; Co
Banc of America Securities LLC
Jefferies &amp; Co Inc
First Security Van Kasper &amp; Co
Credit Suisse First Boston Inc</t>
  </si>
  <si>
    <t>CSFB-INC/GS(JOINT)//BA-SEC-LLC
/JEFFERIES/FIR-VAN-KASPER//CSFB-INC(GC)</t>
  </si>
  <si>
    <t>CSFB-INC/GS</t>
  </si>
  <si>
    <t>CSFB-INC
/GS(JOINT)</t>
  </si>
  <si>
    <t>Blackrock Core Bond Trust</t>
  </si>
  <si>
    <t>BHK</t>
  </si>
  <si>
    <t>09249E101</t>
  </si>
  <si>
    <t>UBS Warburg
Deutsche Bank
Wachovia Bank NA
Prudential Securities Inc
JJB Hilliard WL Lyons Inc
Wells Fargo Bank NA
Gruntal &amp; Co Inc
ABN-AMRO Holding NV
Ferris Baker Watts
Fahnestock &amp; Co
DA Davidson &amp; Co Inc
Dain Rauscher Corp
Crowell Weedon &amp; Co
Brean Murray &amp; Co Inc
BB&amp;T Capital Markets
Robert W Baird &amp; Co Inc
Fifth Third Securities Inc
City Securities
Chatsworth Securities LLC
Allen &amp; Company of Florida
Wedbush, Noble, Cooke
CE Unterberg Towbin
Seidler Corp
Parker-Hunter Inc
HC Wainwright &amp; Co Inc
Torrey Pines Securities
TD Waterhouse Securities
Smith, Moore
Sands Brothers &amp; Co Ltd
Samuel A. Ramirez &amp; Co.
Paulson Investment Co
Ormes Capital Markets Inc
Nutmeg Securities Ltd
David A. Noyes
Natcity Investments Inc.
Moors &amp; Cabot Inc
Mesirow Financial Corp
Leerink Swann &amp; Co
Howe Barnes Investments Inc
Hazlett, Burt &amp; Watson
Needham &amp; Co LLC
Morgan Keegan Inc
Legg Mason Wood Walker
Ladenburg Thalmann &amp; Co
Kirkpatrick, Pettis, Smith, Po
Janney Montgomery Scott Inc
Gerard Klauer Mattison &amp; Co
Friedman Billings Ramsey Group
AG Edwards &amp; Sons Inc
Quick &amp; Reilly Inc
US Bancorp Piper Jaffray
Advest Inc
Adams Harkness &amp; Hill Inc
Merrill Lynch
Banc of America Securities LLC</t>
  </si>
  <si>
    <t>UBS-WARBURG//DEUTSCHE-BANK/WACHOVIA/PSI
/HILLIARD/WELLS-FARGO/GRUNTAL//ABN-AMRO
/FERRIS-BAKER/FAHNESTOCK/DAVIDSON
/DAIN-RAUSCHER/CROWELL/BREAN/BB-T-CAP
/BAIRD/FIFTH-THIRD-SEC/CITY-SEC
/CHATSWORTH/ALLEN-FL/WEDBUSH/UNTERBERG
/SEIDLER-COS/PARKER-HUNTER
/H-C-WAINWRIGHT/TORREY-PINES/TDWS
/SMITH-MOORE/SANDS/RAMIREZ/PAULSON
/ORMES/NUTMEG-SEC/D-A-NOYES
/NATCITY-INVEST/MOORS/MESIROW-FIN
/LEERINK-SWANN/HOWE-BARNES/HAZLETT
/NEEDHAM/MORGAN-KEEGAN/LEGG-MASON-WW
/LADENBURG/KIRKPATRICK/JANNEY
/GERARD-KLAUER/FRIEDMAN-B/A-G-EDWARDS
/Q&amp;R/US-PIPER/ADVEST/ADAMS-HARKNESS
/MERRILL/BA-SEC-LLC</t>
  </si>
  <si>
    <t>UBS-WARBURG
DEUTSCHE-BANK
WACHOVIA
PSI
HILLIARD
WELLS-FARGO
GRUNTAL</t>
  </si>
  <si>
    <t>UBS Warburg
Deutsche Bank
Wachovia Bank NA
Prudential Securities Inc
JJB Hilliard WL Lyons Inc
Wells Fargo Bank NA
Gruntal &amp; Co Inc</t>
  </si>
  <si>
    <t>Corporate High Yield Fund V</t>
  </si>
  <si>
    <t>HYV</t>
  </si>
  <si>
    <t>MCG Capital Corp</t>
  </si>
  <si>
    <t>MCGC</t>
  </si>
  <si>
    <t>FRIEDMAN</t>
  </si>
  <si>
    <t>58047P107</t>
  </si>
  <si>
    <t>Friedman Manger
US Bancorp Piper Jaffray
Advest Inc
Blair House
Dominick &amp; Dominick Inc
Fahnestock &amp; Co
Ferris Baker Watts
JJB Hilliard WL Lyons Inc
Legg Mason Wood Walker
Stifel Nicolaus &amp; Co Inc</t>
  </si>
  <si>
    <t>FRIEDMAN//US-PIPER//ADVEST/BLAIR
/DOMINICK/FAHNESTOCK/FERRIS-BAKER
/HILLIARD/LEGG-MASON-WW/STIFEL</t>
  </si>
  <si>
    <t>FRIEDMAN
US-PIPER</t>
  </si>
  <si>
    <t>Friedman Manger &amp; Co.
US Bancorp Piper Jaffray Inc</t>
  </si>
  <si>
    <t>Friedman Billings Ramsey Group
US Bancorp Piper Jaffray</t>
  </si>
  <si>
    <t>U.S. Private</t>
  </si>
  <si>
    <t>FRIEDMAN-B//US-PIPER</t>
  </si>
  <si>
    <t>FRIEDMAN-B
US-PIPER</t>
  </si>
  <si>
    <t>Friedman Billings Ramsey Group
US Bancorp Piper Jaffray Inc</t>
  </si>
  <si>
    <t>Aluminum Corp of China Ltd</t>
  </si>
  <si>
    <t>022276109</t>
  </si>
  <si>
    <t>Morgan Stanley
China International Capital Co
Merrill Lynch
Citigroup/Salomon Smith Barney
Robert W Baird &amp; Co Inc
AG Edwards &amp; Sons Inc
Morgan Stanley</t>
  </si>
  <si>
    <t>Peoples Republic of China</t>
  </si>
  <si>
    <t>MORGAN-STANLEY/CHINA-CAPITAL(JOINT)
//MERRILL//CITIGROUP-SSB/BAIRD
/A-G-EDWARDS//MORGAN-STANLEY(GC)</t>
  </si>
  <si>
    <t>MORGAN-STANLEY/CHINA-CAPITAL</t>
  </si>
  <si>
    <t>MORGAN-STANLEY
/CHINA-CAPITAL(JOINT)
MERRILL</t>
  </si>
  <si>
    <t>Morgan Stanley
China International Capital Corp
Merrill Lynch &amp; Co Inc</t>
  </si>
  <si>
    <t>Novamarlim Participacoes SA</t>
  </si>
  <si>
    <t>NVMP</t>
  </si>
  <si>
    <t>ABNBR</t>
  </si>
  <si>
    <t>SOMA</t>
  </si>
  <si>
    <t>ABN Amro Brasil Participacoes
B. Nac.de Dsnvlm. Econ (BNDES)</t>
  </si>
  <si>
    <t>ABNBR//BNDES</t>
  </si>
  <si>
    <t>ABNBR
BNDES</t>
  </si>
  <si>
    <t>ABN Amro Brasil Participacoes
Banco Nacional de Desenvolvimento Economico</t>
  </si>
  <si>
    <t>Lawson Software Inc</t>
  </si>
  <si>
    <t>LWSN</t>
  </si>
  <si>
    <t>Lehman Brothers
JP Morgan
US Bancorp Piper Jaffray
Fidelity Capital Markets
AG Edwards &amp; Sons Inc
Merrill Lynch, Pierce, Fenner
Prudential Securities Inc
RBC Dain Rauscher Corp
SG Cowen Securities Corp
Chatsworth Securities LLC
First Albany
Jefferies &amp; Co Inc
Legg Mason Wood Walker
Needham &amp; Co LLC
SunTrust Capital Markets
Wells Fargo Bank NA
Lehman Brothers</t>
  </si>
  <si>
    <t>LEH/JPM(JOINT)//US-PIPER/FIDELITY-CAP
/A-G-EDWARDS/ML/PSI/RBC-DAIN/SG-COWEN
/CHATSWORTH/FIRST-ALBANY/JEFFERIES
/LEGG-MASON-WW/NEEDHAM/SUNTRUST-CAP
/WELLS-FARGO//LEH(GC)</t>
  </si>
  <si>
    <t>LEH/JPM</t>
  </si>
  <si>
    <t>LEH
/JPM(JOINT)</t>
  </si>
  <si>
    <t>Lehman Brothers
JP Morgan &amp; Co Inc</t>
  </si>
  <si>
    <t>Aramark Worldwide Corp</t>
  </si>
  <si>
    <t>RMK</t>
  </si>
  <si>
    <t>JPM/GS(JB)</t>
  </si>
  <si>
    <t>038521100</t>
  </si>
  <si>
    <t>JP Morgan
Goldman Sachs &amp; Co
Morgan Stanley
Wachovia Securities Inc
Citigroup/Salomon Smith Barney
CIBC World Markets Inc
Pryor Govan Counts &amp; Co Inc
Scotia Capital Inc
Fleet Boston Corp
Utendahl Capital Partners
US Bancorp Piper Jaffray
Prudential Securities Inc
Epoch Partners
E*Trade Securities Inc
PNC Capital Markets
Ormes Capital Markets Inc
Credit Lyonnais Securities USA</t>
  </si>
  <si>
    <t>06/08/02
12/05/02
06/03/03</t>
  </si>
  <si>
    <t>19.240
11.668
11.668</t>
  </si>
  <si>
    <t>180
360
540</t>
  </si>
  <si>
    <t>37967187.00
23025427.00
23025427.00</t>
  </si>
  <si>
    <t>JPM(JB)/GS(JB)//MORGAN-STANLEY
/WACHOVIA-SEC/CITIGROUP-SSB//CIBC-WORLD
/PRYOR/SCOTIA-CAP-CA/FLEET-BOSTON
/UTENDAHL-CAP/US-PIPER/PSI/EPOCHP
/E*TRADE-SEC/PNC-CAPITAL/ORMES
/CL-SEC-USA</t>
  </si>
  <si>
    <t>JPM/GS</t>
  </si>
  <si>
    <t>JPM
(JB)/GS(JB)
MORGAN-STANLEY
WACHOVIA-SEC
CITIGROUP-SSB</t>
  </si>
  <si>
    <t>JP Morgan &amp; Co Inc
Goldman Sachs &amp; Co
Morgan Stanley
Wachovia Securities Inc
Citigroup/Salomon Smith Barney</t>
  </si>
  <si>
    <t>Converium Holding AG</t>
  </si>
  <si>
    <t>CHRN</t>
  </si>
  <si>
    <t>UBS-WARBURG/ML-I(JB)</t>
  </si>
  <si>
    <t>21248N107</t>
  </si>
  <si>
    <t>Zurich</t>
  </si>
  <si>
    <t>UBS Warburg
Merrill Lynch Intl Ltd
Banc of America Securities LLC
Schroder Salomon Smith Barney
Fox-Pitt Kelton
Groupement des Banquiers Prive
Zuercher Kantonalbank
Bank Vontobel AG
Keefe Bruyette &amp; Woods Inc
Bank Sarasin et Cie
Rud, Blass, &amp; Cie AG Bankgesch
UBS Warburg</t>
  </si>
  <si>
    <t>ZURN</t>
  </si>
  <si>
    <t>Zurich Financial Services AG</t>
  </si>
  <si>
    <t>UBS-WARBURG(JB)/ML-I(JB)//BA-SEC-LLC
/SSSB/FOX-PITT//GROUPEMENT/ZUERCHER
/VONTAG/KEEFE/BANK-SARASIN
/RUD-BLASS-CIE//UBS-WARBURG(GC)</t>
  </si>
  <si>
    <t>UBS-WARBURG/ML-I</t>
  </si>
  <si>
    <t>UBS-WARBURG
(JB)/ML-I(JB)
BA-SEC-LLC
SSSB
FOX-PITT</t>
  </si>
  <si>
    <t>UBS Warburg
Merrill Lynch International Ltd
Banc of America Securities LLC
Schroder Salomon Smith Barney
Fox-Pitt Kelton</t>
  </si>
  <si>
    <t>UBS Warburg
Merrill Lynch Intl Ltd
Banc of America Secs Ltd
Fox-Pitt Kelton
Schroder Salomon Smith Barney
Keefe Bruyette &amp; Woods Inc
UBS Warburg</t>
  </si>
  <si>
    <t>UBS-WARBURG(JB)/ML-I(JB)//BASL/FOX-PITT
/SSSB//KEEFE//UBS-WARBURG(GC)</t>
  </si>
  <si>
    <t>UBS-WARBURG
(JB)/ML-I(JB)
BASL
FOX-PITT
SSSB</t>
  </si>
  <si>
    <t>UBS Warburg
Merrill Lynch International Ltd
Banc of America Securities Ltd
Fox-Pitt Kelton
Schroder Salomon Smith Barney</t>
  </si>
  <si>
    <t>Global Brands Inc</t>
  </si>
  <si>
    <t>GLBR</t>
  </si>
  <si>
    <t>Somerset Financial Group Inc
Seaboard Securities</t>
  </si>
  <si>
    <t>SOMERSET-FIN/SEABOARD-SEC(JOINT)</t>
  </si>
  <si>
    <t>SOMERSET-FIN/SEABOARD-SEC</t>
  </si>
  <si>
    <t>SOMERSET-FIN
/SEABOARD-SEC(JOINT)</t>
  </si>
  <si>
    <t>Somerset Financial Group Inc
Seaboard Securities Inc.</t>
  </si>
  <si>
    <t>NetScreen Technologies Inc</t>
  </si>
  <si>
    <t>NSCN</t>
  </si>
  <si>
    <t>64117V107</t>
  </si>
  <si>
    <t>Goldman Sachs &amp; Co
JP Morgan
Wachovia Securities Inc
UBS Warburg
Needham &amp; Co LLC
Prudential Securities Inc
Citigroup/Salomon Smith Barney
Soundview Technology (OLD)
Great Pacific Capital SA</t>
  </si>
  <si>
    <t>GS//JPM/WACHOVIA-SEC/UBS-WARBURG
//NEEDHAM/PSI/CITIGROUP-SSB
/SOUNDVIEW-TECH/PACIFIC</t>
  </si>
  <si>
    <t>GS
JPM
WACHOVIA-SEC
UBS-WARBURG</t>
  </si>
  <si>
    <t>Goldman Sachs &amp; Co
JP Morgan &amp; Co Inc
Wachovia Securities Inc
UBS Warburg</t>
  </si>
  <si>
    <t>Centene Corp</t>
  </si>
  <si>
    <t>CNTE</t>
  </si>
  <si>
    <t>15135B101</t>
  </si>
  <si>
    <t>SG Cowen Securities Corp
Thomas Weisel Partners
CIBC World Markets Inc
Deutsche Banc Alex Brown
AG Edwards &amp; Sons Inc
Edward D Jones &amp; Co LP
Kenny Securities Corp
McDonald Investments
Morgan Keegan Inc
Raymond James &amp; Associates Inc
Stifel Nicolaus &amp; Co Inc
CE Unterberg Towbin</t>
  </si>
  <si>
    <t>SG-COWEN//THOMAS-WEISEL/CIBC-WORLD
//DEUTSCHE-ALEX-B/A-G-EDWARDS
/ED-JONES-LP/KENNY/MCDONALD
/MORGAN-KEEGAN/RAYMOND/STIFEL/UNTERBERG</t>
  </si>
  <si>
    <t>SG-COWEN
THOMAS-WEISEL
CIBC-WORLD</t>
  </si>
  <si>
    <t>SG Cowen Securities Corp
Thomas Weisel Partners
CIBC World Markets Inc</t>
  </si>
  <si>
    <t>Nassda Corp</t>
  </si>
  <si>
    <t>NSDA</t>
  </si>
  <si>
    <t>63172M101</t>
  </si>
  <si>
    <t>Fleet Boston Corp
SG Cowen Securities Corp
UBS Warburg
E*Trade Securities Inc
Needham &amp; Co LLC
Dain Rauscher Wessels</t>
  </si>
  <si>
    <t>03/12/02
06/10/02</t>
  </si>
  <si>
    <t>19.400
56.961</t>
  </si>
  <si>
    <t>4607564.00
13528132.00</t>
  </si>
  <si>
    <t>FLEET-BOSTON/SG-COWEN(JOINT)
//UBS-WARBURG//E*TRADE-SEC/NEEDHAM
/DAIN-R-WESSELS</t>
  </si>
  <si>
    <t>FLEET-BOSTON/SG-COWEN</t>
  </si>
  <si>
    <t>FLEET-BOSTON
/SG-COWEN(JOINT)
UBS-WARBURG</t>
  </si>
  <si>
    <t>Fleet Boston Corp,Boston,Massachusetts
SG Cowen Securities Corp
UBS Warburg</t>
  </si>
  <si>
    <t>Prudential Financial Inc</t>
  </si>
  <si>
    <t>Goldman Sachs &amp; Co
Prudential Securities Inc
Credit Suisse First Boston
Deutsche Banc Alex Brown
Lehman Brothers
Merrill Lynch
Morgan Stanley
Citigroup/Salomon Smith Barney
Williams Capital Group LP
Banc of America Securities LLC
Bear Stearns &amp; Co Inc
Blaylock &amp; Partners LP
Wachovia Bank NA
Samuel A. Ramirez &amp; Co.
UBS Warburg
ABN-AMRO Holding NV
AG Edwards &amp; Sons Inc
Edward D Jones &amp; Co
BMO Nesbitt Thomson Ltd
RBC Dain Rauscher Corp
Sandler Capital Markets
US Bancorp Piper Jaffray
Sturdivant &amp; Co Inc
Muriel Siebert &amp; Co
Ormes Capital Markets Inc
McDonald &amp; Co Investments Inc
May Davis Group Inc
The Malachi Group
Loop Capital Markets
Legg Mason Wood Walker
Parker Jackson
Utendahl Capital Partners
JJB Hilliard WL Lyons Inc
Guzman &amp; Co
Gerard Klauer Mattison &amp; Co
Doley Securities
City National Bank of NJ
Chatsworth Securities LLC
MR Beal &amp; Co
Advest Inc
Wells Fargo Bank NA
Fleet Boston Corp
Putnam, Coffin, Doolittle, New
Keefe Bruyette &amp; Woods Inc
HSBC Holdings PLC
Bank of New York
Allen &amp; Co Inc
Goldman Sachs &amp; Co</t>
  </si>
  <si>
    <t>GS/PSI(JOINT)//CS-FB-CS/DEUTSCHE-ALEX-B
/LEH/MERRILL/MORGAN-STANLEY
/CITIGROUP-SSB/WILLIAMS-CAP/BA-SEC-LLC
/BEAR/BLAYLOCK-PTRNS/WACHOVIA/RAMIREZ
/UBS-WARBURG//ABN-AMRO/A-G-EDWARDS
/ED-JONES/BMO-NESBITT/RBC-DAIN/SANDLER
/US-PIPER/STURDIVANT/MURIEL/ORMES/MCDON
/MAY-DAVIS/MALACHI/LOOP/LEGG-MASON-WW
/JACKSON/UTENDAHL-CAP/HILLIARD/GUZMAN
/GERARD-KLAUER/DOLEY-SEC/CITY-NB-NJ
/CHATSWORTH/M-R-BEAL/ADVEST/WELLS-FARGO
/FLEET-BOSTON/PUTNAM/KEEFE/HSBC
/BK-NEW-YORK/ALLEN//GS(GC)</t>
  </si>
  <si>
    <t>GS/PSI</t>
  </si>
  <si>
    <t>GS
/PSI(JOINT)
CS-FB-CS
DEUTSCHE-ALEX-B
LEH
MERRILL
MORGAN-STANLEY
CITIGROUP-SSB
WILLIAMS-CAP
BA-SEC-LLC
BEAR
BLAYLOCK-PTRNS
WACHOVIA
RAMIREZ
UBS-WARBURG</t>
  </si>
  <si>
    <t>Goldman Sachs &amp; Co
Prudential Securities Inc
Credit Suisse First Boston Corp
Deutsche Banc Alex Brown
Lehman Brothers
Merrill Lynch &amp; Co Inc
Morgan Stanley
Citigroup/Salomon Smith Barney
Williams Capital Group LP
Banc of America Securities LLC
Bear Stearns &amp; Co Inc
Blaylock &amp; Partners LP
Wachovia Bank NA
Samuel A. Ramirez &amp; Co.
UBS Warburg</t>
  </si>
  <si>
    <t>Goldman Sachs &amp; Co
Prudential Securities Inc
Credit Suisse First Boston Inc
Deutsche Banc Alex Brown
Lehman Brothers
Merrill Lynch
Banc of America Securities LLC
Bear Stearns &amp; Co Inc
Blaylock &amp; Partners LP
Goldman Sachs &amp; Co</t>
  </si>
  <si>
    <t>GS/PSI(JOINT)//CSFB-INC/DEUTSCHE-ALEX-B
/LEH/MERRILL/BA-SEC-LLC/BEAR
/BLAYLOCK-PTRNS//GS(GC)</t>
  </si>
  <si>
    <t>GS
/PSI(JOINT)</t>
  </si>
  <si>
    <t>Goldman Sachs &amp; Co
Prudential Securities Inc</t>
  </si>
  <si>
    <t>American Pharm Partners Inc</t>
  </si>
  <si>
    <t>APPX</t>
  </si>
  <si>
    <t>02886P109</t>
  </si>
  <si>
    <t>CIBC World Markets Inc
Banc of America Securities LLC
UBS Warburg
ABN AMRO Incorporated
Bear Stearns &amp; Co Inc
SG Cowen Securities Corp
Merrill Lynch, Pierce, Fenner
RBC Dain Rauscher Corp
Thomas Weisel Partners
US Bancorp Piper Jaffray
Wachovia Securities Inc
Emerging Growth Equities Ltd
Friedman Billings Ramsey &amp; Co
Keefe Bruyette &amp; Woods Inc
Leerink Swann &amp; Co
Legg Mason Wood Walker
Sandler O'Neill Partners</t>
  </si>
  <si>
    <t>CIBC-WORLD//BA-SEC-LLC/UBS-WARBURG
//ABN-AMRO-INC/BEAR/SG-COWEN/ML
/RBC-DAIN/THOMAS-WEISEL/US-PIPER
/WACHOVIA-SEC/EMERGING-GROWTH
/FRIEDMAN-B-CO/KEEFE/LEERINK-SWANN
/LEGG-MASON-WW/SANDLER-ONEILL</t>
  </si>
  <si>
    <t>CIBC-WORLD
BA-SEC-LLC
UBS-WARBURG</t>
  </si>
  <si>
    <t>CIBC World Markets Inc
Banc of America Securities LLC
UBS Warburg</t>
  </si>
  <si>
    <t>United Defense Industries Inc</t>
  </si>
  <si>
    <t>UDI</t>
  </si>
  <si>
    <t>LEH/GS(JB)</t>
  </si>
  <si>
    <t>91018B104</t>
  </si>
  <si>
    <t>Lehman Brothers
Goldman Sachs &amp; Co
Merrill Lynch
Credit Suisse First Boston
Lehman Brothers
Goldman Sachs &amp; Co</t>
  </si>
  <si>
    <t>The Carlyle Group LLC</t>
  </si>
  <si>
    <t>LEH(JB)/GS(JB)//MERRILL/CS-FB-CS
//LEH(GC)/GS(GC)</t>
  </si>
  <si>
    <t>LEH/GS</t>
  </si>
  <si>
    <t>LEH
(JB)/GS(JB)
MERRILL
CS-FB-CS</t>
  </si>
  <si>
    <t>Lehman Brothers
Goldman Sachs &amp; Co
Merrill Lynch &amp; Co Inc
Credit Suisse First Boston Corp</t>
  </si>
  <si>
    <t>Bruker AXS Inc</t>
  </si>
  <si>
    <t>11679P101</t>
  </si>
  <si>
    <t>UBS Warburg
Thomas Weisel Partners
CIBC World Markets Inc
Robert W Baird &amp; Co Inc
SG Cowen Securities Corp
RBC Dain Rauscher Corp
UBS Warburg</t>
  </si>
  <si>
    <t>UBS-WARBURG/THOMAS-WEISEL(JOINT)
//CIBC-WORLD/BAIRD/SG-COWEN//RBC-DAIN
//UBS-WARBURG(GC)</t>
  </si>
  <si>
    <t>UBS-WARBURG/THOMAS-WEISEL</t>
  </si>
  <si>
    <t>UBS-WARBURG
/THOMAS-WEISEL(JOINT)
CIBC-WORLD
BAIRD
SG-COWEN</t>
  </si>
  <si>
    <t>UBS Warburg
Thomas Weisel Partners
CIBC World Markets Inc
Robert W Baird &amp; Co Inc
SG Cowen Securities Corp</t>
  </si>
  <si>
    <t>Northwest Biotherapeutics Inc</t>
  </si>
  <si>
    <t>NWBO</t>
  </si>
  <si>
    <t>66737P105</t>
  </si>
  <si>
    <t>CE Unterberg Towbin
Roth Capital Partners Inc
Fahnestock &amp; Co
AG Edwards &amp; Sons Inc
Prudential Securities Inc
RBC Dain Rauscher Corp
SG Cowen Securities Corp
Thomas Weisel Partners
DA Davidson &amp; Co Inc
Gerard Klauer Mattison &amp; Co
Leerink Swann &amp; Co
Pacific Crest Securities Inc
Punk Ziegel &amp; Co LP
Wells Fargo Bank NA</t>
  </si>
  <si>
    <t>UNTERBERG//ROTH-CAPITAL/FAHNESTOCK
//A-G-EDWARDS/PSI/RBC-DAIN/SG-COWEN
/THOMAS-WEISEL/DAVIDSON/GERARD-KLAUER
/LEERINK-SWANN/PACIFIC-CREST/PUNK
/WELLS-FARGO</t>
  </si>
  <si>
    <t>UNTERBERG
ROTH-CAPITAL
FAHNESTOCK</t>
  </si>
  <si>
    <t>CE Unterberg Towbin
Roth Capital Partners Inc
Fahnestock &amp; Co</t>
  </si>
  <si>
    <t>Pimco Corporate Income Fund</t>
  </si>
  <si>
    <t>PCN</t>
  </si>
  <si>
    <t>72200U100</t>
  </si>
  <si>
    <t>Citigroup/Salomon Smith Barney
AG Edwards &amp; Sons Inc
Prudential Securities Inc
UBS Warburg
Wachovia Bank NA
First Union Securities Inc
CIBC World Markets Inc
Deutsche Bank
Merrill Lynch, Pierce, Fenner
RBC Dain Rauscher Corp
US Bancorp Piper Jaffray
Advest Inc
Crowell Weedon &amp; Co
Fahnestock &amp; Co
Janney Montgomery Scott Inc
McDonald Investments
Morgan Keegan Inc
Stifel Nicolaus &amp; Co Inc
Wedbush, Noble, Cooke
Wells Fargo Bank NA
DA Davidson &amp; Co Inc
Ferris Baker Watts
First Southwest
J. B. Hanauer
Howe Barnes Investments Inc
Mesirow
Natcity Investments Inc.
Quick &amp; Reilly Group, Inc.
Royal Alliance Associates
Sigma Finance Corp
SWS Group
TD Waterhouse Investor Svcs</t>
  </si>
  <si>
    <t>CITIGROUP-SSB//A-G-EDWARDS/PSI
/UBS-WARBURG/WACHOVIA//FIRST-UNION-SEC
/CIBC-WORLD/DEUTSCHE-BANK/ML/RBC-DAIN
/US-PIPER/ADVEST/CROWELL/FAHNESTOCK
/JANNEY/MCDONALD/MORGAN-KEEGAN/STIFEL
/WEDBUSH/WELLS-FARGO/DAVIDSON
/FERRIS-BAKER/FIRST-SW/J-B-HANAUER
/HOWE-BARNES/MESIROW/NATCITY-INVEST
/QUICK-REILLY/ROYAL-ALLIANCE/SIGMAF
/SWS-GROUP/TD-WATERHOUSE</t>
  </si>
  <si>
    <t>CITIGROUP-SSB
A-G-EDWARDS
PSI
UBS-WARBURG
WACHOVIA</t>
  </si>
  <si>
    <t>Citigroup/Salomon Smith Barney
AG Edwards &amp; Sons Inc
Prudential Securities Inc
UBS Warburg
Wachovia Bank NA</t>
  </si>
  <si>
    <t>Alliance California Municipal</t>
  </si>
  <si>
    <t>AKP</t>
  </si>
  <si>
    <t>018546101</t>
  </si>
  <si>
    <t>Citigroup/Salomon Smith Barney
AG Edwards &amp; Sons Inc
UBS Warburg
Wells Fargo Bank NA
Prudential Securities Inc
CIBC World Markets Inc
Wedbush, Noble, Cooke
Robert W Baird &amp; Co Inc
Advest Inc
TD Waterhouse Securities
Banque Stern
Sands Brothers &amp; Co Ltd
Quick &amp; Reilly Group, Inc.
Legg Mason &amp; Co Inc
Janney Montgomery Scott Inc
Gruntal &amp; Co Inc
Fahnestock &amp; Co
US Bancorp Piper Jaffray
Deutsche Bank
First Union National Bancorp
RBC Dain Rauscher Corp
Merrill Lynch, Pierce, Fenner
Crowell Weedon &amp; Co</t>
  </si>
  <si>
    <t>CITIGROUP-SSB//A-G-EDWARDS/UBS-WARBURG
/WELLS-FARGO/PSI//CIBC-WORLD/WEDBUSH
/BAIRD/ADVEST/TDWS/STERN/SANDS
/QUICK-REILLY/LEGG-MASON/JANNEY/GRUNTAL
/FAHNESTOCK/US-PIPER/DEUTSCHE-BANK
/FIRST-UNION/RBC-DAIN/ML/CROWELL</t>
  </si>
  <si>
    <t>CITIGROUP-SSB
A-G-EDWARDS
UBS-WARBURG
WELLS-FARGO
PSI</t>
  </si>
  <si>
    <t>Citigroup/Salomon Smith Barney
AG Edwards &amp; Sons Inc
UBS Warburg
Wells Fargo Bank NA
Prudential Securities Inc</t>
  </si>
  <si>
    <t>Alliance National Municipal</t>
  </si>
  <si>
    <t>AFB</t>
  </si>
  <si>
    <t>01864U106</t>
  </si>
  <si>
    <t>Citigroup/Salomon Smith Barney
AG Edwards &amp; Sons Inc
UBS Warburg
Legg Mason Wood Walker
Wells Fargo Van Kasper LLC
Gruntal &amp; Co Inc
Prudential Securities Inc
CIBC World Markets Inc
McDonald Investments
Johnston Lemon &amp; Co Inc
Advest Inc
Janney Montgomery Scott Inc
Fifth Third Bancorp
Ferris Baker Watts
Fahnestock &amp; Co
DA Davidson &amp; Co Inc
TD Waterhouse Securities
Southwest Securities Inc
Sterne Agee &amp; Leach Inc
Sands Brothers &amp; Co Ltd
Quick &amp; Reilly Group, Inc.
Moors &amp; Cabot Inc
Mesirow
LaSalle Street Securities Inc
Kirkpatrick, Pettis, Smith, Po
Howe Barnes Investments Inc
H&amp;R Block Financial Advisors
Wedbush Securities
Stifel Nicolaus &amp; Co Inc
Stephens Inc
Parker-Hunter Inc
First Union Securities Inc
RBC Dain Rauscher Corp
US Bancorp Piper Jaffray
Crowell Weedon &amp; Co
BB&amp;T Capital Markets
Merrill Lynch, Pierce, Fenner
Deutsche Bank
Robert W Baird &amp; Co Inc
Not Applicable</t>
  </si>
  <si>
    <t>CITIGROUP-SSB//A-G-EDWARDS/UBS-WARBURG
/LEGG-MASON-WW/WELLS-FARGO-VK/GRUNTAL
/PSI//CIBC-WORLD/MCDONALD
/JOHNSTON-LEMON/ADVEST/JANNEY
/FIFTH-THIRD/FERRIS-BAKER/FAHNESTOCK
/DAVIDSON/TDWS/SWS-SEC/STERNE-AGEE
/SANDS/QUICK-REILLY/MOORS/MESIROW
/LASALLE-SEC/KIRKPATRICK/HOWE-BARNES
/HR-BLOCK-FIN/WEDBUSH-M/STIFEL/STEPHENS
/PARKER-HUNTER/FIRST-UNION-SEC/RBC-DAIN
/US-PIPER/CROWELL/BB-T-CAP/ML
/DEUTSCHE-BANK/BAIRD/NOTAPP</t>
  </si>
  <si>
    <t>CITIGROUP-SSB
A-G-EDWARDS
UBS-WARBURG
LEGG-MASON-WW
WELLS-FARGO-VK
GRUNTAL
PSI</t>
  </si>
  <si>
    <t>Citigroup/Salomon Smith Barney
AG Edwards &amp; Sons Inc
UBS Warburg
Legg Mason Wood Walker Inc
Wells Fargo Van Kasper LLC
Gruntal &amp; Co Inc
Prudential Securities Inc</t>
  </si>
  <si>
    <t>Alliance NY Municipal Fund Inc</t>
  </si>
  <si>
    <t>AYN</t>
  </si>
  <si>
    <t>018714105</t>
  </si>
  <si>
    <t>Citigroup/Salomon Smith Barney
AG Edwards &amp; Sons Inc
UBS Warburg
Gruntal &amp; Co Inc
Prudential Securities Inc
CIBC World Markets Inc
Fahnestock &amp; Co
Legg Mason &amp; Co Inc
Janney Montgomery Scott Inc
Sands Brothers &amp; Co Ltd
Quick &amp; Reilly Group, Inc.
McDonald Investments
Advest Inc
First Union National Bancorp
Merrill Lynch, Pierce, Fenner
US Bancorp Piper Jaffray
RBC Dain Rauscher Corp
Deutsche Banc Alex Brown</t>
  </si>
  <si>
    <t>CITIGROUP-SSB//A-G-EDWARDS/UBS-WARBURG
/GRUNTAL/PSI//CIBC-WORLD/FAHNESTOCK
/LEGG-MASON/JANNEY/SANDS/QUICK-REILLY
/MCDONALD/ADVEST/FIRST-UNION/ML
/US-PIPER/RBC-DAIN/DEUTSCHE-ALEX-B</t>
  </si>
  <si>
    <t>CITIGROUP-SSB
A-G-EDWARDS
UBS-WARBURG
GRUNTAL
PSI</t>
  </si>
  <si>
    <t>Citigroup/Salomon Smith Barney
AG Edwards &amp; Sons Inc
UBS Warburg
Gruntal &amp; Co Inc
Prudential Securities Inc</t>
  </si>
  <si>
    <t>Synaptics Inc</t>
  </si>
  <si>
    <t>SYNA</t>
  </si>
  <si>
    <t>87157D109</t>
  </si>
  <si>
    <t>Bear Stearns &amp; Co Inc
SG Cowen Securities Corp
Soundview Technology (OLD)
Blair House
Friedman Billings Ramsey Group
Gerard Klauer Mattison &amp; Co
Ladenburg Thalmann &amp; Co
Legg
McDonald Investments
Needham &amp; Co LLC
Pali Capital LLC
CE Unterberg Towbin</t>
  </si>
  <si>
    <t>BEAR//SG-COWEN/SOUNDVIEW-TECH//BLAIR
/FRIEDMAN-B/GERARD-KLAUER/LADENBURG
/LEGG/MCDONALD/NEEDHAM/PALI-CAPITAL
/UNTERBERG</t>
  </si>
  <si>
    <t>BEAR
SG-COWEN
SOUNDVIEW-TECH</t>
  </si>
  <si>
    <t>Bear Stearns &amp; Co Inc
SG Cowen Securities Corp
Soundview Technology Group (OLD)</t>
  </si>
  <si>
    <t>Carolina Group</t>
  </si>
  <si>
    <t>CG</t>
  </si>
  <si>
    <t>Morgan Stanley
Citigroup/Salomon Smith Barney
Credit Suisse First Boston Int
Goldman Sachs &amp; Co
Merrill Lynch
Lehman Brothers
Banc of America Securities LLC
JP Morgan
UBS Warburg
Bear Stearns &amp; Co Inc
Deutsche Banc Alex Brown
Jefferies &amp; Co Inc
Neuberger Berman Inc
Dominick &amp; Dominick Inc
Samuel A. Ramirez &amp; Co.
Sanders Morris Harris Inc
Midwest Research Maxus Group
Sanford C Bernstein &amp; Co Inc
Legg Mason &amp; Co Inc
Janney Montgomery Scott Inc
Dresdner Bank AG
Blaylock &amp; Partners LP
AG Edwards &amp; Sons Inc
Muriel Siebert &amp; Co</t>
  </si>
  <si>
    <t>MORGAN-STANLEY(JB)/CITIGROUP-SSB(JB)
//CSFB/GS/MERRILL/LEH/BA-SEC-LLC/JPM
/UBS-WARBURG//BEAR/DEUTSCHE-ALEX-B
/JEFFERIES/NEUBERGER/DOMINICK/RAMIREZ
/SANDERS-HARRIS/MIDWEST/BERNSTEIN
/LEGG-MASON/JANNEY/DRESDNER
/BLAYLOCK-PTRNS/A-G-EDWARDS/MURIEL</t>
  </si>
  <si>
    <t>MORGAN-STANLEY
(JB)/CITIGROUP-SSB(JB)
CSFB
GS
MERRILL
LEH
BA-SEC-LLC
JPM
UBS-WARBURG</t>
  </si>
  <si>
    <t>Morgan Stanley
Citigroup/Salomon Smith Barney
Credit Suisse First Boston Ltd International
Goldman Sachs &amp; Co
Merrill Lynch &amp; Co Inc
Lehman Brothers
Banc of America Securities LLC
JP Morgan &amp; Co Inc
UBS Warburg</t>
  </si>
  <si>
    <t>ZymoGenetics Inc</t>
  </si>
  <si>
    <t>ZGEN</t>
  </si>
  <si>
    <t>98985T109</t>
  </si>
  <si>
    <t>Lehman Brothers
Merrill Lynch
Bear Stearns &amp; Co Inc
Pacific Growth Equities Inc
SG Cowen Securities Corp
Cantor Fitzgerald Inc
AG Edwards &amp; Sons Inc
Fidelity Capital Markets
McAdams Wright Ragen Inc
Prudential Securities Inc
Wells Fargo Bank NA
Brean Murray &amp; Co Inc
Chatsworth Securities LLC
Fahnestock &amp; Co
Fortis Securities Inc
CL King &amp; Associates Inc
Leerink Swann &amp; Co
Utendahl Capital Partners
Lehman Brothers
Merrill Lynch</t>
  </si>
  <si>
    <t>NVO</t>
  </si>
  <si>
    <t>Novo Nordisk A/S</t>
  </si>
  <si>
    <t>LEH(JB)/MERRILL(JB)//BEAR
/PACIFIC-GROWTH//SG-COWEN/CANTOR
/A-G-EDWARDS/FIDELITY-CAP
/MCADAMS-WRIGHT/PSI/WELLS-FARGO/BREAN
/CHATSWORTH/FAHNESTOCK/FORTIS-SEC
/CL-KING/LEERINK-SWANN/UTENDAHL-CAP
//LEH(GC)/MERRILL(GC)</t>
  </si>
  <si>
    <t>LEH
(JB)/MERRILL(JB)
BEAR
PACIFIC-GROWTH</t>
  </si>
  <si>
    <t>Lehman Brothers
Merrill Lynch &amp; Co Inc
Bear Stearns &amp; Co Inc
Pacific Growth Equities Inc</t>
  </si>
  <si>
    <t>Sunoco Logistics Partners LP</t>
  </si>
  <si>
    <t>SXL</t>
  </si>
  <si>
    <t>86764L108</t>
  </si>
  <si>
    <t>Lehman Brothers
Citigroup/Salomon Smith Barney
UBS Warburg
Wachovia Securities Inc
Credit Suisse First Boston
Banc of America Securities LLC</t>
  </si>
  <si>
    <t>SUN</t>
  </si>
  <si>
    <t>Sunoco Inc</t>
  </si>
  <si>
    <t>LEH//CITIGROUP-SSB/UBS-WARBURG
/WACHOVIA-SEC/CS-FB-CS/BA-SEC-LLC</t>
  </si>
  <si>
    <t>LEH
CITIGROUP-SSB
UBS-WARBURG
WACHOVIA-SEC
CS-FB-CS
BA-SEC-LLC</t>
  </si>
  <si>
    <t>Lehman Brothers
Citigroup/Salomon Smith Barney
UBS Warburg
Wachovia Securities Inc
Credit Suisse First Boston Corp
Banc of America Securities LLC</t>
  </si>
  <si>
    <t>ManTech International Corp</t>
  </si>
  <si>
    <t>MANT</t>
  </si>
  <si>
    <t>Jefferies &amp; Co Inc
Legg Mason Wood Walker
BB&amp;T Capital Markets
Credit Lyonnais Securities USA
Lazard
US Bancorp Piper Jaffray
RBC Capital Markets
AG Edwards &amp; Sons Inc
Thomas Weisel Partners
Morgan Keegan Inc
WR Hambrecht &amp; Co LLC
Wells Fargo Bank NA
SunTrust Capital Markets
Janney Montgomery Scott Inc
CJS Securities Inc</t>
  </si>
  <si>
    <t>JEFFERIES//LEGG-MASON-WW/BB-T-CAP
//CL-SEC-USA/LAZARD/US-PIPER
/RBC-CAP-MKTS/A-G-EDWARDS/THOMAS-WEISEL
/MORGAN-KEEGAN/W-R-HAMBRECHT
/WELLS-FARGO/SUNTRUST-CAP/JANNEY
/CJS-SECURITIES</t>
  </si>
  <si>
    <t>JEFFERIES
LEGG-MASON-WW
BB-T-CAP</t>
  </si>
  <si>
    <t>Jefferies &amp; Co Inc
Legg Mason Wood Walker Inc
BB&amp;T Capital Markets</t>
  </si>
  <si>
    <t>VBD PP</t>
  </si>
  <si>
    <t>WBD</t>
  </si>
  <si>
    <t>97263M109</t>
  </si>
  <si>
    <t>ING Barings
Alfa Bank
Troika Dialog
ING Barings</t>
  </si>
  <si>
    <t>ING-BARINGS//ALFAB/TROIKA
//ING-BARINGS(GC)</t>
  </si>
  <si>
    <t>ING Barings</t>
  </si>
  <si>
    <t>GameStop Corp</t>
  </si>
  <si>
    <t>GME</t>
  </si>
  <si>
    <t>36466R101</t>
  </si>
  <si>
    <t>Citigroup/Salomon Smith Barney
UBS Warburg
SunTrust Securities
Blair House
JP Morgan
First Union National Bancorp
Fleet Boston Corp
Mizuho Intl PLC
Scotia Capital Markets (USA)
Chatsworth Securities LLC
CL King &amp; Associates Inc</t>
  </si>
  <si>
    <t>BKS</t>
  </si>
  <si>
    <t>Barnes &amp; Noble Inc</t>
  </si>
  <si>
    <t>CITIGROUP-SSB/UBS-WARBURG(JOINT)
//SUN-TRUST-SEC/BLAIR//JPM/FIRST-UNION
/FLEET-BOSTON/MILTD/SCAPUS/CHATSWORTH
/CL-KING</t>
  </si>
  <si>
    <t>CITIGROUP-SSB/UBS-WARBURG</t>
  </si>
  <si>
    <t>CITIGROUP-SSB
/UBS-WARBURG(JOINT)
SUN-TRUST-SEC
BLAIR</t>
  </si>
  <si>
    <t>Citigroup/Salomon Smith Barney
UBS Warburg
SunTrust Securities
Blair House</t>
  </si>
  <si>
    <t>Paypal Inc</t>
  </si>
  <si>
    <t>PYPL</t>
  </si>
  <si>
    <t>Citigroup/Salomon Smith Barney
Bear Stearns &amp; Co Inc
SunTrust Securities
Friedman Billings Ramsey Group
William Blair &amp; Co
Adams
Putnam Lovell Securities
E*Trade Securities Inc</t>
  </si>
  <si>
    <t>CITIGROUP-SSB//BEAR/SUN-TRUST-SEC
/FRIEDMAN-B/WM-BLAIR//ADAMS
/PUTNAM-LOV-SEC/E*TRADE-SEC</t>
  </si>
  <si>
    <t>CITIGROUP-SSB
BEAR
SUN-TRUST-SEC
FRIEDMAN-B
WM-BLAIR</t>
  </si>
  <si>
    <t>Citigroup/Salomon Smith Barney
Bear Stearns &amp; Co Inc
SunTrust Securities
Friedman Billings Ramsey Group
William Blair &amp; Co</t>
  </si>
  <si>
    <t>Petco Animal Supplies Inc</t>
  </si>
  <si>
    <t>PETC</t>
  </si>
  <si>
    <t>MERRILL
/MORGAN-STANLEY(JB)</t>
  </si>
  <si>
    <t>Merrill Lynch
Morgan Stanley
Deutsche Banc Alex Brown
Goldman Sachs &amp; Co
Lehman Brothers
Citigroup/Salomon Smith Barney
Merrill Lynch
Morgan Stanley</t>
  </si>
  <si>
    <t>MERRILL(JB)/MORGAN-STANLEY(JB)
//DEUTSCHE-ALEX-B/GS/LEH/CITIGROUP-SSB
//MERRILL(GC)/MORGAN-STANLEY(GC)</t>
  </si>
  <si>
    <t>MERRILL/MORGAN-STANLEY</t>
  </si>
  <si>
    <t>MERRILL
(JB)/MORGAN-STANLEY(JB)
DEUTSCHE-ALEX-B
GS
LEH
CITIGROUP-SSB</t>
  </si>
  <si>
    <t>Merrill Lynch &amp; Co Inc
Morgan Stanley
Deutsche Banc Alex Brown
Goldman Sachs &amp; Co
Lehman Brothers
Citigroup/Salomon Smith Barney</t>
  </si>
  <si>
    <t>MERRILL/MS(JB)</t>
  </si>
  <si>
    <t>Merrill Lynch
Morgan Stanley &amp; Co
Deutsche Bank
Goldman Sachs &amp; Co
Lehman Brothers
Salomon Smith Barney
Merrill Lynch
Morgan Stanley &amp; Co</t>
  </si>
  <si>
    <t>MERRILL(JB)/MS(JB)//DEUTSCHE-BANK/GS
/LEH/SALOMON-SMITH//MERRILL(GC)/MS(GC)</t>
  </si>
  <si>
    <t>MERRILL/MS</t>
  </si>
  <si>
    <t>MERRILL
(JB)/MS(JB)</t>
  </si>
  <si>
    <t>Merrill Lynch &amp; Co Inc
Morgan Stanley &amp; Co</t>
  </si>
  <si>
    <t>Cohen &amp; Steers Quality Income</t>
  </si>
  <si>
    <t>RQI</t>
  </si>
  <si>
    <t>19247L106</t>
  </si>
  <si>
    <t>Merrill Lynch
AG Edwards &amp; Sons Inc
Raymond James &amp; Associates Inc
Deutsche Bank
US Bancorp Piper Jaffray
Wells Fargo Bank NA
Fahnestock &amp; Co
Morgan Keegan Inc
Quick &amp; Reilly Inc
Janney Montgomery Scott Inc
Robert W Baird &amp; Co Inc
Wachovia Bank NA
Legg Mason Wood Walker
CIBC World Markets Inc
Prudential Securities Inc
Banc of America Securities LLC
Adams Harkness &amp; Hill Inc
BB&amp;T Capital Markets
Brean Murray &amp; Co Inc
Crowell Weedon &amp; Co
Ferris Baker Watts
JJB Hilliard WL Lyons Inc
McDonald Investments
Kirkpatrick, Pettis, Smith, Po
David A. Noyes
Natcity Investments Inc.
Mesirow
Lasalle Re Holdings
Howe Barnes Investments Inc
Chatsworth Securities LLC
Allen &amp; Company of Florida
Wedbush Securities
HC Wainwright &amp; Co Inc
Torrey Pines Securities
Sands Brothers &amp; Co Ltd
First Southwest
Samuel A. Ramirez &amp; Co.
Paulson Investment Co
Ormes Capital Markets Inc
Nutmeg Securities Ltd
Utendahl Capital Partners
TD Waterhouse Securities
SunTrust Securities
Stifel Nicolaus &amp; Co Inc
Stephens Inc
The Seidler Companies Inc
Charles Schwab &amp; Co Inc
Parker-Hunter Inc
Needham &amp; Co LLC
H&amp;R Block Financial Advisors
DA Davidson &amp; Co Inc
CE Unterberg Towbin
William Blair &amp; Co
Advest Inc
RBC Dain Rauscher Corp
Fifth Third Securities Inc
Friedman Billings Ramsey Group
Moors &amp; Cabot Inc
SWS Group</t>
  </si>
  <si>
    <t>MERRILL//A-G-EDWARDS/RAYMOND
/DEUTSCHE-BANK/US-PIPER/WELLS-FARGO
/FAHNESTOCK/MORGAN-KEEGAN/Q&amp;R/JANNEY
/BAIRD/WACHOVIA/LEGG-MASON-WW
/CIBC-WORLD/PSI//BA-SEC-LLC
/ADAMS-HARKNESS/BB-T-CAP/BREAN/CROWELL
/FERRIS-BAKER/HILLIARD/MCDONALD
/KIRKPATRICK/D-A-NOYES/NATCITY-INVEST
/MESIROW/LASALLE-RE-HLDG/HOWE-BARNES
/CHATSWORTH/ALLEN-FL/WEDBUSH-M
/H-C-WAINWRIGHT/TORREY-PINES/SANDS
/FIRST-SW/RAMIREZ/PAULSON/ORMES
/NUTMEG-SEC/UTENDAHL-CAP/TDWS
/SUN-TRUST-SEC/STIFEL/STEPHENS
/SEIDLER-CO-INC/CHARLES-SCHWAB
/PARKER-HUNTER/NEEDHAM/HR-BLOCK-FIN
/DAVIDSON/UNTERBERG/WM-BLAIR/ADVEST
/RBC-DAIN/FIFTH-THIRD-SEC/FRIEDMAN-B
/MOORS/SWS-GROUP</t>
  </si>
  <si>
    <t>MERRILL
A-G-EDWARDS
RAYMOND
DEUTSCHE-BANK
US-PIPER
WELLS-FARGO
FAHNESTOCK
MORGAN-KEEGAN
Q&amp;R
JANNEY
BAIRD
WACHOVIA
LEGG-MASON-WW
CIBC-WORLD
PSI</t>
  </si>
  <si>
    <t>Merrill Lynch &amp; Co Inc
AG Edwards &amp; Sons Inc
Raymond James &amp; Associates Inc
Deutsche Bank
US Bancorp Piper Jaffray Inc
Wells Fargo Bank NA
Fahnestock &amp; Co
Morgan Keegan Inc
Quick &amp; Reilly Inc
Janney Montgomery Scott Inc
Robert W Baird &amp; Co Inc
Wachovia Bank NA
Legg Mason Wood Walker Inc
CIBC World Markets Inc
Prudential Securities Inc</t>
  </si>
  <si>
    <t>Integrated Defense Tech</t>
  </si>
  <si>
    <t>IDE</t>
  </si>
  <si>
    <t>45819B101</t>
  </si>
  <si>
    <t>Credit Suisse First Boston
Merrill Lynch
Credit Lyonnais Securities USA
Canadian Imperial Bk Commerce
Chapman Co
Morgan Keegan Inc
Stifel Nicolaus &amp; Co Inc
Prudential Securities Inc
Wedbush Securities
Janney Montgomery Scott Inc
Crowell Weedon &amp; Co
DA Davidson &amp; Co Inc
Investec Ernst &amp; Co- Investec
Invemed Associates Inc
Chatsworth Securities LLC
Credit Suisse First Boston</t>
  </si>
  <si>
    <t>CS-FB-CS//MERRILL/CL-SEC-USA/CIBC
//CHAPMAN/MORGAN-KEEGAN/STIFEL/PSI
/WEDBUSH-M/JANNEY/CROWELL/DAVIDSON
/INVESTEC-INC/INVEMED/CHATSWORTH
//CS-FB-CS(GC)</t>
  </si>
  <si>
    <t>CS-FB-CS
MERRILL
CL-SEC-USA
CIBC</t>
  </si>
  <si>
    <t>Credit Suisse First Boston Corp
Merrill Lynch &amp; Co Inc
Credit Lyonnais Securities USA
Canadian Imperial Bank of Commerce</t>
  </si>
  <si>
    <t>BlackRock Strategic Bond Trust</t>
  </si>
  <si>
    <t>BHD</t>
  </si>
  <si>
    <t>Beneficial Ints</t>
  </si>
  <si>
    <t>09249G106</t>
  </si>
  <si>
    <t>UBS Warburg
AG Edwards &amp; Sons Inc
Royal Bank of Canada
Wachovia Bank NA
JJB Hilliard WL Lyons Inc
Merrill Lynch
Fahnestock &amp; Co
Gerard Klauer Mattison &amp; Co
Ferris Baker Watts
TD Waterhouse Securities
Stifel Nicolaus &amp; Co Inc
Stephens Inc
Seidler Corp
Parker-Hunter Inc
Ladenburg Thalmann &amp; Co
Kirkpatrick, Pettis, Smith, Po
Janney Montgomery Scott Inc
Torrey Pines Securities
M. L. Stern
Southwest Securities Inc
SouthTrust Bank of Alabama NA
Smith, Moore
Sands Brothers &amp; Co Ltd
Peacock Hislop Staley &amp; Given
Natcity Investments Inc.
Lasalle Re Holdings
Johnston Lemon &amp; Co Inc
J. B. Hanauer
Brean Murray &amp; Co Inc
Wedbush, Noble, Cooke
Unterburg, Towbin Co
Gruntal &amp; Co Inc
William Blair &amp; Co
Wells Fargo Bank NA
Advest Inc
BB&amp;T Capital Markets
Robert W Baird &amp; Co Inc
US Bancorp Piper Jaffray</t>
  </si>
  <si>
    <t>UBS-WARBURG//A-G-EDWARDS/RBC/WACHOVIA
/HILLIARD//MERRILL/FAHNESTOCK
/GERARD-KLAUER/FERRIS-BAKER/TDWS/STIFEL
/STEPHENS/SEIDLER-COS/PARKER-HUNTER
/LADENBURG/KIRKPATRICK/JANNEY
/TORREY-PINES/M-L-STERN/SWS-SEC
/SOUTHTRUST/SMITH-MOORE/SANDS
/PEACOCK-HISLOP/NATCITY-INVEST
/LASALLE-RE-HLDG/JOHNSTON-LEMON
/J-B-HANAUER/BREAN/WEDBUSH/UNTERBURG
/GRUNTAL/WM-BLAIR/WELLS-FARGO/ADVEST
/BB-T-CAP/BAIRD/US-PIPER</t>
  </si>
  <si>
    <t>UBS-WARBURG
A-G-EDWARDS
RBC
WACHOVIA
HILLIARD</t>
  </si>
  <si>
    <t>UBS Warburg
AG Edwards &amp; Sons Inc
Royal Bank of Canada
Wachovia Bank NA
JJB Hilliard WL Lyons Inc</t>
  </si>
  <si>
    <t>Tsakos Energy Navigation Ltd</t>
  </si>
  <si>
    <t>TNP</t>
  </si>
  <si>
    <t>G9108L108</t>
  </si>
  <si>
    <t>JP Morgan
Jefferies &amp; Co Inc
Sunrise Securities
Alpha Finance AE
Fearnley Fonds A/S</t>
  </si>
  <si>
    <t>JPM//JEFFERIES/SUNRISE-SEC
/ALPHA-FINANCE/FEARNLEY</t>
  </si>
  <si>
    <t>JPM
JEFFERIES
SUNRISE-SEC
ALPHA-FINANCE
FEARNLEY</t>
  </si>
  <si>
    <t>JP Morgan &amp; Co Inc
Jefferies &amp; Co Inc
Sunrise Securities Limited
Alpha Finance AE
Fearnley Fonds A/S</t>
  </si>
  <si>
    <t>Anteon International Corp</t>
  </si>
  <si>
    <t>ANT</t>
  </si>
  <si>
    <t>03674E108</t>
  </si>
  <si>
    <t>Goldman Sachs &amp; Co
Bear Stearns &amp; Co Inc
Lehman Brothers
Merrill Lynch
Credit Suisse First Boston
BB&amp;T Capital Markets
CE Unterberg Towbin
US Bancorp Piper Jaffray
Wachovia Securities Inc
Legg Mason Wood Walker
Raymond James &amp; Associates Inc
Prudential Securities Inc
Epoch Capital Corp
First Union Securities Inc
May Davis Group Inc</t>
  </si>
  <si>
    <t>GS//BEAR/LEH/MERRILL/CS-FB-CS//BB-T-CAP
/UNTERBERG/US-PIPER/WACHOVIA-SEC
/LEGG-MASON-WW/RAYMOND/PSI/EPOCH
/FIRST-UNION-SEC/MAY-DAVIS</t>
  </si>
  <si>
    <t>GS
BEAR
LEH
MERRILL
CS-FB-CS</t>
  </si>
  <si>
    <t>Goldman Sachs &amp; Co
Bear Stearns &amp; Co Inc
Lehman Brothers
Merrill Lynch &amp; Co Inc
Credit Suisse First Boston Corp</t>
  </si>
  <si>
    <t>WCI Communities Inc</t>
  </si>
  <si>
    <t>WCI</t>
  </si>
  <si>
    <t>92923C104</t>
  </si>
  <si>
    <t>UBS Warburg
Credit Suisse First Boston
Deutsche Banc Alex Brown
AG Edwards &amp; Sons Inc
Janney Montgomery Scott Inc
Legg Mason Wood Walker
McDonald Investments
Freimark Blair &amp; Co Inc
Jolson Merchant Partners LLC
UBS Warburg</t>
  </si>
  <si>
    <t>UBS-WARBURG/CS-FB-CS
/DEUTSCHE-ALEX-B(JOINT)//A-G-EDWARDS
/JANNEY/LEGG-MASON-WW/MCDONALD/FBLAIR
/JOLSON-MERCHANT//UBS-WARBURG(GC)</t>
  </si>
  <si>
    <t>UBS-WARBURG/CS-FB-CS/DEUTSCHE-ALEX-B</t>
  </si>
  <si>
    <t>UBS-WARBURG
/CS-FB-CS
/DEUTSCHE-ALEX-B(JOINT)</t>
  </si>
  <si>
    <t>UBS Warburg
Credit Suisse First Boston Corp
Deutsche Banc Alex Brown</t>
  </si>
  <si>
    <t>Asbury Automotive Group Inc</t>
  </si>
  <si>
    <t>ABG</t>
  </si>
  <si>
    <t>043436104</t>
  </si>
  <si>
    <t>Goldman Sachs &amp; Co
Merrill Lynch
Citigroup/Salomon Smith Barney
Stephens Inc
Raymond James &amp; Associates Inc
Advest Inc
Prudential Securities Inc
Epoch Capital Corp</t>
  </si>
  <si>
    <t>GS/MERRILL(JOINT)//CITIGROUP-SSB
/STEPHENS/RAYMOND//ADVEST/PSI/EPOCH</t>
  </si>
  <si>
    <t>GS/MERRILL</t>
  </si>
  <si>
    <t>GS
/MERRILL(JOINT)
CITIGROUP-SSB
STEPHENS
RAYMOND</t>
  </si>
  <si>
    <t>Goldman Sachs &amp; Co
Merrill Lynch &amp; Co Inc
Citigroup/Salomon Smith Barney
Stephens Inc
Raymond James &amp; Associates Inc</t>
  </si>
  <si>
    <t>Cia Vale do Rio Doce SA</t>
  </si>
  <si>
    <t>RIO</t>
  </si>
  <si>
    <t>Merrill Lynch
ABN-AMRO Holding NV
Credit Suisse First Boston
Goldman Sachs &amp; Co
Morgan Stanley
JP Morgan
Banco Espirito Santo de Invstm
Santander Central Hispano Inv.
Trilon Securities Inc
Lazard Freres &amp; Co LLC
Credit Lyonnais Securities USA
Merrill Lynch
ABN-AMRO Holding NV</t>
  </si>
  <si>
    <t>Republic of Brazil</t>
  </si>
  <si>
    <t>MERRILL/ABN-AMRO(JOINT)//CS-FB-CS/GS
/MORGAN-STANLEY/JPM//BANCO-ESP-INVST
/SANT-CNT-HIS-IN/TRILON/LAZ/CL-SEC-USA
//MERRILL(GC)/ABN-AMRO(GC)</t>
  </si>
  <si>
    <t>MERRILL/ABN-AMRO</t>
  </si>
  <si>
    <t>MERRILL
/ABN-AMRO(JOINT)
CS-FB-CS
GS
MORGAN-STANLEY
JPM</t>
  </si>
  <si>
    <t>Merrill Lynch &amp; Co Inc
ABN-AMRO Holding NV
Credit Suisse First Boston Corp
Goldman Sachs &amp; Co
Morgan Stanley
JP Morgan &amp; Co Inc</t>
  </si>
  <si>
    <t>Alcon Inc</t>
  </si>
  <si>
    <t>ACL</t>
  </si>
  <si>
    <t>H01301102</t>
  </si>
  <si>
    <t>Merrill Lynch
Credit Suisse First Boston
Goldman Sachs &amp; Co
Banc of America Securities LLC
Morgan Stanley
UBS Warburg
SG Cowen Securities Corp
Lehman Brothers
Citigroup/Salomon Smith Barney
JP Morgan
ABN-AMRO Holding NV
Bear Stearns &amp; Co Inc
BNP Paribas SA
CIBC World Markets Inc
Deutsche Bank
AG Edwards &amp; Sons Inc
Janney Montgomery Scott Inc
Guzman &amp; Co
Williams Capital Group LP
Muriel Siebert &amp; Co
Sanders Morris Harris Inc
RBC Dain Rauscher Corp
Samuel A. Ramirez &amp; Co.
Prudential Securities Inc
Dresdner Kleinwort Wasserstein
Daiwa Securities SMBC Europe
Cazenove &amp; Co
Blaylock &amp; Partners LP
MR Beal &amp; Co
Allen &amp; Co Inc
Credit Suisse First Boston</t>
  </si>
  <si>
    <t>NESN</t>
  </si>
  <si>
    <t>Nestle SA</t>
  </si>
  <si>
    <t>MERRILL(JB)/CS-FB-CS(JB)//GS/BA-SEC-LLC
/MORGAN-STANLEY/UBS-WARBURG/SG-COWEN
/LEH/CITIGROUP-SSB/JPM//ABN-AMRO/BEAR
/BNP-PARIBAS/CIBC-WORLD/DEUTSCHE-BANK
/A-G-EDWARDS/JANNEY/GUZMAN/WILLIAMS-CAP
/MURIEL/SANDERS-HARRIS/RBC-DAIN/RAMIREZ
/PSI/DRES-KLEIN-WASS/DAIWA-SMBC-EUR
/CAZENOVE/BLAYLOCK-PTRNS/M-R-BEAL/ALLEN
//CS-FB-CS(GC)</t>
  </si>
  <si>
    <t>MERRILL
(JB)/CS-FB-CS(JB)
GS
BA-SEC-LLC
MORGAN-STANLEY
UBS-WARBURG
SG-COWEN
LEH
CITIGROUP-SSB
JPM</t>
  </si>
  <si>
    <t>Merrill Lynch &amp; Co Inc
Credit Suisse First Boston Corp
Goldman Sachs &amp; Co
Banc of America Securities LLC
Morgan Stanley
UBS Warburg
SG Cowen Securities Corp
Lehman Brothers
Citigroup/Salomon Smith Barney
JP Morgan &amp; Co Inc</t>
  </si>
  <si>
    <t>CSFB-INC/ML(JB)</t>
  </si>
  <si>
    <t>Credit Suisse First Boston Inc
Merrill Lynch, Pierce, Fenner
Goldman Sachs &amp; Co
JP Morgan Securities Inc
Salomon Smith Barney
Banc of America Securities LLC
Lehman Brothers
Morgan Stanley &amp; Co
SG Cowen Securities Corp
UBS Warburg
ABN AMRO Rothschild
Allen &amp; Co Inc
MR Beal &amp; Co
Bear Stearns &amp; Co Inc
Blaylock &amp; Partners LP
BNP Paribas SA
Cazenove &amp; Co
CIBC World Markets Inc
Daiwa Securities SMBC Europe
Deutsche Banc Alex Brown
Dresdner Kleinwort Wasserstein
Guzman &amp; Co
Janney Montgomery Scott Inc
Prudential Securities Inc
Samuel A. Ramirez &amp; Co.
RBC Dain Rauscher Corp
Sanders Morris Harris Inc
Muriel Siebert &amp; Co
Williams Capital Group LP
Credit Suisse First Boston Inc</t>
  </si>
  <si>
    <t>Switzerland Publi</t>
  </si>
  <si>
    <t>CSFB-INC(JB)/ML(JB)//GS/J-P-MORGAN
/SALOMON-SMITH/BA-SEC-LLC/LEH/MS
/SG-COWEN/UBS-WARBURG/ABN-ROTHSCHILD
/ALLEN/M-R-BEAL/BEAR/BLAYLOCK-PTRNS
/BNP-PARIBAS/CAZENOVE/CIBC-WORLD
/DAIWA-SMBC-EUR/DEUTSCHE-ALEX-B
/DRES-KLEIN-WASS/GUZMAN/JANNEY/PSI
/RAMIREZ/RBC-DAIN/SANDERS-HARRIS/MURIEL
/WILLIAMS-CAP//CSFB-INC(GC)</t>
  </si>
  <si>
    <t>CSFB-INC/ML</t>
  </si>
  <si>
    <t>CSFB-INC
(JB)/ML(JB)</t>
  </si>
  <si>
    <t>Credit Suisse First Boston Inc
Merrill Lynch Pierce Fenner &amp; Smith</t>
  </si>
  <si>
    <t>Travelers Ppty Casualty Corp</t>
  </si>
  <si>
    <t>TAP.A</t>
  </si>
  <si>
    <t>89420G109</t>
  </si>
  <si>
    <t>Citigroup/Salomon Smith Barney
Cazenove &amp; Co
Credit Suisse First Boston
Lehman Brothers
Morgan Stanley
BBVA Bolsa SV
Dresdner Kleinwort Wasserstein
Mediobanca
WestLB Panmure Ltd
Blaylock &amp; Partners LP
Banc of America Securities LLC
Williams Capital Group LP
Neuberger Berman Inc
Fox-Pitt Kelton SA
JP Morgan
Deutsche Banc Alex Brown
Barclays Bank PLC
Bear Stearns &amp; Co Inc
Santander Central Hispano Inv.
Credit Agricole Indosuez
CDC Ixis Capital Markets
ING Barings
Credit Lyonnais Securities USA
UBS Warburg
Merrill Lynch
Goldman Sachs &amp; Co
BNP Paribas SA
ABN-AMRO Holding NV
Commerzbank AG (London)
Daiwa Securities (New York)
HSBC Investment Bank PLC (SG)
Societe Generale
BB&amp;T Capital Markets
William Blair &amp; Co
Edward D Jones &amp; Co LP
CIBC World Markets Inc
Sanders Morris Mundy Inc
Samuel A. Ramirez &amp; Co.
Pinnacle Capital Corp
Ormes Capital Markets Inc
Monness Crespi Hardt
Melvin Securities Corporation
May Davis Group Inc
CL King &amp; Associates Inc
Pryor Govan Counts &amp; Co Inc
Utendahl Capital Partners
TD Securities (USA) Inc
Sturdivant &amp; Co Inc
Muriel Siebert &amp; Co
Scotia Capital Markets
SBK Brooks Investment Corp
Jefferies &amp; Co Inc
Jackson Securities Inc
Harvestons Securities Inc
Guzman &amp; Co
Friedman Billings Ramsey Group
Dowling &amp; Partners Securities
Doley Securities
Cochran, Caronia &amp; Co.
Robertson Stephens &amp; Co
RBC Dain Rauscher Corp
Raymond James &amp; Associates Inc
Loop Capital Markets
Legg Mason Wood Walker
Keefe Bruyette &amp; Woods Inc
Janney Montgomery Scott Inc
First Union Securities Inc
Chatsworth Securities LLC
BNY Capital Markets Inc
BMO Nesbitt Thomson Ltd
Wells Fargo Bank NA
US Bancorp Piper Jaffray
SunTrust Capital Markets
SG Cowen Securities Corp
Sandler O'Neill Partners
AG Edwards &amp; Sons Inc
MR Beal &amp; Co
UniCredito Italiano SpA (SG)
IntesaBci SpA
Fortis Bank Nederland NV
Charles F. Smith
CMG Institutional Trading LLC
The Malachi Group</t>
  </si>
  <si>
    <t>C</t>
  </si>
  <si>
    <t>Citigroup Inc</t>
  </si>
  <si>
    <t>CITIGROUP-SSB//CAZENOVE/CS-FB-CS/LEH
/MORGAN-STANLEY/BBVA-BOLSA
/DRES-KLEIN-WASS/MEDIOBANCA/WESTLB-PAN
/BLAYLOCK-PTRNS/BA-SEC-LLC/WILLIAMS-CAP
/NEUBERGER/FOX-PITT-NV/JPM
/DEUTSCHE-ALEX-B/BARCLAY-BK/BEAR
/SANT-CNT-HIS-IN/CAINDO/CDC-IXIS-CM
/ING-BARINGS/CL-SEC-USA/UBS-WARBURG
/MERRILL/GS/BNP-PARIBAS//ABN-AMRO
/COMMERZBANK-LON/DAIWA-SEC/HSBCIS
/SOC-GEN/BB-T-CAP/WM-BLAIR/ED-JONES-LP
/CIBC-WORLD/SANDERS-MORRIS/RAMIREZ
/PINN-CAP-CORP/ORMES/MONNESS/MELVIN-SEC
/MAY-DAVIS/CL-KING/PRYOR/UTENDAHL-CAP
/TD-SEC-USA/STURDIVANT/MURIEL
/SCOTIA-CAP-USA/SBK-BROOKS/JEFFERIES
/JACKSON-SEC/HARVESTONS-SEC/GUZMAN
/FRIEDMAN-B/DOWL/DOLEY-SEC
/COCHRAN-CARONIA/ROBERTSON-S/RBC-DAIN
/RAYMOND/LOOP/LEGG-MASON-WW/KEEFE
/JANNEY/FIRST-UNION-SEC/CHATSWORTH
/BNY-CAP/BMO-NESBITT/WELLS-FARGO
/US-PIPER/SUNTRUST-CAP/SG-COWEN
/SANDLER-ONEILL/A-G-EDWARDS/M-R-BEAL
/UNITA/INTBCI/FORTIS-NED/CHARLES-SMITH
/CMG-LLC/MALACHI</t>
  </si>
  <si>
    <t>CITIGROUP-SSB
CAZENOVE
CS-FB-CS
LEH
MORGAN-STANLEY
BBVA-BOLSA
DRES-KLEIN-WASS
MEDIOBANCA
WESTLB-PAN
BLAYLOCK-PTRNS
BA-SEC-LLC
WILLIAMS-CAP
NEUBERGER
FOX-PITT-NV
JPM
DEUTSCHE-ALEX-B
BARCLAY-BK
BEAR
SANT-CNT-HIS-IN
CAINDO
CDC-IXIS-CM
ING-BARINGS
CL-SEC-USA
UBS-WARBURG
MERRILL
GS
BNP-PARIBAS</t>
  </si>
  <si>
    <t>Citigroup/Salomon Smith Barney
Cazenove &amp; Co
Credit Suisse First Boston Corp
Lehman Brothers
Morgan Stanley
BBVA Bolsa SV
Dresdner Kleinwort Wasserstein
Mediobanca-Banca di Credito Finanziario SpA
WestLB Panmure Ltd
Blaylock &amp; Partners LP
Banc of America Securities LLC
Williams Capital Group LP
Neuberger Berman Inc
Fox-Pitt Kelton SA
JP Morgan &amp; Co Inc
Deutsche Banc Alex Brown
Barclays Bank PLC
Bear Stearns &amp; Co Inc
Santander Central Hispano Investment
Credit Agricole Indosuez
CDC Ixis Capital Markets
ING Barings
Credit Lyonnais Securities USA
UBS Warburg
Merrill Lynch &amp; Co Inc
Goldman Sachs &amp; Co
BNP Paribas SA</t>
  </si>
  <si>
    <t>Nuveen Insured Dividend</t>
  </si>
  <si>
    <t>NVG</t>
  </si>
  <si>
    <t>CITIGROUP-SSB
/NUVEEN(JB)</t>
  </si>
  <si>
    <t>67071L106</t>
  </si>
  <si>
    <t>Citigroup/Salomon Smith Barney
John Nuveen Co
AG Edwards &amp; Sons Inc
Prudential Securities Inc
UBS Warburg
Fahnestock &amp; Co
Ferris Baker Watts
Wachovia Bank NA
Gruntal &amp; Co Inc
Janney Montgomery Scott Inc
Legg Mason Wood Walker
McDonald Investments
Raymond James &amp; Associates Inc
RBC Dain Rauscher Corp
SunTrust Capital Markets
Wells Fargo Bank NA
CIBC World Markets Inc
Deutsche Bank Securities Corp
US Bancorp Piper Jaffray
Advest Inc
Robert W Baird &amp; Co Inc
BB&amp;T Capital Markets
Crowell Weedon &amp; Co
DA Davidson &amp; Co Inc
Johnston Lemon &amp; Co Inc
Parker-Hunter Inc
Quick &amp; Reilly Inc
Stephens Inc
Stifel Nicolaus &amp; Co Inc
Wedbush Securities
Anderson &amp; Strudwick
H&amp;R Block Financial Advisors
JJB Hilliard WL Lyons Inc
Howe Barnes Investments Inc
Wayne Hummer &amp; Co
Kirkpatrick, Pettis, Smith, Po
LaSalle Street Securities Inc
Mesirow Financial Corp
Moors &amp; Cabot Inc
David A. Noyes
Sands Brothers &amp; Co Ltd
Charles Schwab &amp; Co Inc
M. L. Stern
Sterne Agee &amp; Leach Inc
Southwest Securities Inc
TD Waterhouse Securities</t>
  </si>
  <si>
    <t>CITIGROUP-SSB(JB)/NUVEEN(JB)
/A-G-EDWARDS/PSI(JOINT)//UBS-WARBURG
/FAHNESTOCK/FERRIS-BAKER/WACHOVIA
/GRUNTAL/JANNEY/LEGG-MASON-WW/MCDONALD
/RAYMOND/RBC-DAIN/SUNTRUST-CAP
/WELLS-FARGO//CIBC-WORLD
/DEUTSCHE-BK-SEC/US-PIPER/ADVEST/BAIRD
/BB-T-CAP/CROWELL/DAVIDSON
/JOHNSTON-LEMON/PARKER-HUNTER/Q&amp;R
/STEPHENS/STIFEL/WEDBUSH-M/ANDERSON
/HR-BLOCK-FIN/HILLIARD/HOWE-BARNES
/HUMMER/KIRKPATRICK/LASALLE-SEC
/MESIROW-FIN/MOORS/D-A-NOYES/SANDS
/CHARLES-SCHWAB/M-L-STERN/STERNE-AGEE
/SWS-SEC/TDWS</t>
  </si>
  <si>
    <t>CITIGROUP-SSB/NUVEEN/A-G-EDWARDS/PSI</t>
  </si>
  <si>
    <t>CITIGROUP-SSB
(JB)/NUVEEN(JB)
/A-G-EDWARDS
/PSI(JOINT)
UBS-WARBURG
FAHNESTOCK
FERRIS-BAKER
WACHOVIA
GRUNTAL
JANNEY
LEGG-MASON-WW
MCDONALD
RAYMOND
RBC-DAIN
SUNTRUST-CAP
WELLS-FARGO</t>
  </si>
  <si>
    <t>Citigroup/Salomon Smith Barney
John Nuveen Co
AG Edwards &amp; Sons Inc
Prudential Securities Inc
UBS Warburg
Fahnestock &amp; Co
Ferris Baker Watts Inc
Wachovia Bank NA
Gruntal &amp; Co Inc
Janney Montgomery Scott Inc
Legg Mason Wood Walker Inc
McDonald Investments Inc
Raymond James &amp; Associates Inc
RBC Dain Rauscher Corp
SunTrust Capital Markets
Wells Fargo Bank NA</t>
  </si>
  <si>
    <t>Nuveen Insured CA Div Adv Mun</t>
  </si>
  <si>
    <t>NKL</t>
  </si>
  <si>
    <t>67071M104</t>
  </si>
  <si>
    <t>Citigroup/Salomon Smith Barney
Nuveen Senior Income Fund
AG Edwards &amp; Sons Inc
Prudential Securities Inc
UBS Warburg
Crowell Weedon &amp; Co
Wachovia Bank NA
Raymond James &amp; Associates Inc
RBC Capital Markets
Wedbush, Noble, Cooke
Wells Fargo Bank NA
CIBC World Markets Inc
Deutsche Bank Securities Corp
US Bancorp Piper Jaffray
Advest Inc
Robert W Baird &amp; Co Inc
H&amp;R Block Financial Advisors
Fahnestock &amp; Co
Gruntal &amp; Co Inc
Wayne Hummer &amp; Co
Janney Montgomery Scott Inc
Legg Mason Wood Walker
Quick &amp; Reilly Group, Inc.
Charles Schwab &amp; Co Inc
Seidler Corp
M. L. Stern
SunTrust Capital Markets
TD Waterhouse Securities
Wulff, Hansen</t>
  </si>
  <si>
    <t>CITIGROUP-SSB//NUVEEN-SR/A-G-EDWARDS
/PSI/UBS-WARBURG/CROWELL/WACHOVIA
/RAYMOND/RBC-CAP-MKTS/WEDBUSH
/WELLS-FARGO//CIBC-WORLD
/DEUTSCHE-BK-SEC/US-PIPER/ADVEST/BAIRD
/HR-BLOCK-FIN/FAHNESTOCK/GRUNTAL/HUMMER
/JANNEY/LEGG-MASON-WW/QUICK-REILLY
/CHARLES-SCHWAB/SEIDLER-COS/M-L-STERN
/SUNTRUST-CAP/TDWS/WULFF-HANSEN</t>
  </si>
  <si>
    <t>CITIGROUP-SSB
NUVEEN-SR
A-G-EDWARDS
PSI
UBS-WARBURG
CROWELL
WACHOVIA
RAYMOND
RBC-CAP-MKTS
WEDBUSH
WELLS-FARGO</t>
  </si>
  <si>
    <t>Citigroup/Salomon Smith Barney
Nuveen Senior Income Fund
AG Edwards &amp; Sons Inc
Prudential Securities Inc
UBS Warburg
Crowell Weedon &amp; Co
Wachovia Bank NA
Raymond James &amp; Associates Inc
RBC Capital Markets
Wedbush, Noble, Cooke, Inc.
Wells Fargo Bank NA</t>
  </si>
  <si>
    <t>Nuveen Insured NY Div Mun Fund</t>
  </si>
  <si>
    <t>NKO</t>
  </si>
  <si>
    <t>67071N102</t>
  </si>
  <si>
    <t>Citigroup/Salomon Smith Barney
AG Edwards &amp; Sons Inc
Prudential Securities Inc
Nuveen Senior Income Fund
UBS Warburg
Advest Inc
Fahnestock &amp; Co
Wachovia Bank NA
Gruntal &amp; Co Inc
Raymond James &amp; Associates Inc
RBC Capital Markets
CIBC World Markets Inc
Deutsche Bank Securities Corp
US Bancorp Piper Jaffray
H&amp;R Block Financial Advisors
Janney Montgomery Scott Inc
Legg Mason Wood Walker
McDonald Investments
Nutmeg Securities Ltd
Quick &amp; Reilly Group, Inc.
Charles Schwab &amp; Co Inc
SunTrust Capital Markets</t>
  </si>
  <si>
    <t>CITIGROUP-SSB/A-G-EDWARDS/PSI(JOINT)
//NUVEEN-SR/UBS-WARBURG/ADVEST
/FAHNESTOCK/WACHOVIA/GRUNTAL/RAYMOND
/RBC-CAP-MKTS//CIBC-WORLD
/DEUTSCHE-BK-SEC/US-PIPER/HR-BLOCK-FIN
/JANNEY/LEGG-MASON-WW/MCDONALD
/NUTMEG-SEC/QUICK-REILLY/CHARLES-SCHWAB
/SUNTRUST-CAP</t>
  </si>
  <si>
    <t>CITIGROUP-SSB/A-G-EDWARDS/PSI</t>
  </si>
  <si>
    <t>CITIGROUP-SSB
/A-G-EDWARDS
/PSI(JOINT)
NUVEEN-SR
UBS-WARBURG
ADVEST
FAHNESTOCK
WACHOVIA
GRUNTAL
RAYMOND
RBC-CAP-MKTS</t>
  </si>
  <si>
    <t>Citigroup/Salomon Smith Barney
AG Edwards &amp; Sons Inc
Prudential Securities Inc
Nuveen Senior Income Fund
UBS Warburg
Advest Inc
Fahnestock &amp; Co
Wachovia Bank NA
Gruntal &amp; Co Inc
Raymond James &amp; Associates Inc
RBC Capital Markets</t>
  </si>
  <si>
    <t>Nuveen AZ Div Adv Mun Fund 2</t>
  </si>
  <si>
    <t>NKR</t>
  </si>
  <si>
    <t>67071P107</t>
  </si>
  <si>
    <t>Citigroup/Salomon Smith Barney
AG Edwards &amp; Sons Inc
Prudential Securities Inc
Nuveen Senior Income Fund
UBS Warburg
Wachovia Bank NA
Raymond James &amp; Associates Inc
RBC Capital Markets
Deutsche Bank Securities Corp
US Bancorp Piper Jaffray
Advest Inc
H&amp;R Block Financial Advisors
DA Davidson &amp; Co Inc
Peacock Hislop Staley &amp; Given
Charles Schwab &amp; Co Inc
M. L. Stern
Wedbush Securities</t>
  </si>
  <si>
    <t>CITIGROUP-SSB/A-G-EDWARDS/PSI(JOINT)
//NUVEEN-SR/UBS-WARBURG/WACHOVIA
/RAYMOND/RBC-CAP-MKTS//DEUTSCHE-BK-SEC
/US-PIPER/ADVEST/HR-BLOCK-FIN/DAVIDSON
/PEACOCK-HISLOP/CHARLES-SCHWAB
/M-L-STERN/WEDBUSH-M</t>
  </si>
  <si>
    <t>CITIGROUP-SSB
/A-G-EDWARDS
/PSI(JOINT)
NUVEEN-SR
UBS-WARBURG
WACHOVIA
RAYMOND
RBC-CAP-MKTS</t>
  </si>
  <si>
    <t>Citigroup/Salomon Smith Barney
AG Edwards &amp; Sons Inc
Prudential Securities Inc
Nuveen Senior Income Fund
UBS Warburg
Wachovia Bank NA
Raymond James &amp; Associates Inc
RBC Capital Markets</t>
  </si>
  <si>
    <t>Nuveen Conn Div Adv Mun Fund 2</t>
  </si>
  <si>
    <t>NGK</t>
  </si>
  <si>
    <t>67071R103</t>
  </si>
  <si>
    <t>Citigroup/Salomon Smith Barney
Nuveen Senior Income Fund
AG Edwards &amp; Sons Inc
Prudential Securities Inc
UBS Warburg
Advest Inc
Wachovia Bank NA
Raymond James &amp; Associates Inc
Deutsche Bank Securities Corp
US Bancorp Piper Jaffray
Coburn &amp; Meredith, Inc
Fahnestock &amp; Co
Gruntal &amp; Co Inc
Janney Montgomery Scott Inc
Legg Mason Wood Walker
RBC Capital Markets
SunTrust Capital Markets</t>
  </si>
  <si>
    <t>CITIGROUP-SSB//NUVEEN-SR/A-G-EDWARDS
/PSI/UBS-WARBURG/ADVEST/WACHOVIA
/RAYMOND//DEUTSCHE-BK-SEC/US-PIPER
/COBURN/FAHNESTOCK/GRUNTAL/JANNEY
/LEGG-MASON-WW/RBC-CAP-MKTS
/SUNTRUST-CAP</t>
  </si>
  <si>
    <t>CITIGROUP-SSB
NUVEEN-SR
A-G-EDWARDS
PSI
UBS-WARBURG
ADVEST
WACHOVIA
RAYMOND</t>
  </si>
  <si>
    <t>Citigroup/Salomon Smith Barney
Nuveen Senior Income Fund
AG Edwards &amp; Sons Inc
Prudential Securities Inc
UBS Warburg
Advest Inc
Wachovia Bank NA
Raymond James &amp; Associates Inc</t>
  </si>
  <si>
    <t>Nuveen NJ Div Adv Mun Fund 2</t>
  </si>
  <si>
    <t>NUJ</t>
  </si>
  <si>
    <t>67071T109</t>
  </si>
  <si>
    <t>Citigroup/Salomon Smith Barney
AG Edwards &amp; Sons Inc
Prudential Securities Inc
Nuveen Senior Income Fund
UBS Warburg
Wachovia Bank NA
Gruntal &amp; Co Inc
Janney Montgomery Scott Inc
Raymond James &amp; Associates Inc
RBC Capital Markets
Deutsche Bank Securities Corp
US Bancorp Piper Jaffray
Advest Inc
H&amp;R Block Financial Advisors
Fahnestock &amp; Co
JJB Hilliard WL Lyons Inc
Legg Mason Wood Walker
Quick &amp; Reilly Group, Inc.
Charles Schwab &amp; Co Inc
SunTrust Capital Markets</t>
  </si>
  <si>
    <t>CITIGROUP-SSB/A-G-EDWARDS/PSI(JOINT)
//NUVEEN-SR/UBS-WARBURG/WACHOVIA
/GRUNTAL/JANNEY/RAYMOND/RBC-CAP-MKTS
/DEUTSCHE-BK-SEC/US-PIPER/ADVEST
/HR-BLOCK-FIN/FAHNESTOCK/HILLIARD
/LEGG-MASON-WW/QUICK-REILLY
/CHARLES-SCHWAB/SUNTRUST-CAP</t>
  </si>
  <si>
    <t>CITIGROUP-SSB
/A-G-EDWARDS
/PSI(JOINT)
NUVEEN-SR
UBS-WARBURG
WACHOVIA
GRUNTAL
JANNEY
RAYMOND
RBC-CAP-MKTS
DEUTSCHE-BK-SEC
US-PIPER
ADVEST
HR-BLOCK-FIN
FAHNESTOCK
HILLIARD
LEGG-MASON-WW
QUICK-REILLY
CHARLES-SCHWAB
SUNTRUST-CAP</t>
  </si>
  <si>
    <t>Citigroup/Salomon Smith Barney
AG Edwards &amp; Sons Inc
Prudential Securities Inc
Nuveen Senior Income Fund
UBS Warburg
Wachovia Bank NA
Gruntal &amp; Co Inc
Janney Montgomery Scott Inc
Raymond James &amp; Associates Inc
RBC Capital Markets
Deutsche Bank Securities Corp.
US Bancorp Piper Jaffray Inc
Advest Inc
H&amp;R Block Financial Advisors
Fahnestock &amp; Co
JJB Hilliard WL Lyons Inc
Legg Mason Wood Walker Inc
Quick &amp; Reilly Group, Inc.
Charles Schwab &amp; Co Inc
SunTrust Capital Markets</t>
  </si>
  <si>
    <t>Nuveen Ohio Div Adv Mun Fund 3</t>
  </si>
  <si>
    <t>NVJ</t>
  </si>
  <si>
    <t>67071V104</t>
  </si>
  <si>
    <t>Citigroup/Salomon Smith Barney
AG Edwards &amp; Sons Inc
Nuveen Senior Income Fund
UBS Warburg
Prudential Securities Inc
McDonald Investments
Wachovia Bank NA
Raymond James &amp; Associates Inc
Deutsche Bank Securities Corp
US Bancorp Piper Jaffray
Advest Inc
Robert W Baird &amp; Co Inc
BB&amp;T Capital Markets
Fahnestock &amp; Co
Ferris Baker Watts
Gruntal &amp; Co Inc
Janney Montgomery Scott Inc
Legg Mason Wood Walker
Parker-Hunter Inc
H&amp;R Block Financial Advisors
Wayne Hummer &amp; Co
Charles Schwab &amp; Co Inc
TD Waterhouse Securities</t>
  </si>
  <si>
    <t>CITIGROUP-SSB//A-G-EDWARDS/NUVEEN-SR
/UBS-WARBURG/PSI/MCDONALD/WACHOVIA
/RAYMOND//DEUTSCHE-BK-SEC/US-PIPER
/ADVEST/BAIRD/BB-T-CAP/FAHNESTOCK
/FERRIS-BAKER/GRUNTAL/JANNEY
/LEGG-MASON-WW/PARKER-HUNTER
/HR-BLOCK-FIN/HUMMER/CHARLES-SCHWAB
/TDWS</t>
  </si>
  <si>
    <t>CITIGROUP-SSB
A-G-EDWARDS
NUVEEN-SR
UBS-WARBURG
PSI
MCDONALD
WACHOVIA
RAYMOND</t>
  </si>
  <si>
    <t>Citigroup/Salomon Smith Barney
AG Edwards &amp; Sons Inc
Nuveen Senior Income Fund
UBS Warburg
Prudential Securities Inc
McDonald Investments Inc
Wachovia Bank NA
Raymond James &amp; Associates Inc</t>
  </si>
  <si>
    <t>Nuveen Pennsylvania Dividend</t>
  </si>
  <si>
    <t>NVY</t>
  </si>
  <si>
    <t>67071W102</t>
  </si>
  <si>
    <t>Citigroup/Salomon Smith Barney
AG Edwards &amp; Sons Inc
Prudential Securities Inc
Nuveen Senior Income Fund
UBS Warburg
Raymond James &amp; Associates Inc
Gruntal &amp; Co Inc
Wachovia Bank NA
Janney Montgomery Scott Inc
Deutsche Bank Securities Corp
US Bancorp Piper Jaffray
Advest Inc
H&amp;R Block Financial Advisors
Fahnestock &amp; Co
Ferris Baker Watts
JJB Hilliard WL Lyons Inc
Investec Ernst &amp; Co- Investec
Legg Mason Wood Walker
Parker-Hunter Inc
Quick &amp; Reilly Group, Inc.
RBC Capital Markets
SunTrust Capital Markets</t>
  </si>
  <si>
    <t>CITIGROUP-SSB/A-G-EDWARDS/PSI(JOINT)
//NUVEEN-SENIOR/UBS-WARBURG/RAYMOND
/GRUNTAL/WACHOVIA/JANNEY
//DEUTSCHE-BK-SEC/US-PIPER/ADVEST
/HR-BLOCK-FIN/FAHNESTOCK/FERRIS-BAKER
/HILLIARD/INVESTEC-INC/LEGG-MASON-WW
/PARKER-HUNTER/QUICK-REILLY
/RBC-CAP-MKTS/SUNTRUST-CAP</t>
  </si>
  <si>
    <t>CITIGROUP-SSB
/A-G-EDWARDS
/PSI(JOINT)
NUVEEN-SENIOR
UBS-WARBURG
RAYMOND
GRUNTAL
WACHOVIA
JANNEY</t>
  </si>
  <si>
    <t>Citigroup/Salomon Smith Barney
AG Edwards &amp; Sons Inc
Prudential Securities Inc
Nuveen Senior Income Fund
UBS Warburg
Raymond James &amp; Associates Inc
Gruntal &amp; Co Inc
Wachovia Bank NA
Janney Montgomery Scott Inc</t>
  </si>
  <si>
    <t>WESTERN ASSET PREMIER BOND</t>
  </si>
  <si>
    <t>WEA</t>
  </si>
  <si>
    <t>Merrill Lynch
Legg Mason Wood Walker
AG Edwards &amp; Sons Inc
RBC Dominion Securities
Robert W Baird &amp; Co Inc
McDonald Investments
Wedbush, Noble, Cooke
Crowell Weedon &amp; Co
Advest Inc
Prudential Securities Inc
CIBC World Markets Inc
First Union National Bancorp
US Bancorp Piper Jaffray
Brean Murray &amp; Co Inc
Fahnestock &amp; Co
Janney Montgomery Scott Inc
Parker-Hunter Inc
Morgan Keegan Inc
HC Wainwright &amp; Co Inc
Torrey Pines Securities
Sands Brothers &amp; Co Ltd
Scottsdale Water Service Co
Paulson Investment Co
Nutmeg Securities Ltd
NatCity Investments Corp
Mesirow Financial Corp
Lasalle Re Holdings
Allen &amp; Company of Florida
Utendahl Capital Partners
Stifel Nicolaus &amp; Co Inc
Stephens Inc
Seidler Corp
Charles Schwab &amp; Co Inc
First Southwest
DA Davidson &amp; Co Inc
Blair House
BB&amp;T Capital Markets
Lehman Brothers
Deutsche Bank</t>
  </si>
  <si>
    <t>MERRILL/LEGG-MASON-WW(JOINT)
//A-G-EDWARDS/RBC-DOM/BAIRD/MCDONALD
/WEDBUSH/CROWELL/ADVEST/PSI//CIBC-WORLD
/FIRST-UNION/US-PIPER/BREAN/FAHNESTOCK
/JANNEY/PARKER-HUNTER/MORGAN-KEEGAN
/H-C-WAINWRIGHT/TORREY-PINES/SANDS/SWS
/PAULSON/NUTMEG-SEC/NATL-CITY-INV
/MESIROW-FIN/LASALLE-RE-HLDG/ALLEN-FL
/UTENDAHL-CAP/STIFEL/STEPHENS
/SEIDLER-COS/CHARLES-SCHWAB/FIRST-SW
/DAVIDSON/BLAIR/BB-T-CAP/LEH
/DEUTSCHE-BANK</t>
  </si>
  <si>
    <t>MERRILL/LEGG-MASON-WW</t>
  </si>
  <si>
    <t>MERRILL
/LEGG-MASON-WW(JOINT)
A-G-EDWARDS
RBC-DOM
BAIRD
MCDONALD
WEDBUSH
CROWELL
ADVEST
PSI</t>
  </si>
  <si>
    <t>Merrill Lynch &amp; Co Inc
Legg Mason Wood Walker Inc
AG Edwards &amp; Sons Inc
RBC Dominion Securities Ltd
Robert W Baird &amp; Co Inc
McDonald Investments Inc
Wedbush, Noble, Cooke, Inc.
Crowell Weedon &amp; Co
Advest Inc
Prudential Securities Inc</t>
  </si>
  <si>
    <t>MedSource Technologies Inc</t>
  </si>
  <si>
    <t>MEDT</t>
  </si>
  <si>
    <t>58505Y103</t>
  </si>
  <si>
    <t>Morgan Stanley
Bear Stearns &amp; Co Inc
Wachovia Bank NA
Thomas Weisel Partners
William Blair &amp; Co
Jefferies &amp; Co Inc
Kaufman Brothers LP
RBC Dominion Securities</t>
  </si>
  <si>
    <t>MORGAN-STANLEY/BEAR(JOINT)//WACHOVIA
/THOMAS-WEISEL//WM-BLAIR/JEFFERIES
/KAUFMAN-BROS/RBC-DOM</t>
  </si>
  <si>
    <t>MORGAN-STANLEY/BEAR</t>
  </si>
  <si>
    <t>MORGAN-STANLEY
/BEAR(JOINT)
WACHOVIA
THOMAS-WEISEL</t>
  </si>
  <si>
    <t>Morgan Stanley
Bear Stearns &amp; Co Inc
Wachovia Bank NA
Thomas Weisel Partners</t>
  </si>
  <si>
    <t>Empire Financial Holding Co</t>
  </si>
  <si>
    <t>EFH</t>
  </si>
  <si>
    <t>KEEFE</t>
  </si>
  <si>
    <t>Keefe Bruyette &amp; Woods Inc
Empire</t>
  </si>
  <si>
    <t>KEEFE//EMPIRE</t>
  </si>
  <si>
    <t>KEEFE
EMPIRE</t>
  </si>
  <si>
    <t>Keefe Bruyette &amp; Woods Inc
Empire Co</t>
  </si>
  <si>
    <t>JetBlue Airways Corp</t>
  </si>
  <si>
    <t>JBLU</t>
  </si>
  <si>
    <t>Morgan Stanley
Merrill Lynch
Raymond James &amp; Associates Inc
UBS Warburg
Arnhold and S Bleichroeder Inc
MR Beal &amp; Co
BNP Paribas SA
Credit Lyonnais Securities USA
HVB Capital
Samuel A. Ramirez &amp; Co.</t>
  </si>
  <si>
    <t>MORGAN-STANLEY/MERRILL(JOINT)//RAYMOND
/UBS-WARBURG//ARNHOLD/M-R-BEAL
/BNP-PARIBAS/CL-SEC-USA/HVB-CAPITAL
/RAMIREZ</t>
  </si>
  <si>
    <t>MORGAN-STANLEY
/MERRILL(JOINT)
RAYMOND
UBS-WARBURG</t>
  </si>
  <si>
    <t>Morgan Stanley
Merrill Lynch &amp; Co Inc
Raymond James &amp; Associates Inc
UBS Warburg</t>
  </si>
  <si>
    <t>Ribapharm Inc</t>
  </si>
  <si>
    <t>RNA</t>
  </si>
  <si>
    <t>UBS Warburg
CIBC World Markets Inc
SG Cowen Securities Corp
Arnhold and S Bleichroeder Inc
Gerard Klauer Mattison &amp; Co
Sterling Financial Corp</t>
  </si>
  <si>
    <t>UBS-WARBURG//CIBC-WORLD/SG-COWEN
//ARNHOLD/GERARD-KLAUER/STERLING-FIN</t>
  </si>
  <si>
    <t>ExpressJet Holdings Inc</t>
  </si>
  <si>
    <t>XJT</t>
  </si>
  <si>
    <t>30218U108</t>
  </si>
  <si>
    <t>Citigroup/Salomon Smith Barney
Morgan Stanley
Credit Suisse First Boston
Merrill Lynch
Raymond James &amp; Associates Inc
Goldman Sachs &amp; Co
Credit Lyonnais Securities USA
JP Morgan
Samuel A. Ramirez &amp; Co.
Deutsche Bank Securities Corp</t>
  </si>
  <si>
    <t>CITIGROUP-SSB/MORGAN-STANLEY(JOINT)
//CS-FB-CS/MERRILL/RAYMOND/GS
//CL-SEC-USA/JPM/RAMIREZ
/DEUTSCHE-BK-SEC</t>
  </si>
  <si>
    <t>CITIGROUP-SSB/MORGAN-STANLEY</t>
  </si>
  <si>
    <t>CITIGROUP-SSB
/MORGAN-STANLEY(JOINT)
CS-FB-CS
MERRILL
RAYMOND
GS</t>
  </si>
  <si>
    <t>Citigroup/Salomon Smith Barney
Morgan Stanley
Credit Suisse First Boston Corp
Merrill Lynch &amp; Co Inc
Raymond James &amp; Associates Inc
Goldman Sachs &amp; Co</t>
  </si>
  <si>
    <t>Medical Staffing Network</t>
  </si>
  <si>
    <t>LEH/DEUTSCHE-BK-SEC(JB)</t>
  </si>
  <si>
    <t>58463F104</t>
  </si>
  <si>
    <t>Lehman Brothers
Deutsche Bank Securities Corp
Credit Suisse First Boston
JP Morgan</t>
  </si>
  <si>
    <t>Warburg Pincus Private VIII</t>
  </si>
  <si>
    <t>LEH(JB)/DEUTSCHE-BK-SEC(JB)//CS-FB-CS
/JPM</t>
  </si>
  <si>
    <t>LEH/DEUTSCHE-BK-SEC</t>
  </si>
  <si>
    <t>LEH
(JB)/DEUTSCHE-BK-SEC(JB)
CS-FB-CS
JPM</t>
  </si>
  <si>
    <t>Lehman Brothers
Deutsche Bank Securities Corp.
Credit Suisse First Boston Corp
JP Morgan &amp; Co Inc</t>
  </si>
  <si>
    <t>Heritage Ppty Invest Trust Inc</t>
  </si>
  <si>
    <t>HTG</t>
  </si>
  <si>
    <t>42725M107</t>
  </si>
  <si>
    <t>Merrill Lynch
Goldman Sachs &amp; Co
Morgan Stanley
UBS Warburg
Legg Mason &amp; Co Inc
Wachovia Bank NA
BNY Capital Markets Inc
Commerzbank Capital Markets
AG Edwards &amp; Sons Inc
Lazard Freres &amp; Co LLC
McDonald Investments
Prudential Securities Inc
Raymond James &amp; Associates Inc
Fleet Boston Corp
Advest Inc
Crowell Weedon &amp; Co
DA Davidson &amp; Co Inc
Gardner Rich &amp; Co
JJB Hilliard WL Lyons Inc
Janney Montgomery Scott Inc
Moors &amp; Cabot Inc
Neuberger Berman Inc
Sandler O'Neill Partners
W. M. Smith Securities, Inc
Utendahl Capital Partners
Merrill Lynch</t>
  </si>
  <si>
    <t>MERRILL//GS/MORGAN-STANLEY/UBS-WARBURG
/LEGG-MASON/WACHOVIA//BNY-CAP
/COMMERZBANK-SEC/A-G-EDWARDS/LAZ
/MCDONALD/PSI/RAYMOND/FLEET-BOSTON
/ADVEST/CROWELL/DAVIDSON/GARDNER-RICH
/HILLIARD/JANNEY/MOORS/NEUBERGER
/SANDLER-ONEILL/W-M-SMITH/UTENDAHL-CAP
//MERRILL(GC)</t>
  </si>
  <si>
    <t>MERRILL
GS
MORGAN-STANLEY
UBS-WARBURG
LEGG-MASON
WACHOVIA</t>
  </si>
  <si>
    <t>Merrill Lynch &amp; Co Inc
Goldman Sachs &amp; Co
Morgan Stanley
UBS Warburg
Legg Mason &amp; Co Inc
Wachovia Bank NA</t>
  </si>
  <si>
    <t>Merrill Lynch
Goldman Sachs &amp; Co
UBS Warburg
Morgan Stanley &amp; Co
Wachovia Securities Inc
Legg Mason Wood Walker
Deutsche Bank Securities
BNY Capital Markets Inc
Commerzbank AG
AG Edwards &amp; Sons Inc
Lazard
McDonald Investments
Prudential Securities Inc
Raymond James &amp; Associates Inc
Robertson, Colman &amp; Stephens
Advest Inc
Crowell Weedon &amp; Co
DA Davidson &amp; Co Inc
Gardner Rich &amp; Co
JJB Hilliard WL Lyons Inc
Janney Montgomery Scott Inc
Moors &amp; Cabot Inc
Neuberger Berman Inc
Sandler O'Neill Partners
W. M. Smith Securities, Inc
Utendahl Capital Partners
Merrill Lynch</t>
  </si>
  <si>
    <t>MERRILL//GS/UBS-WARBURG/MS/WACHOVIA-SEC
/LEGG-MASON-WW/DBSECU/BNY-CAP
/COMMERZBANK/A-G-EDWARDS/LAZARD
/MCDONALD/PSI/RAYMOND/ROBERTSON/ADVEST
/CROWELL/DAVIDSON/GARDNER-RICH/HILLIARD
/JANNEY/MOORS/NEUBERGER/SANDLER-ONEILL
/W-M-SMITH/UTENDAHL-CAP//MERRILL(GC)</t>
  </si>
  <si>
    <t>DOV Pharmaceutical Inc</t>
  </si>
  <si>
    <t>DOVP</t>
  </si>
  <si>
    <t>CIBC-WORLD/LEH(JB)</t>
  </si>
  <si>
    <t>CIBC World Markets Inc
Lehman Brothers
Lazard
Fidelity Capital Markets
Banc of America Securities LLC
US Bancorp Piper Jaffray
First Union Securities Inc
Adams
Emerging Growth Equities Ltd
Leerink Swann &amp; Co
Pacific Crest Securities Inc
Parker-Hunter Inc</t>
  </si>
  <si>
    <t>08/22/02
10/21/02</t>
  </si>
  <si>
    <t>2.685
66.506</t>
  </si>
  <si>
    <t>120
180</t>
  </si>
  <si>
    <t>402500.00
9968309.00</t>
  </si>
  <si>
    <t>CIBC-WORLD(JB)/LEH(JB)//LAZARD
/FIDELITY-CAP//BA-SEC-LLC/US-PIPER
/FIRST-UNION-SEC/ADAMS/EMERGING-GROWTH
/LEERINK-SWANN/PACIFIC-CREST
/PARKER-HUNTER</t>
  </si>
  <si>
    <t>CIBC-WORLD/LEH</t>
  </si>
  <si>
    <t>CIBC-WORLD
(JB)/LEH(JB)
LAZARD
FIDELITY-CAP</t>
  </si>
  <si>
    <t>CIBC World Markets Inc
Lehman Brothers
Lazard
Fidelity Capital Markets</t>
  </si>
  <si>
    <t>Blackrock Virginia Municipal</t>
  </si>
  <si>
    <t>BHV</t>
  </si>
  <si>
    <t>092481100</t>
  </si>
  <si>
    <t>Citigroup/Salomon Smith Barney
AG Edwards &amp; Sons Inc
Prudential Securities Inc
UBS Warburg
Deutsche Bank Securities Corp
Wachovia Bank NA
Merrill Lynch
US Bancorp Piper Jaffray
Advest Inc
Anderson &amp; Strudwick
BB&amp;T Capital Markets
H&amp;R Block Financial Advisors
Fahnestock &amp; Co
Ferris Baker Watts
Friedman Billings Ramsey Group
JJB Hilliard WL Lyons Inc
Janney Montgomery Scott Inc
Johnston Lemon &amp; Co Inc
Legg Mason Wood Walker
Morgan Keegan Inc
Quick &amp; Reilly Inc
TD Waterhouse Securities</t>
  </si>
  <si>
    <t>CITIGROUP-SSB//A-G-EDWARDS/PSI
/UBS-WARBURG//DEUTSCHE-BK-SEC/WACHOVIA
/MERRILL/US-PIPER/ADVEST/ANDERSON
/BB-T-CAP/HR-BLOCK-FIN/FAHNESTOCK
/FERRIS-BAKER/FRIEDMAN-B/HILLIARD
/JANNEY/JOHNSTON-LEMON/LEGG-MASON-WW
/MORGAN-KEEGAN/Q&amp;R/TDWS</t>
  </si>
  <si>
    <t>CITIGROUP-SSB
A-G-EDWARDS
PSI
UBS-WARBURG</t>
  </si>
  <si>
    <t>Citigroup/Salomon Smith Barney
AG Edwards &amp; Sons Inc
Prudential Securities Inc
UBS Warburg</t>
  </si>
  <si>
    <t>Blackrock New Jersey Municipal</t>
  </si>
  <si>
    <t>09249A109</t>
  </si>
  <si>
    <t>Citigroup/Salomon Smith Barney
AG Edwards &amp; Sons Inc
Prudential Securities Inc
UBS Warburg
Gruntal &amp; Co Inc
JJB Hilliard WL Lyons Inc
Deutsche Bank Securities Corp
Wachovia Bank NA
Merrill Lynch
US Bancorp Piper Jaffray
Advest Inc
BB&amp;T Capital Markets
H&amp;R Block Financial Advisors
Crowell Weedon &amp; Co
Fahnestock &amp; Co
Ferris Baker Watts
Howe Barnes Investments Inc
Janney Montgomery Scott Inc
Legg Mason Wood Walker
Quick &amp; Reilly Inc
RBC Dain Rauscher Corp
TD Waterhouse Securities</t>
  </si>
  <si>
    <t>CITIGROUP-SSB//A-G-EDWARDS/PSI
/UBS-WARBURG/GRUNTAL/HILLIARD
//DEUTSCHE-BK-SEC/WACHOVIA/MERRILL
/US-PIPER/ADVEST/BB-T-CAP/HR-BLOCK-FIN
/CROWELL/FAHNESTOCK/FERRIS-BAKER
/HOWE-BARNES/JANNEY/LEGG-MASON-WW/Q&amp;R
/RBC-DAIN/TDWS</t>
  </si>
  <si>
    <t>CITIGROUP-SSB
A-G-EDWARDS
PSI
UBS-WARBURG
GRUNTAL
HILLIARD</t>
  </si>
  <si>
    <t>Citigroup/Salomon Smith Barney
AG Edwards &amp; Sons Inc
Prudential Securities Inc
UBS Warburg
Gruntal &amp; Co Inc
JJB Hilliard WL Lyons Inc</t>
  </si>
  <si>
    <t>Blackrock Municipal Bond Trust</t>
  </si>
  <si>
    <t>BBK</t>
  </si>
  <si>
    <t>09249H104</t>
  </si>
  <si>
    <t>Citigroup/Salomon Smith Barney
AG Edwards &amp; Sons Inc
Prudential Securities Inc
UBS Warburg
First Union Securities Inc
Gruntal &amp; Co Inc
JJB Hilliard WL Lyons Inc
Deutsche Bank Securities Corp
Merrill Lynch
US Bancorp Piper Jaffray
Advest Inc
Robert W Baird &amp; Co Inc
BB&amp;T Capital Markets
H&amp;R Block Financial Advisors
Crowell Weedon &amp; Co
DA Davidson &amp; Co Inc
Fahnestock &amp; Co
Ferris Baker Watts
Fifth Third Bancorp
Janney Montgomery Scott Inc
Legg Mason Wood Walker
Morgan Keegan Inc
Quick &amp; Reilly Inc
RBC Dain Rauscher Corp
Stifel Nicolaus &amp; Co Inc
Wedbush Securities
Wells Fargo Bank NA
Allen &amp; Co Inc
Howe Barnes Investments Inc
Wayne Hummer &amp; Co
LaSalle Street Securities Inc
Mesirow Financial Corp
Moors &amp; Cabot Inc
David A. Noyes
M. L. Stern
Southwest Securities Inc
TD Waterhouse Securities</t>
  </si>
  <si>
    <t>CITIGROUP-SSB//A-G-EDWARDS/PSI
/UBS-WARBURG/FIRST-UNION-SEC/GRUNTAL
/HILLIARD//DEUTSCHE-BK-SEC/MERRILL
/US-PIPER/ADVEST/BAIRD/BB-T-CAP
/HR-BLOCK-FIN/CROWELL/DAVIDSON
/FAHNESTOCK/FERRIS-BAKER/FIFTH-THIRD
/JANNEY/LEGG-MASON-WW/MORGAN-KEEGAN/Q&amp;R
/RBC-DAIN/STIFEL/WEDBUSH-M/WELLS-FARGO
/ALLEN/HOWE-BARNES/HUMMER/LASALLE-SEC
/MESIROW-FIN/MOORS/D-A-NOYES/M-L-STERN
/SWS-SEC/TDWS</t>
  </si>
  <si>
    <t>CITIGROUP-SSB
A-G-EDWARDS
PSI
UBS-WARBURG
FIRST-UNION-SEC
GRUNTAL
HILLIARD</t>
  </si>
  <si>
    <t>Citigroup/Salomon Smith Barney
AG Edwards &amp; Sons Inc
Prudential Securities Inc
UBS Warburg
First Union Securities Inc
Gruntal &amp; Co Inc
JJB Hilliard WL Lyons Inc</t>
  </si>
  <si>
    <t>Blackrock California Municipal</t>
  </si>
  <si>
    <t>BZA</t>
  </si>
  <si>
    <t>09249J100</t>
  </si>
  <si>
    <t>Citigroup/Salomon Smith Barney
AG Edwards &amp; Sons Inc
Prudential Securities Inc
UBS Warburg
Deutsche Bank Securities Corp
Wachovia Bank NA
Merrill Lynch
US Bancorp Piper Jaffray
Advest Inc
BB&amp;T Capital Markets
H&amp;R Block Financial Advisors
Crowell Weedon &amp; Co
Fahnestock &amp; Co
Ferris Baker Watts
Gruntal &amp; Co Inc
Wayne Hummer &amp; Co
Janney Montgomery Scott Inc
Legg Mason Wood Walker
Quick &amp; Reilly Inc
RBC Dain Rauscher Corp
Seidler Corp
M. L. Stern
TD Waterhouse Securities
Wedbush Securities
Wells Fargo Bank NA</t>
  </si>
  <si>
    <t>CITIGROUP-SSB//A-G-EDWARDS/PSI
/UBS-WARBURG//DEUTSCHE-BK-SEC/WACHOVIA
/MERRILL/US-PIPER/ADVEST/BB-T-CAP
/HR-BLOCK-FIN/CROWELL/FAHNESTOCK
/FERRIS-BAKER/GRUNTAL/HUMMER/JANNEY
/LEGG-MASON-WW/Q&amp;R/RBC-DAIN/SEIDLER-COS
/M-L-STERN/TDWS/WEDBUSH-M/WELLS-FARGO</t>
  </si>
  <si>
    <t>Blackrock Florida Municipal</t>
  </si>
  <si>
    <t>BIE</t>
  </si>
  <si>
    <t>09249K107</t>
  </si>
  <si>
    <t>Citigroup/Salomon Smith Barney
AG Edwards &amp; Sons Inc
Prudential Securities Inc
UBS Warburg
Wachovia Bank NA
Legg Mason &amp; Co Inc
Deutsche Bank Securities Corp
Merrill Lynch
US Bancorp Piper Jaffray
Advest Inc
Allen &amp; Co Inc
Robert W Baird &amp; Co Inc
BB&amp;T Capital Markets
H&amp;R Block Financial Advisors
Crowell Weedon &amp; Co
Fahnestock &amp; Co
Ferris Baker Watts
Gruntal &amp; Co Inc
JJB Hilliard WL Lyons Inc
Wayne Hummer &amp; Co
Janney Montgomery Scott Inc
Morgan Keegan Inc
Quick &amp; Reilly Inc
RBC Dain Rauscher Corp
Stifel Nicolaus &amp; Co Inc
TD Waterhouse Securities</t>
  </si>
  <si>
    <t>CITIGROUP-SSB//A-G-EDWARDS/PSI
/UBS-WARBURG/WACHOVIA/LEGG-MASON
//DEUTSCHE-BK-SEC/MERRILL/US-PIPER
/ADVEST/ALLEN/BAIRD/BB-T-CAP
/HR-BLOCK-FIN/CROWELL/FAHNESTOCK
/FERRIS-BAKER/GRUNTAL/HILLIARD/HUMMER
/JANNEY/MORGAN-KEEGAN/Q&amp;R/RBC-DAIN
/STIFEL/TDWS</t>
  </si>
  <si>
    <t>CITIGROUP-SSB
A-G-EDWARDS
PSI
UBS-WARBURG
WACHOVIA
LEGG-MASON</t>
  </si>
  <si>
    <t>Citigroup/Salomon Smith Barney
AG Edwards &amp; Sons Inc
Prudential Securities Inc
UBS Warburg
Wachovia Bank NA
Legg Mason &amp; Co Inc</t>
  </si>
  <si>
    <t>Blackrock Maryland Municipal</t>
  </si>
  <si>
    <t>BZM</t>
  </si>
  <si>
    <t>09249L105</t>
  </si>
  <si>
    <t>Citigroup/Salomon Smith Barney
AG Edwards &amp; Sons Inc
Prudential Securities Inc
UBS Warburg
Legg Mason Wood Walker
Deutsche Bank Securities Corp
Wachovia Bank NA
Merrill Lynch
US Bancorp Piper Jaffray
Advest Inc
BB&amp;T Capital Markets
H&amp;R Block Financial Advisors
Fahnestock &amp; Co
Ferris Baker Watts
Gruntal &amp; Co Inc
JJB Hilliard WL Lyons Inc
Janney Montgomery Scott Inc
Johnston Lemon &amp; Co Inc
Quick &amp; Reilly Inc
TD Waterhouse Securities</t>
  </si>
  <si>
    <t>CITIGROUP-SSB//A-G-EDWARDS/PSI
/UBS-WARBURG/LEGG-MASON-WW
//DEUTSCHE-BK-SEC/WACHOVIA/MERRILL
/US-PIPER/ADVEST/BB-T-CAP/HR-BLOCK-FIN
/FAHNESTOCK/FERRIS-BAKER/GRUNTAL
/HILLIARD/JANNEY/JOHNSTON-LEMON/Q&amp;R
/TDWS</t>
  </si>
  <si>
    <t>CITIGROUP-SSB
A-G-EDWARDS
PSI
UBS-WARBURG
LEGG-MASON-WW</t>
  </si>
  <si>
    <t>Citigroup/Salomon Smith Barney
AG Edwards &amp; Sons Inc
Prudential Securities Inc
UBS Warburg
Legg Mason Wood Walker Inc</t>
  </si>
  <si>
    <t>BQH</t>
  </si>
  <si>
    <t>09249P106</t>
  </si>
  <si>
    <t>Citigroup/Salomon Smith Barney
AG Edwards &amp; Sons Inc
Prudential Securities Inc
UBS Warburg
Advest Inc
Gruntal &amp; Co Inc
Deutsche Bank Securities Corp
Wachovia Bank NA
Merrill Lynch
US Bancorp Piper Jaffray
BB&amp;T Capital Markets
H&amp;R Block Financial Advisors
Crowell Weedon &amp; Co
Fahnestock &amp; Co
Ferris Baker Watts
JJB Hilliard WL Lyons Inc
Janney Montgomery Scott Inc
Legg Mason Wood Walker
Quick &amp; Reilly Inc
RBC Dain Rauscher Corp
TD Waterhouse Securities</t>
  </si>
  <si>
    <t>CITIGROUP-SSB//A-G-EDWARDS/PSI
/UBS-WARBURG/ADVEST/GRUNTAL
//DEUTSCHE-BK-SEC/WACHOVIA/MERRILL
/US-PIPER/BB-T-CAP/HR-BLOCK-FIN/CROWELL
/FAHNESTOCK/FERRIS-BAKER/HILLIARD
/JANNEY/LEGG-MASON-WW/Q&amp;R/RBC-DAIN/TDWS</t>
  </si>
  <si>
    <t>CITIGROUP-SSB
A-G-EDWARDS
PSI
UBS-WARBURG
ADVEST
GRUNTAL</t>
  </si>
  <si>
    <t>Citigroup/Salomon Smith Barney
AG Edwards &amp; Sons Inc
Prudential Securities Inc
UBS Warburg
Advest Inc
Gruntal &amp; Co Inc</t>
  </si>
  <si>
    <t>Pioneer High Income Trust</t>
  </si>
  <si>
    <t>PHH</t>
  </si>
  <si>
    <t>72369H106</t>
  </si>
  <si>
    <t>Merrill Lynch
UBS Warburg
RBC Capital Markets
Advest Inc
Janney Montgomery Scott Inc
McDonald Investments
Stifel Nicolaus &amp; Co Inc
CIBC World Markets Inc
Deutsche Bank Securities Corp
AG Edwards &amp; Sons Inc
Prudential Securities Inc
US Bancorp Piper Jaffray
Wachovia Bank NA
Wells Fargo Van Kasper LLC
Robert W Baird &amp; Co Inc
William Blair &amp; Co
Brean Murray &amp; Co Inc
Crowell Weedon &amp; Co
DA Davidson &amp; Co Inc
Fahnestock &amp; Co
Ferris Baker Watts
First Southwest
Johnston Lemon &amp; Co Inc
Legg Mason Wood Walker
Morgan Keegan Inc
Parker-Hunter Inc
Quick &amp; Reilly Inc
Sanders Morris Harris Inc
Seidler Corp
Stephens Inc
TD Waterhouse Securities
Utendahl Capital Partners
Wedbush Securities
Allen &amp; Company of Florida
LaSalle Street Securities Inc
Leerink Swann &amp; Co
Mesirow Financial Corp
Natcity Investments Inc.
Paulson Investment Co
Pinnacle Capital Corp
Southwest Securities Inc
Sands Brothers &amp; Co Ltd
Sterne Agee &amp; Leach Inc
HC Wainwright &amp; Co Inc
Wunderlich Securities Inc</t>
  </si>
  <si>
    <t>MERRILL//UBS-WARBURG/RBC-CAP-MKTS
/ADVEST/JANNEY/MCDONALD/STIFEL
//CIBC-WORLD/DEUTSCHE-BK-SEC
/A-G-EDWARDS/PSI/US-PIPER/WACHOVIA
/WELLS-FARGO-VK/BAIRD/WM-BLAIR/BREAN
/CROWELL/DAVIDSON/FAHNESTOCK
/FERRIS-BAKER/FIRST-SW/JOHNSTON-LEMON
/LEGG-MASON-WW/MORGAN-KEEGAN
/PARKER-HUNTER/Q&amp;R/SANDERS-HARRIS
/SEIDLER-COS/STEPHENS/TDWS/UTENDAHL-CAP
/WEDBUSH-M/ALLEN-FL/LASALLE-SEC
/LEERINK-SWANN/MESIROW-FIN
/NATCITY-INVEST/PAULSON/PINN-CAP-CORP
/SWS-SEC/SANDS/STERNE-AGEE
/H-C-WAINWRIGHT/WUNDERLICH</t>
  </si>
  <si>
    <t>MERRILL
UBS-WARBURG
RBC-CAP-MKTS
ADVEST
JANNEY
MCDONALD
STIFEL</t>
  </si>
  <si>
    <t>Merrill Lynch &amp; Co Inc
UBS Warburg
RBC Capital Markets
Advest Inc
Janney Montgomery Scott Inc
McDonald Investments Inc
Stifel Nicolaus &amp; Co Inc</t>
  </si>
  <si>
    <t>Premcor Inc</t>
  </si>
  <si>
    <t>PCO</t>
  </si>
  <si>
    <t>74045Q104</t>
  </si>
  <si>
    <t>Morgan Stanley
Credit Suisse First Boston
Goldman Sachs &amp; Co
Deutsche Bank Securities Corp
Bear Stearns &amp; Co Inc
Citigroup/Salomon Smith Barney
Credit Lyonnais Securities USA
TD Securities (USA) Inc
Smith, Moore
Friedman Billings Ramsey Group
Prudential Securities Inc
Raymond James &amp; Associates Inc
Fleet Boston Corp
Petrie Parkman &amp; Co Inc
Fahnestock &amp; Co</t>
  </si>
  <si>
    <t>MORGAN-STANLEY/CS-FB-CS(JOINT)//GS
/DEUTSCHE-BK-SEC/BEAR/CITIGROUP-SSB
//CL-SEC-USA/TD-SEC-USA/SMITH-MOORE
/FRIEDMAN-B/PSI/RAYMOND/FLEET-BOSTON
/PETRIE-PARKMAN/FAHNESTOCK</t>
  </si>
  <si>
    <t>MORGAN-STANLEY
/CS-FB-CS(JOINT)
GS
DEUTSCHE-BK-SEC
BEAR
CITIGROUP-SSB</t>
  </si>
  <si>
    <t>Morgan Stanley
Credit Suisse First Boston Corp
Goldman Sachs &amp; Co
Deutsche Bank Securities Corp.
Bear Stearns &amp; Co Inc
Citigroup/Salomon Smith Barney</t>
  </si>
  <si>
    <t>LIN Television Corp</t>
  </si>
  <si>
    <t>TVL</t>
  </si>
  <si>
    <t>DEUTSCHE-BK-SEC</t>
  </si>
  <si>
    <t>Deutsche Bank Securities Corp
Bear Stearns &amp; Co Inc
JP Morgan
Credit Suisse First Boston
Morgan Stanley
AG Edwards &amp; Sons Inc
Allen &amp; Co Inc
Goldman Sachs &amp; Co
Merrill Lynch
Fleet Boston Corp
E*Trade Securities Inc
First Southwest
Gabelli &amp; Co Inc
Sanders Morris Mundy Inc</t>
  </si>
  <si>
    <t>DEUTSCHE-BK-SEC//BEAR/JPM/CS-FB-CS
/MORGAN-STANLEY//A-G-EDWARDS/ALLEN/GS
/MERRILL/FLEET-BOSTON/E*TRADE-SEC
/FIRST-SW/GABELLI/SANDERS-MORRIS</t>
  </si>
  <si>
    <t>DEUTSCHE-BK-SEC
BEAR
JPM
CS-FB-CS
MORGAN-STANLEY</t>
  </si>
  <si>
    <t>Deutsche Bank Securities Corp.
Bear Stearns &amp; Co Inc
JP Morgan &amp; Co Inc
Credit Suisse First Boston Corp
Morgan Stanley</t>
  </si>
  <si>
    <t>Quinton Cardiology Systems Inc</t>
  </si>
  <si>
    <t>QUIN</t>
  </si>
  <si>
    <t>Adams Harkness &amp; Hill Inc
WR Hambrecht &amp; Co LLC
Hambrecht &amp; Quist
AG Edwards &amp; Sons Inc
Gerard Klauer Mattison &amp; Co
Investec Ernst &amp; Co- Investec</t>
  </si>
  <si>
    <t>ADAMS-HARKNESS//W-R-HAMBRECHT
//HAMBRECHT/A-G-EDWARDS/GERARD-KLAUER
/INVESTEC-INC</t>
  </si>
  <si>
    <t>ADAMS-HARKNESS
W-R-HAMBRECHT</t>
  </si>
  <si>
    <t>Adams Harkness &amp; Hill Inc
WR Hambrecht &amp; Co LLC</t>
  </si>
  <si>
    <t>Regal Entertainment Group</t>
  </si>
  <si>
    <t>RGC</t>
  </si>
  <si>
    <t>CS-FB-CS/LEH(JB)</t>
  </si>
  <si>
    <t>Credit Suisse First Boston
Lehman Brothers
Bear Stearns &amp; Co Inc
Citigroup/Salomon Smith Barney
Credit Suisse First Boston
Lehman Brothers</t>
  </si>
  <si>
    <t>CS-FB-CS(JB)/LEH(JB)//BEAR
/CITIGROUP-SSB//CS-FB-CS(GC)/LEH(GC)</t>
  </si>
  <si>
    <t>CS-FB-CS/LEH</t>
  </si>
  <si>
    <t>CS-FB-CS
(JB)/LEH(JB)
BEAR
CITIGROUP-SSB</t>
  </si>
  <si>
    <t>Credit Suisse First Boston Corp
Lehman Brothers
Bear Stearns &amp; Co Inc
Citigroup/Salomon Smith Barney</t>
  </si>
  <si>
    <t>Class A Ord Shs</t>
  </si>
  <si>
    <t>Credit Suisse First Boston
Lehman Brothers
Bear Stearns &amp; Co Inc
Citigroup/Salomon Smith Barney
Allen &amp; Co Inc
Cazenove &amp; Co
AG Edwards &amp; Sons Inc
Invemed Associates Inc
Janco Partners
Janney Montgomery Scott Inc
Petrie Parkman &amp; Co Inc
Prudential Securities Inc
Sanders Morris Harris Inc
Wedbush Securities
Credit Suisse First Boston
Lehman Brothers</t>
  </si>
  <si>
    <t>CS-FB-CS(JB)/LEH(JB)//BEAR
/CITIGROUP-SSB/ALLEN/CAZENOVE
/A-G-EDWARDS/INVEMED/JANCO-PARTNERS
/JANNEY/PETRIE-PARKMAN/PSI
/SANDERS-HARRIS/WEDBUSH-M//CS-FB-CS(GC)
/LEH(GC)</t>
  </si>
  <si>
    <t>CS-FB-CS
(JB)/LEH(JB)</t>
  </si>
  <si>
    <t>Credit Suisse First Boston Corp
Lehman Brothers</t>
  </si>
  <si>
    <t>Sabesp</t>
  </si>
  <si>
    <t>SBS</t>
  </si>
  <si>
    <t>UBS Warburg
Santander Central Hispano Inv.
UBS Warburg</t>
  </si>
  <si>
    <t>UBS-WARBURG//SANT-CNT-HIS-IN
//UBS-WARBURG(GC)</t>
  </si>
  <si>
    <t>UBS-WARBURG
SANT-CNT-HIS-IN</t>
  </si>
  <si>
    <t>UBS Warburg
Santander Central Hispano Investment</t>
  </si>
  <si>
    <t>20441A102</t>
  </si>
  <si>
    <t>Aeropostale Inc</t>
  </si>
  <si>
    <t>ARO</t>
  </si>
  <si>
    <t>BEAR/MERRILL(JB)</t>
  </si>
  <si>
    <t>007865108</t>
  </si>
  <si>
    <t>Bear Stearns &amp; Co Inc
Merrill Lynch
Banc of America Securities LLC
US Bancorp Piper Jaffray
Wachovia Bank NA
Thomas Weisel Partners
Chatsworth Securities LLC
Buckingham Research Group
Gerard Klauer Mattison &amp; Co
SunTrust Securities
William Blair &amp; Co
RBC Dain Rauscher Corp
CIBC World Markets Inc
Credit Suisse First Boston
Jefferies &amp; Co Inc
Lazard Freres &amp; Co LLC
JP Morgan
Prudential Securities Inc
UBS Warburg
Investec Ernst &amp; Co- Investec
Unterburg, Towbin Co
Friedman Billings Ramsey Group
Ladenburg Thalmann &amp; Co
Neuberger Berman Inc
Wedbush Securities
Bear Stearns &amp; Co Inc
Merrill Lynch</t>
  </si>
  <si>
    <t>BEAR(JB)/MERRILL(JB)//BA-SEC-LLC
/US-PIPER/WACHOVIA//THOMAS-WEISEL
/CHATSWORTH/BUCKINGHAM-RES
/GERARD-KLAUER/SUN-TRUST-SEC/WM-BLAIR
/RBC-DAIN/CIBC-WORLD/CS-FB-CS/JEFFERIES
/LAZ/JPM/PSI/UBS-WARBURG/INVESTEC-INC
/UNTERBURG/FRIEDMAN-B/LADENBURG
/NEUBERGER/WEDBUSH-M//BEAR(GC)
/MERRILL(GC)</t>
  </si>
  <si>
    <t>BEAR
(JB)/MERRILL(JB)
BA-SEC-LLC
US-PIPER
WACHOVIA</t>
  </si>
  <si>
    <t>Bear Stearns &amp; Co Inc
Merrill Lynch &amp; Co Inc
Banc of America Securities LLC
US Bancorp Piper Jaffray Inc
Wachovia Bank NA</t>
  </si>
  <si>
    <t>Bear Stearns &amp; Co Inc
Merrill Lynch
Banc of America Securities LLC
US Bancorp Piper Jaffray
Wachovia Bank NA
Thomas Weisel Partners
Buckingham Research Group
Gerard Klauer Mattison &amp; Co
Neuberger Berman Inc
Wedbush Securities
Chatsworth Securities LLC
RBC Dain Rauscher Corp
CIBC World Markets Inc
Credit Suisse First Boston
Jefferies &amp; Co Inc
Lazard Freres &amp; Co LLC
JP Morgan
Prudential Securities Inc
UBS Warburg
Investec Ernst &amp; Co- Investec
Unterburg, Towbin Co
Friedman Billings Ramsey Group
Ladenburg Thalmann &amp; Co
SunTrust Securities
William Blair &amp; Co
Bear Stearns &amp; Co Inc
Merrill Lynch</t>
  </si>
  <si>
    <t>BEAR(JB)/MERRILL(JB)//BA-SEC-LLC
/US-PIPER/WACHOVIA/THOMAS-WEISEL
/BUCKINGHAM-RES/GERARD-KLAUER/NEUBERGER
/WEDBUSH-M/CHATSWORTH/RBC-DAIN
/CIBC-WORLD/CS-FB-CS/JEFFERIES/LAZ/JPM
/PSI/UBS-WARBURG/INVESTEC-INC/UNTERBURG
/FRIEDMAN-B/LADENBURG/SUN-TRUST-SEC
/WM-BLAIR//BEAR(GC)/MERRILL(GC)</t>
  </si>
  <si>
    <t>BEAR
(JB)/MERRILL(JB)</t>
  </si>
  <si>
    <t>Bear Stearns &amp; Co Inc
Merrill Lynch &amp; Co Inc</t>
  </si>
  <si>
    <t>Dickie Walker Marine Inc</t>
  </si>
  <si>
    <t>Schneider Securities, Inc.
Sterling Financial Corp
Noble International Investment
Neidiger, Tucker, Bruner Inc.</t>
  </si>
  <si>
    <t>SCHNEIDER//STERLING-FIN/NOBLE-INTER
/NEIDIGER</t>
  </si>
  <si>
    <t>Verint Systems Inc</t>
  </si>
  <si>
    <t>VRNT</t>
  </si>
  <si>
    <t>92343X100</t>
  </si>
  <si>
    <t>Lehman Brothers
Citigroup/Salomon Smith Barney
Fleet Boston Corp
US Bancorp Piper Jaffray
UBS Warburg
Banc of America Securities LLC
William Blair &amp; Co
CIBC World Markets Inc
Credit Suisse First Boston
First Analysis Securities
Hongkong &amp; Shanghai Bank (HK)
Merrill Lynch
JP Morgan
Morgan Stanley &amp; Co
Advest Inc
Arnhold and S Bleichroeder Inc
Gerard Klauer Mattison &amp; Co
Oscar Gruss &amp; Son Inc
GunnAllen Financial Inc
WR Hambrecht &amp; Co LLC
Ladenburg Thalmann &amp; Co
Nutmeg Securities Ltd
Pacific Crest Securities Inc
Punk Ziegel &amp; Knoell
Raymond James &amp; Associates Inc
Stephens Inc
Wedbush Securities
Hamilton Robinson</t>
  </si>
  <si>
    <t>CMVT</t>
  </si>
  <si>
    <t>Comverse Technology Inc</t>
  </si>
  <si>
    <t>LEH//CITIGROUP-SSB/FLEET-BOSTON
/US-PIPER/UBS-WARBURG//BA-SEC-LLC
/WM-BLAIR/CIBC-WORLD/CS-FB-CS
/F-ANALYSIS/HONG-SHANG-BKG/MERRILL/JPM
/MS/ADVEST/ARNHOLD/GERARD-KLAUER
/OSCAR-GRUSS/GUNNALLEN-FINL
/W-R-HAMBRECHT/LADENBURG/NUTMEG-SEC
/PACIFIC-CREST/PUNK-ZIEGEL/RAYMOND
/STEPHENS/WEDBUSH-M/HR</t>
  </si>
  <si>
    <t>LEH
CITIGROUP-SSB
FLEET-BOSTON
US-PIPER
UBS-WARBURG</t>
  </si>
  <si>
    <t>Lehman Brothers
Citigroup/Salomon Smith Barney
Fleet Boston Corp,Boston,Massachusetts
US Bancorp Piper Jaffray Inc
UBS Warburg</t>
  </si>
  <si>
    <t>Kyphon Inc</t>
  </si>
  <si>
    <t>KYPH</t>
  </si>
  <si>
    <t>US Bancorp Piper Jaffray
Banc of America Securities LLC
Bear Stearns &amp; Co Inc
Allen &amp; Co Inc
Deutsche Bank Securities Corp
Merrill Lynch, Pierce, Fenner
CIBC World Markets Inc
RBC Dain Rauscher Corp
SG Cowen Securities Corp
Thomas Weisel Partners
Fulcrum Global Partners
Gerard Klauer Mattison &amp; Co
Investec Ernst &amp; Co- Investec
WR Hambrecht &amp; Co LLC</t>
  </si>
  <si>
    <t>US-PIPER//BA-SEC-LLC/BEAR//ALLEN
/DEUTSCHE-BK-SEC/ML/CIBC-WORLD/RBC-DAIN
/SG-COWEN/THOMAS-WEISEL/FULCRUM-GLOBAL
/GERARD-KLAUER/INVESTEC-INC
/W-R-HAMBRECHT</t>
  </si>
  <si>
    <t>US-PIPER
BA-SEC-LLC
BEAR</t>
  </si>
  <si>
    <t>US Bancorp Piper Jaffray Inc
Banc of America Securities LLC
Bear Stearns &amp; Co Inc</t>
  </si>
  <si>
    <t>Computer Programs &amp; Systems</t>
  </si>
  <si>
    <t>CPSI</t>
  </si>
  <si>
    <t>Morgan Keegan Inc
Raymond James &amp; Associates Inc
AG Edwards &amp; Sons Inc
Advest Inc
Fahnestock &amp; Co
Jefferies &amp; Co Inc
McDonald Investments
RBC Dain Rauscher Corp
Ryan Beck &amp; Co
Stephens Inc
SunTrust Capital Markets
Thomas Weisel Partners
Brean Murray &amp; Co Inc
Ferris Baker Watts
Southwest Securities Inc
WR Hambrecht &amp; Co LLC
US Bancorp Piper Jaffray</t>
  </si>
  <si>
    <t>MORGAN-KEEGAN/RAYMOND(JOINT)
//A-G-EDWARDS/ADVEST/FAHNESTOCK
/JEFFERIES/MCDONALD/RBC-DAIN/RYAN-BECK
/STEPHENS/SUNTRUST-CAP/THOMAS-WEISEL
/BREAN/FERRIS-BAKER/SWS-SEC
/W-R-HAMBRECHT/US-PIPER</t>
  </si>
  <si>
    <t>MORGAN-KEEGAN/RAYMOND</t>
  </si>
  <si>
    <t>MORGAN-KEEGAN
/RAYMOND(JOINT)</t>
  </si>
  <si>
    <t>Morgan Keegan Inc
Raymond James &amp; Associates Inc</t>
  </si>
  <si>
    <t>Liquidmetal Technologies</t>
  </si>
  <si>
    <t>LQMT</t>
  </si>
  <si>
    <t>53634X100</t>
  </si>
  <si>
    <t>Merrill Lynch
UBS Warburg
Robert W Baird &amp; Co Inc
Morgan Stanley
Prudential Securities Inc
Loop Capital Markets
Wedbush Securities
Merrill Lynch</t>
  </si>
  <si>
    <t>MERRILL//UBS-WARBURG/BAIRD
//MORGAN-STANLEY/PSI/LOOP/WEDBUSH-M
//MERRILL(GC)</t>
  </si>
  <si>
    <t>MERRILL
UBS-WARBURG
BAIRD</t>
  </si>
  <si>
    <t>Merrill Lynch &amp; Co Inc
UBS Warburg
Robert W Baird &amp; Co Inc</t>
  </si>
  <si>
    <t>Merrill Lynch
UBS Warburg
Robert W Baird &amp; Co Inc
Merrill Lynch</t>
  </si>
  <si>
    <t>MERRILL//UBS-WARBURG/BAIRD//MERRILL(GC)</t>
  </si>
  <si>
    <t>MarkWest Energy Partners LP</t>
  </si>
  <si>
    <t>MWE</t>
  </si>
  <si>
    <t>AG Edwards &amp; Sons Inc
RBC Capital Markets
McDonald Investments</t>
  </si>
  <si>
    <t>A-G-EDWARDS//RBC-CAP-MKTS/MCDONALD</t>
  </si>
  <si>
    <t>A-G-EDWARDS
RBC-CAP-MKTS
MCDONALD</t>
  </si>
  <si>
    <t>AG Edwards &amp; Sons Inc
RBC Capital Markets
McDonald Investments Inc</t>
  </si>
  <si>
    <t>Altiris Inc</t>
  </si>
  <si>
    <t>ATRS</t>
  </si>
  <si>
    <t>02148M100</t>
  </si>
  <si>
    <t>Credit Suisse First Boston
Deutsche Bank Securities Corp
UBS Warburg
DA Davidson &amp; Co Inc
AG Edwards &amp; Sons Inc
Invemed Associates Inc
Investec Ernst &amp; Co- Investec
Janney Montgomery Scott Inc
Pacific Crest Securities Inc
Prudential Securities Inc
RBC Dain Rauscher Corp
Sanders Morris Harris Inc
Soundview Technology</t>
  </si>
  <si>
    <t>CS-FB-CS//DEUTSCHE-BK-SEC/UBS-WARBURG
//DAVIDSON/A-G-EDWARDS/INVEMED
/INVESTEC-INC/JANNEY/PACIFIC-CREST/PSI
/RBC-DAIN/SANDERS-HARRIS/SOUNDV</t>
  </si>
  <si>
    <t>CS-FB-CS
DEUTSCHE-BK-SEC
UBS-WARBURG</t>
  </si>
  <si>
    <t>Credit Suisse First Boston Corp
Deutsche Bank Securities Corp.
UBS Warburg</t>
  </si>
  <si>
    <t>Netflix Inc</t>
  </si>
  <si>
    <t>NFLX</t>
  </si>
  <si>
    <t>64110L106</t>
  </si>
  <si>
    <t>Merrill Lynch
Thomas Weisel Partners
US Bancorp Piper Jaffray
Allen &amp; Co Inc
SG Cowen Securities Corp
Utendahl Capital Partners</t>
  </si>
  <si>
    <t>MERRILL//THOMAS-WEISEL/US-PIPER//ALLEN
/SG-COWEN/UTENDAHL-CAP</t>
  </si>
  <si>
    <t>MERRILL
THOMAS-WEISEL
US-PIPER</t>
  </si>
  <si>
    <t>Merrill Lynch &amp; Co Inc
Thomas Weisel Partners
US Bancorp Piper Jaffray Inc</t>
  </si>
  <si>
    <t>AU Optronics Corp</t>
  </si>
  <si>
    <t>AUO</t>
  </si>
  <si>
    <t>002255107</t>
  </si>
  <si>
    <t>Citigroup/Salomon Smith Barney
UBS Warburg
ING
Credit Lyonnais Securities USA
Daiwa Securities SMBC Co Ltd
Lehman Brothers Asia
Citigroup/Salomon Smith Barney</t>
  </si>
  <si>
    <t>CITIGROUP-SSB/UBS-WARBURG/ING(JOINT)
//CL-SEC-USA/DAIWA-SMBC/LEH-ASIA
//CITIGROUP-SSB(GC)</t>
  </si>
  <si>
    <t>CITIGROUP-SSB/UBS-WARBURG/ING</t>
  </si>
  <si>
    <t>CITIGROUP-SSB
/UBS-WARBURG
/ING(JOINT)
CL-SEC-USA
DAIWA-SMBC
LEH-ASIA</t>
  </si>
  <si>
    <t>Citigroup/Salomon Smith Barney
UBS Warburg
ING
Credit Lyonnais Securities USA
Daiwa Securities SMBC Co Ltd
Lehman Brothers Asia</t>
  </si>
  <si>
    <t>Eon Labs Inc</t>
  </si>
  <si>
    <t>ELAB</t>
  </si>
  <si>
    <t>29412E100</t>
  </si>
  <si>
    <t>Credit Suisse First Boston
Goldman Sachs &amp; Co
CIBC World Markets Inc
Banc of America Securities LLC
Legg Mason Wood Walker
Raymond James &amp; Associates Inc
Advest Inc
AG Edwards &amp; Sons Inc
Dresdner Kleinwort Wasserstein
Fahnestock &amp; Co
Invemed Associates Inc
Janney Montgomery Scott Inc
Leerink Swann &amp; Co
Prudential Securities Inc
Sanders Morris Harris Inc
SG Cowen Securities Corp
Stephens Inc
Stifel Nicolaus &amp; Co Inc
Credit Suisse First Boston</t>
  </si>
  <si>
    <t>CS-FB-CS/GS(JOINT)//CIBC-WORLD
/BA-SEC-LLC//LEGG-MASON-WW/RAYMOND
/ADVEST/A-G-EDWARDS/DRES-KLEIN-WASS
/FAHNESTOCK/INVEMED/JANNEY
/LEERINK-SWANN/PSI/SANDERS-HARRIS
/SG-COWEN/STEPHENS/STIFEL//CS-FB-CS(GC)</t>
  </si>
  <si>
    <t>CS-FB-CS
/GS(JOINT)
CIBC-WORLD
BA-SEC-LLC</t>
  </si>
  <si>
    <t>Credit Suisse First Boston Corp
Goldman Sachs &amp; Co
CIBC World Markets Inc
Banc of America Securities LLC</t>
  </si>
  <si>
    <t>Credit Suisse First Boston
Goldman Sachs &amp; Co
Banc of America Securities LLC
CIBC World Markets Inc
Advest Inc
AG Edwards &amp; Sons Inc
Dresdner Kleinwort Wasserstein
Fahnestock &amp; Co
Invemed Associates Inc
Janney Montgomery Scott Inc
Leerink Swann &amp; Co
Legg Mason Wood Walker
Prudential Securities Inc
Raymond James &amp; Associates Inc
SG Cowen Securities Corp
Stephens Inc
Stifel Nicolaus &amp; Co Inc
Credit Suisse First Boston</t>
  </si>
  <si>
    <t>CS-FB-CS/GS(JOINT)//BA-SEC-LLC
/CIBC-WORLD/ADVEST/A-G-EDWARDS
/DRES-KLEIN-WASS/FAHNESTOCK/INVEMED
/JANNEY/LEERINK-SWANN/LEGG-MASON-WW/PSI
/RAYMOND/SG-COWEN/STEPHENS/STIFEL
//CS-FB-CS(GC)</t>
  </si>
  <si>
    <t>CS-FB-CS
/GS(JOINT)</t>
  </si>
  <si>
    <t>Credit Suisse First Boston Corp
Goldman Sachs &amp; Co</t>
  </si>
  <si>
    <t>SRA International Inc</t>
  </si>
  <si>
    <t>SRX</t>
  </si>
  <si>
    <t>78464R105</t>
  </si>
  <si>
    <t>Citigroup/Salomon Smith Barney
UBS Warburg
Legg Mason &amp; Co Inc
Raymond James &amp; Associates Inc
Adams Harkness &amp; Hill Inc
BB&amp;T Capital Markets
Friedman Billings Ramsey Group</t>
  </si>
  <si>
    <t>CITIGROUP-SSB/UBS-WARBURG(JOINT)
//LEGG-MASON/RAYMOND/ADAMS-HARKNESS
/BB-T-CAP//FRIEDMAN-B</t>
  </si>
  <si>
    <t>CITIGROUP-SSB
/UBS-WARBURG(JOINT)
LEGG-MASON
RAYMOND
ADAMS-HARKNESS
BB-T-CAP</t>
  </si>
  <si>
    <t>Citigroup/Salomon Smith Barney
UBS Warburg
Legg Mason &amp; Co Inc
Raymond James &amp; Associates Inc
Adams Harkness &amp; Hill Inc
BB&amp;T Capital Markets</t>
  </si>
  <si>
    <t>AIM Select Real Estate Income</t>
  </si>
  <si>
    <t>RRE</t>
  </si>
  <si>
    <t>00888R107</t>
  </si>
  <si>
    <t>Citigroup/Salomon Smith Barney
AG Edwards &amp; Sons Inc
Prudential Securities Inc
CIBC World Markets Inc
Raymond James &amp; Associates Inc
Wachovia Bank NA
Wells Fargo Bank NA
Advest Inc
H&amp;R Block Financial Advisors
Deutsche Bank Securities Corp
Legg Mason Wood Walker
Merrill Lynch
Quick &amp; Reilly Inc
RBC Dain Rauscher Corp
UBS Warburg
US Bancorp Piper Jaffray
Robert W Baird &amp; Co Inc
Crowell Weedon &amp; Co
DA Davidson &amp; Co Inc
Fahnestock &amp; Co
Ferris Baker Watts
JJB Hilliard WL Lyons Inc
Janney Montgomery Scott Inc
McDonald Investments
Morgan Keegan Inc
Parker-Hunter Inc
Ryan Beck &amp; Co
Stifel Nicolaus &amp; Co Inc
Wedbush Securities
Hennion &amp; Walsh, Inc
Investec PMG Capital Corp
Mesirow Financial Corp
M. L. Stern
TD Waterhouse Securities</t>
  </si>
  <si>
    <t>CITIGROUP-SSB//A-G-EDWARDS/PSI
/CIBC-WORLD/RAYMOND/WACHOVIA
/WELLS-FARGO/ADVEST//HR-BLOCK-FIN
/DEUTSCHE-BK-SEC/LEGG-MASON-WW/MERRILL
/Q&amp;R/RBC-DAIN/UBS-WARBURG/US-PIPER
/BAIRD/CROWELL/DAVIDSON/FAHNESTOCK
/FERRIS-BAKER/HILLIARD/JANNEY/MCDONALD
/MORGAN-KEEGAN/PARKER-HUNTER/RYAN-BECK
/STIFEL/WEDBUSH-M/HENNION-WALSH
/INVESTEC-PMG/MESIROW-FIN/M-L-STERN
/TDWS</t>
  </si>
  <si>
    <t>CITIGROUP-SSB
A-G-EDWARDS
PSI
CIBC-WORLD
RAYMOND
WACHOVIA
WELLS-FARGO
ADVEST</t>
  </si>
  <si>
    <t>Citigroup/Salomon Smith Barney
AG Edwards &amp; Sons Inc
Prudential Securities Inc
CIBC World Markets Inc
Raymond James &amp; Associates Inc
Wachovia Bank NA
Wells Fargo Bank NA
Advest Inc</t>
  </si>
  <si>
    <t>Overstock.com Inc</t>
  </si>
  <si>
    <t>OSTK</t>
  </si>
  <si>
    <t>WR Hambrecht &amp; Co LLC
Cantor Fitzgerald Inc</t>
  </si>
  <si>
    <t>W-R-HAMBRECHT//CANTOR</t>
  </si>
  <si>
    <t>W-R-HAMBRECHT
CANTOR</t>
  </si>
  <si>
    <t>Plumtree Software Inc</t>
  </si>
  <si>
    <t>PLUM</t>
  </si>
  <si>
    <t>72940Q104</t>
  </si>
  <si>
    <t>Goldman Sachs &amp; Co
JP Morgan
RBC Capital Markets
Robert W Baird &amp; Co Inc
CIBC World Markets Inc
First Albany
Gerard Klauer Mattison &amp; Co
McDonald Investments
Needham &amp; Co LLC
US Bancorp Piper Jaffray
WR Hambrecht &amp; Co LLC</t>
  </si>
  <si>
    <t>GS//JPM/RBC-CAP-MKTS//BAIRD/CIBC-WORLD
/FIRST-ALBANY/GERARD-KLAUER/MCDONALD
/NEEDHAM/US-PIPER/W-R-HAMBRECHT</t>
  </si>
  <si>
    <t>GS
JPM
RBC-CAP-MKTS</t>
  </si>
  <si>
    <t>Goldman Sachs &amp; Co
JP Morgan &amp; Co Inc
RBC Capital Markets</t>
  </si>
  <si>
    <t>Veridian Corp</t>
  </si>
  <si>
    <t>VNX</t>
  </si>
  <si>
    <t>92342R203</t>
  </si>
  <si>
    <t>Credit Suisse First Boston
Wachovia Securities Inc
CIBC World Markets Inc
SG Cowen Securities Corp
Advest Inc
Raymond James &amp; Associates Inc
Sandler O'Neill Partners
Prudential Securities Inc
US Bancorp Piper Jaffray
BB&amp;T Capital Markets
Invemed Associates Inc
Investec Ernst &amp; Co- Investec
Legg Mason Wood Walker
RBC Dain Rauscher Corp
SunTrust Capital Markets
Credit Suisse First Boston</t>
  </si>
  <si>
    <t>CS-FB-CS//WACHOVIA-SEC/CIBC-WORLD
/SG-COWEN//ADVEST/RAYMOND
/SANDLER-ONEILL/PSI/US-PIPER/BB-T-CAP
/INVEMED/INVESTEC-INC/LEGG-MASON-WW
/RBC-DAIN/SUNTRUST-CAP//CS-FB-CS(GC)</t>
  </si>
  <si>
    <t>CS-FB-CS
WACHOVIA-SEC
CIBC-WORLD
SG-COWEN</t>
  </si>
  <si>
    <t>Credit Suisse First Boston Corp
Wachovia Securities Inc
CIBC World Markets Inc
SG Cowen Securities Corp</t>
  </si>
  <si>
    <t>Credit Suisse First Boston
Wachovia Securities Inc
CIBC World Markets Inc
SG Cowen Securities Corp
Raymond James &amp; Associates Inc
Advest Inc
Sandler O'Neill Partners
BB&amp;T Capital Markets
US Bancorp Piper Jaffray
Invemed Associates Inc
Investec Ernst &amp; Co- Investec
Legg Mason Wood Walker
Prudential Securities Inc
RBC Dain Rauscher Corp
SunTrust Capital Markets
Credit Suisse First Boston</t>
  </si>
  <si>
    <t>CS-FB-CS//WACHOVIA-SEC/CIBC-WORLD
/SG-COWEN/RAYMOND/ADVEST/SANDLER-ONEILL
/BB-T-CAP/US-PIPER/INVEMED/INVESTEC-INC
/LEGG-MASON-WW/PSI/RBC-DAIN
/SUNTRUST-CAP//CS-FB-CS(GC)</t>
  </si>
  <si>
    <t>Thomson Corp</t>
  </si>
  <si>
    <t>TOC</t>
  </si>
  <si>
    <t>Merrill Lynch
Morgan Stanley
RBC Dain Rauscher Corp
Bear Stearns &amp; Co Inc
Credit Suisse First Boston
Goldman Sachs &amp; Co
TD Securities Inc
UBS Warburg
Banc of America Securities LLC
Barclays Bank PLC
Blaylock &amp; Partners LP
BMO Nesbitt Burns Inc
Cazenove Inc
CIBC World Markets Inc
Deutsche Bank Securities Corp
First Union Securities Inc
JP Morgan
Lehman Brothers
Robertson Stephens &amp; Co
Salomon Smith Barney
Scotia Capital (USA) Inc.
ThinkEquity Partners
Merrill Lynch
Morgan Stanley</t>
  </si>
  <si>
    <t>09/09/02
09/09/02
09/09/02</t>
  </si>
  <si>
    <t xml:space="preserve">
</t>
  </si>
  <si>
    <t>90
90
90</t>
  </si>
  <si>
    <t>MERRILL(JB)/MORGAN-STANLEY(JB)
//RBC-DAIN/BEAR/CS-FB-CS/GS
/TD-SECURITIES/UBS-WARBURG//BA-SEC-LLC
/BARCLAY-BK/BLAYLOCK-PTRNS/BMO-NES-INC
/CAZENOVE-INC/CIBC-WORLD
/DEUTSCHE-BK-SEC/FIRST-UNION-SEC/JPM
/LEH/ROBERTSON-S/SALOMON-SMITH
/SCOTIA-CAP/THINK//MERRILL(GC)
/MORGAN-STANLEY(GC)</t>
  </si>
  <si>
    <t>MERRILL
(JB)/MORGAN-STANLEY(JB)
RBC-DAIN
BEAR
CS-FB-CS
GS
TD-SECURITIES
UBS-WARBURG</t>
  </si>
  <si>
    <t>Merrill Lynch &amp; Co Inc
Morgan Stanley
RBC Dain Rauscher Corp
Bear Stearns &amp; Co Inc
Credit Suisse First Boston Corp
Goldman Sachs &amp; Co
TD Securities Inc
UBS Warburg</t>
  </si>
  <si>
    <t>Merrill Lynch
Morgan Stanley
RBC Capital Markets
Bear Stearns &amp; Co Inc
Credit Suisse First Boston
Goldman Sachs &amp; Co
TD Securities Inc
UBS Warburg
Banc of America Securities LLC
Barclays Bank PLC
Blaylock &amp; Partners LP
BMO Nesbitt Burns Inc
Cazenove Inc
CIBC World Markets Inc
Deutsche Banc Alex Brown
First Union Securities Inc
JP Morgan Securities Inc
Lehman Brothers
Robertson Stephens &amp; Co
Salomon Smith Barney
Scotia Capital (USA) Inc.
ThinkEquity Partners
Merrill Lynch
Morgan Stanley</t>
  </si>
  <si>
    <t>MERRILL(JB)/MORGAN-STANLEY(JB)
//RBC-CAP-MKTS/BEAR/CS-FB-CS/GS
/TD-SECURITIES/UBS-WARBURG/BA-SEC-LLC
/BARCLAY-BK/BLAYLOCK-PTRNS/BMO-NES-INC
/CAZENOVE-INC/CIBC-WORLD
/DEUTSCHE-ALEX-B/FIRST-UNION-SEC
/J-P-MORGAN/LEH/ROBERTSON-S
/SALOMON-SMITH/SCOTIA-CAP/THINK
//MERRILL(GC)/MORGAN-STANLEY(GC)</t>
  </si>
  <si>
    <t>MERRILL
(JB)/MORGAN-STANLEY(JB)</t>
  </si>
  <si>
    <t>Merrill Lynch &amp; Co Inc
Morgan Stanley</t>
  </si>
  <si>
    <t>Pacer International Inc</t>
  </si>
  <si>
    <t>PACR</t>
  </si>
  <si>
    <t>CS-FB-CS/BEAR(JB)</t>
  </si>
  <si>
    <t>69373H106</t>
  </si>
  <si>
    <t>Credit Suisse First Boston
Bear Stearns &amp; Co Inc
Deutsche Bank Securities Corp
JP Morgan
UBS Warburg LLC
BB&amp;T Capital Markets
Chatsworth Securities LLC
CIBC World Markets Inc
Credit Lyonnais Securities USA
AG Edwards &amp; Sons Inc
Ladenburg Thalmann &amp; Co
Lazard Freres &amp; Co LLC
Legg Mason Wood Walker
Morgan Keegan Inc
Prudential Securities Inc
Raymond James &amp; Associates Inc
Stephens Inc
US Bancorp Piper Jaffray
Inverned Associates</t>
  </si>
  <si>
    <t>CS-FB-CS(JB)/BEAR(JB)//DEUTSCHE-BK-SEC
/JPM/UBS-WARBURG-LLC/BB-T-CAP
//CHATSWORTH/CIBC-WORLD/CL-SEC-USA
/A-G-EDWARDS/LADENBURG/LAZ
/LEGG-MASON-WW/MORGAN-KEEGAN/PSI
/RAYMOND/STEPHENS/US-PIPER
/INVERNED-ASSOC</t>
  </si>
  <si>
    <t>CS-FB-CS/BEAR</t>
  </si>
  <si>
    <t>CS-FB-CS
(JB)/BEAR(JB)
DEUTSCHE-BK-SEC
JPM
UBS-WARBURG-LLC
BB-T-CAP</t>
  </si>
  <si>
    <t>Credit Suisse First Boston Corp
Bear Stearns &amp; Co Inc
Deutsche Bank Securities Corp.
JP Morgan &amp; Co Inc
UBS Warburg LLC
BB&amp;T Capital Markets</t>
  </si>
  <si>
    <t>Hub International Ltd</t>
  </si>
  <si>
    <t>HBG</t>
  </si>
  <si>
    <t>44332P101</t>
  </si>
  <si>
    <t>JP Morgan
Cochran, Caronia &amp; Co.
Stephens Inc
BMO Nesbitt Thomson Ltd
Ferris Baker Watts
Keefe Bruyette &amp; Woods Inc
Neuberger Berman Inc
Legg Mason Wood Walker</t>
  </si>
  <si>
    <t>JPM//COCHRAN-CARONIA/STEPHENS
/BMO-NESBITT/FERRIS-BAKER//KEEFE
/NEUBERGER/LEGG-MASON-WW</t>
  </si>
  <si>
    <t>JPM
COCHRAN-CARONIA
STEPHENS
BMO-NESBITT
FERRIS-BAKER</t>
  </si>
  <si>
    <t>JP Morgan &amp; Co Inc
Cochran, Caronia &amp; Co.
Stephens Inc
BMO Nesbitt Thomson Ltd
Ferris Baker Watts Inc</t>
  </si>
  <si>
    <t>Printcafe Software Inc</t>
  </si>
  <si>
    <t>PCAF</t>
  </si>
  <si>
    <t>UBS Warburg
Fleet Boston Corp
US Bancorp Piper Jaffray
McDonald Investments
Parker-Hunter Inc</t>
  </si>
  <si>
    <t>UBS-WARBURG//FLEET-BOSTON/US-PIPER
/MCDONALD//PARKER-HUNTER</t>
  </si>
  <si>
    <t>UBS-WARBURG
FLEET-BOSTON
US-PIPER
MCDONALD</t>
  </si>
  <si>
    <t>UBS Warburg
Fleet Boston Corp,Boston,Massachusetts
US Bancorp Piper Jaffray Inc
McDonald Investments Inc</t>
  </si>
  <si>
    <t>CTI Molecular Imaging Inc</t>
  </si>
  <si>
    <t>CTMI</t>
  </si>
  <si>
    <t>22943D105</t>
  </si>
  <si>
    <t>Credit Suisse First Boston
US Bancorp Piper Jaffray
Bear Stearns &amp; Co Inc
Banc of America Securities LLC
Wachovia Bank NA
SunTrust Banks
Adams Harkness &amp; Hill Inc
CIBC World Markets Inc
Deutsche Bank
Fidelity Capital Markets
Invemed Associates Inc
RBC Dain Rauscher Corp
SG Cowen Securities Corp
SunTrust Capital Markets
Thomas Weisel Partners
Credit Suisse First Boston</t>
  </si>
  <si>
    <t>CS-FB-CS//US-PIPER/BEAR/BA-SEC-LLC
/WACHOVIA/SUNTRUST-BK//ADAMS-HARKNESS
/CIBC-WORLD/DEUTSCHE-BANK/FIDELITY-CAP
/INVEMED/RBC-DAIN/SG-COWEN/SUNTRUST-CAP
/THOMAS-WEISEL//CS-FB-CS(GC)</t>
  </si>
  <si>
    <t>CS-FB-CS
US-PIPER
BEAR
BA-SEC-LLC
WACHOVIA
SUNTRUST-BK</t>
  </si>
  <si>
    <t>Credit Suisse First Boston Corp
US Bancorp Piper Jaffray Inc
Bear Stearns &amp; Co Inc
Banc of America Securities LLC
Wachovia Bank NA
SunTrust Banks Inc,Atlanta,Georgia</t>
  </si>
  <si>
    <t>Credit Suisse First Boston
US Bancorp Piper Jaffray
Bear Stearns &amp; Co Inc
Banc of America Securities LLC
Wachovia Bank NA
SunTrust Banks
Credit Suisse First Boston</t>
  </si>
  <si>
    <t>CS-FB-CS//US-PIPER/BEAR/BA-SEC-LLC
/WACHOVIA/SUNTRUST-BK//CS-FB-CS(GC)</t>
  </si>
  <si>
    <t>BioDelivery Sciences Intl Inc</t>
  </si>
  <si>
    <t>BDSI</t>
  </si>
  <si>
    <t>09060J205</t>
  </si>
  <si>
    <t>Kashner Davidson Securities
Roanoke Association Securities
Investors Capital Corp
STERLING FINANCIAL INVESTMENT
Schneider Securities, Inc.</t>
  </si>
  <si>
    <t>KASHNER//ROANOKE//INVEST-CAPITAL
/STERLING-FIN-I/SCHNEIDER</t>
  </si>
  <si>
    <t>KASHNER
ROANOKE</t>
  </si>
  <si>
    <t>Kashner Davidson Securities Corporation
Roanoke Association Securities Company</t>
  </si>
  <si>
    <t>Big 5 Sporting Goods</t>
  </si>
  <si>
    <t>BGFV</t>
  </si>
  <si>
    <t>08915P101</t>
  </si>
  <si>
    <t>Credit Suisse First Boston
US Bancorp Piper Jaffray
Jefferies &amp; Co Inc
Stephens Inc
AG Edwards &amp; Sons Inc
Invemed Associates Inc
Prudential Securities Inc
RBC Dain Rauscher Corp
DA Davidson &amp; Co Inc
Investec Ernst &amp; Co- Investec
Janney Montgomery Scott Inc
McDonald Investments
Wedbush, Noble, Cooke
Fahnestock &amp; Co
Credit Suisse First Boston</t>
  </si>
  <si>
    <t>CS-FB-CS//US-PIPER/JEFFERIES/STEPHENS
//A-G-EDWARDS/INVEMED/PSI/RBC-DAIN
/DAVIDSON/INVESTEC-INC/JANNEY/MCDONALD
/WEDBUSH/FAHNESTOCK//CS-FB-CS(GC)</t>
  </si>
  <si>
    <t>CS-FB-CS
US-PIPER
JEFFERIES
STEPHENS</t>
  </si>
  <si>
    <t>Credit Suisse First Boston Corp
US Bancorp Piper Jaffray Inc
Jefferies &amp; Co Inc
Stephens Inc</t>
  </si>
  <si>
    <t>CS-FB-CS//US-PIPER/JEFFERIES/STEPHENS
/A-G-EDWARDS/INVEMED/PSI/RBC-DAIN
/DAVIDSON/INVESTEC-INC/JANNEY/MCDONALD
/WEDBUSH/FAHNESTOCK//CS-FB-CS(GC)</t>
  </si>
  <si>
    <t>Calamos Cvt Opp &amp; Income Fund</t>
  </si>
  <si>
    <t>CHI</t>
  </si>
  <si>
    <t>Merrill Lynch
UBS Warburg
Legg Mason Wood Walker
RBC Capital Markets
Wachovia Bank NA
Advest Inc
Janney Montgomery Scott Inc
McDonald Investments
Stephens Inc
TD Waterhouse Securities
Wedbush Securities
CIBC World Markets Inc
Deutsche Bank Securities Corp
Prudential Securities Inc
US Bancorp Piper Jaffray
Wells Fargo Bank NA
Allen &amp; Co Inc
Robert W Baird &amp; Co Inc
William Blair &amp; Co
Brean Murray &amp; Co Inc
BB&amp;T Capital Markets
Crowell Weedon &amp; Co
DA Davidson &amp; Co Inc
Ferris Baker Watts
First Southwest
Johnston Lemon &amp; Co Inc
Leerink Swann &amp; Co
Morgan Keegan Inc
Natcity Investments Inc.
Stifel Nicolaus &amp; Co Inc</t>
  </si>
  <si>
    <t>MERRILL//UBS-WARBURG/LEGG-MASON-WW
/RBC-CAP-MKTS/WACHOVIA/ADVEST/JANNEY
/MCDONALD/STEPHENS/TDWS/WEDBUSH-M
//CIBC-WORLD/DEUTSCHE-BK-SEC/PSI
/US-PIPER/WELLS-FARGO/ALLEN/BAIRD
/WM-BLAIR/BREAN/BB-T-CAP/CROWELL
/DAVIDSON/FERRIS-BAKER/FIRST-SW
/JOHNSTON-LEMON/LEERINK-SWANN
/MORGAN-KEEGAN/NATCITY-INVEST/STIFEL</t>
  </si>
  <si>
    <t>MERRILL
UBS-WARBURG
LEGG-MASON-WW
RBC-CAP-MKTS
WACHOVIA
ADVEST
JANNEY
MCDONALD
STEPHENS
TDWS
WEDBUSH-M</t>
  </si>
  <si>
    <t>Merrill Lynch &amp; Co Inc
UBS Warburg
Legg Mason Wood Walker Inc
RBC Capital Markets
Wachovia Bank NA
Advest Inc
Janney Montgomery Scott Inc
McDonald Investments Inc
Stephens Inc
TD Waterhouse Securities
Wedbush Securities</t>
  </si>
  <si>
    <t>Nuveen Quality Pref Inc Fund</t>
  </si>
  <si>
    <t>JTP</t>
  </si>
  <si>
    <t>67071S101</t>
  </si>
  <si>
    <t>Citigroup/Salomon Smith Barney
John Nuveen Co
AG Edwards &amp; Sons Inc
Prudential Securities Inc
Advest Inc
Fahnestock &amp; Co
Ferris Baker Watts
Wachovia Bank NA
H&amp;R Block Financial Advisors
Legg Mason Wood Walker
McDonald Investments
Raymond James &amp; Associates Inc
Wells Fargo Bank NA
CIBC World Markets Inc
RBC Capital Markets
Deutsche Bank Securities Corp
Quick &amp; Reilly Group, Inc.
US Bancorp Piper Jaffray
Robert W Baird &amp; Co Inc
BB&amp;T Capital Markets
Crowell Weedon &amp; Co
Davenport
DA Davidson &amp; Co Inc
Janney Montgomery Scott Inc
Johnston Lemon &amp; Co Inc
Parker-Hunter Inc
Ryan Beck &amp; Co
Stephens Inc
Stifel Nicolaus &amp; Co Inc
SunTrust Capital Markets
Wedbush Securities
JJB Hilliard WL Lyons Inc
Howe Barnes Investments Inc
Wayne Hummer &amp; Co
LaSalle Street Securities Inc
Mesirow Financial Corp
David A. Noyes
Sands Brothers &amp; Co Ltd
Charles Schwab &amp; Co Inc
M. L. Stern
Sterne Agee &amp; Leach Inc
Southwest Securities Inc
TD Waterhouse Securities</t>
  </si>
  <si>
    <t>CITIGROUP-SSB(JB)/NUVEEN(JB)
//A-G-EDWARDS/PSI/ADVEST/FAHNESTOCK
/FERRIS-BAKER/WACHOVIA/HR-BLOCK-FIN
/LEGG-MASON-WW/MCDONALD/RAYMOND
/WELLS-FARGO/CIBC-WORLD/RBC-CAP-MKTS
/DEUTSCHE-BK-SEC/QUICK-REILLY/US-PIPER
//BAIRD/BB-T-CAP/CROWELL/DAVENPORT
/DAVIDSON/JANNEY/JOHNSTON-LEMON
/PARKER-HUNTER/RYAN-BECK/STEPHENS
/STIFEL/SUNTRUST-CAP/WEDBUSH-M/HILLIARD
/HOWE-BARNES/HUMMER/LASALLE-SEC
/MESIROW-FIN/D-A-NOYES/SANDS
/CHARLES-SCHWAB/M-L-STERN/STERNE-AGEE
/SWS-SEC/TDWS</t>
  </si>
  <si>
    <t>CITIGROUP-SSB
(JB)/NUVEEN(JB)
A-G-EDWARDS
PSI
ADVEST
FAHNESTOCK
FERRIS-BAKER
WACHOVIA
HR-BLOCK-FIN
LEGG-MASON-WW
MCDONALD
RAYMOND
WELLS-FARGO
CIBC-WORLD
RBC-CAP-MKTS
DEUTSCHE-BK-SEC
QUICK-REILLY
US-PIPER</t>
  </si>
  <si>
    <t>Citigroup/Salomon Smith Barney
John Nuveen Co
AG Edwards &amp; Sons Inc
Prudential Securities Inc
Advest Inc
Fahnestock &amp; Co
Ferris Baker Watts Inc
Wachovia Bank NA
H&amp;R Block Financial Advisors
Legg Mason Wood Walker Inc
McDonald Investments Inc
Raymond James &amp; Associates Inc
Wells Fargo Bank NA
CIBC World Markets Inc
RBC Capital Markets
Deutsche Bank Securities Corp.
Quick &amp; Reilly Group, Inc.
US Bancorp Piper Jaffray Inc</t>
  </si>
  <si>
    <t>Hewitt Associates LLC</t>
  </si>
  <si>
    <t>HEW</t>
  </si>
  <si>
    <t>42822Q100</t>
  </si>
  <si>
    <t>Goldman Sachs &amp; Co
Banc of America Securities LLC
JP Morgan
Citigroup/Salomon Smith Barney
UBS Warburg
Wachovia Bank NA
Robert W Baird &amp; Co Inc
Bear Stearns &amp; Co Inc
William Blair &amp; Co
AG Edwards &amp; Sons Inc
Epoch Capital Corp
Legg Mason Wood Walker
Prudential Securities Inc
SG Cowen Securities Corp</t>
  </si>
  <si>
    <t>GS//BA-SEC-LLC/JPM/CITIGROUP-SSB
/UBS-WARBURG/WACHOVIA//BAIRD/BEAR
/WM-BLAIR/A-G-EDWARDS/EPOCH
/LEGG-MASON-WW/PSI/SG-COWEN</t>
  </si>
  <si>
    <t>GS
BA-SEC-LLC
JPM
CITIGROUP-SSB
UBS-WARBURG
WACHOVIA</t>
  </si>
  <si>
    <t>Goldman Sachs &amp; Co
Banc of America Securities LLC
JP Morgan &amp; Co Inc
Citigroup/Salomon Smith Barney
UBS Warburg
Wachovia Bank NA</t>
  </si>
  <si>
    <t>PIMCO California Municipal Inc</t>
  </si>
  <si>
    <t>PCK</t>
  </si>
  <si>
    <t>72200M108</t>
  </si>
  <si>
    <t>UBS Warburg
Merrill Lynch
AG Edwards &amp; Sons Inc
Prudential Securities Inc
Quick &amp; Reilly Inc
Raymond James &amp; Associates Inc
RBC Capital Markets
Wachovia Bank NA
Wells Fargo Bank NA
Crowell Weedon &amp; Co
Banc of America Securities LLC
CIBC World Markets Inc
Deutsche Bank
Lehman Brothers
US Bancorp Piper Jaffray
M. L. Stern
Stone &amp; Youngberg
Wedbush Securities
Advest Inc
H&amp;R Block Financial Advisors
Fahnestock &amp; Co
Sands Brothers &amp; Co Ltd
Santa Barbara Securities
Charles Schwab Corp
Seidler Corp
SunAmerica Inc
Spelman &amp; Co.
TD Waterhouse Securities</t>
  </si>
  <si>
    <t>UBS-WARBURG//MERRILL/A-G-EDWARDS/PSI
/Q&amp;R/RAYMOND/RBC-CAP-MKTS/WACHOVIA
/WELLS-FARGO/CROWELL//BA-SEC-LLC
/CIBC-WORLD/DEUTSCHE-BANK/LEH/US-PIPER
/M-L-STERN/STONE-YOUNG/WEDBUSH-M/ADVEST
/HR-BLOCK-FIN/FAHNESTOCK/SANDS
/SANTA-BARBARA/CSC/SEIDLER-COS/SUNAC
/SPELMAN/TDWS</t>
  </si>
  <si>
    <t>UBS-WARBURG
MERRILL
A-G-EDWARDS
PSI
Q&amp;R
RAYMOND
RBC-CAP-MKTS
WACHOVIA
WELLS-FARGO
CROWELL</t>
  </si>
  <si>
    <t>UBS Warburg
Merrill Lynch &amp; Co Inc
AG Edwards &amp; Sons Inc
Prudential Securities Inc
Quick &amp; Reilly Inc
Raymond James &amp; Associates Inc
RBC Capital Markets
Wachovia Bank NA
Wells Fargo Bank NA
Crowell Weedon &amp; Co</t>
  </si>
  <si>
    <t>PIMCO Municipal Income Fund II</t>
  </si>
  <si>
    <t>PML</t>
  </si>
  <si>
    <t>72200W106</t>
  </si>
  <si>
    <t>UBS Warburg
Merrill Lynch
AG Edwards &amp; Sons Inc
Prudential Securities Inc
Quick &amp; Reilly Inc
Raymond James &amp; Associates Inc
RBC Capital Markets
Wachovia Bank NA
Wells Fargo Bank NA
Fahnestock &amp; Co
McDonald Investments
Banc of America Securities LLC
H&amp;R Block Financial Advisors
CIBC World Markets Inc
Deutsche Bank
Lehman Brothers
US Bancorp Piper Jaffray
Advest Inc
Robert W Baird &amp; Co Inc
BB&amp;T Capital Markets
William Blair &amp; Co
Crowell Weedon &amp; Co
DA Davidson &amp; Co Inc
Ferris Baker Watts
Gerard Klauer Mattison &amp; Co
Janney Montgomery Scott Inc
Johnston Lemon &amp; Co Inc
Ladenburg Thalmann &amp; Co
Morgan Keegan Inc
Parker-Hunter Inc
Ryan Beck &amp; Co
Charles Schwab &amp; Co Inc
Stephens Inc
M. L. Stern
Stifel Nicolaus &amp; Co Inc
Stone &amp; Youngberg
SunTrust Capital Markets
TD Waterhouse Securities
Unterburg, Towbin Co
Wedbush Securities
Allen &amp; Company of Florida
City Securities
Davenport
First Southwest
Gilford Securities
J. B. Hanauer
Howe Barnes Investments Inc
Wayne Hummer &amp; Co
Mesirow
Natcity Investments Inc.
Noris Bank
David A. Noyes
Paulson Investment Co
Peacock Hislop Staley &amp; Given
Redwine &amp; Company Inc
Sands Brothers &amp; Co Ltd
Smith, Moore
SouthTrust Securities
Southwest Securities Inc
Sterne Agee &amp; Leach Inc
HC Wainwright &amp; Co Inc</t>
  </si>
  <si>
    <t>UBS-WARBURG/MERRILL(JOINT)//A-G-EDWARDS
/PSI/Q&amp;R/RAYMOND/RBC-CAP-MKTS/WACHOVIA
/WELLS-FARGO/FAHNESTOCK/MCDONALD
//BA-SEC-LLC/HR-BLOCK-FIN/CIBC-WORLD
/DEUTSCHE-BANK/LEH/US-PIPER/ADVEST
/BAIRD/BB-T-CAP/WM-BLAIR/CROWELL
/DAVIDSON/FERRIS-BAKER/GERARD-KLAUER
/JANNEY/JOHNSTON-LEMON/LADENBURG
/MORGAN-KEEGAN/PARKER-HUNTER/RYAN-BECK
/CHARLES-SCHWAB/STEPHENS/M-L-STERN
/STIFEL/STONE-YOUNG/SUNTRUST-CAP/TDWS
/UNTERBURG/WEDBUSH-M/ALLEN-FL/CITY-SEC
/DAVENPORT/FIRST-SW/GILFORD/J-B-HANAUER
/HOWE-BARNES/HUMMER/MESIROW
/NATCITY-INVEST/NORISB/D-A-NOYES
/PAULSON/PEACOCK-HISLOP/REDWINE-CO
/SANDS/SMITH-MOORE/SOUTHTRUST-SEC
/SWS-SEC/STERNE-AGEE/H-C-WAINWRIGHT</t>
  </si>
  <si>
    <t>UBS-WARBURG/MERRILL</t>
  </si>
  <si>
    <t>UBS-WARBURG
/MERRILL(JOINT)
A-G-EDWARDS
PSI
Q&amp;R
RAYMOND
RBC-CAP-MKTS
WACHOVIA
WELLS-FARGO
FAHNESTOCK
MCDONALD</t>
  </si>
  <si>
    <t>UBS Warburg
Merrill Lynch &amp; Co Inc
AG Edwards &amp; Sons Inc
Prudential Securities Inc
Quick &amp; Reilly Inc
Raymond James &amp; Associates Inc
RBC Capital Markets
Wachovia Bank NA
Wells Fargo Bank NA
Fahnestock &amp; Co
McDonald Investments Inc</t>
  </si>
  <si>
    <t>PIMCO New York Municipal</t>
  </si>
  <si>
    <t>PNI</t>
  </si>
  <si>
    <t>72200Y102</t>
  </si>
  <si>
    <t>UBS Warburg
Merrill Lynch
AG Edwards &amp; Sons Inc
Wachovia Bank NA
Prudential Securities Inc
Quick &amp; Reilly Inc
Raymond James &amp; Associates Inc
RBC Capital Markets
Advest Inc
Fahnestock &amp; Co
Banc of America Securities LLC
CIBC World Markets Inc
Deutsche Bank Securities Corp
Lehman Brothers
McDonald Investments
US Bancorp Piper Jaffray
Wells Fargo Bank NA
Robert W Baird &amp; Co Inc
H&amp;R Block Financial Advisors
Brean Murray &amp; Co Inc
First Albany
Ferris Baker Watts
Gerard Klauer Mattison &amp; Co
J. B. Hanauer
Janney Montgomery Scott Inc
Ryan Beck &amp; Co
Charles Schwab &amp; Co Inc
SunTrust Capital Markets
TD Waterhouse Securities
CE Unterberg Towbin
Bishop, Rosen &amp; Co
Gilford Securities
Jesup &amp; Lamont Securities
Hennion &amp; Walsh, Inc
Nutmeg Securities Ltd
Sanders Morris Harris Inc
Sands Brothers &amp; Co Ltd</t>
  </si>
  <si>
    <t>UBS-WARBURG/MERRILL(JOINT)//A-G-EDWARDS
/WACHOVIA/PSI/Q&amp;R/RAYMOND/RBC-CAP-MKTS
/ADVEST/FAHNESTOCK//BA-SEC-LLC
/CIBC-WORLD/DEUTSCHE-BK-SEC/LEH
/MCDONALD/US-PIPER/WELLS-FARGO/BAIRD
/HR-BLOCK-FIN/BREAN/FIRST-ALBANY
/FERRIS-BAKER/GERARD-KLAUER/J-B-HANAUER
/JANNEY/RYAN-BECK/CHARLES-SCHWAB
/SUNTRUST-CAP/TDWS/UNTERBERG
/BISHOP-ROSEN/GILFORD/JESUP
/HENNION-WALSH/NUTMEG-SEC
/SANDERS-HARRIS/SANDS</t>
  </si>
  <si>
    <t>UBS-WARBURG
/MERRILL(JOINT)
A-G-EDWARDS
WACHOVIA
PSI
Q&amp;R
RAYMOND
RBC-CAP-MKTS
ADVEST
FAHNESTOCK</t>
  </si>
  <si>
    <t>UBS Warburg
Merrill Lynch &amp; Co Inc
AG Edwards &amp; Sons Inc
Wachovia Bank NA
Prudential Securities Inc
Quick &amp; Reilly Inc
Raymond James &amp; Associates Inc
RBC Capital Markets
Advest Inc
Fahnestock &amp; Co</t>
  </si>
  <si>
    <t>Inveresk Research Group Inc</t>
  </si>
  <si>
    <t>IRGI</t>
  </si>
  <si>
    <t>BEAR/UBS-WARBURG(JB)</t>
  </si>
  <si>
    <t>Bear Stearns &amp; Co Inc
UBS Warburg
William Blair &amp; Co
SG Cowen Securities Corp
Banc of America Securities LLC
Merrill Lynch
Prudential Securities Inc
Thomas Weisel Partners
Chatsworth Securities LLC
Gerard Klauer Mattison &amp; Co
Investec PMG Capital Corp
Jefferies &amp; Co Inc
Ladenburg Thalmann &amp; Co
Leerink Swann &amp; Co
Raymond James &amp; Associates Inc
Redwine &amp; Company Inc</t>
  </si>
  <si>
    <t>BEAR(JB)/UBS-WARBURG(JB)//WM-BLAIR
/SG-COWEN//BA-SEC-LLC/MERRILL/PSI
/THOMAS-WEISEL/CHATSWORTH/GERARD-KLAUER
/INVESTEC-PMG/JEFFERIES/LADENBURG
/LEERINK-SWANN/RAYMOND/REDWINE-CO</t>
  </si>
  <si>
    <t>BEAR/UBS-WARBURG</t>
  </si>
  <si>
    <t>BEAR
(JB)/UBS-WARBURG(JB)
WM-BLAIR
SG-COWEN</t>
  </si>
  <si>
    <t>Bear Stearns &amp; Co Inc
UBS Warburg
William Blair &amp; Co
SG Cowen Securities Corp</t>
  </si>
  <si>
    <t>MTC Technologies Inc</t>
  </si>
  <si>
    <t>MTCT</t>
  </si>
  <si>
    <t>LEGG-MASON-WW</t>
  </si>
  <si>
    <t>55377A106</t>
  </si>
  <si>
    <t>Legg Mason Wood Walker
Raymond James &amp; Associates Inc
Quarterdeck Investment Partner
BB&amp;T Capital Markets
AG Edwards &amp; Sons Inc
Credit Lyonnais SA
RBC Dain Rauscher Corp
US Bancorp Piper Jaffray
Adams Harkness &amp; Hill Inc
Kaufman Brothers LP
McDonald Investments
SunTrust Capital Markets</t>
  </si>
  <si>
    <t>LEGG-MASON-WW//RAYMOND/QUARTERDECK
/BB-T-CAP//A-G-EDWARDS/CRED-LYONNAIS
/RBC-DAIN/US-PIPER/ADAMS-HARKNESS
/KAUFMAN-BROS/MCDONALD/SUNTRUST-CAP</t>
  </si>
  <si>
    <t>LEGG-MASON-WW
RAYMOND
QUARTERDECK
BB-T-CAP</t>
  </si>
  <si>
    <t>Legg Mason Wood Walker Inc
Raymond James &amp; Associates Inc
Quarterdeck Investment Partners Inc
BB&amp;T Capital Markets</t>
  </si>
  <si>
    <t>Montana Mills Bread Co Inc</t>
  </si>
  <si>
    <t>KIRLIN</t>
  </si>
  <si>
    <t>Kirlin Securities Inc.</t>
  </si>
  <si>
    <t>07/23/03
06/17/04</t>
  </si>
  <si>
    <t>18.966
55.203</t>
  </si>
  <si>
    <t>390
720</t>
  </si>
  <si>
    <t>1485110.00
4322579.00</t>
  </si>
  <si>
    <t>CIT Group Inc</t>
  </si>
  <si>
    <t>CIT</t>
  </si>
  <si>
    <t>GS/LEH(JB)</t>
  </si>
  <si>
    <t>Goldman Sachs &amp; Co
Lehman Brothers
JP Morgan
Banc of America Securities LLC
Credit Suisse First Boston
Citigroup/Salomon Smith Barney
Merrill Lynch
Bear Stearns &amp; Co Inc
CIBC World Markets Inc
Deutsche Bank Securities Corp
UBS Warburg
Wachovia Bank NA
Banca Intesa SpA
ABN AMRO Rothschild
BNP Paribas SA
Barclays Bank PLC
Commerzbank Capital Markets
RBC Dain Rauscher Corp
ING Barings
Mizuho Intl PLC
BNY Capital Markets Inc
BMO Nesbitt Burns Inc
Blaylock &amp; Partners LP
Credit Lyonnais Securities USA
Dresdner Kleinwort Wasserstein
Fleet Securities
SG Cowen Securities Corp
US Bancorp Piper Jaffray
Williams Capital Group LP
BOE Securities Inc
Buckingham Research Group
Legg Mason Wood Walker
Neuberger Berman Inc
Sandler O'Neill Partners
Scotia Capital Inc
TD Securities Inc
WestLB Panmure Ltd
Cantor Fitzgerald Inc
Keefe Bruyette &amp; Woods Inc
McDonald Investments
Samuel A. Ramirez &amp; Co.
Muriel Siebert &amp; Co
Sturdivant &amp; Co Inc
Utendahl Capital Partners</t>
  </si>
  <si>
    <t>TYC</t>
  </si>
  <si>
    <t>Tyco International Ltd</t>
  </si>
  <si>
    <t>GS(JB)/LEH(JB)//JPM/BA-SEC-LLC/CS-FB-CS
/CITIGROUP-SSB/MERRILL/BEAR/CIBC-WORLD
/DEUTSCHE-BK-SEC/UBS-WARBURG/WACHOVIA
//INTESA/ABN-ROTHSCHILD/BNP-PARIBAS
/BARCLAY-BK/COMMERZBANK-SEC/RBC-DAIN
/ING-BARINGS/MILTD/BNY-CAP/BMO-NES-INC
/BLAYLOCK-PTRNS/CL-SEC-USA
/DRES-KLEIN-WASS/FLEET-SEC/SG-COWEN
/US-PIPER/WILLIAMS-CAP/BOE-SEC
/BUCKINGHAM-RES/LEGG-MASON-WW/NEUBERGER
/SANDLER-ONEILL/SCOTIA-CAP-CA
/TD-SECURITIES/WESTLB-PAN/CANTOR/KEEFE
/MCDONALD/RAMIREZ/MURIEL/STURDIVANT
/UTENDAHL-CAP</t>
  </si>
  <si>
    <t>GS/LEH</t>
  </si>
  <si>
    <t>GS
(JB)/LEH(JB)
JPM
BA-SEC-LLC
CS-FB-CS
CITIGROUP-SSB
MERRILL
BEAR
CIBC-WORLD
DEUTSCHE-BK-SEC
UBS-WARBURG
WACHOVIA</t>
  </si>
  <si>
    <t>Goldman Sachs &amp; Co
Lehman Brothers
JP Morgan &amp; Co Inc
Banc of America Securities LLC
Credit Suisse First Boston Corp
Citigroup/Salomon Smith Barney
Merrill Lynch &amp; Co Inc
Bear Stearns &amp; Co Inc
CIBC World Markets Inc
Deutsche Bank Securities Corp.
UBS Warburg
Wachovia Bank NA</t>
  </si>
  <si>
    <t>Kirkland's Inc</t>
  </si>
  <si>
    <t>KIRK</t>
  </si>
  <si>
    <t>Merrill Lynch
Canadian Imperial Bk Commerce
SunTrust Robinson Humphrey
US Bancorp Piper Jaffray
Allen &amp; Co Inc
Banc of America Securities LLC
Bear Stearns &amp; Co Inc
William Blair &amp; Co
AG Edwards &amp; Sons Inc
UBS Warburg
Wachovia Securities Inc
Adams Harkness &amp; Hill Inc
Fahnestock &amp; Co
Gardner Rich &amp; Co
Raymond James &amp; Associates Inc
Stephens Inc
Wedbush Securities
Merrill Lynch</t>
  </si>
  <si>
    <t>MERRILL//CIBC/SUNTRUST-RH/US-PIPER
//ALLEN/BA-SEC-LLC/BEAR/WM-BLAIR
/A-G-EDWARDS/UBS-WARBURG/WACHOVIA-SEC
/ADAMS-HARKNESS/FAHNESTOCK/GARDNER-RICH
/RAYMOND/STEPHENS/WEDBUSH-M
//MERRILL(GC)</t>
  </si>
  <si>
    <t>MERRILL
CIBC
SUNTRUST-RH
US-PIPER</t>
  </si>
  <si>
    <t>Merrill Lynch &amp; Co Inc
Canadian Imperial Bank of Commerce
SunTrust Robinson Humphrey
US Bancorp Piper Jaffray Inc</t>
  </si>
  <si>
    <t>Merrill Lynch
Canadian Imperial Bk Commerce
SunTrust Robinson Humphrey
US Bancorp Piper Jaffray
Allen &amp; Co Inc
Bank of America
Bear Stearns &amp; Co Inc
William Blair &amp; Co
AG Edwards &amp; Sons Inc
UBS Warburg
Wachovia Securities Inc
Adams Harkness &amp; Hill Inc
Fahnestock &amp; Co
Gardner Rich &amp; Co
Raymond James &amp; Associates Inc
Stephens Inc
Wedbush Securities
Merrill Lynch</t>
  </si>
  <si>
    <t>MERRILL//CIBC/SUNTRUST-RH/US-PIPER
/ALLEN/BANK-OF-AMERICA/BEAR/WM-BLAIR
/A-G-EDWARDS/UBS-WARBURG/WACHOVIA-SEC
/ADAMS-HARKNESS/FAHNESTOCK/GARDNER-RICH
/RAYMOND/STEPHENS/WEDBUSH-M
//MERRILL(GC)</t>
  </si>
  <si>
    <t>Randgold Resources Ltd</t>
  </si>
  <si>
    <t>Jersey</t>
  </si>
  <si>
    <t>GOLD</t>
  </si>
  <si>
    <t>HONG-SHANG-BKG</t>
  </si>
  <si>
    <t>Hongkong &amp; Shanghai Bank (HK)
BMO Nesbitt Burns Inc
Hongkong &amp; Shanghai Bank (HK)</t>
  </si>
  <si>
    <t>HONG-SHANG-BKG//BMO-NES-INC
//HONG-SHANG-BKG(GC)</t>
  </si>
  <si>
    <t>HONG-SHANG-BKG
BMO-NES-INC</t>
  </si>
  <si>
    <t>Hongkong &amp; Shanghai Banking Corp Ltd
BMO Nesbitt Burns Inc</t>
  </si>
  <si>
    <t>HealtheTech Inc</t>
  </si>
  <si>
    <t>HETC</t>
  </si>
  <si>
    <t>UBS-WARBURG
/CS-FB-CS(JB)</t>
  </si>
  <si>
    <t>UBS Warburg
Credit Suisse First Boston
William Blair &amp; Co
Stifel Nicolaus &amp; Co Inc
AG Edwards &amp; Sons Inc
Inverned Associates
Prudential Securities Inc
SG Cowen Securities Corp
Fahnestock &amp; Co
Sanders Morris Harris Inc
Wedbush Securities
W. M. Smith Securities, Inc</t>
  </si>
  <si>
    <t>UBS-WARBURG(JB)/CS-FB-CS(JB)//WM-BLAIR
/STIFEL//A-G-EDWARDS/INVERNED-ASSOC/PSI
/SG-COWEN/FAHNESTOCK/SANDERS-HARRIS
/WEDBUSH-M/W-M-SMITH</t>
  </si>
  <si>
    <t>UBS-WARBURG/CS-FB-CS</t>
  </si>
  <si>
    <t>UBS-WARBURG
(JB)/CS-FB-CS(JB)
WM-BLAIR
STIFEL</t>
  </si>
  <si>
    <t>UBS Warburg
Credit Suisse First Boston Corp
William Blair &amp; Co
Stifel Nicolaus &amp; Co Inc</t>
  </si>
  <si>
    <t>Red Robin Gourmet Burgers Inc</t>
  </si>
  <si>
    <t>RRGB</t>
  </si>
  <si>
    <t>75689M101</t>
  </si>
  <si>
    <t>Banc of America Securities LLC
US Bancorp Piper Jaffray
Wachovia Bank NA
Credit Suisse First Boston
Merrill Lynch
RBC Dain Rauscher Corp
Citigroup/Salomon Smith Barney
SunTrust Capital Markets
UBS Warburg
Avondale Partners
Fahnestock &amp; Co
Fulcrum Global Partners
JMP Securities LLC
McAdams Wright Ragen Inc
McDonald Investments
Roth Capital Partners Inc
Stephens Inc
Wunderlich Securities Inc</t>
  </si>
  <si>
    <t>BA-SEC-LLC/US-PIPER(JOINT)//WACHOVIA
/CS-FB-CS/MERRILL/RBC-DAIN
/CITIGROUP-SSB/SUNTRUST-CAP/UBS-WARBURG
/AVONDALE/FAHNESTOCK/FULCRUM-GLOBAL
/JMP-SEC/MCADAMS-WRIGHT/MCDONALD
/ROTH-CAPITAL/STEPHENS/WUNDERLICH</t>
  </si>
  <si>
    <t>BA-SEC-LLC/US-PIPER</t>
  </si>
  <si>
    <t>BA-SEC-LLC
/US-PIPER(JOINT)
WACHOVIA
CS-FB-CS
MERRILL
RBC-DAIN
CITIGROUP-SSB
SUNTRUST-CAP
UBS-WARBURG
AVONDALE
FAHNESTOCK
FULCRUM-GLOBAL
JMP-SEC
MCADAMS-WRIGHT
MCDONALD
ROTH-CAPITAL
STEPHENS
WUNDERLICH</t>
  </si>
  <si>
    <t>Banc of America Securities LLC
US Bancorp Piper Jaffray Inc
Wachovia Bank NA
Credit Suisse First Boston Corp
Merrill Lynch &amp; Co Inc
RBC Dain Rauscher Corp
Citigroup/Salomon Smith Barney
SunTrust Capital Markets
UBS Warburg
Avondale Partners
Fahnestock &amp; Co
Fulcrum Global Partners
JMP Securities LLC
McAdams Wright Ragen Inc
McDonald Investments Inc
Roth Capital Partners Inc
Stephens Inc
Wunderlich Securities Inc</t>
  </si>
  <si>
    <t>Pacific Energy Partners LP</t>
  </si>
  <si>
    <t>PPX</t>
  </si>
  <si>
    <t>69422R105</t>
  </si>
  <si>
    <t>Citigroup/Salomon Smith Barney
Deutsche Bank Securities Corp
UBS Warburg
Lehman Brothers
AG Edwards &amp; Sons Inc
RBC Capital Markets
Raymond James &amp; Associates Inc</t>
  </si>
  <si>
    <t>CITIGROUP-SSB//DEUTSCHE-BK-SEC
/UBS-WARBURG/LEH/A-G-EDWARDS
/RBC-CAP-MKTS/RAYMOND</t>
  </si>
  <si>
    <t>CITIGROUP-SSB
DEUTSCHE-BK-SEC
UBS-WARBURG
LEH
A-G-EDWARDS
RBC-CAP-MKTS
RAYMOND</t>
  </si>
  <si>
    <t>Citigroup/Salomon Smith Barney
Deutsche Bank Securities Corp.
UBS Warburg
Lehman Brothers
AG Edwards &amp; Sons Inc
RBC Capital Markets
Raymond James &amp; Associates Inc</t>
  </si>
  <si>
    <t>Hyperion Strat Mortgage Income</t>
  </si>
  <si>
    <t>HSM</t>
  </si>
  <si>
    <t>44915C105</t>
  </si>
  <si>
    <t>Raymond James &amp; Associates Inc
AG Edwards &amp; Sons Inc
Advest Inc
Fahnestock &amp; Co
Ferris Baker Watts
JJB Hilliard WL Lyons Inc
Janney Montgomery Scott Inc
Legg Mason Wood Walker
McDonald Investments
Ryan Beck &amp; Co
Wedbush Securities
H&amp;R Block Financial Advisors
Southwest Securities Inc
Deutsche Bank Securities
US Bancorp Piper Jaffray
RBC Dain Rauscher Corp
Wachovia Securities Inc
Adams Harkness &amp; Hill Inc
Robert W Baird &amp; Co Inc
BB&amp;T Capital Markets
William Blair &amp; Co
Crowell Weedon &amp; Co
DA Davidson &amp; Co Inc
First Southwest
Investec PMG Capital Corp
Natcity Investments Inc.
Seidler Corp
Stephens Inc
Stifel Nicolaus &amp; Co Inc
CE Unterberg Towbin
Allen &amp; Company of Florida
Brean Murray &amp; Co Inc
Charles Schwab &amp; Co Inc</t>
  </si>
  <si>
    <t>RAYMOND//A-G-EDWARDS/ADVEST/FAHNESTOCK
/FERRIS-BAKER/HILLIARD/JANNEY
/LEGG-MASON-WW/MCDONALD/RYAN-BECK
/WEDBUSH-M/HR-BLOCK-FIN/SWS-SEC/DBSECU
/US-PIPER/RBC-DAIN/WACHOVIA-SEC
/ADAMS-HARKNESS/BAIRD/BB-T-CAP/WM-BLAIR
/CROWELL/DAVIDSON/FIRST-SW/INVESTEC-PMG
/NATCITY-INVEST/SEIDLER-COS/STEPHENS
/STIFEL/UNTERBERG/ALLEN-FL/BREAN
/CHARLES-SCHWAB</t>
  </si>
  <si>
    <t>RAYMOND
A-G-EDWARDS
ADVEST
FAHNESTOCK
FERRIS-BAKER
HILLIARD
JANNEY
LEGG-MASON-WW
MCDONALD
RYAN-BECK
WEDBUSH-M
HR-BLOCK-FIN
SWS-SEC
DBSECU
US-PIPER
RBC-DAIN
WACHOVIA-SEC
ADAMS-HARKNESS
BAIRD
BB-T-CAP
WM-BLAIR
CROWELL
DAVIDSON
FIRST-SW
INVESTEC-PMG
NATCITY-INVEST
SEIDLER-COS
STEPHENS
STIFEL
UNTERBERG
ALLEN-FL
BREAN
CHARLES-SCHWAB</t>
  </si>
  <si>
    <t>Raymond James &amp; Associates Inc
AG Edwards &amp; Sons Inc
Advest Inc
Fahnestock &amp; Co
Ferris Baker Watts Inc
JJB Hilliard WL Lyons Inc
Janney Montgomery Scott Inc
Legg Mason Wood Walker Inc
McDonald Investments Inc
Ryan Beck &amp; Co
Wedbush Securities
H&amp;R Block Financial Advisors
Southwest Securities Inc
Deutsche Bank Securities Inc
US Bancorp Piper Jaffray Inc
RBC Dain Rauscher Corp
Wachovia Securities Inc
Adams Harkness &amp; Hill Inc
Robert W Baird &amp; Co Inc
BB&amp;T Capital Markets
William Blair &amp; Co
Crowell Weedon &amp; Co
DA Davidson &amp; Co Inc
First Southwest Company
Investec PMG Capital Corp
Natcity Investments Inc.
Seidler Corp
Stephens Inc
Stifel Nicolaus &amp; Co Inc
CE Unterberg Towbin
Allen &amp; Company of Florida, Inc.
Brean Murray &amp; Co Inc
Charles Schwab &amp; Co Inc</t>
  </si>
  <si>
    <t>LeapFrog Enterprises Inc</t>
  </si>
  <si>
    <t>LF</t>
  </si>
  <si>
    <t>52186N106</t>
  </si>
  <si>
    <t>Citigroup/Salomon Smith Barney
Merrill Lynch
Banc of America Securities LLC
Bear Stearns &amp; Co Inc
Deutsche Bank Securities Corp
US Bancorp Piper Jaffray
Citigroup/Salomon Smith Barney
Merrill Lynch</t>
  </si>
  <si>
    <t>CITIGROUP-SSB(JB)/MERRILL(JB)
//BA-SEC-LLC/BEAR/DEUTSCHE-BK-SEC
/US-PIPER//CITIGROUP-SSB(GC)
/MERRILL(GC)</t>
  </si>
  <si>
    <t>CITIGROUP-SSB
(JB)/MERRILL(JB)
BA-SEC-LLC
BEAR
DEUTSCHE-BK-SEC
US-PIPER</t>
  </si>
  <si>
    <t>Citigroup/Salomon Smith Barney
Merrill Lynch &amp; Co Inc
Banc of America Securities LLC
Bear Stearns &amp; Co Inc
Deutsche Bank Securities Corp.
US Bancorp Piper Jaffray Inc</t>
  </si>
  <si>
    <t>CITIGROUP-SSB
(JB)/MERRILL(JB)</t>
  </si>
  <si>
    <t>Citigroup/Salomon Smith Barney
Merrill Lynch &amp; Co Inc</t>
  </si>
  <si>
    <t>BlackRock Muni Income II</t>
  </si>
  <si>
    <t>BLE</t>
  </si>
  <si>
    <t>09249N101</t>
  </si>
  <si>
    <t>Merrill Lynch
UBS Warburg
AG Edwards &amp; Sons Inc
Prudential Securities Inc
Legg Mason Wood Walker
Wachovia Bank NA
H&amp;R Block Financial Advisors
JJB Hilliard WL Lyons Inc
Fahnestock &amp; Co
Quick &amp; Reilly Inc
CIBC World Markets Inc
Deutsche Bank Securities Corp
RBC Dain Rauscher Corp
US Bancorp Piper Jaffray
Advest Inc
BB&amp;T Capital Markets
Robert W Baird &amp; Co Inc
William Blair &amp; Co
CE Unterberg Towbin
Crowell Weedon &amp; Co
DA Davidson &amp; Co Inc
Ferris Baker Watts
Janney Montgomery Scott Inc
Johnston Lemon &amp; Co Inc
McDonald Investments
Morgan Keegan Inc
Parker-Hunter Inc
Stephens Inc
Stifel Nicolaus &amp; Co Inc
TD Waterhouse Securities
Wedbush Securities
Wells Fargo Bank NA
Allen &amp; Co Inc
Howe Barnes Investments Inc
Wayne Hummer &amp; Co
LaSalle Street Securities Inc
Mesirow Financial Corp
David A. Noyes
Southwest Securities Inc
M. L. Stern
Fifth Third Securities Inc</t>
  </si>
  <si>
    <t>MERRILL/UBS-WARBURG(JOINT)//A-G-EDWARDS
/PSI/LEGG-MASON-WW/WACHOVIA
/HR-BLOCK-FIN/HILLIARD/FAHNESTOCK/Q&amp;R
//CIBC-WORLD/DEUTSCHE-BK-SEC/RBC-DAIN
/US-PIPER/ADVEST/BB-T-CAP/BAIRD
/WM-BLAIR/UNTERBERG/CROWELL/DAVIDSON
/FERRIS-BAKER/JANNEY/JOHNSTON-LEMON
/MCDONALD/MORGAN-KEEGAN/PARKER-HUNTER
/STEPHENS/STIFEL/TDWS/WEDBUSH-M
/WELLS-FARGO/ALLEN/HOWE-BARNES/HUMMER
/LASALLE-SEC/MESIROW-FIN/D-A-NOYES
/SWS-SEC/M-L-STERN/FIFTH-THIRD-SEC</t>
  </si>
  <si>
    <t>MERRILL
/UBS-WARBURG(JOINT)
A-G-EDWARDS
PSI
LEGG-MASON-WW
WACHOVIA
HR-BLOCK-FIN
HILLIARD
FAHNESTOCK
Q&amp;R</t>
  </si>
  <si>
    <t>Merrill Lynch &amp; Co Inc
UBS Warburg
AG Edwards &amp; Sons Inc
Prudential Securities Inc
Legg Mason Wood Walker Inc
Wachovia Bank NA
H&amp;R Block Financial Advisors
JJB Hilliard WL Lyons Inc
Fahnestock &amp; Co
Quick &amp; Reilly Inc</t>
  </si>
  <si>
    <t>BlackRock NY Muni Income II</t>
  </si>
  <si>
    <t>BFY</t>
  </si>
  <si>
    <t>09249R102</t>
  </si>
  <si>
    <t>Merrill Lynch
UBS Warburg
AG Edwards &amp; Sons Inc
Prudential Securities Inc
Wachovia Bank NA
H&amp;R Block Financial Advisors
Fahnestock &amp; Co
Quick &amp; Reilly Inc
CIBC World Markets Inc
Deutsche Bank Securities Corp
RBC Dain Rauscher Corp
US Bancorp Piper Jaffray
Advest Inc
BB&amp;T Capital Markets
CE Unterberg Towbin
JJB Hilliard WL Lyons Inc
Janney Montgomery Scott Inc
Legg Mason Wood Walker
McDonald Investments
TD Waterhouse Securities</t>
  </si>
  <si>
    <t>MERRILL/UBS-WARBURG(JOINT)//A-G-EDWARDS
/PSI/WACHOVIA/HR-BLOCK-FIN/FAHNESTOCK
/Q&amp;R//CIBC-WORLD/DEUTSCHE-BK-SEC
/RBC-DAIN/US-PIPER/ADVEST/BB-T-CAP
/UNTERBERG/HILLIARD/JANNEY
/LEGG-MASON-WW/MCDONALD/TDWS</t>
  </si>
  <si>
    <t>MERRILL
/UBS-WARBURG(JOINT)
A-G-EDWARDS
PSI
WACHOVIA
HR-BLOCK-FIN
FAHNESTOCK
Q&amp;R</t>
  </si>
  <si>
    <t>Merrill Lynch &amp; Co Inc
UBS Warburg
AG Edwards &amp; Sons Inc
Prudential Securities Inc
Wachovia Bank NA
H&amp;R Block Financial Advisors
Fahnestock &amp; Co
Quick &amp; Reilly Inc</t>
  </si>
  <si>
    <t>BlackRock CA Muni Income II</t>
  </si>
  <si>
    <t>BCL</t>
  </si>
  <si>
    <t>09249S100</t>
  </si>
  <si>
    <t>Merrill Lynch
UBS Warburg
AG Edwards &amp; Sons Inc
Prudential Securities Inc
Wachovia Bank NA
H&amp;R Block Financial Advisors
Quick &amp; Reilly Inc
CIBC World Markets Inc
Deutsche Bank Securities Corp
RBC Dain Rauscher Corp
US Bancorp Piper Jaffray
Wells Fargo Bank NA
Advest Inc
Crowell Weedon &amp; Co
Fahnestock &amp; Co
JJB Hilliard WL Lyons Inc
Legg Mason Wood Walker
Seidler Corp
Spelman &amp; Co.
M. L. Stern
Stone &amp; Youngberg
SunAmerica Inc
TD Waterhouse Securities
Wedbush Securities</t>
  </si>
  <si>
    <t>MERRILL/UBS-WARBURG(JOINT)//A-G-EDWARDS
/PSI/WACHOVIA/HR-BLOCK-FIN/Q&amp;R
//CIBC-WORLD/DEUTSCHE-BK-SEC/RBC-DAIN
/US-PIPER/WELLS-FARGO/ADVEST/CROWELL
/FAHNESTOCK/HILLIARD/LEGG-MASON-WW
/SEIDLER-COS/SPELMAN/M-L-STERN
/STONE-YOUNG/SUNAC/TDWS/WEDBUSH-M</t>
  </si>
  <si>
    <t>MERRILL
/UBS-WARBURG(JOINT)
A-G-EDWARDS
PSI
WACHOVIA
HR-BLOCK-FIN
Q&amp;R</t>
  </si>
  <si>
    <t>Merrill Lynch &amp; Co Inc
UBS Warburg
AG Edwards &amp; Sons Inc
Prudential Securities Inc
Wachovia Bank NA
H&amp;R Block Financial Advisors
Quick &amp; Reilly Inc</t>
  </si>
  <si>
    <t>Real Estate Income Fund Inc</t>
  </si>
  <si>
    <t>RIT</t>
  </si>
  <si>
    <t>Citigroup/Salomon Smith Barney
Legg Mason Wood Walker
Wells Fargo Bank NA
Advest Inc
H&amp;R Block Financial Advisors
McDonald Investments
Deutsche Bank Securities Corp
AG Edwards &amp; Sons Inc
Fleet Boston Corp
US Bancorp Piper Jaffray
Wachovia Bank NA
Robert W Baird &amp; Co Inc
BB&amp;T Capital Markets
Crowell Weedon &amp; Co
DA Davidson &amp; Co Inc
Fahnestock &amp; Co
Ferris Baker Watts
Janney Montgomery Scott Inc
Johnston Lemon &amp; Co Inc
Ryan Beck &amp; Co
Stephens Inc
Stifel Nicolaus &amp; Co Inc
Wedbush Securities
First Southwest
Investec PMG Capital Corp
Mesirow
David A. Noyes
Sands Brothers &amp; Co Ltd
M. L. Stern
Southwest Securities Inc</t>
  </si>
  <si>
    <t>CITIGROUP-SSB//LEGG-MASON-WW
/WELLS-FARGO/ADVEST/HR-BLOCK-FIN
/MCDONALD//DEUTSCHE-BK-SEC/A-G-EDWARDS
/FLEET-BOSTON/US-PIPER/WACHOVIA/BAIRD
/BB-T-CAP/CROWELL/DAVIDSON/FAHNESTOCK
/FERRIS-BAKER/JANNEY/JOHNSTON-LEMON
/RYAN-BECK/STEPHENS/STIFEL/WEDBUSH-M
/FIRST-SW/INVESTEC-PMG/MESIROW
/D-A-NOYES/SANDS/M-L-STERN/SWS-SEC</t>
  </si>
  <si>
    <t>CITIGROUP-SSB
LEGG-MASON-WW
WELLS-FARGO
ADVEST
HR-BLOCK-FIN
MCDONALD</t>
  </si>
  <si>
    <t>Citigroup/Salomon Smith Barney
Legg Mason Wood Walker Inc
Wells Fargo Bank NA
Advest Inc
H&amp;R Block Financial Advisors
McDonald Investments Inc</t>
  </si>
  <si>
    <t>Windrose Med Ppty Trust</t>
  </si>
  <si>
    <t>WRS</t>
  </si>
  <si>
    <t>FERRIS-BAKER</t>
  </si>
  <si>
    <t>Ferris Baker Watts
Morgan Keegan Inc
Stifel Nicolaus &amp; Co Inc
Southwest Securities Inc</t>
  </si>
  <si>
    <t>FERRIS-BAKER/MORGAN-KEEGAN(JOINT)
//STIFEL/SWS-SEC</t>
  </si>
  <si>
    <t>FERRIS-BAKER/MORGAN-KEEGAN</t>
  </si>
  <si>
    <t>FERRIS-BAKER
/MORGAN-KEEGAN(JOINT)
STIFEL
SWS-SEC</t>
  </si>
  <si>
    <t>Ferris Baker Watts Inc
Morgan Keegan Inc
Stifel Nicolaus &amp; Co Inc
Southwest Securities Inc</t>
  </si>
  <si>
    <t>John Hancock Preferred Income</t>
  </si>
  <si>
    <t>HPI</t>
  </si>
  <si>
    <t>UBS-WARBURG/MERRILL(JB)</t>
  </si>
  <si>
    <t>41013W108</t>
  </si>
  <si>
    <t>UBS Warburg
Merrill Lynch
Prudential Securities Inc
Legg Mason Wood Walker
RBC Capital Markets
Wachovia Securities Inc
H&amp;R Block Financial Advisors
Quick &amp; Reilly Inc
Signator Investors Inc
Advest Inc
Crowell Weedon &amp; Co
Fahnestock &amp; Co
JJB Hilliard WL Lyons Inc
Janney Montgomery Scott Inc
Morgan Keegan Inc
US Bancorp Piper Jaffray
Ryan Beck &amp; Co
Stifel Nicolaus &amp; Co Inc
SunTrust Capital Markets
Wedbush Securities
TD Securities Inc</t>
  </si>
  <si>
    <t>UBS-WARBURG(JB)/MERRILL(JB)//PSI
/LEGG-MASON-WW/RBC-CAP-MKTS
/WACHOVIA-SEC/HR-BLOCK-FIN/Q&amp;R/SIGNATOR
//ADVEST/CROWELL/FAHNESTOCK/HILLIARD
/JANNEY/MORGAN-KEEGAN/US-PIPER
/RYAN-BECK/STIFEL/SUNTRUST-CAP
/WEDBUSH-M/TD-SECURITIES</t>
  </si>
  <si>
    <t>UBS-WARBURG
(JB)/MERRILL(JB)
PSI
LEGG-MASON-WW
RBC-CAP-MKTS
WACHOVIA-SEC
HR-BLOCK-FIN
Q&amp;R
SIGNATOR</t>
  </si>
  <si>
    <t>UBS Warburg
Merrill Lynch &amp; Co Inc
Prudential Securities Inc
Legg Mason Wood Walker Inc
RBC Capital Markets
Wachovia Securities Inc
H&amp;R Block Financial Advisors
Quick &amp; Reilly Inc
Signator Investors Inc</t>
  </si>
  <si>
    <t>Cohen &amp; Steers Premium Income</t>
  </si>
  <si>
    <t>RPF</t>
  </si>
  <si>
    <t>19247V104</t>
  </si>
  <si>
    <t>Merrill Lynch
AG Edwards &amp; Sons Inc
Legg Mason Wood Walker
Raymond James &amp; Associates Inc
CIBC World Markets Inc
Deutsche Bank Securities Corp
RBC Capital Markets
Wachovia Bank NA
Wells Fargo Bank NA
US Bancorp Piper Jaffray
Robert W Baird &amp; Co Inc
H&amp;R Block Financial Advisors
Fahnestock &amp; Co
Janney Montgomery Scott Inc
McDonald Investments
Morgan Keegan Inc
Quick &amp; Reilly Inc
TD Waterhouse Securities
Banc of America Securities LLC
Bear Stearns &amp; Co Inc
UBS Warburg
Advest Inc
BB&amp;T Capital Markets
Scott &amp; Stringfellow Financial
William Blair &amp; Co
Brean Murray &amp; Co Inc
CE Unterberg Towbin
Crowell Weedon &amp; Co
DA Davidson &amp; Co Inc
Ferris Baker Watts
First Southwest
JJB Hilliard WL Lyons Inc
Johnston Lemon &amp; Co Inc
Parker-Hunter Inc
Charles Schwab &amp; Co Inc
Seidler Corp
Stephens Inc
Stifel Nicolaus &amp; Co Inc
SunTrust Capital Markets
Utendahl Capital Partners
Wedbush Securities
Allen &amp; Co Inc
Howe Barnes Investments Inc
LaSalle Street Securities Inc
Mesirow Financial Corp
Natcity Investments Inc.
Nutmeg Securities Ltd
Southwest Securities Inc
Sands Brothers &amp; Co Ltd
Torrey Pines Securities</t>
  </si>
  <si>
    <t>MERRILL//A-G-EDWARDS/LEGG-MASON-WW
/RAYMOND/CIBC-WORLD/DEUTSCHE-BK-SEC
/RBC-CAP-MKTS/WACHOVIA/WELLS-FARGO
/US-PIPER/BAIRD/HR-BLOCK-FIN/FAHNESTOCK
/JANNEY/MCDONALD/MORGAN-KEEGAN/Q&amp;R/TDWS
//BA-SEC-LLC/BEAR/UBS-WARBURG/ADVEST
/BB-T-CAP/SCOTT-STRING/WM-BLAIR/BREAN
/UNTERBERG/CROWELL/DAVIDSON
/FERRIS-BAKER/FIRST-SW/HILLIARD
/JOHNSTON-LEMON/PARKER-HUNTER
/CHARLES-SCHWAB/SEIDLER-COS/STEPHENS
/STIFEL/SUNTRUST-CAP/UTENDAHL-CAP
/WEDBUSH-M/ALLEN/HOWE-BARNES
/LASALLE-SEC/MESIROW-FIN/NATCITY-INVEST
/NUTMEG-SEC/SWS-SEC/SANDS/TORREY-PINES</t>
  </si>
  <si>
    <t>MERRILL
A-G-EDWARDS
LEGG-MASON-WW
RAYMOND
CIBC-WORLD
DEUTSCHE-BK-SEC
RBC-CAP-MKTS
WACHOVIA
WELLS-FARGO
US-PIPER
BAIRD
HR-BLOCK-FIN
FAHNESTOCK
JANNEY
MCDONALD
MORGAN-KEEGAN
Q&amp;R
TDWS</t>
  </si>
  <si>
    <t>Merrill Lynch &amp; Co Inc
AG Edwards &amp; Sons Inc
Legg Mason Wood Walker Inc
Raymond James &amp; Associates Inc
CIBC World Markets Inc
Deutsche Bank Securities Corp.
RBC Capital Markets
Wachovia Bank NA
Wells Fargo Bank NA
US Bancorp Piper Jaffray Inc
Robert W Baird &amp; Co Inc
H&amp;R Block Financial Advisors
Fahnestock &amp; Co
Janney Montgomery Scott Inc
McDonald Investments Inc
Morgan Keegan Inc
Quick &amp; Reilly Inc
TD Waterhouse Securities</t>
  </si>
  <si>
    <t>Eaton Vance Insured Muni Fund</t>
  </si>
  <si>
    <t>EIM</t>
  </si>
  <si>
    <t>27827X101</t>
  </si>
  <si>
    <t>Citigroup/Salomon Smith Barney
UBS Warburg
AG Edwards &amp; Sons Inc
Prudential Securities Inc
H&amp;R Block Financial Advisors
Fahnestock &amp; Co
Janney Montgomery Scott Inc
Legg Mason Wood Walker
McDonald Investments
Quick &amp; Reilly Inc
Raymond James &amp; Associates Inc
RBC Capital Markets
Ryan Beck &amp; Co
SunTrust Robinson Humphrey
TD Waterhouse Securities
Wachovia Securities Inc
Wells Fargo Bank NA
CIBC World Markets Inc
Deutsche Bank Securities Corp
US Bancorp Piper Jaffray
Advest Inc
Robert W Baird &amp; Co Inc
BB&amp;T Capital Markets
Crowell Weedon &amp; Co
DA Davidson &amp; Co Inc
Ferris Baker Watts
JJB Hilliard WL Lyons Inc
Morgan Keegan Inc
Parker-Hunter Inc
Sanders Morris Harris Inc
Stephens Inc
Stifel Nicolaus &amp; Co Inc
Wedbush Securities
Gilford Securities
Howe Barnes Investments Inc
Wayne Hummer &amp; Co
Johnston Lemon &amp; Co Inc
Mesirow Financial Corp
David A. Noyes
Peacock Hislop Staley &amp; Given
Sands Brothers &amp; Co Ltd
Charles Schwab &amp; Co Inc
Sterne Agee &amp; Leach Inc</t>
  </si>
  <si>
    <t>CITIGROUP-SSB//UBS-WARBURG/A-G-EDWARDS
/PSI/HR-BLOCK-FIN/FAHNESTOCK/JANNEY
/LEGG-MASON-WW/MCDONALD/Q&amp;R/RAYMOND
/RBC-CAP-MKTS/RYAN-BECK/SUNTRUST-RH
/TDWS/WACHOVIA-SEC/WELLS-FARGO
//CIBC-WORLD/DEUTSCHE-BK-SEC/US-PIPER
/ADVEST/BAIRD/BB-T-CAP/CROWELL/DAVIDSON
/FERRIS-BAKER/HILLIARD/MORGAN-KEEGAN
/PARKER-HUNTER/SANDERS-HARRIS/STEPHENS
/STIFEL/WEDBUSH-M/GILFORD/HOWE-BARNES
/HUMMER/JOHNSTON-LEMON/MESIROW-FIN
/D-A-NOYES/PEACOCK-HISLOP/SANDS
/CHARLES-SCHWAB/STERNE-AGEE</t>
  </si>
  <si>
    <t>CITIGROUP-SSB
UBS-WARBURG
A-G-EDWARDS
PSI
HR-BLOCK-FIN
FAHNESTOCK
JANNEY
LEGG-MASON-WW
MCDONALD
Q&amp;R
RAYMOND
RBC-CAP-MKTS
RYAN-BECK
SUNTRUST-RH
TDWS
WACHOVIA-SEC
WELLS-FARGO</t>
  </si>
  <si>
    <t>Citigroup/Salomon Smith Barney
UBS Warburg
AG Edwards &amp; Sons Inc
Prudential Securities Inc
H&amp;R Block Financial Advisors
Fahnestock &amp; Co
Janney Montgomery Scott Inc
Legg Mason Wood Walker Inc
McDonald Investments Inc
Quick &amp; Reilly Inc
Raymond James &amp; Associates Inc
RBC Capital Markets
Ryan Beck &amp; Co
SunTrust Robinson Humphrey
TD Waterhouse Securities
Wachovia Securities Inc
Wells Fargo Bank NA</t>
  </si>
  <si>
    <t>Eaton Vance Insured New York</t>
  </si>
  <si>
    <t>ENX</t>
  </si>
  <si>
    <t>27827Y109</t>
  </si>
  <si>
    <t>Citigroup/Salomon Smith Barney
UBS Warburg
AG Edwards &amp; Sons Inc
Prudential Securities Inc
Advest Inc
Janney Montgomery Scott Inc
Quick &amp; Reilly Inc
Raymond James &amp; Associates Inc
RBC Capital Markets
Ryan Beck &amp; Co
Wachovia Securities Inc
H&amp;R Block Financial Advisors
CIBC World Markets Inc
Deutsche Bank Securities Corp
TD Waterhouse Securities
US Bancorp Piper Jaffray
Robert W Baird &amp; Co Inc
Crowell Weedon &amp; Co
DA Davidson &amp; Co Inc
Fahnestock &amp; Co
Legg Mason Wood Walker
McDonald Investments
Sanders Morris Harris Inc
Wedbush, Noble, Cooke
Gilford Securities
Howe Barnes Investments Inc
Wayne Hummer &amp; Co
Johnston Lemon &amp; Co Inc
Sands Brothers &amp; Co Ltd
Charles Schwab &amp; Co Inc
Southwest Securities Inc</t>
  </si>
  <si>
    <t>CITIGROUP-SSB//UBS-WARBURG/A-G-EDWARDS
/PSI/ADVEST/JANNEY/Q&amp;R/RAYMOND
/RBC-CAP-MKTS/RYAN-BECK/WACHOVIA-SEC
//HR-BLOCK-FIN/CIBC-WORLD
/DEUTSCHE-BK-SEC/TDWS/US-PIPER/BAIRD
/CROWELL/DAVIDSON/FAHNESTOCK
/LEGG-MASON-WW/MCDONALD/SANDERS-HARRIS
/WEDBUSH/GILFORD/HOWE-BARNES/HUMMER
/JOHNSTON-LEMON/SANDS/CHARLES-SCHWAB
/SWS-SEC</t>
  </si>
  <si>
    <t>CITIGROUP-SSB
UBS-WARBURG
A-G-EDWARDS
PSI
ADVEST
JANNEY
Q&amp;R
RAYMOND
RBC-CAP-MKTS
RYAN-BECK
WACHOVIA-SEC</t>
  </si>
  <si>
    <t>Citigroup/Salomon Smith Barney
UBS Warburg
AG Edwards &amp; Sons Inc
Prudential Securities Inc
Advest Inc
Janney Montgomery Scott Inc
Quick &amp; Reilly Inc
Raymond James &amp; Associates Inc
RBC Capital Markets
Ryan Beck &amp; Co
Wachovia Securities Inc</t>
  </si>
  <si>
    <t>Eaton Vance Ins CA Mun Bnd Fnd</t>
  </si>
  <si>
    <t>EVM</t>
  </si>
  <si>
    <t>27828A100</t>
  </si>
  <si>
    <t>Citigroup/Salomon Smith Barney
UBS Warburg
AG Edwards &amp; Sons Inc
Prudential Securities Inc
RBC Capital Markets
TD Waterhouse Securities
Wachovia Securities Inc
Wells Fargo Bank NA
H&amp;R Block Financial Advisors
CIBC World Markets Inc
Deutsche Bank Securities Corp
US Bancorp Piper Jaffray
Advest Inc
Crowell Weedon &amp; Co
Fahnestock &amp; Co
JJB Hilliard WL Lyons Inc
Janney Montgomery Scott Inc
Legg Mason Wood Walker
Ryan Beck &amp; Co
Seidler Corp
Stifel Nicolaus &amp; Co Inc
Wedbush, Noble, Cooke
Howe Barnes Investments Inc
Wayne Hummer &amp; Co
Johnston Lemon &amp; Co Inc
LaSalle Street Securities Inc
Sands Brothers &amp; Co Ltd
Charles Schwab &amp; Co Inc
M. L. Stern
Southwest Securities Inc</t>
  </si>
  <si>
    <t>CITIGROUP-SSB//UBS-WARBURG/A-G-EDWARDS
/PSI/RBC-CAP-MKTS/TDWS/WACHOVIA-SEC
/WELLS-FARGO//HR-BLOCK-FIN/CIBC-WORLD
/DEUTSCHE-BK-SEC/US-PIPER/ADVEST
/CROWELL/FAHNESTOCK/HILLIARD/JANNEY
/LEGG-MASON-WW/RYAN-BECK/SEIDLER-COS
/STIFEL/WEDBUSH/HOWE-BARNES/HUMMER
/JOHNSTON-LEMON/LASALLE-SEC/SANDS
/CHARLES-SCHWAB/M-L-STERN/SWS-SEC</t>
  </si>
  <si>
    <t>CITIGROUP-SSB
UBS-WARBURG
A-G-EDWARDS
PSI
RBC-CAP-MKTS
TDWS
WACHOVIA-SEC
WELLS-FARGO</t>
  </si>
  <si>
    <t>Citigroup/Salomon Smith Barney
UBS Warburg
AG Edwards &amp; Sons Inc
Prudential Securities Inc
RBC Capital Markets
TD Waterhouse Securities
Wachovia Securities Inc
Wells Fargo Bank NA</t>
  </si>
  <si>
    <t>Nuveen Quality Pref Inc Fund 2</t>
  </si>
  <si>
    <t>JPS</t>
  </si>
  <si>
    <t>67072C105</t>
  </si>
  <si>
    <t>Citigroup/Salomon Smith Barney
AG Edwards &amp; Sons Inc
Prudential Securities Inc
UBS Warburg
Advest Inc
H&amp;R Block Financial Advisors
Fahnestock &amp; Co
Ferris Baker Watts
Janney Montgomery Scott Inc
Legg Mason Wood Walker
McDonald Investments
Quick &amp; Reilly Inc
Raymond James &amp; Associates Inc
RBC Dain Rauscher Corp
Ryan Beck &amp; Co
Nuveen Investments LLC
SunTrust Capital Markets
Wachovia Securities Inc
Wells Fargo Bank NA
CIBC World Markets Inc
Deutsche Bank Securities Corp
TD Securities Inc
US Bancorp Piper Jaffray
Robert W Baird &amp; Co Inc
BB&amp;T Capital Markets
Crowell Weedon &amp; Co
Davenport
DA Davidson &amp; Co Inc
Parker-Hunter Inc
Stephens Inc
Stifel Nicolaus &amp; Co Inc
Wedbush, Noble, Cooke
Allen &amp; Co Inc
Gilford Securities
JJB Hilliard WL Lyons Inc
Howe Barnes Investments Inc
Wayne Hummer &amp; Co
Johnston Lemon &amp; Co Inc
LaSalle Street Securities Inc
Mesirow
Sands Brothers &amp; Co Ltd
Charles Schwab &amp; Co Inc
M. L. Stern
Sterne Agee &amp; Leach Inc
Southwest Securities Inc</t>
  </si>
  <si>
    <t>CITIGROUP-SSB//A-G-EDWARDS/PSI
/UBS-WARBURG/ADVEST/HR-BLOCK-FIN
/FAHNESTOCK/FERRIS-BAKER/JANNEY
/LEGG-MASON-WW/MCDONALD/Q&amp;R/RAYMOND
/RBC-DAIN/RYAN-BECK/NUVEEN-INV
/SUNTRUST-CAP/WACHOVIA-SEC/WELLS-FARGO
//CIBC-WORLD/DEUTSCHE-BK-SEC
/TD-SECURITIES/US-PIPER/BAIRD/BB-T-CAP
/CROWELL/DAVENPORT/DAVIDSON
/PARKER-HUNTER/STEPHENS/STIFEL/WEDBUSH
/ALLEN/GILFORD/HILLIARD/HOWE-BARNES
/HUMMER/JOHNSTON-LEMON/LASALLE-SEC
/MESIROW/SANDS/CHARLES-SCHWAB/M-L-STERN
/STERNE-AGEE/SWS-SEC</t>
  </si>
  <si>
    <t>CITIGROUP-SSB
A-G-EDWARDS
PSI
UBS-WARBURG
ADVEST
HR-BLOCK-FIN
FAHNESTOCK
FERRIS-BAKER
JANNEY
LEGG-MASON-WW
MCDONALD
Q&amp;R
RAYMOND
RBC-DAIN
RYAN-BECK
NUVEEN-INV
SUNTRUST-CAP
WACHOVIA-SEC
WELLS-FARGO</t>
  </si>
  <si>
    <t>Citigroup/Salomon Smith Barney
AG Edwards &amp; Sons Inc
Prudential Securities Inc
UBS Warburg
Advest Inc
H&amp;R Block Financial Advisors
Fahnestock &amp; Co
Ferris Baker Watts Inc
Janney Montgomery Scott Inc
Legg Mason Wood Walker Inc
McDonald Investments Inc
Quick &amp; Reilly Inc
Raymond James &amp; Associates Inc
RBC Dain Rauscher Corp
Ryan Beck &amp; Co
Nuveen Investments LLC
SunTrust Capital Markets
Wachovia Securities Inc
Wells Fargo Bank NA</t>
  </si>
  <si>
    <t>Neuberger Berman Cali  Fund</t>
  </si>
  <si>
    <t>NBW</t>
  </si>
  <si>
    <t>64123C101</t>
  </si>
  <si>
    <t>Merrill Lynch
AG Edwards &amp; Sons Inc
Quick &amp; Reilly Inc
Wells Fargo &amp; Co
Robert W Baird &amp; Co Inc
Crowell Weedon &amp; Co
H&amp;R Block Financial Advisors
CIBC World Markets Inc
Deutsche Bank Securities Corp
Prudential Securities Inc
RBC Dain Rauscher Corp
US Bancorp Piper Jaffray
Wachovia Bank NA
BB&amp;T Capital Markets
Blair House
Brean Murray &amp; Co Inc
CE Unterberg Towbin
DA Davidson &amp; Co Inc
Fahnestock &amp; Co
Janney Montgomery Scott Inc
Johnston Lemon &amp; Co Inc
Legg Mason Wood Walker
McDonald Investments
Seidler Corp
Stephens Inc
Stifel Nicolaus &amp; Co Inc
TD Waterhouse Securities
Wedbush Securities
Gilford Securities
Howe Barnes Investments Inc
Wayne Hummer &amp; Co
LaSalle Street Securities Inc
M. L. Stern
Mesirow Financial Corp
Southwest Securities Inc
Sands Brothers &amp; Co Ltd
Schneider Securities, Inc.
STERLING FINANCIAL INVESTMENT
Torrey Pines Securities</t>
  </si>
  <si>
    <t>MERRILL//A-G-EDWARDS/Q&amp;R/WF/BAIRD
/CROWELL/HR-BLOCK-FIN//CIBC-WORLD
/DEUTSCHE-BK-SEC/PSI/RBC-DAIN/US-PIPER
/WACHOVIA/BB-T-CAP/BLAIR/BREAN
/UNTERBERG/DAVIDSON/FAHNESTOCK/JANNEY
/JOHNSTON-LEMON/LEGG-MASON-WW/MCDONALD
/SEIDLER-COS/STEPHENS/STIFEL/TDWS
/WEDBUSH-M/GILFORD/HOWE-BARNES/HUMMER
/LASALLE-SEC/M-L-STERN/MESIROW-FIN
/SWS-SEC/SANDS/SCHNEIDER/STERLING-FIN-I
/TORREY-PINES</t>
  </si>
  <si>
    <t>MERRILL
A-G-EDWARDS
Q&amp;R
WF
BAIRD
CROWELL
HR-BLOCK-FIN</t>
  </si>
  <si>
    <t>Merrill Lynch &amp; Co Inc
AG Edwards &amp; Sons Inc
Quick &amp; Reilly Inc
Wells Fargo &amp; Co
Robert W Baird &amp; Co Inc
Crowell Weedon &amp; Co
H&amp;R Block Financial Advisors</t>
  </si>
  <si>
    <t>Neuberger Berman NY Fund</t>
  </si>
  <si>
    <t>NBO</t>
  </si>
  <si>
    <t>64124K102</t>
  </si>
  <si>
    <t>Merrill Lynch
AG Edwards &amp; Sons Inc
Quick &amp; Reilly Group, Inc.
RBC Capital Markets
Advest Inc
H&amp;R Block Financial Advisors
Fahnestock &amp; Co
Janney Montgomery Scott Inc
CIBC World Markets Inc
Deutsche Bank Securities Corp
Prudential Securities Inc
US Bancorp Piper Jaffray
Wachovia Bank NA
BB&amp;T Capital Markets
Robert W Baird &amp; Co Inc
William Blair &amp; Co
Brean Murray &amp; Co Inc
CE Unterberg Towbin
Crowell Weedon &amp; Co
DA Davidson &amp; Co Inc
First Southwest
Johnston Lemon &amp; Co Inc
Legg Mason Wood Walker
McDonald Investments
Stephens Inc
Stifel Nicolaus &amp; Co Inc
TD Waterhouse Securities
Utendahl Capital Partners
Wedbush Securities
Wells Fargo Bank NA
Gilford Securities
Howe Barnes Investments Inc
Wayne Hummer &amp; Co
LaSalle Street Securities Inc
Mesirow Financial Corp
Southwest Securities Inc
Sands Brothers &amp; Co Ltd
Schneider Securities, Inc.
STERLING FINANCIAL INVESTMENT
Torrey Pines Securities</t>
  </si>
  <si>
    <t>MERRILL//A-G-EDWARDS/QUICK-REILLY
/RBC-CAP-MKTS/ADVEST/HR-BLOCK-FIN
/FAHNESTOCK/JANNEY//CIBC-WORLD
/DEUTSCHE-BK-SEC/PSI/US-PIPER/WACHOVIA
/BB-T-CAP/BAIRD/WM-BLAIR/BREAN
/UNTERBERG/CROWELL/DAVIDSON/FIRST-SW
/JOHNSTON-LEMON/LEGG-MASON-WW/MCDONALD
/STEPHENS/STIFEL/TDWS/UTENDAHL-CAP
/WEDBUSH-M/WELLS-FARGO/GILFORD
/HOWE-BARNES/HUMMER/LASALLE-SEC
/MESIROW-FIN/SWS-SEC/SANDS/SCHNEIDER
/STERLING-FIN-I/TORREY-PINES</t>
  </si>
  <si>
    <t>MERRILL
A-G-EDWARDS
QUICK-REILLY
RBC-CAP-MKTS
ADVEST
HR-BLOCK-FIN
FAHNESTOCK
JANNEY</t>
  </si>
  <si>
    <t>Merrill Lynch &amp; Co Inc
AG Edwards &amp; Sons Inc
Quick &amp; Reilly Group, Inc.
RBC Capital Markets
Advest Inc
H&amp;R Block Financial Advisors
Fahnestock &amp; Co
Janney Montgomery Scott Inc</t>
  </si>
  <si>
    <t>Neuberger Berman Intermediate</t>
  </si>
  <si>
    <t>NBH</t>
  </si>
  <si>
    <t>64124P101</t>
  </si>
  <si>
    <t>Merrill Lynch
AG Edwards &amp; Sons Inc
Legg Mason Wood Walker
Quick &amp; Reilly Inc
RBC Dain Rauscher Corp
Wells Fargo &amp; Co
Advest Inc
Robert W Baird &amp; Co Inc
H&amp;R Block Financial Advisors
Fahnestock &amp; Co
Ferris Baker Watts
Janney Montgomery Scott Inc
JJB Hilliard WL Lyons Inc
McDonald Investments
Morgan Keegan Inc
CIBC World Markets Inc
Deutsche Bank Securities Corp
Prudential Securities Inc
US Bancorp Piper Jaffray
Wachovia Securities Inc
BB&amp;T Capital Markets
William Blair &amp; Co
Brean Murray &amp; Co Inc
CE Unterberg Towbin
Crowell Weedon &amp; Co
DA Davidson &amp; Co Inc
First Southwest
Johnston Lemon &amp; Co Inc
Parker-Hunter Inc
Stephens Inc
Stifel Nicolaus &amp; Co Inc
TD Waterhouse Securities
Utendahl Capital Partners
Wedbush Securities
Allen &amp; Company of Florida
Gilford Securities
Howe Barnes Investments Inc
Wayne Hummer &amp; Co
LaSalle Street Securities Inc
Mesirow Financial Corp
Nutmeg Securities Ltd
Southwest Securities Inc
Sands Brothers &amp; Co Ltd
STERLING FINANCIAL INVESTMENT
Torrey Pines Securities</t>
  </si>
  <si>
    <t>MERRILL//A-G-EDWARDS/LEGG-MASON-WW/Q&amp;R
/RBC-DAIN/WF/ADVEST/BAIRD/HR-BLOCK-FIN
/FAHNESTOCK/FERRIS-BAKER/JANNEY
/HILLIARD/MCDONALD/MORGAN-KEEGAN
//CIBC-WORLD/DEUTSCHE-BK-SEC/PSI
/US-PIPER/WACHOVIA-SEC/BB-T-CAP
/WM-BLAIR/BREAN/UNTERBERG/CROWELL
/DAVIDSON/FIRST-SW/JOHNSTON-LEMON
/PARKER-HUNTER/STEPHENS/STIFEL/TDWS
/UTENDAHL-CAP/WEDBUSH-M/ALLEN-FL
/GILFORD/HOWE-BARNES/HUMMER/LASALLE-SEC
/MESIROW-FIN/NUTMEG-SEC/SWS-SEC/SANDS
/STERLING-FIN-I/TORREY-PINES</t>
  </si>
  <si>
    <t>MERRILL
A-G-EDWARDS
LEGG-MASON-WW
Q&amp;R
RBC-DAIN
WF
ADVEST
BAIRD
HR-BLOCK-FIN
FAHNESTOCK
FERRIS-BAKER
JANNEY
HILLIARD
MCDONALD
MORGAN-KEEGAN</t>
  </si>
  <si>
    <t>Merrill Lynch &amp; Co Inc
AG Edwards &amp; Sons Inc
Legg Mason Wood Walker Inc
Quick &amp; Reilly Inc
RBC Dain Rauscher Corp
Wells Fargo &amp; Co
Advest Inc
Robert W Baird &amp; Co Inc
H&amp;R Block Financial Advisors
Fahnestock &amp; Co
Ferris Baker Watts Inc
Janney Montgomery Scott Inc
JJB Hilliard WL Lyons Inc
McDonald Investments Inc
Morgan Keegan Inc</t>
  </si>
  <si>
    <t>Nuveen Conn Div Adv Mun Fund 3</t>
  </si>
  <si>
    <t>NGO</t>
  </si>
  <si>
    <t>67071Y108</t>
  </si>
  <si>
    <t>Citigroup/Salomon Smith Barney
AG Edwards &amp; Sons Inc
Prudential Securities Inc
UBS Warburg
Advest Inc
Fahnestock &amp; Co
Janney Montgomery Scott Inc
Raymond James &amp; Associates Inc
Ryan Beck &amp; Co
Wachovia Securities Inc
Nuveen Investments LLC
H&amp;R Block Financial Advisors
CIBC World Markets Inc
Deutsche Bank Securities Corp
US Bancorp Piper Jaffray
Legg Mason Wood Walker
Quick &amp; Reilly Inc
RBC Dain Rauscher Corp
SunTrust Capital Markets
TD Securities Inc</t>
  </si>
  <si>
    <t>CITIGROUP-SSB//A-G-EDWARDS/PSI
/UBS-WARBURG/ADVEST/FAHNESTOCK/JANNEY
/RAYMOND/RYAN-BECK/WACHOVIA-SEC
/NUVEEN-INV//HR-BLOCK-FIN/CIBC-WORLD
/DEUTSCHE-BK-SEC/US-PIPER/LEGG-MASON-WW
/Q&amp;R/RBC-DAIN/SUNTRUST-CAP
/TD-SECURITIES</t>
  </si>
  <si>
    <t>CITIGROUP-SSB
A-G-EDWARDS
PSI
UBS-WARBURG
ADVEST
FAHNESTOCK
JANNEY
RAYMOND
RYAN-BECK
WACHOVIA-SEC
NUVEEN-INV</t>
  </si>
  <si>
    <t>Citigroup/Salomon Smith Barney
AG Edwards &amp; Sons Inc
Prudential Securities Inc
UBS Warburg
Advest Inc
Fahnestock &amp; Co
Janney Montgomery Scott Inc
Raymond James &amp; Associates Inc
Ryan Beck &amp; Co
Wachovia Securities Inc
Nuveen Investments LLC</t>
  </si>
  <si>
    <t>Nuveen Maryland Dividend</t>
  </si>
  <si>
    <t>NWI</t>
  </si>
  <si>
    <t>67072A109</t>
  </si>
  <si>
    <t>Citigroup/Salomon Smith Barney
Nuveen Investments LLC
AG Edwards &amp; Sons Inc
Prudential Securities Inc
UBS Warburg
Deutsche Bank Securities Corp
Ferris Baker Watts
Legg Mason Wood Walker
Raymond James &amp; Associates Inc
Ryan Beck &amp; Co
SunTrust Robinson Humphrey
Wachovia Bank NA
H&amp;R Block Financial Advisors
CIBC World Markets Inc
US Bancorp Piper Jaffray
Advest Inc
Robert W Baird &amp; Co Inc
BB&amp;T Capital Markets
Folger, Nolan, Fleming
Janney Montgomery Scott Inc
Johnston Lemon &amp; Co Inc
Quick &amp; Reilly Inc
TD Securities Inc</t>
  </si>
  <si>
    <t>CITIGROUP-SSB//NUVEEN-INV/A-G-EDWARDS
/PSI/UBS-WARBURG/DEUTSCHE-BK-SEC
/FERRIS-BAKER/LEGG-MASON-WW/RAYMOND
/RYAN-BECK/SUNTRUST-RH/WACHOVIA
//HR-BLOCK-FIN/CIBC-WORLD/US-PIPER
/ADVEST/BAIRD/BB-T-CAP/FOLGER-NOLAN
/JANNEY/JOHNSTON-LEMON/Q&amp;R
/TD-SECURITIES</t>
  </si>
  <si>
    <t>CITIGROUP-SSB
NUVEEN-INV
A-G-EDWARDS
PSI
UBS-WARBURG
DEUTSCHE-BK-SEC
FERRIS-BAKER
LEGG-MASON-WW
RAYMOND
RYAN-BECK
SUNTRUST-RH
WACHOVIA</t>
  </si>
  <si>
    <t>Citigroup/Salomon Smith Barney
Nuveen Investments LLC
AG Edwards &amp; Sons Inc
Prudential Securities Inc
UBS Warburg
Deutsche Bank Securities Corp.
Ferris Baker Watts Inc
Legg Mason Wood Walker Inc
Raymond James &amp; Associates Inc
Ryan Beck &amp; Co
SunTrust Robinson Humphrey
Wachovia Bank NA</t>
  </si>
  <si>
    <t>Nuveen GA Div Adv Mun Fund 2</t>
  </si>
  <si>
    <t>NKG</t>
  </si>
  <si>
    <t>67072B107</t>
  </si>
  <si>
    <t>Citigroup/Salomon Smith Barney
Nuveen Investments LLC
AG Edwards &amp; Sons Inc
Prudential Securities Inc
UBS Warburg
Deutsche Bank Securities Corp
Raymond James &amp; Associates Inc
SunTrust Capital Markets
Wachovia Securities Inc
H&amp;R Block Financial Advisors
CIBC World Markets Inc
Legg Mason Wood Walker
US Bancorp Piper Jaffray
Advest Inc
Robert W Baird &amp; Co Inc
Fahnestock &amp; Co
Janney Montgomery Scott Inc
Quick &amp; Reilly Inc
Sterne Agee &amp; Leach Inc
TD Securities Inc</t>
  </si>
  <si>
    <t>CITIGROUP-SSB//NUVEEN-INV/A-G-EDWARDS
/PSI/UBS-WARBURG/DEUTSCHE-BK-SEC
/RAYMOND/SUNTRUST-CAP/WACHOVIA-SEC
//HR-BLOCK-FIN/CIBC-WORLD/LEGG-MASON-WW
/US-PIPER/ADVEST/BAIRD/FAHNESTOCK
/JANNEY/Q&amp;R/STERNE-AGEE/TD-SECURITIES</t>
  </si>
  <si>
    <t>CITIGROUP-SSB
NUVEEN-INV
A-G-EDWARDS
PSI
UBS-WARBURG
DEUTSCHE-BK-SEC
RAYMOND
SUNTRUST-CAP
WACHOVIA-SEC</t>
  </si>
  <si>
    <t>Citigroup/Salomon Smith Barney
Nuveen Investments LLC
AG Edwards &amp; Sons Inc
Prudential Securities Inc
UBS Warburg
Deutsche Bank Securities Corp.
Raymond James &amp; Associates Inc
SunTrust Capital Markets
Wachovia Securities Inc</t>
  </si>
  <si>
    <t>Nuveen North Carolina Fund 3</t>
  </si>
  <si>
    <t>NII</t>
  </si>
  <si>
    <t>67072D103</t>
  </si>
  <si>
    <t>Citigroup/Salomon Smith Barney
AG Edwards &amp; Sons Inc
Prudential Securities Inc
UBS Warburg
Deutsche Bank Securities Corp
Raymond James &amp; Associates Inc
Wachovia Securities Inc
Nuveen Investments LLC
H&amp;R Block Financial Advisors
CIBC World Markets Inc
Legg Mason Wood Walker
US Bancorp Piper Jaffray
Advest Inc
BB&amp;T Capital Markets
Davenport
Ferris Baker Watts
JJB Hilliard WL Lyons Inc
Quick &amp; Reilly Inc
Redwine &amp; Company Inc
TD Securities Inc</t>
  </si>
  <si>
    <t>CITIGROUP-SSB//A-G-EDWARDS/PSI
/UBS-WARBURG/DEUTSCHE-BK-SEC/RAYMOND
/WACHOVIA-SEC/NUVEEN-INV//HR-BLOCK-FIN
/CIBC-WORLD/LEGG-MASON-WW/US-PIPER
/ADVEST/BB-T-CAP/DAVENPORT/FERRIS-BAKER
/HILLIARD/Q&amp;R/REDWINE-CO/TD-SECURITIES</t>
  </si>
  <si>
    <t>CITIGROUP-SSB
A-G-EDWARDS
PSI
UBS-WARBURG
DEUTSCHE-BK-SEC
RAYMOND
WACHOVIA-SEC
NUVEEN-INV</t>
  </si>
  <si>
    <t>Citigroup/Salomon Smith Barney
AG Edwards &amp; Sons Inc
Prudential Securities Inc
UBS Warburg
Deutsche Bank Securities Corp.
Raymond James &amp; Associates Inc
Wachovia Securities Inc
Nuveen Investments LLC</t>
  </si>
  <si>
    <t>Nuveen Arizona Dividend</t>
  </si>
  <si>
    <t>NXE</t>
  </si>
  <si>
    <t>67072E101</t>
  </si>
  <si>
    <t>Citigroup/Salomon Smith Barney
Nuveen Investments LLC
AG Edwards &amp; Sons Inc
Prudential Securities Inc
UBS Warburg
Raymond James &amp; Associates Inc
Wachovia Bank NA
H&amp;R Block Financial Advisors
CIBC World Markets Inc
Deutsche Bank Securities Corp
US Bancorp Piper Jaffray
Advest Inc
Robert W Baird &amp; Co Inc
DA Davidson &amp; Co Inc
Fahnestock &amp; Co
Peacock Hislop Staley &amp; Given
Quick &amp; Reilly Inc
RBC Dain Rauscher Corp
TD Securities Inc
Wedbush, Noble, Cooke</t>
  </si>
  <si>
    <t>CITIGROUP-SSB//NUVEEN-INV/A-G-EDWARDS
/PSI/UBS-WARBURG/RAYMOND/WACHOVIA
//HR-BLOCK-FIN/CIBC-WORLD
/DEUTSCHE-BK-SEC/US-PIPER/ADVEST/BAIRD
/DAVIDSON/FAHNESTOCK/PEACOCK-HISLOP/Q&amp;R
/RBC-DAIN/TD-SECURITIES/WEDBUSH</t>
  </si>
  <si>
    <t>CITIGROUP-SSB
NUVEEN-INV
A-G-EDWARDS
PSI
UBS-WARBURG
RAYMOND
WACHOVIA</t>
  </si>
  <si>
    <t>Citigroup/Salomon Smith Barney
Nuveen Investments LLC
AG Edwards &amp; Sons Inc
Prudential Securities Inc
UBS Warburg
Raymond James &amp; Associates Inc
Wachovia Bank NA</t>
  </si>
  <si>
    <t>Montpelier Re Holdings Ltd</t>
  </si>
  <si>
    <t>MRH</t>
  </si>
  <si>
    <t>MS/BA-SEC-LLC(JB)
/CS-FB-CS(JB)</t>
  </si>
  <si>
    <t>G62185106</t>
  </si>
  <si>
    <t>Morgan Stanley &amp; Co
Banc of America Securities LLC
Credit Suisse First Boston
JP Morgan
Dowling &amp; Partners Securities
Fox-Pitt Kelton
Janney Montgomery Scott Inc
Morgan Stanley &amp; Co
Banc of America Securities LLC
Credit Suisse First Boston</t>
  </si>
  <si>
    <t>MS(JB)/BA-SEC-LLC(JB)/CS-FB-CS(JB)//JPM
//DOWL/FOX-PITT/JANNEY//MS(GC)
/BA-SEC-LLC(GC)/CS-FB-CS(GC)</t>
  </si>
  <si>
    <t>MS/BA-SEC-LLC/CS-FB-CS</t>
  </si>
  <si>
    <t>MS
(JB)/BA-SEC-LLC(JB)
/CS-FB-CS(JB)
JPM</t>
  </si>
  <si>
    <t>Morgan Stanley &amp; Co
Banc of America Securities LLC
Credit Suisse First Boston Corp
JP Morgan &amp; Co Inc</t>
  </si>
  <si>
    <t>MS(JB)/BA-SEC-LLC(JB)/CS-FB-CS(JB)//JPM
/DOWL/FOX-PITT/JANNEY//MS(GC)
/BA-SEC-LLC(GC)/CS-FB-CS(GC)</t>
  </si>
  <si>
    <t>MS
(JB)/BA-SEC-LLC(JB)
/CS-FB-CS(JB)</t>
  </si>
  <si>
    <t>Morgan Stanley &amp; Co
Banc of America Securities LLC
Credit Suisse First Boston Corp</t>
  </si>
  <si>
    <t>Enbridge Energy Management LLC</t>
  </si>
  <si>
    <t>EEQ</t>
  </si>
  <si>
    <t>Ltd Liab Int</t>
  </si>
  <si>
    <t>29250X103</t>
  </si>
  <si>
    <t>Goldman Sachs &amp; Co
Banc of America Securities LLC
CIBC World Markets Inc
Credit Suisse First Boston
RBC Capital Markets
UBS Warburg</t>
  </si>
  <si>
    <t>EEP</t>
  </si>
  <si>
    <t>Enbridge Energy Partners LP</t>
  </si>
  <si>
    <t>GS//BA-SEC-LLC/CIBC-WORLD/CS-FB-CS
/RBC-CAP-MKTS/UBS-WARBURG</t>
  </si>
  <si>
    <t>GS
BA-SEC-LLC
CIBC-WORLD
CS-FB-CS
RBC-CAP-MKTS
UBS-WARBURG</t>
  </si>
  <si>
    <t>Goldman Sachs &amp; Co
Banc of America Securities LLC
CIBC World Markets Inc
Credit Suisse First Boston Corp
RBC Capital Markets
UBS Warburg</t>
  </si>
  <si>
    <t>Natural Resource Partners LP</t>
  </si>
  <si>
    <t>NRP</t>
  </si>
  <si>
    <t>63900P103</t>
  </si>
  <si>
    <t>Citigroup/Salomon Smith Barney
Lehman Brothers
CIBC World Markets Inc
Friedman Billings Ramsey Group
RBC Capital Markets</t>
  </si>
  <si>
    <t>CITIGROUP-SSB/LEH(JOINT)//CIBC-WORLD
/FRIEDMAN-B/RBC-CAP-MKTS</t>
  </si>
  <si>
    <t>CITIGROUP-SSB/LEH</t>
  </si>
  <si>
    <t>CITIGROUP-SSB
/LEH(JOINT)
CIBC-WORLD
FRIEDMAN-B
RBC-CAP-MKTS</t>
  </si>
  <si>
    <t>Newcastle Investment Corp</t>
  </si>
  <si>
    <t>NCT</t>
  </si>
  <si>
    <t>65105M108</t>
  </si>
  <si>
    <t>Bear Stearns &amp; Co Inc
Lehman Brothers
Banc of America Securities LLC
Friedman Billings Ramsey Group</t>
  </si>
  <si>
    <t>BEAR/LEH(JOINT)//BA-SEC-LLC/FRIEDMAN-B</t>
  </si>
  <si>
    <t>BEAR/LEH</t>
  </si>
  <si>
    <t>BEAR
/LEH(JOINT)
BA-SEC-LLC
FRIEDMAN-B</t>
  </si>
  <si>
    <t>Dick's Sporting Goods Inc</t>
  </si>
  <si>
    <t>DKS</t>
  </si>
  <si>
    <t>Merrill Lynch
Goldman Sachs &amp; Co
Banc of America Securities LLC
William Blair &amp; Co
Bear Stearns &amp; Co Inc
Deutsche Bank Securities Corp
Wachovia Bank NA
Ferris Baker Watts
Gardner Rich &amp; Co
Gerard Klauer Mattison &amp; Co
JJB Hilliard WL Lyons Inc
Natcity Investments Inc.
Neuberger Berman Inc
Stephens Inc
Strand,Atkinson,Williams&amp;Yerl
Wells Fargo Bank NA
Merrill Lynch</t>
  </si>
  <si>
    <t>MERRILL//GS/BA-SEC-LLC/WM-BLAIR//BEAR
/DEUTSCHE-BK-SEC/WACHOVIA/FERRIS-BAKER
/GARDNER-RICH/GERARD-KLAUER/HILLIARD
/NATCITY-INVEST/NEUBERGER/STEPHENS
/STRAND-ATKIN/WELLS-FARGO//MERRILL(GC)</t>
  </si>
  <si>
    <t>MERRILL
GS
BA-SEC-LLC
WM-BLAIR</t>
  </si>
  <si>
    <t>Merrill Lynch &amp; Co Inc
Goldman Sachs &amp; Co
Banc of America Securities LLC
William Blair &amp; Co</t>
  </si>
  <si>
    <t>MERRILL//GS//BA-SEC-LLC/WM-BLAIR/BEAR
/DEUTSCHE-BK-SEC/WACHOVIA/FERRIS-BAKER
/GARDNER-RICH/GERARD-KLAUER/HILLIARD
/NATCITY-INVEST/NEUBERGER/STEPHENS
/STRAND-ATKIN/WELLS-FARGO//MERRILL(GC)</t>
  </si>
  <si>
    <t>MERRILL
GS</t>
  </si>
  <si>
    <t>Merrill Lynch &amp; Co Inc
Goldman Sachs &amp; Co</t>
  </si>
  <si>
    <t>Taylor Capital Group Inc</t>
  </si>
  <si>
    <t>TAYC</t>
  </si>
  <si>
    <t>Keefe Bruyette &amp; Woods Inc
Stifel Nicolaus &amp; Co Inc
Howe Barnes Investments Inc
RBC Dain Rauscher Corp
US Bancorp Piper Jaffray
Advest Inc
BB&amp;T Capital Markets
Fahnestock &amp; Co
Ferris Baker Watts
Legg Mason Wood Walker
Mesirow Financial Corp
Morgan Keegan Inc
Robert W Baird &amp; Co Inc
Wachovia Securities Inc</t>
  </si>
  <si>
    <t>KEEFE//STIFEL/HOWE-BARNES//RBC-DAIN
/US-PIPER/ADVEST/BB-T-CAP/FAHNESTOCK
/FERRIS-BAKER/LEGG-MASON-WW/MESIROW-FIN
/MORGAN-KEEGAN/BAIRD/WACHOVIA-SEC</t>
  </si>
  <si>
    <t>KEEFE
STIFEL
HOWE-BARNES</t>
  </si>
  <si>
    <t>Keefe Bruyette &amp; Woods Inc
Stifel Nicolaus &amp; Co Inc
Howe Barnes Investments Inc</t>
  </si>
  <si>
    <t>Natural Gas Services Group Inc</t>
  </si>
  <si>
    <t>NGS</t>
  </si>
  <si>
    <t>NEIDIGER</t>
  </si>
  <si>
    <t>63886Q109</t>
  </si>
  <si>
    <t>Neidiger, Tucker, Bruner Inc.
Investors Capital Corp
Kashner Davidson Securities
Berry-Shino Securities Inc
STERLING FINANCIAL INVESTMENT
West Park Capital</t>
  </si>
  <si>
    <t>NEIDIGER//INVEST-CAPITAL/KASHNER
/BERRY-SHINO/STERLING-FIN-I
/WEST-PARK-CAP</t>
  </si>
  <si>
    <t>NEIDIGER
INVEST-CAPITAL
KASHNER
BERRY-SHINO
STERLING-FIN-I
WEST-PARK-CAP</t>
  </si>
  <si>
    <t>Neidiger, Tucker, Bruner Inc.
Investors Capital Corp
Kashner Davidson Securities Corporation
Berry-Shino Securities Inc
STERLING FINANCIAL INVESTMENT GROUP
West Park Capital</t>
  </si>
  <si>
    <t>USI Holdings Corp</t>
  </si>
  <si>
    <t>USIH</t>
  </si>
  <si>
    <t>MERRILL/JPM(JB)</t>
  </si>
  <si>
    <t>90333H101</t>
  </si>
  <si>
    <t>Merrill Lynch
JP Morgan
Credit Suisse First Boston
Fox-Pitt Kelton
Credit Lyonnais Securities USA
Merrill Lynch
JP Morgan</t>
  </si>
  <si>
    <t>MERRILL(JB)/JPM(JB)//CS-FB-CS/FOX-PITT
/CL-SEC-USA//MERRILL(GC)/JPM(GC)</t>
  </si>
  <si>
    <t>MERRILL
(JB)/JPM(JB)
CS-FB-CS
FOX-PITT
CL-SEC-USA</t>
  </si>
  <si>
    <t>Merrill Lynch &amp; Co Inc
JP Morgan &amp; Co Inc
Credit Suisse First Boston Corp
Fox-Pitt Kelton
Credit Lyonnais Securities USA</t>
  </si>
  <si>
    <t>MERRILL
(JB)/JPM(JB)</t>
  </si>
  <si>
    <t>Wynn Resorts Ltd</t>
  </si>
  <si>
    <t>WYNN</t>
  </si>
  <si>
    <t>DEUTSCHE-BK-SEC
/BEAR(JB)
/BA-SEC-LLC(JB)</t>
  </si>
  <si>
    <t>Deutsche Bank Securities Corp
Bear Stearns &amp; Co Inc
Banc of America Securities LLC
JP Morgan
Dresdner Kleinwort Wasserstein
Jefferies &amp; Co Inc
Lazard
SG Cowen Securities Corp
Thomas Weisel Partners
CIBC World Markets Inc
Credit Suisse First Boston
Goldman Sachs &amp; Co
Citigroup/Salomon Smith Barney
UBS Warburg
Cantor Fitzgerald Inc
Fulcrum II L.P.
Gabelli &amp; Co Inc
Gerard Klauer Mattison &amp; Co
JMP Securities LLC
Neuberger Berman Inc
Parker-Hunter Inc
CE Unterberg Towbin</t>
  </si>
  <si>
    <t>DEUTSCHE-BK-SEC(JB)/BEAR(JB)
/BA-SEC-LLC(JB)//JPM/DRES-KLEIN-WASS
/JEFFERIES/LAZARD/SG-COWEN
/THOMAS-WEISEL//CIBC-WORLD/CS-FB-CS/GS
/CITIGROUP-SSB/UBS-WARBURG/CANTOR
/FULCRUM/GABELLI/GERARD-KLAUER/JMP-SEC
/NEUBERGER/PARKER-HUNTER/UNTERBERG</t>
  </si>
  <si>
    <t>DEUTSCHE-BK-SEC/BEAR/BA-SEC-LLC</t>
  </si>
  <si>
    <t>DEUTSCHE-BK-SEC
(JB)/BEAR(JB)
/BA-SEC-LLC(JB)
JPM
DRES-KLEIN-WASS
JEFFERIES
LAZARD
SG-COWEN
THOMAS-WEISEL</t>
  </si>
  <si>
    <t>Deutsche Bank Securities Corp.
Bear Stearns &amp; Co Inc
Banc of America Securities LLC
JP Morgan &amp; Co Inc
Dresdner Kleinwort Wasserstein
Jefferies &amp; Co Inc
Lazard
SG Cowen Securities Corp
Thomas Weisel Partners</t>
  </si>
  <si>
    <t>Blackrock Insured Muni Income</t>
  </si>
  <si>
    <t>BYM</t>
  </si>
  <si>
    <t>092479104</t>
  </si>
  <si>
    <t>Citigroup/Salomon Smith Barney
Merrill Lynch
Prudential Securities Inc
Wachovia Bank NA
Fahnestock &amp; Co
Janney Montgomery Scott Inc
JJB Hilliard WL Lyons Inc
Legg Mason Wood Walker
Quick &amp; Reilly Inc
Ryan Beck &amp; Co
TD Securities Inc
CIBC World Markets Inc
Deutsche Bank Securities Corp
AG Edwards &amp; Sons Inc
RBC Dain Rauscher Corp
US Bancorp Piper Jaffray
Wells Fargo Bank NA
Advest Inc
Robert W Baird &amp; Co Inc
BB&amp;T Capital Markets
Crowell Weedon &amp; Co
DA Davidson &amp; Co Inc
Ferris Baker Watts
Fifth Third Bancorp
Morgan Keegan Inc
Stifel Nicolaus &amp; Co Inc
Wedbush Securities
Allen &amp; Co Inc
Chester Harris &amp; Co
Hennion &amp; Walsh, Inc
Howe Barnes Investments Inc
Wayne Hummer &amp; Co
Johnston Lemon &amp; Co Inc
Mesirow Financial Corp
David A. Noyes
Sands Brothers &amp; Co Ltd
Sterling Financial Corp
M. L. Stern
Southwest Securities Inc</t>
  </si>
  <si>
    <t>CITIGROUP-SSB(JB)/MERRILL(JB)//PSI
/WACHOVIA/FAHNESTOCK/JANNEY/HILLIARD
/LEGG-MASON-WW/Q&amp;R/RYAN-BECK
/TD-SECURITIES//CIBC-WORLD
/DEUTSCHE-BK-SEC/A-G-EDWARDS/RBC-DAIN
/US-PIPER/WELLS-FARGO/ADVEST/BAIRD
/BB-T-CAP/CROWELL/DAVIDSON/FERRIS-BAKER
/FIFTH-THIRD/MORGAN-KEEGAN/STIFEL
/WEDBUSH-M/ALLEN/CHESTER-HARRIS
/HENNION-WALSH/HOWE-BARNES/HUMMER
/JOHNSTON-LEMON/MESIROW-FIN/D-A-NOYES
/SANDS/STERLING-FIN/M-L-STERN/SWS-SEC</t>
  </si>
  <si>
    <t>CITIGROUP-SSB
(JB)/MERRILL(JB)
PSI
WACHOVIA
FAHNESTOCK
JANNEY
HILLIARD
LEGG-MASON-WW
Q&amp;R
RYAN-BECK
TD-SECURITIES</t>
  </si>
  <si>
    <t>Citigroup/Salomon Smith Barney
Merrill Lynch &amp; Co Inc
Prudential Securities Inc
Wachovia Bank NA
Fahnestock &amp; Co
Janney Montgomery Scott Inc
JJB Hilliard WL Lyons Inc
Legg Mason Wood Walker Inc
Quick &amp; Reilly Inc
Ryan Beck &amp; Co
TD Securities Inc</t>
  </si>
  <si>
    <t>Blackrock Cali Insured Muni</t>
  </si>
  <si>
    <t>BCK</t>
  </si>
  <si>
    <t>092484104</t>
  </si>
  <si>
    <t>Citigroup/Salomon Smith Barney
Merrill Lynch
Prudential Securities Inc
Wachovia Bank NA
Quick &amp; Reilly Group, Inc.
Wedbush, Noble, Cooke
CIBC World Markets Inc
Deutsche Bank Securities Corp
AG Edwards &amp; Sons Inc
Legg Mason Wood Walker
RBC Dain Rauscher Corp
US Bancorp Piper Jaffray
Wells Fargo Bank NA
Advest Inc
Crowell Weedon &amp; Co
Fahnestock &amp; Co
Wayne Hummer &amp; Co
Janney Montgomery Scott Inc
LaSalle Street Securities Inc
Ryan Beck &amp; Co
Sterling Financial Corp
M. L. Stern
TD Waterhouse Securities</t>
  </si>
  <si>
    <t>CITIGROUP-SSB(JB)/MERRILL(JB)//PSI
/WACHOVIA/QUICK-REILLY/WEDBUSH
//CIBC-WORLD/DEUTSCHE-BK-SEC
/A-G-EDWARDS/LEGG-MASON-WW/RBC-DAIN
/US-PIPER/WELLS-FARGO/ADVEST/CROWELL
/FAHNESTOCK/HUMMER/JANNEY/LASALLE-SEC
/RYAN-BECK/STERLING-FIN/M-L-STERN/TDWS</t>
  </si>
  <si>
    <t>CITIGROUP-SSB
(JB)/MERRILL(JB)
PSI
WACHOVIA
QUICK-REILLY
WEDBUSH</t>
  </si>
  <si>
    <t>Citigroup/Salomon Smith Barney
Merrill Lynch &amp; Co Inc
Prudential Securities Inc
Wachovia Bank NA
Quick &amp; Reilly Group, Inc.
Wedbush, Noble, Cooke, Inc.</t>
  </si>
  <si>
    <t>Blackrock NY Insured Muni</t>
  </si>
  <si>
    <t>BSE</t>
  </si>
  <si>
    <t>09249U105</t>
  </si>
  <si>
    <t>Citigroup/Salomon Smith Barney
Merrill Lynch
Prudential Securities Inc
Wachovia Securities Inc
Fahnestock &amp; Co
Janney Montgomery Scott Inc
Quick &amp; Reilly Group, Inc.
Ryan Beck &amp; Co
CIBC World Markets Inc
Deutsche Bank Securities Corp
AG Edwards &amp; Sons Inc
Legg Mason Wood Walker
RBC Dain Rauscher Corp
US Bancorp Piper Jaffray
Advest Inc
Ferris Baker Watts
Chester Harris &amp; Co
Hennion &amp; Walsh, Inc
JJB Hilliard WL Lyons Inc
Sterling Financial Corp
TD Waterhouse Securities</t>
  </si>
  <si>
    <t>CITIGROUP-SSB(JB)/MERRILL(JB)//PSI
/WACHOVIA-SEC/FAHNESTOCK/JANNEY
/QUICK-REILLY/RYAN-BECK//CIBC-WORLD
/DEUTSCHE-BK-SEC/A-G-EDWARDS
/LEGG-MASON-WW/RBC-DAIN/US-PIPER/ADVEST
/FERRIS-BAKER/CHESTER-HARRIS
/HENNION-WALSH/HILLIARD/STERLING-FIN
/TDWS</t>
  </si>
  <si>
    <t>CITIGROUP-SSB
(JB)/MERRILL(JB)
PSI
WACHOVIA-SEC
FAHNESTOCK
JANNEY
QUICK-REILLY
RYAN-BECK</t>
  </si>
  <si>
    <t>Citigroup/Salomon Smith Barney
Merrill Lynch &amp; Co Inc
Prudential Securities Inc
Wachovia Securities Inc
Fahnestock &amp; Co
Janney Montgomery Scott Inc
Quick &amp; Reilly Group, Inc.
Ryan Beck &amp; Co</t>
  </si>
  <si>
    <t>Blackrock Florida Insured Muni</t>
  </si>
  <si>
    <t>BAF</t>
  </si>
  <si>
    <t>09250G102</t>
  </si>
  <si>
    <t>Citigroup/Salomon Smith Barney
Merrill Lynch
Prudential Securities Inc
Wachovia Bank NA
Janney Montgomery Scott Inc
Quick &amp; Reilly Group, Inc.
Ryan Beck &amp; Co
H&amp;R Block Financial Advisors
CIBC World Markets Inc
Legg Mason Wood Walker
AG Edwards &amp; Sons Inc
RBC Dain Rauscher Corp
UBS Warburg
US Bancorp Piper Jaffray
Advest Inc
Allen &amp; Co Inc
Robert W Baird &amp; Co Inc
BB&amp;T Capital Markets
Fahnestock &amp; Co
Ferris Baker Watts
JJB Hilliard WL Lyons Inc
Wayne Hummer &amp; Co
Sands Brothers &amp; Co Ltd
Stifel Nicolaus &amp; Co Inc
TD Waterhouse Securities</t>
  </si>
  <si>
    <t>CITIGROUP-SSB(JB)/MERRILL(JB)//PSI
/WACHOVIA/JANNEY/QUICK-REILLY/RYAN-BECK
//HR-BLOCK-FIN/CIBC-WORLD/LEGG-MASON-WW
/A-G-EDWARDS/RBC-DAIN/UBS-WARBURG
/US-PIPER/ADVEST/ALLEN/BAIRD/BB-T-CAP
/FAHNESTOCK/FERRIS-BAKER/HILLIARD
/HUMMER/SANDS/STIFEL/TDWS</t>
  </si>
  <si>
    <t>CITIGROUP-SSB
(JB)/MERRILL(JB)
PSI
WACHOVIA
JANNEY
QUICK-REILLY
RYAN-BECK</t>
  </si>
  <si>
    <t>Citigroup/Salomon Smith Barney
Merrill Lynch &amp; Co Inc
Prudential Securities Inc
Wachovia Bank NA
Janney Montgomery Scott Inc
Quick &amp; Reilly Group, Inc.
Ryan Beck &amp; Co</t>
  </si>
  <si>
    <t>Pimco Municipal Income III</t>
  </si>
  <si>
    <t>PMX</t>
  </si>
  <si>
    <t>72201A103</t>
  </si>
  <si>
    <t>UBS Warburg
AG Edwards &amp; Sons Inc
RBC Capital Markets
SunTrust Robinson Humphrey
Wachovia Capital Markets
Wells Fargo Bank NA
H&amp;R Block Financial Advisors
Janney Montgomery Scott Inc
McDonald Investments
Quick &amp; Reilly Group, Inc.</t>
  </si>
  <si>
    <t>UBS-WARBURG//A-G-EDWARDS/RBC-CAP-MKTS
/SUNTRUST-RH/WACHOVIA-CAP/WELLS-FARGO
/HR-BLOCK-FIN/JANNEY/MCDONALD
/QUICK-REILLY</t>
  </si>
  <si>
    <t>UBS-WARBURG
A-G-EDWARDS
RBC-CAP-MKTS
SUNTRUST-RH
WACHOVIA-CAP
WELLS-FARGO
HR-BLOCK-FIN
JANNEY
MCDONALD
QUICK-REILLY</t>
  </si>
  <si>
    <t>UBS Warburg
AG Edwards &amp; Sons Inc
RBC Capital Markets
SunTrust Robinson Humphrey
Wachovia Capital Markets
Wells Fargo Bank NA
H&amp;R Block Financial Advisors
Janney Montgomery Scott Inc
McDonald Investments Inc
Quick &amp; Reilly Group, Inc.</t>
  </si>
  <si>
    <t>PIMCO California Municipal III</t>
  </si>
  <si>
    <t>PZC</t>
  </si>
  <si>
    <t>72201C109</t>
  </si>
  <si>
    <t>UBS Warburg
AG Edwards &amp; Sons Inc
RBC Capital Markets
Wachovia Securities Inc
Wells Fargo Bank NA
Crowell Weedon &amp; Co
H&amp;R Block Financial Advisors
Quick &amp; Reilly Inc
Wedbush Securities
CIBC World Markets Inc
Deutsche Bank Securities Corp
Merrill Lynch
Citigroup/Salomon Smith Barney
M. L. Stern
Stone &amp; Youngberg
TD Waterhouse Securities
US Bancorp Piper Jaffray
Advest Inc
Fahnestock &amp; Co
Round Hill Securities, Inc.
SunAmerica Inc
Santa Barbara Securities
Seidler Corp
Spelman &amp; Co.
Stifel Nicolaus &amp; Co Inc
Torrey Pines Securities
Hollencrest Securities
LPL Financial Services</t>
  </si>
  <si>
    <t>UBS-WARBURG//A-G-EDWARDS/RBC-CAP-MKTS
/WACHOVIA-SEC/WELLS-FARGO/CROWELL
/HR-BLOCK-FIN/Q&amp;R/WEDBUSH-M//CIBC-WORLD
/DEUTSCHE-BK-SEC/MERRILL/CITIGROUP-SSB
/M-L-STERN/STONE-YOUNG/TDWS/US-PIPER
/ADVEST/FAHNESTOCK/ROUND-HILL/SUNAC
/SANTA-BARBARA/SEIDLER-COS/SPELMAN
/STIFEL/TORREY-PINES/HOLLENCREST
/LPL-FIN</t>
  </si>
  <si>
    <t>UBS-WARBURG
A-G-EDWARDS
RBC-CAP-MKTS
WACHOVIA-SEC
WELLS-FARGO
CROWELL
HR-BLOCK-FIN
Q&amp;R
WEDBUSH-M</t>
  </si>
  <si>
    <t>UBS Warburg
AG Edwards &amp; Sons Inc
RBC Capital Markets
Wachovia Securities Inc
Wells Fargo Bank NA
Crowell Weedon &amp; Co
H&amp;R Block Financial Advisors
Quick &amp; Reilly Inc
Wedbush Securities</t>
  </si>
  <si>
    <t>PIMCO New York Municipal 3</t>
  </si>
  <si>
    <t>PYN</t>
  </si>
  <si>
    <t>UBS-INV-BANK</t>
  </si>
  <si>
    <t>72201E105</t>
  </si>
  <si>
    <t>UBS Investment Bank
AG Edwards &amp; Sons Inc
Royal Bank of Canada
Wachovia Securities Inc
Advest Inc
Fahnestock &amp; Co
H&amp;R Block Financial Advisors
Janney Montgomery Scott Inc
Quick &amp; Reilly Inc</t>
  </si>
  <si>
    <t>UBS-INV-BANK//A-G-EDWARDS/RBC
/WACHOVIA-SEC/ADVEST/FAHNESTOCK
/HR-BLOCK-FIN/JANNEY/Q&amp;R</t>
  </si>
  <si>
    <t>UBS-INV-BANK
A-G-EDWARDS
RBC
WACHOVIA-SEC
ADVEST
FAHNESTOCK
HR-BLOCK-FIN
JANNEY
Q&amp;R</t>
  </si>
  <si>
    <t>Scudder RREEF Real Estate Fund</t>
  </si>
  <si>
    <t>SRQ</t>
  </si>
  <si>
    <t>81119Q100</t>
  </si>
  <si>
    <t>UBS Warburg
Merrill Lynch
Deutsche Bank Securities Corp
Prudential Securities Inc
Legg Mason Wood Walker
Raymond James &amp; Associates Inc
RBC Capital Markets
Wachovia Securities Inc
Wells Fargo Bank NA
CIBC World Markets Inc
AG Edwards &amp; Sons Inc
Fahnestock &amp; Co
JJB Hilliard WL Lyons Inc
Janney Montgomery Scott Inc
McDonald Investments
Piper Jaffray &amp; Hopwood Inc
Quick &amp; Reilly Group, Inc.
TD Waterhouse Securities
Advest Inc
Robert W Baird &amp; Co Inc
BB&amp;T Capital Markets
Crowell Weedon &amp; Co
DA Davidson &amp; Co Inc
Ferris Baker Watts
LPL Investment Group Inc
Morgan Keegan Inc
Parker-Hunter Inc
Seidler Corp
Stephens Inc
M. L. Stern
Stifel Nicolaus &amp; Co Inc
Wedbush, Noble, Cooke
Brean Murray &amp; Co Inc
Johnston Lemon &amp; Co Inc
Mesirow Financial Corp
Pacific Crest Securities Inc
Paulson Investment Co
Peacock Hislop Staley &amp; Given
Sands Brothers &amp; Co Ltd
Smith, Moore
Torrey Pines Securities</t>
  </si>
  <si>
    <t>UBS-WARBURG/MERRILL(JOINT)
//DEUTSCHE-BK-SEC/PSI/LEGG-MASON-WW
/RAYMOND/RBC-CAP-MKTS/WACHOVIA-SEC
/WELLS-FARGO//CIBC-WORLD/A-G-EDWARDS
/FAHNESTOCK/HILLIARD/JANNEY/MCDONALD
/PIPER/QUICK-REILLY/TDWS/ADVEST/BAIRD
/BB-T-CAP/CROWELL/DAVIDSON/FERRIS-BAKER
/LPL-FINACIAL/MORGAN-KEEGAN
/PARKER-HUNTER/SEIDLER-COS/STEPHENS
/M-L-STERN/STIFEL/WEDBUSH/BREAN
/JOHNSTON-LEMON/MESIROW-FIN
/PACIFIC-CREST/PAULSON/PEACOCK-HISLOP
/SANDS/SMITH-MOORE/TORREY-PINES</t>
  </si>
  <si>
    <t>UBS-WARBURG
/MERRILL(JOINT)
DEUTSCHE-BK-SEC
PSI
LEGG-MASON-WW
RAYMOND
RBC-CAP-MKTS
WACHOVIA-SEC
WELLS-FARGO</t>
  </si>
  <si>
    <t>UBS Warburg
Merrill Lynch &amp; Co Inc
Deutsche Bank Securities Corp.
Prudential Securities Inc
Legg Mason Wood Walker Inc
Raymond James &amp; Associates Inc
RBC Capital Markets
Wachovia Securities Inc
Wells Fargo Bank NA</t>
  </si>
  <si>
    <t>Platinum Underwriters Hldg Ltd</t>
  </si>
  <si>
    <t>PTP</t>
  </si>
  <si>
    <t>GS/MERRILL(JB)
/CITIGROUP-SSB(JB)</t>
  </si>
  <si>
    <t>G7127P100</t>
  </si>
  <si>
    <t>Goldman Sachs &amp; Co
Merrill Lynch
Citigroup/Salomon Smith Barney
Banc of America Securities LLC
Credit Suisse First Boston
JP Morgan
Fox-Pitt Kelton
RBC Dain Rauscher Corp
US Bancorp Piper Jaffray
UBS Warburg
BNY Capital Markets Inc
Dowling &amp; Partners Securities
Janney Montgomery Scott Inc
Keefe Bruyette &amp; Woods Inc
Neuberger Berman Inc
Sandler O'Neill Partners
Williams Capital Group LP
Goldman Sachs &amp; Co
Merrill Lynch
Citigroup/Salomon Smith Barney</t>
  </si>
  <si>
    <t>SPC</t>
  </si>
  <si>
    <t>St Paul Cos Inc</t>
  </si>
  <si>
    <t>GS(JB)/MERRILL(JB)/CITIGROUP-SSB(JB)
//BA-SEC-LLC/CS-FB-CS/JPM//FOX-PITT
/RBC-DAIN/US-PIPER/UBS-WARBURG/BNY-CAP
/DOWL/JANNEY/KEEFE/NEUBERGER
/SANDLER-ONEILL/WILLIAMS-CAP//GS(GC)
/MERRILL(GC)/CITIGROUP-SSB(GC)</t>
  </si>
  <si>
    <t>GS/MERRILL/CITIGROUP-SSB</t>
  </si>
  <si>
    <t>GS
(JB)/MERRILL(JB)
/CITIGROUP-SSB(JB)
BA-SEC-LLC
CS-FB-CS
JPM</t>
  </si>
  <si>
    <t>Goldman Sachs &amp; Co
Merrill Lynch &amp; Co Inc
Citigroup/Salomon Smith Barney
Banc of America Securities LLC
Credit Suisse First Boston Corp
JP Morgan &amp; Co Inc</t>
  </si>
  <si>
    <t>GS(JB)/MERRILL(JB)/CITIGROUP-SSB(JB)
//BA-SEC-LLC/CS-FB-CS/JPM/FOX-PITT
/RBC-DAIN/US-PIPER/UBS-WARBURG/BNY-CAP
/DOWL/JANNEY/KEEFE/NEUBERGER
/SANDLER-ONEILL/WILLIAMS-CAP//GS(GC)
/MERRILL(GC)/CITIGROUP-SSB(GC)</t>
  </si>
  <si>
    <t>GS
(JB)/MERRILL(JB)
/CITIGROUP-SSB(JB)</t>
  </si>
  <si>
    <t>Goldman Sachs &amp; Co
Merrill Lynch &amp; Co Inc
Citigroup/Salomon Smith Barney</t>
  </si>
  <si>
    <t>First  Amer MN Muni Fund II</t>
  </si>
  <si>
    <t>MXN</t>
  </si>
  <si>
    <t>US-PIPER
/RBC-CAP-MKTS(JB)</t>
  </si>
  <si>
    <t>31849P104</t>
  </si>
  <si>
    <t>US Bancorp Piper Jaffray
RBC Capital Markets</t>
  </si>
  <si>
    <t>US-PIPER(JB)/RBC-CAP-MKTS(JB)</t>
  </si>
  <si>
    <t>US-PIPER/RBC-CAP-MKTS</t>
  </si>
  <si>
    <t>US-PIPER
(JB)/RBC-CAP-MKTS(JB)</t>
  </si>
  <si>
    <t>US Bancorp Piper Jaffray Inc
RBC Capital Markets</t>
  </si>
  <si>
    <t>Martin Midstream Partners LP</t>
  </si>
  <si>
    <t>MMLP</t>
  </si>
  <si>
    <t>Raymond James &amp; Associates Inc
AG Edwards &amp; Sons Inc
RBC Capital Markets
Ferris Baker Watts
Legg Mason Wood Walker
McDonald Investments
Morgan Keegan Inc
Sanders Morris Harris Inc
Stephens Inc
Wedbush Securities</t>
  </si>
  <si>
    <t>RAYMOND//A-G-EDWARDS/RBC-CAP-MKTS
//FERRIS-BAKER/LEGG-MASON-WW/MCDONALD
/MORGAN-KEEGAN/SANDERS-HARRIS/STEPHENS
/WEDBUSH-M</t>
  </si>
  <si>
    <t>RAYMOND
A-G-EDWARDS
RBC-CAP-MKTS</t>
  </si>
  <si>
    <t>Raymond James &amp; Associates Inc
AG Edwards &amp; Sons Inc
RBC Capital Markets</t>
  </si>
  <si>
    <t>Harrington West Finl,Solvang,</t>
  </si>
  <si>
    <t>HWFG</t>
  </si>
  <si>
    <t>RBC-CAP-MKTS</t>
  </si>
  <si>
    <t>41383L104</t>
  </si>
  <si>
    <t>RBC Capital Markets
AG Edwards &amp; Sons Inc
Hoefer &amp; Arnett Inc
Howe Barnes Investments Inc
Keefe Bruyette &amp; Woods Inc
McDonald Investments
Sandler O'Neill Partners
US Bancorp Piper Jaffray</t>
  </si>
  <si>
    <t>RBC-CAP-MKTS//A-G-EDWARDS/HOEFER-ARNETT
/HOWE-BARNES/KEEFE/MCDONALD
/SANDLER-ONEILL/US-PIPER</t>
  </si>
  <si>
    <t>RBC Capital Markets</t>
  </si>
  <si>
    <t>China Telecom Corp Ltd</t>
  </si>
  <si>
    <t>CHA</t>
  </si>
  <si>
    <t>MORGAN-STANLEY
/MERRILL(JB)
/CHINA-CAPITAL(JB)</t>
  </si>
  <si>
    <t>Morgan Stanley
Merrill Lynch
China International Capital Co
Credit Suisse First Boston
Goldman Sachs &amp; Co
JP Morgan
Lehman Brothers Asia
Citigroup/Salomon Smith Barney
Bear Stearns International
Deutsche Bank AG (Hong Kong)
UBS AG
Morgan Stanley
Merrill Lynch
China International Capital Co</t>
  </si>
  <si>
    <t>MORGAN-STANLEY(JB)/MERRILL(JB)
/CHINA-CAPITAL(JB)//CS-FB-CS/GS/JPM
/LEH-ASIA/CITIGROUP-SSB//BSI/DBHK
/UBS-AG//MORGAN-STANLEY(GC)/MERRILL(GC)
/CHINA-CAPITAL(GC)</t>
  </si>
  <si>
    <t>MORGAN-STANLEY/MERRILL/CHINA-CAPITAL</t>
  </si>
  <si>
    <t>MORGAN-STANLEY
(JB)/MERRILL(JB)
/CHINA-CAPITAL(JB)
CS-FB-CS
GS
JPM
LEH-ASIA
CITIGROUP-SSB</t>
  </si>
  <si>
    <t>Morgan Stanley
Merrill Lynch &amp; Co Inc
China International Capital Corp
Credit Suisse First Boston Corp
Goldman Sachs &amp; Co
JP Morgan &amp; Co Inc
Lehman Brothers Asia
Citigroup/Salomon Smith Barney</t>
  </si>
  <si>
    <t>Morgan Stanley
Merrill Lynch
China International Capital Co
Cazenove Asia Ltd
Bear Stearns International
Deutsche Bank AG (Hong Kong)
Nomura International (HK) Ltd
UBS AG
Credit Suisse First Boston
Goldman Sachs &amp; Co
ING Bank Hong Kong
Credit Lyonnais (Hong Kong)
Citigroup/Salomon Smith Barney
ICEA Capital Limited
Citicorp Capital Markets
BOCI Asia
China International Capital Co
Merrill Lynch
Morgan Stanley</t>
  </si>
  <si>
    <t>MORGAN-STANLEY(JB)/MERRILL(JB)
/CHINA-CAPITAL(JB)//CAZEAS/BSI/DBHK
/NOMURA-HK/UBS-AG//CS-FB-CS/GS/INGBHK
/CL-HK/CITIGROUP-SSB/ICEA/CITICORP-CAP
/BOCIA//CHINA-CAPITAL(GC)/MERRILL(GC)
/MORGAN-STANLEY(GC)</t>
  </si>
  <si>
    <t>MORGAN-STANLEY
(JB)/MERRILL(JB)
/CHINA-CAPITAL(JB)
CAZEAS
BSI
DBHK
NOMURA-HK
UBS-AG</t>
  </si>
  <si>
    <t>Morgan Stanley
Merrill Lynch &amp; Co Inc
China International Capital Corp
Cazenove Asia Ltd
Bear Stearns International Ltd
Deutsche Bank AG (Hong Kong)
Nomura International (Hong Kong) Ltd
UBS AG</t>
  </si>
  <si>
    <t>Portfolio Recovery Assoc Inc</t>
  </si>
  <si>
    <t>PRAA</t>
  </si>
  <si>
    <t>73640Q105</t>
  </si>
  <si>
    <t>William Blair &amp; Co
US Bancorp Piper Jaffray
BB&amp;T Capital Markets
RBC Dain Rauscher Corp
Robert W Baird &amp; Co Inc</t>
  </si>
  <si>
    <t>WM-BLAIR//US-PIPER/BB-T-CAP/RBC-DAIN
/BAIRD</t>
  </si>
  <si>
    <t>WM-BLAIR
US-PIPER
BB-T-CAP
RBC-DAIN
BAIRD</t>
  </si>
  <si>
    <t>William Blair &amp; Co
US Bancorp Piper Jaffray Inc
BB&amp;T Capital Markets
RBC Dain Rauscher Corp
Robert W Baird &amp; Co Inc</t>
  </si>
  <si>
    <t>WellChoice Inc</t>
  </si>
  <si>
    <t>WC</t>
  </si>
  <si>
    <t>Credit Suisse First Boston
UBS Warburg
Bear Stearns &amp; Co Inc
Morgan Stanley &amp; Co
Goldman Sachs &amp; Co
JP Morgan
Citigroup/Salomon Smith Barney
Blaylock &amp; Partners LP
Williams Capital Group LP
BNY Capital Markets Inc
Dowling &amp; Partners Securities
Fox-Pitt Kelton
Invemed Associates Inc
Leerink Swann &amp; Co
Legg Mason Wood Walker
Muriel Siebert &amp; Co
Prudential Securities Inc
Samuel A. Ramirez &amp; Co.
Raymond James &amp; Associates Inc
SG Cowen Securities Corp</t>
  </si>
  <si>
    <t>New York Public Asset Fund</t>
  </si>
  <si>
    <t>CS-FB-CS//UBS-WARBURG/BEAR/MS/GS/JPM
/CITIGROUP-SSB/BLAYLOCK-PTRNS
/WILLIAMS-CAP//BNY-CAP/DOWL/FOX-PITT
/INVEMED/LEERINK-SWANN/LEGG-MASON-WW
/MURIEL/PSI/RAMIREZ/RAYMOND/SG-COWEN</t>
  </si>
  <si>
    <t>CS-FB-CS
UBS-WARBURG
BEAR
MS
GS
JPM
CITIGROUP-SSB
BLAYLOCK-PTRNS
WILLIAMS-CAP</t>
  </si>
  <si>
    <t>Credit Suisse First Boston Corp
UBS Warburg
Bear Stearns &amp; Co Inc
Morgan Stanley &amp; Co
Goldman Sachs &amp; Co
JP Morgan &amp; Co Inc
Citigroup/Salomon Smith Barney
Blaylock &amp; Partners LP
Williams Capital Group LP</t>
  </si>
  <si>
    <t>SI International Inc</t>
  </si>
  <si>
    <t>SINT</t>
  </si>
  <si>
    <t>78427V102</t>
  </si>
  <si>
    <t>Wachovia Securities Inc
Legg Mason Wood Walker
Scott &amp; Stringfellow Financial
BB&amp;T Capital Markets</t>
  </si>
  <si>
    <t>05/10/03
02/09/03</t>
  </si>
  <si>
    <t>48.458
49.386</t>
  </si>
  <si>
    <t>180
90</t>
  </si>
  <si>
    <t>4089741.00
4168053.00</t>
  </si>
  <si>
    <t>WACHOVIA-SEC//LEGG-MASON-WW
/SCOTT-STRING/BB-T-CAP</t>
  </si>
  <si>
    <t>WACHOVIA-SEC
LEGG-MASON-WW
SCOTT-STRING
BB-T-CAP</t>
  </si>
  <si>
    <t>Wachovia Securities Inc
Legg Mason Wood Walker Inc
Scott &amp; Stringfellow Financial Inc
BB&amp;T Capital Markets</t>
  </si>
  <si>
    <t>Somerset Hills Bancorp</t>
  </si>
  <si>
    <t>SOMH</t>
  </si>
  <si>
    <t>Ryan Beck &amp; Co</t>
  </si>
  <si>
    <t>Constar International Inc</t>
  </si>
  <si>
    <t>CNST</t>
  </si>
  <si>
    <t>CITIGROUP-SSB
/DEUTSCHE-BK-SEC(JB)</t>
  </si>
  <si>
    <t>21036U107</t>
  </si>
  <si>
    <t>Citigroup/Salomon Smith Barney
Deutsche Bank Securities Corp
JP Morgan
Bear Stearns &amp; Co Inc
Lazard Freres &amp; Co LLC
Blaylock &amp; Partners LP
Chatsworth Securities LLC
First Analysis Securities
Jesup &amp; Lamont Securities
Midwest Research Maxus Group
Sturdivant &amp; Co Inc</t>
  </si>
  <si>
    <t>CCK</t>
  </si>
  <si>
    <t>Crown Cork &amp; Seal Co</t>
  </si>
  <si>
    <t>CITIGROUP-SSB(JB)/DEUTSCHE-BK-SEC(JB)
//JPM//BEAR/LAZ/BLAYLOCK-PTRNS
/CHATSWORTH/F-ANALYSIS/JESUP/MIDWEST
/STURDIVANT</t>
  </si>
  <si>
    <t>CITIGROUP-SSB/DEUTSCHE-BK-SEC</t>
  </si>
  <si>
    <t>CITIGROUP-SSB
(JB)/DEUTSCHE-BK-SEC(JB)
JPM</t>
  </si>
  <si>
    <t>Citigroup/Salomon Smith Barney
Deutsche Bank Securities Corp.
JP Morgan &amp; Co Inc</t>
  </si>
  <si>
    <t>Impac Medical Systems Inc</t>
  </si>
  <si>
    <t>IMPC</t>
  </si>
  <si>
    <t>45255A104</t>
  </si>
  <si>
    <t>Thomas Weisel Partners
SG Cowen Securities Corp
US Bancorp Piper Jaffray
Lazard Freres &amp; Co LLC
Morgan Keegan Inc
Raymond James &amp; Associates Inc
William Blair &amp; Co</t>
  </si>
  <si>
    <t>THOMAS-WEISEL//SG-COWEN/US-PIPER//LAZ
/MORGAN-KEEGAN/RAYMOND/WM-BLAIR</t>
  </si>
  <si>
    <t>THOMAS-WEISEL
SG-COWEN
US-PIPER</t>
  </si>
  <si>
    <t>Thomas Weisel Partners
SG Cowen Securities Corp
US Bancorp Piper Jaffray Inc</t>
  </si>
  <si>
    <t>Cosi Inc</t>
  </si>
  <si>
    <t>COSI</t>
  </si>
  <si>
    <t>22122P101</t>
  </si>
  <si>
    <t>William Blair &amp; Co
RBC Dain Rauscher Corp
Wachovia Securities Inc
Adams Harkness &amp; Hill Inc
Advest Inc
BB&amp;T Capital Markets
Gerard Klauer Mattison &amp; Co
Ladenburg Thalmann &amp; Co
Morgan Keegan Inc
Stephens Inc
CE Unterberg Towbin
Wedbush Securities</t>
  </si>
  <si>
    <t>WM-BLAIR//RBC-DAIN/WACHOVIA-SEC
/ADAMS-HARKNESS/ADVEST/BB-T-CAP
/GERARD-KLAUER/LADENBURG/MORGAN-KEEGAN
/STEPHENS/UNTERBERG/WEDBUSH-M</t>
  </si>
  <si>
    <t>William Blair &amp; Co</t>
  </si>
  <si>
    <t>Nuveen Insured California Tax</t>
  </si>
  <si>
    <t>NKX</t>
  </si>
  <si>
    <t>Citigroup/Salomon Smith Barney
John Nuveen Co
AG Edwards &amp; Sons Inc
Prudential Securities Inc
Crowell Weedon &amp; Co
Raymond James &amp; Associates Inc
RBC Capital Markets
Wachovia Bank NA
Wedbush Securities</t>
  </si>
  <si>
    <t>CITIGROUP-SSB/NUVEEN(JOINT)
//A-G-EDWARDS/PSI/CROWELL/RAYMOND
/RBC-CAP-MKTS/WACHOVIA/WEDBUSH-M</t>
  </si>
  <si>
    <t>CITIGROUP-SSB
/NUVEEN(JOINT)
A-G-EDWARDS
PSI
CROWELL
RAYMOND
RBC-CAP-MKTS
WACHOVIA
WEDBUSH-M</t>
  </si>
  <si>
    <t>Nuveen Insured Florida Tax</t>
  </si>
  <si>
    <t>NWF</t>
  </si>
  <si>
    <t>Citigroup/Salomon Smith Barney
John Nuveen Co
AG Edwards &amp; Sons Inc
Prudential Securities Inc
Fahnestock &amp; Co
Raymond James &amp; Associates Inc
Ryan Beck &amp; Co
SunTrust Robinson Humphrey
Wachovia Bank NA</t>
  </si>
  <si>
    <t>CITIGROUP-SSB/NUVEEN(JOINT)
//A-G-EDWARDS/PSI/FAHNESTOCK/RAYMOND
/RYAN-BECK/SUNTRUST-RH/WACHOVIA</t>
  </si>
  <si>
    <t>CITIGROUP-SSB
/NUVEEN(JOINT)
A-G-EDWARDS
PSI
FAHNESTOCK
RAYMOND
RYAN-BECK
SUNTRUST-RH
WACHOVIA</t>
  </si>
  <si>
    <t>Nuveen Insured New York Tax</t>
  </si>
  <si>
    <t>NRK</t>
  </si>
  <si>
    <t>Citigroup/Salomon Smith Barney
John Nuveen Co
AG Edwards &amp; Sons Inc
Prudential Securities Inc
Advest Inc
Fahnestock &amp; Co
Quick &amp; Reilly Inc
Raymond James &amp; Associates Inc
RBC Capital Markets
Ryan Beck &amp; Co
Wachovia Bank NA</t>
  </si>
  <si>
    <t>CITIGROUP-SSB/NUVEEN(JOINT)
//A-G-EDWARDS/PSI/ADVEST/FAHNESTOCK/Q&amp;R
/RAYMOND/RBC-CAP-MKTS/RYAN-BECK
/WACHOVIA</t>
  </si>
  <si>
    <t>CITIGROUP-SSB
/NUVEEN(JOINT)
A-G-EDWARDS
PSI
ADVEST
FAHNESTOCK
Q&amp;R
RAYMOND
RBC-CAP-MKTS
RYAN-BECK
WACHOVIA</t>
  </si>
  <si>
    <t>Nuveen Insured Tax Free Fund</t>
  </si>
  <si>
    <t>NEA</t>
  </si>
  <si>
    <t>Citigroup/Salomon Smith Barney
John Nuveen Co
AG Edwards &amp; Sons Inc
Prudential Securities Inc
H&amp;R Block Financial Advisors
Fahnestock &amp; Co
Legg Mason Wood Walker
Janney Montgomery Scott Inc
Quick &amp; Reilly Inc
Raymond James &amp; Associates Inc
RBC Capital Markets
Ryan Beck &amp; Co
SunTrust Robinson Humphrey
Wachovia Bank NA
Wedbush Securities</t>
  </si>
  <si>
    <t>CITIGROUP-SSB/NUVEEN(JOINT)
//A-G-EDWARDS/PSI/HR-BLOCK-FIN
/FAHNESTOCK/LEGG-MASON-WW/JANNEY/Q&amp;R
/RAYMOND/RBC-CAP-MKTS/RYAN-BECK
/SUNTRUST-RH/WACHOVIA/WEDBUSH-M</t>
  </si>
  <si>
    <t>CITIGROUP-SSB
/NUVEEN(JOINT)
A-G-EDWARDS
PSI
HR-BLOCK-FIN
FAHNESTOCK
LEGG-MASON-WW
JANNEY
Q&amp;R
RAYMOND
RBC-CAP-MKTS
RYAN-BECK
SUNTRUST-RH
WACHOVIA
WEDBUSH-M</t>
  </si>
  <si>
    <t>Citigroup/Salomon Smith Barney
John Nuveen Co
AG Edwards &amp; Sons Inc
Prudential Securities Inc
H&amp;R Block Financial Advisors
Fahnestock &amp; Co
Legg Mason Wood Walker Inc
Janney Montgomery Scott Inc
Quick &amp; Reilly Inc
Raymond James &amp; Associates Inc
RBC Capital Markets
Ryan Beck &amp; Co
SunTrust Robinson Humphrey
Wachovia Bank NA
Wedbush Securities</t>
  </si>
  <si>
    <t>Nuveen Insured Massachusetts</t>
  </si>
  <si>
    <t>NGX</t>
  </si>
  <si>
    <t>67072F108</t>
  </si>
  <si>
    <t>Citigroup/Salomon Smith Barney
John Nuveen Co
AG Edwards &amp; Sons Inc
Prudential Securities Inc
Advest Inc
Fahnestock &amp; Co
Raymond James &amp; Associates Inc
RBC Capital Markets
Ryan Beck &amp; Co
Wachovia Bank NA</t>
  </si>
  <si>
    <t>CITIGROUP-SSB/NUVEEN(JOINT)
//A-G-EDWARDS/PSI/ADVEST/FAHNESTOCK
/RAYMOND/RBC-CAP-MKTS/RYAN-BECK
/WACHOVIA</t>
  </si>
  <si>
    <t>CITIGROUP-SSB
/NUVEEN(JOINT)
A-G-EDWARDS
PSI
ADVEST
FAHNESTOCK
RAYMOND
RBC-CAP-MKTS
RYAN-BECK
WACHOVIA</t>
  </si>
  <si>
    <t>Safety Insurance Group Inc</t>
  </si>
  <si>
    <t>SAFT</t>
  </si>
  <si>
    <t>78648T100</t>
  </si>
  <si>
    <t>Credit Suisse First Boston
Jefferies &amp; Co Inc
Advest Inc
Cochran, Caronia &amp; Co.
Dowling &amp; Partners Securities
Invemed Associates Inc
Janney Montgomery Scott Inc
Keefe Bruyette &amp; Woods Inc</t>
  </si>
  <si>
    <t>CS-FB-CS/JEFFERIES(JOINT)//ADVEST
/COCHRAN-CARONIA/DOWL/INVEMED/JANNEY
/KEEFE</t>
  </si>
  <si>
    <t>CS-FB-CS/JEFFERIES</t>
  </si>
  <si>
    <t>CS-FB-CS
/JEFFERIES(JOINT)</t>
  </si>
  <si>
    <t>Credit Suisse First Boston Corp
Jefferies &amp; Co Inc</t>
  </si>
  <si>
    <t>AEW Real Estate Income Fund</t>
  </si>
  <si>
    <t>RIF</t>
  </si>
  <si>
    <t>00104H107</t>
  </si>
  <si>
    <t>Merrill Lynch
TD Waterhouse Securities
Prudential Securities Inc
Advest Inc
Legg Mason Wood Walker
Quick &amp; Reilly Group, Inc.
RBC Capital Markets
Ferris Baker Watts
JJB Hilliard WL Lyons Inc
McDonald Investments
Wedbush, Noble, Cooke
US Bancorp Piper Jaffray
Wachovia Bank NA
William Blair &amp; Co
Brean Murray &amp; Co Inc
CE Unterberg Towbin
Crowell Weedon &amp; Co
DA Davidson &amp; Co Inc
Fahnestock &amp; Co
Johnston Lemon &amp; Co Inc
Morgan Keegan Inc
Parker-Hunter Inc
Stephens Inc
Stifel Nicolaus &amp; Co Inc
Utendahl Capital Partners
Gilford Securities
Howe Barnes Investments Inc
Mesirow
Natcity Investments Inc.
Nutmeg Securities Ltd
Pacific Crest Securities Inc
Southwest Securities Inc
Sands Brothers &amp; Co Ltd
STERLING FINANCIAL INVESTMENT
Torrey Pines Securities</t>
  </si>
  <si>
    <t>MERRILL//TDWS/PSI/ADVEST/LEGG-MASON-WW
/QUICK-REILLY/RBC-CAP-MKTS/FERRIS-BAKER
/HILLIARD/MCDONALD/WEDBUSH//US-PIPER
/WACHOVIA/WM-BLAIR/BREAN/UNTERBERG
/CROWELL/DAVIDSON/FAHNESTOCK
/JOHNSTON-LEMON/MORGAN-KEEGAN
/PARKER-HUNTER/STEPHENS/STIFEL
/UTENDAHL-CAP/GILFORD/HOWE-BARNES
/MESIROW/NATCITY-INVEST/NUTMEG-SEC
/PACIFIC-CREST/SWS-SEC/SANDS
/STERLING-FIN-I/TORREY-PINES</t>
  </si>
  <si>
    <t>MERRILL
TDWS
PSI
ADVEST
LEGG-MASON-WW
QUICK-REILLY
RBC-CAP-MKTS
FERRIS-BAKER
HILLIARD
MCDONALD
WEDBUSH</t>
  </si>
  <si>
    <t>Merrill Lynch &amp; Co Inc
TD Waterhouse Securities
Prudential Securities Inc
Advest Inc
Legg Mason Wood Walker Inc
Quick &amp; Reilly Group, Inc.
RBC Capital Markets
Ferris Baker Watts Inc
JJB Hilliard WL Lyons Inc
McDonald Investments Inc
Wedbush, Noble, Cooke, Inc.</t>
  </si>
  <si>
    <t>Eaton Vance Ins Mun Bd Fd II</t>
  </si>
  <si>
    <t>EIV</t>
  </si>
  <si>
    <t>27827K109</t>
  </si>
  <si>
    <t>UBS Warburg
Merrill Lynch
AG Edwards &amp; Sons Inc
Prudential Securities Inc
RBC Capital Markets
Wachovia Securities Inc
Wells Fargo Bank NA
Robert W Baird &amp; Co Inc
Janney Montgomery Scott Inc
McDonald Investments
Quick &amp; Reilly Inc
CIBC World Markets Inc
Deutsche Bank Securities Corp
Legg Mason Wood Walker
US Bancorp Piper Jaffray
TD Waterhouse Securities
Advest Inc
Crowell Weedon &amp; Co
Ferris Baker Watts
JJB Hilliard WL Lyons Inc
LPL Financial Services
Morgan Keegan Inc
Stephens Inc
Stifel Nicolaus &amp; Co Inc
BB&amp;T Capital Markets
City Securities
Davenport
First Southwest
Howe Barnes Investments Inc
Wayne Hummer &amp; Co
Huntleigh Securities Corp
Johnston Lemon &amp; Co Inc
Kirlin Securities Inc.
Natcity Investments Inc.
Nathan &amp; Lewis Secs Inc
David A. Noyes
Parker-Hunter Inc
Paulson Investment Co
Sands Brothers &amp; Co Ltd
Southwest Securities Inc
Sterne Agee &amp; Leach Inc
Wedbush Securities
Mesirow Financial Corp
Not Applicable</t>
  </si>
  <si>
    <t>UBS-WARBURG/MERRILL(JOINT)//A-G-EDWARDS
/PSI/RBC-CAP-MKTS/WACHOVIA-SEC
/WELLS-FARGO/BAIRD/JANNEY/MCDONALD/Q&amp;R
//CIBC-WORLD/DEUTSCHE-BK-SEC
/LEGG-MASON-WW/US-PIPER/TDWS/ADVEST
/CROWELL/FERRIS-BAKER/HILLIARD/LPL-FIN
/MORGAN-KEEGAN/STEPHENS/STIFEL/BB-T-CAP
/CITY-SEC/DAVENPORT/FIRST-SW
/HOWE-BARNES/HUMMER/HUNTLEIGH-SEC
/JOHNSTON-LEMON/KIRLIN/NATCITY-INVEST
/NATHAN-LEWIS/D-A-NOYES/PARKER-HUNTER
/PAULSON/SANDS/SWS-SEC/STERNE-AGEE
/WEDBUSH-M/MESIROW-FIN/NOTAPP</t>
  </si>
  <si>
    <t>UBS-WARBURG
/MERRILL(JOINT)
A-G-EDWARDS
PSI
RBC-CAP-MKTS
WACHOVIA-SEC
WELLS-FARGO
BAIRD
JANNEY
MCDONALD
Q&amp;R</t>
  </si>
  <si>
    <t>UBS Warburg
Merrill Lynch &amp; Co Inc
AG Edwards &amp; Sons Inc
Prudential Securities Inc
RBC Capital Markets
Wachovia Securities Inc
Wells Fargo Bank NA
Robert W Baird &amp; Co Inc
Janney Montgomery Scott Inc
McDonald Investments Inc
Quick &amp; Reilly Inc</t>
  </si>
  <si>
    <t>Eaton Vance Ins CA Mun Fnd I</t>
  </si>
  <si>
    <t>EIA</t>
  </si>
  <si>
    <t>27828C106</t>
  </si>
  <si>
    <t>UBS Warburg
Merrill Lynch</t>
  </si>
  <si>
    <t>UBS-WARBURG/MERRILL(JOINT)</t>
  </si>
  <si>
    <t>UBS-WARBURG
/MERRILL(JOINT)</t>
  </si>
  <si>
    <t>UBS Warburg
Merrill Lynch &amp; Co Inc</t>
  </si>
  <si>
    <t>Eaton Vance Insured Florida</t>
  </si>
  <si>
    <t>EIF</t>
  </si>
  <si>
    <t>27828E102</t>
  </si>
  <si>
    <t>UBS Warburg
Merrill Lynch
Prudential Securities Inc
Wachovia Securities Inc
AG Edwards &amp; Sons Inc
CIBC World Markets Inc
Deutsche Bank Securities Corp
Quick &amp; Reilly Inc
RBC Dain Rauscher Corp
Advest Inc
Robert W Baird &amp; Co Inc
JJB Hilliard WL Lyons Inc
Janney Montgomery Scott Inc
Kashner Davidson Securities
Legg Mason Wood Walker
McDonald Investments
SunTrust Capital Markets
Allen &amp; Co Inc</t>
  </si>
  <si>
    <t>UBS-WARBURG/MERRILL(JOINT)//PSI
/WACHOVIA-SEC/A-G-EDWARDS/CIBC-WORLD
/DEUTSCHE-BK-SEC/Q&amp;R/RBC-DAIN//ADVEST
/BAIRD/HILLIARD/JANNEY/KASHNER
/LEGG-MASON-WW/MCDONALD/SUNTRUST-CAP
/ALLEN</t>
  </si>
  <si>
    <t>UBS-WARBURG
/MERRILL(JOINT)
PSI
WACHOVIA-SEC
A-G-EDWARDS
CIBC-WORLD
DEUTSCHE-BK-SEC
Q&amp;R
RBC-DAIN</t>
  </si>
  <si>
    <t>UBS Warburg
Merrill Lynch &amp; Co Inc
Prudential Securities Inc
Wachovia Securities Inc
AG Edwards &amp; Sons Inc
CIBC World Markets Inc
Deutsche Bank Securities Corp.
Quick &amp; Reilly Inc
RBC Dain Rauscher Corp</t>
  </si>
  <si>
    <t>Eaton Vance Insured Mass Muni</t>
  </si>
  <si>
    <t>MAB</t>
  </si>
  <si>
    <t>27828K108</t>
  </si>
  <si>
    <t>UBS Warburg
Merrill Lynch
AG Edwards &amp; Sons Inc
Prudential Securities Inc
CIBC World Markets Inc
RBC Dain Rauscher Corp
Wachovia Securities Inc
Legg Mason Wood Walker
Quick &amp; Reilly Inc
M. L. Stern
Advest Inc
Janney Montgomery Scott Inc</t>
  </si>
  <si>
    <t>UBS-WARBURG/MERRILL(JOINT)//A-G-EDWARDS
/PSI/CIBC-WORLD/RBC-DAIN/WACHOVIA-SEC
//LEGG-MASON-WW/Q&amp;R/M-L-STERN/ADVEST
/JANNEY</t>
  </si>
  <si>
    <t>UBS-WARBURG
/MERRILL(JOINT)
A-G-EDWARDS
PSI
CIBC-WORLD
RBC-DAIN
WACHOVIA-SEC</t>
  </si>
  <si>
    <t>UBS Warburg
Merrill Lynch &amp; Co Inc
AG Edwards &amp; Sons Inc
Prudential Securities Inc
CIBC World Markets Inc
RBC Dain Rauscher Corp
Wachovia Securities Inc</t>
  </si>
  <si>
    <t>Eaton Vance Insured Ohio</t>
  </si>
  <si>
    <t>EIO</t>
  </si>
  <si>
    <t>27828L106</t>
  </si>
  <si>
    <t>UBS Warburg
Merrill Lynch
AG Edwards &amp; Sons Inc
Prudential Securities Inc
Wachovia Securities Inc
Robert W Baird &amp; Co Inc
McDonald Investments
Advest Inc
H&amp;R Block Financial Advisors
CIBC World Markets Inc
Legg Mason Wood Walker
Quick &amp; Reilly Inc
RBC Dain Rauscher Corp
Ferris Baker Watts
JJB Hilliard WL Lyons Inc
Natcity Investments Inc.
Fifth Third Bancorp
Parker-Hunter Inc
SunAmerica Inc
Stifel Nicolaus &amp; Co Inc</t>
  </si>
  <si>
    <t>UBS-WARBURG/MERRILL(JOINT)//A-G-EDWARDS
/PSI/WACHOVIA-SEC/BAIRD/MCDONALD/ADVEST
/HR-BLOCK-FIN//CIBC-WORLD/LEGG-MASON-WW
/Q&amp;R/RBC-DAIN/FERRIS-BAKER/HILLIARD
/NATCITY-INVEST/FIFTH-THIRD
/PARKER-HUNTER/SUNAC/STIFEL</t>
  </si>
  <si>
    <t>UBS-WARBURG
/MERRILL(JOINT)
A-G-EDWARDS
PSI
WACHOVIA-SEC
BAIRD
MCDONALD
ADVEST
HR-BLOCK-FIN</t>
  </si>
  <si>
    <t>UBS Warburg
Merrill Lynch &amp; Co Inc
AG Edwards &amp; Sons Inc
Prudential Securities Inc
Wachovia Securities Inc
Robert W Baird &amp; Co Inc
McDonald Investments Inc
Advest Inc
H&amp;R Block Financial Advisors</t>
  </si>
  <si>
    <t>Eaton Vance Insured Michigan</t>
  </si>
  <si>
    <t>MIW</t>
  </si>
  <si>
    <t>27828M104</t>
  </si>
  <si>
    <t>UBS Warburg
Merrill Lynch
AG Edwards &amp; Sons Inc
Prudential Securities Inc
Wachovia Securities Inc
Robert W Baird &amp; Co Inc
Fahnestock &amp; Co
H&amp;R Block Financial Advisors
JJB Hilliard WL Lyons Inc
McDonald Investments
Quick &amp; Reilly Inc
RBC Dain Rauscher Corp
Stifel Nicolaus &amp; Co Inc</t>
  </si>
  <si>
    <t>UBS-WARBURG/MERRILL(JOINT)//A-G-EDWARDS
/PSI/WACHOVIA-SEC/BAIRD/FAHNESTOCK
/HR-BLOCK-FIN//HILLIARD/MCDONALD/Q&amp;R
/RBC-DAIN/STIFEL</t>
  </si>
  <si>
    <t>UBS-WARBURG
/MERRILL(JOINT)
A-G-EDWARDS
PSI
WACHOVIA-SEC
BAIRD
FAHNESTOCK
HR-BLOCK-FIN</t>
  </si>
  <si>
    <t>UBS Warburg
Merrill Lynch &amp; Co Inc
AG Edwards &amp; Sons Inc
Prudential Securities Inc
Wachovia Securities Inc
Robert W Baird &amp; Co Inc
Fahnestock &amp; Co
H&amp;R Block Financial Advisors</t>
  </si>
  <si>
    <t>Eaton Vance Insured New Jersey</t>
  </si>
  <si>
    <t>EMJ</t>
  </si>
  <si>
    <t>27828R103</t>
  </si>
  <si>
    <t>UBS Warburg
Merrill Lynch
AG Edwards &amp; Sons Inc
Prudential Securities Inc
RBC Capital Markets
Wachovia Securities Inc
Janney Montgomery Scott Inc
Advest Inc
Quick &amp; Reilly Inc
CIBC World Markets Inc
H&amp;R Block Financial Advisors
Legg Mason Wood Walker
First Montauk Securities
JJB Hilliard WL Lyons Inc
Hennion &amp; Walsh, Inc</t>
  </si>
  <si>
    <t>UBS-WARBURG/MERRILL(JOINT)//A-G-EDWARDS
/PSI/RBC-CAP-MKTS/WACHOVIA-SEC/JANNEY
/ADVEST/Q&amp;R//CIBC-WORLD/HR-BLOCK-FIN
/LEGG-MASON-WW/FIRST-MONTAUK/HILLIARD
/HENNION-WALSH</t>
  </si>
  <si>
    <t>UBS-WARBURG
/MERRILL(JOINT)
A-G-EDWARDS
PSI
RBC-CAP-MKTS
WACHOVIA-SEC
JANNEY
ADVEST
Q&amp;R</t>
  </si>
  <si>
    <t>UBS Warburg
Merrill Lynch &amp; Co Inc
AG Edwards &amp; Sons Inc
Prudential Securities Inc
RBC Capital Markets
Wachovia Securities Inc
Janney Montgomery Scott Inc
Advest Inc
Quick &amp; Reilly Inc</t>
  </si>
  <si>
    <t>Eaton Vance Ins NY Muni I</t>
  </si>
  <si>
    <t>NYH</t>
  </si>
  <si>
    <t>27828T109</t>
  </si>
  <si>
    <t>UBS Warburg
Merrill Lynch
AG Edwards &amp; Sons Inc
Prudential Securities Inc
RBC Capital Markets
Wachovia Securities Inc
McDonald Investments
Quick &amp; Reilly Inc
CIBC World Markets Inc
Legg Mason Wood Walker
US Bancorp Piper Jaffray
TD Waterhouse Securities
Advest Inc
Janney Montgomery Scott Inc
CE Unterberg Towbin
Kirlin Securities Inc.
Sands Brothers &amp; Co Ltd</t>
  </si>
  <si>
    <t>UBS-WARBURG/MERRILL(JOINT)//A-G-EDWARDS
/PSI/RBC-CAP-MKTS/WACHOVIA-SEC/MCDONALD
/Q&amp;R//CIBC-WORLD/LEGG-MASON-WW/US-PIPER
/TDWS/ADVEST/JANNEY/UNTERBERG/KIRLIN
/SANDS</t>
  </si>
  <si>
    <t>UBS-WARBURG
/MERRILL(JOINT)
A-G-EDWARDS
PSI
RBC-CAP-MKTS
WACHOVIA-SEC
MCDONALD
Q&amp;R</t>
  </si>
  <si>
    <t>UBS Warburg
Merrill Lynch &amp; Co Inc
AG Edwards &amp; Sons Inc
Prudential Securities Inc
RBC Capital Markets
Wachovia Securities Inc
McDonald Investments Inc
Quick &amp; Reilly Inc</t>
  </si>
  <si>
    <t>Eaton Vance Insured PA Muni</t>
  </si>
  <si>
    <t>EIP</t>
  </si>
  <si>
    <t>27828W102</t>
  </si>
  <si>
    <t>UBS Warburg
Merrill Lynch
AG Edwards &amp; Sons Inc
Prudential Securities Inc
Wachovia Securities Inc
Janney Montgomery Scott Inc
Advest Inc
Fahnestock &amp; Co
H&amp;R Block Financial Advisors
Legg Mason Wood Walker
Quick &amp; Reilly Inc
RBC Dain Rauscher Corp
JJB Hilliard WL Lyons Inc
Parker-Hunter Inc
TD Waterhouse Securities
Arthurs Lestrange
Hazlett, Burt &amp; Watson
Kirlin Securities Inc.</t>
  </si>
  <si>
    <t>UBS-WARBURG(JB)/MERRILL(JB)
//A-G-EDWARDS/PSI/WACHOVIA-SEC/JANNEY
/ADVEST/FAHNESTOCK/HR-BLOCK-FIN
//LEGG-MASON-WW/Q&amp;R/RBC-DAIN/HILLIARD
/PARKER-HUNTER/TDWS/ARTHURS-LES/HAZLETT
/KIRLIN</t>
  </si>
  <si>
    <t>UBS-WARBURG
(JB)/MERRILL(JB)
A-G-EDWARDS
PSI
WACHOVIA-SEC
JANNEY
ADVEST
FAHNESTOCK
HR-BLOCK-FIN</t>
  </si>
  <si>
    <t>UBS Warburg
Merrill Lynch &amp; Co Inc
AG Edwards &amp; Sons Inc
Prudential Securities Inc
Wachovia Securities Inc
Janney Montgomery Scott Inc
Advest Inc
Fahnestock &amp; Co
H&amp;R Block Financial Advisors</t>
  </si>
  <si>
    <t>John Hancock Pref Inc Fund II</t>
  </si>
  <si>
    <t>HPF</t>
  </si>
  <si>
    <t>41013X106</t>
  </si>
  <si>
    <t>UBS Warburg
Merrill Lynch
Prudential Securities Inc
RBC Capital Markets
Wachovia Securities Inc
Wells Fargo Bank NA
Fahnestock &amp; Co
Janney Montgomery Scott Inc
Quick &amp; Reilly Inc
Signator Investors Inc
H&amp;R Block Financial Advisors
Legg Mason Wood Walker
US Bancorp Piper Jaffray
TD Waterhouse Securities
Advest Inc
Robert W Baird &amp; Co Inc
Crowell Weedon &amp; Co
Ferris Baker Watts
JJB Hilliard WL Lyons Inc
McDonald Investments
Morgan Keegan Inc
Stifel Nicolaus &amp; Co Inc
Wedbush Securities
BB&amp;T Capital Markets
Davenport
Huntleigh Securities Corp
Kirlin Securities Inc.
Mesirow Financial Corp
David A. Noyes
Paulson Investment Co
Sterne Agee &amp; Leach Inc</t>
  </si>
  <si>
    <t>UBS-WARBURG(JB)/MERRILL(JB)//PSI
/RBC-CAP-MKTS/WACHOVIA-SEC/WELLS-FARGO
/FAHNESTOCK/JANNEY/Q&amp;R/SIGNATOR
//HR-BLOCK-FIN/LEGG-MASON-WW/US-PIPER
/TDWS/ADVEST/BAIRD/CROWELL/FERRIS-BAKER
/HILLIARD/MCDONALD/MORGAN-KEEGAN/STIFEL
/WEDBUSH-M/BB-T-CAP/DAVENPORT
/HUNTLEIGH-SEC/KIRLIN/MESIROW-FIN
/D-A-NOYES/PAULSON/STERNE-AGEE</t>
  </si>
  <si>
    <t>UBS-WARBURG
(JB)/MERRILL(JB)
PSI
RBC-CAP-MKTS
WACHOVIA-SEC
WELLS-FARGO
FAHNESTOCK
JANNEY
Q&amp;R
SIGNATOR</t>
  </si>
  <si>
    <t>UBS Warburg
Merrill Lynch &amp; Co Inc
Prudential Securities Inc
RBC Capital Markets
Wachovia Securities Inc
Wells Fargo Bank NA
Fahnestock &amp; Co
Janney Montgomery Scott Inc
Quick &amp; Reilly Inc
Signator Investors Inc</t>
  </si>
  <si>
    <t>Neuberger Berman Real Estate</t>
  </si>
  <si>
    <t>NRL</t>
  </si>
  <si>
    <t>A-G-EDWARDS
/FERRIS-BAKER(JB)</t>
  </si>
  <si>
    <t>64126D106</t>
  </si>
  <si>
    <t>AG Edwards &amp; Sons Inc
Ferris Baker Watts
BB&amp;T Capital Markets
Robert W Baird &amp; Co Inc
CIBC World Markets Inc
Fidelity Capital Markets
JJB Hilliard WL Lyons Inc
Janney Montgomery Scott Inc
Legg Mason Wood Walker
McDonald Investments
Raymond James &amp; Associates Inc
Stifel Nicolaus &amp; Co Inc
US Bancorp Piper Jaffray
Deutsche Bank
Wells Fargo Bank NA
Prudential Securities Inc
RBC Dain Rauscher Corp
Wachovia Securities Inc
Advest Inc
William Blair &amp; Co
Crowell Weedon &amp; Co
Davenport Bank &amp; Trust Company
DA Davidson &amp; Co Inc
Howe Barnes Investments Inc
Johnston Lemon &amp; Co Inc
Morgan Keegan Inc
Natcity Investments Inc.
Parker-Hunter Inc
Seidler Corp
Stephens Inc
Sterne Agee &amp; Leach Inc
TD Waterhouse Securities
Wedbush Securities</t>
  </si>
  <si>
    <t>A-G-EDWARDS(JB)/FERRIS-BAKER(JB)
//BB-T-CAP/BAIRD/CIBC-WORLD
/FIDELITY-CAP/HILLIARD/JANNEY
/LEGG-MASON-WW/MCDONALD/RAYMOND/STIFEL
/US-PIPER/DEUTSCHE-BANK/WELLS-FARGO/PSI
/RBC-DAIN/WACHOVIA-SEC/ADVEST/WM-BLAIR
/CROWELL//DAVENPORT-BKT/DAVIDSON
/HOWE-BARNES/JOHNSTON-LEMON
/MORGAN-KEEGAN/NATCITY-INVEST
/PARKER-HUNTER/SEIDLER-COS/STEPHENS
/STERNE-AGEE/TDWS/WEDBUSH-SEC</t>
  </si>
  <si>
    <t>A-G-EDWARDS/FERRIS-BAKER</t>
  </si>
  <si>
    <t>A-G-EDWARDS
(JB)/FERRIS-BAKER(JB)
BB-T-CAP
BAIRD
CIBC-WORLD
FIDELITY-CAP
HILLIARD
JANNEY
LEGG-MASON-WW
MCDONALD
RAYMOND
STIFEL
US-PIPER
DEUTSCHE-BANK
WELLS-FARGO
PSI
RBC-DAIN
WACHOVIA-SEC
ADVEST
WM-BLAIR
CROWELL</t>
  </si>
  <si>
    <t>AG Edwards &amp; Sons Inc
Ferris Baker Watts Inc
BB&amp;T Capital Markets
Robert W Baird &amp; Co Inc
CIBC World Markets Inc
Fidelity Capital Markets
JJB Hilliard WL Lyons Inc
Janney Montgomery Scott Inc
Legg Mason Wood Walker Inc
McDonald Investments Inc
Raymond James &amp; Associates Inc
Stifel Nicolaus &amp; Co Inc
US Bancorp Piper Jaffray Inc
Deutsche Bank
Wells Fargo Bank NA
Prudential Securities Inc
RBC Dain Rauscher Corp
Wachovia Securities Inc
Advest Inc
William Blair &amp; Co
Crowell Weedon &amp; Co</t>
  </si>
  <si>
    <t>Chicago Mercantile Exchange</t>
  </si>
  <si>
    <t>CME</t>
  </si>
  <si>
    <t>MS/UBS-WARBURG(JB)</t>
  </si>
  <si>
    <t>Morgan Stanley &amp; Co
UBS Warburg
Citigroup/Salomon Smith Barney
JP Morgan
William Blair &amp; Co
Cazenove Inc
Chatsworth Securities LLC
CMG Institutional Trading LLC
E*Trade Securities Inc
Melvin Securities Corporation
Williams Securities Group</t>
  </si>
  <si>
    <t>MS(JB)/UBS-WARBURG(JB)//CITIGROUP-SSB
/JPM/WM-BLAIR//CAZENOVE-INC/CHATSWORTH
/CMG-LLC/E*TRADE-SEC/MELVIN-SEC
/WILLIAMS-SEC</t>
  </si>
  <si>
    <t>MS/UBS-WARBURG</t>
  </si>
  <si>
    <t>MS
(JB)/UBS-WARBURG(JB)
CITIGROUP-SSB
JPM
WM-BLAIR</t>
  </si>
  <si>
    <t>Morgan Stanley &amp; Co
UBS Warburg
Citigroup/Salomon Smith Barney
JP Morgan &amp; Co Inc
William Blair &amp; Co</t>
  </si>
  <si>
    <t>Seagate Technology LLC</t>
  </si>
  <si>
    <t>STX</t>
  </si>
  <si>
    <t>G7945J104</t>
  </si>
  <si>
    <t>Morgan Stanley
Citigroup/Salomon Smith Barney
Goldman Sachs &amp; Co
JP Morgan
Bear Stearns &amp; Co Inc
Credit Suisse First Boston
Lehman Brothers
Merrill Lynch
Thomas Weisel Partners
Blaylock &amp; Partners LP
CMG Institutional Trading LLC
AG Edwards &amp; Sons Inc
Pacific Crest Securities Inc
Pacific Growth Equities Inc
Prudential Securities Inc
RBC Dain Rauscher Corp
Soundview Technology</t>
  </si>
  <si>
    <t>MORGAN-STANLEY(JB)/CITIGROUP-SSB(JB)
//GS/JPM/BEAR/CS-FB-CS/LEH/MERRILL
/THOMAS-WEISEL//BLAYLOCK-PTRNS/CMG-LLC
/A-G-EDWARDS/PACIFIC-CREST
/PACIFIC-GROWTH/PSI/RBC-DAIN/SOUNDV</t>
  </si>
  <si>
    <t>MORGAN-STANLEY
(JB)/CITIGROUP-SSB(JB)
GS
JPM
BEAR
CS-FB-CS
LEH
MERRILL
THOMAS-WEISEL</t>
  </si>
  <si>
    <t>Morgan Stanley
Citigroup/Salomon Smith Barney
Goldman Sachs &amp; Co
JP Morgan &amp; Co Inc
Bear Stearns &amp; Co Inc
Credit Suisse First Boston Corp
Lehman Brothers
Merrill Lynch &amp; Co Inc
Thomas Weisel Partners</t>
  </si>
  <si>
    <t>Crosstex Energy LP</t>
  </si>
  <si>
    <t>XTEX</t>
  </si>
  <si>
    <t>22765U102</t>
  </si>
  <si>
    <t>AG Edwards &amp; Sons Inc
Raymond James &amp; Associates Inc
RBC Capital Markets</t>
  </si>
  <si>
    <t>A-G-EDWARDS//RAYMOND/RBC-CAP-MKTS</t>
  </si>
  <si>
    <t>A-G-EDWARDS
RAYMOND
RBC-CAP-MKTS</t>
  </si>
  <si>
    <t>Coml Capital Bancorp Inc,CA</t>
  </si>
  <si>
    <t>CCBI</t>
  </si>
  <si>
    <t>20162L105</t>
  </si>
  <si>
    <t>Sandler O'Neill Partners
Friedman Billings Ramsey Group
AG Edwards &amp; Sons Inc
Hoefer &amp; Arnett Inc
Keefe Bruyette &amp; Woods Inc
Legg Mason Wood Walker
Morgan Keegan Inc
RBC Dain Rauscher Corp
Stifel Nicolaus &amp; Co Inc</t>
  </si>
  <si>
    <t>SANDLER-ONEILL/FRIEDMAN-B(JOINT)
//A-G-EDWARDS/HOEFER-ARNETT/KEEFE
/LEGG-MASON-WW/MORGAN-KEEGAN/RBC-DAIN
/STIFEL</t>
  </si>
  <si>
    <t>SANDLER-ONEILL/FRIEDMAN-B</t>
  </si>
  <si>
    <t>SANDLER-ONEILL
/FRIEDMAN-B(JOINT)</t>
  </si>
  <si>
    <t>Sandler O'Neill Partners  L.P.
Friedman Billings Ramsey Group</t>
  </si>
  <si>
    <t>VistaCare Inc</t>
  </si>
  <si>
    <t>VSTA</t>
  </si>
  <si>
    <t>92839Y109</t>
  </si>
  <si>
    <t>Lehman Brothers
SG Cowen Securities Corp
William Blair &amp; Co
Jefferies &amp; Co Inc
AG Edwards &amp; Sons Inc
Prudential Securities Inc
Stifel Nicolaus &amp; Co Inc
Chatsworth Securities LLC
Fahnestock &amp; Co
Gerard Klauer Mattison &amp; Co
Leerink Swann &amp; Co
Legg Mason Wood Walker
Stephens Inc</t>
  </si>
  <si>
    <t>LEH/SG-COWEN(JOINT)//WM-BLAIR/JEFFERIES
//A-G-EDWARDS/PSI/STIFEL/CHATSWORTH
/FAHNESTOCK/GERARD-KLAUER/LEERINK-SWANN
/LEGG-MASON-WW/STEPHENS</t>
  </si>
  <si>
    <t>LEH/SG-COWEN</t>
  </si>
  <si>
    <t>LEH
/SG-COWEN(JOINT)
WM-BLAIR
JEFFERIES</t>
  </si>
  <si>
    <t>Lehman Brothers
SG Cowen Securities Corp
William Blair &amp; Co
Jefferies &amp; Co Inc</t>
  </si>
  <si>
    <t>Nuveen Quality Pref Inc Fund 3</t>
  </si>
  <si>
    <t>JHP</t>
  </si>
  <si>
    <t>67072W101</t>
  </si>
  <si>
    <t>Citigroup/Salomon Smith Barney
John Nuveen Co
AG Edwards &amp; Sons Inc
Prudential Securities Inc
Advest Inc
H&amp;R Block Financial Advisors
Fahnestock &amp; Co
Ferris Baker Watts
Janney Montgomery Scott Inc
Legg Mason Wood Walker
McDonald Investments
Raymond James &amp; Associates Inc
RBC Capital Markets
TD Waterhouse Securities
Wachovia Bank NA
Wells Fargo Bank NA
Wedbush, Noble, Cooke</t>
  </si>
  <si>
    <t>CITIGROUP-SSB(JB)/NUVEEN(JB)
//A-G-EDWARDS/PSI/ADVEST/HR-BLOCK-FIN
/FAHNESTOCK/FERRIS-BAKER/JANNEY
/LEGG-MASON-WW/MCDONALD/RAYMOND
/RBC-CAP-MKTS/TDWS/WACHOVIA/WELLS-FARGO
/WEDBUSH</t>
  </si>
  <si>
    <t>CITIGROUP-SSB
(JB)/NUVEEN(JB)
A-G-EDWARDS
PSI
ADVEST
HR-BLOCK-FIN
FAHNESTOCK
FERRIS-BAKER
JANNEY
LEGG-MASON-WW
MCDONALD
RAYMOND
RBC-CAP-MKTS
TDWS
WACHOVIA
WELLS-FARGO
WEDBUSH</t>
  </si>
  <si>
    <t>Citigroup/Salomon Smith Barney
John Nuveen Co
AG Edwards &amp; Sons Inc
Prudential Securities Inc
Advest Inc
H&amp;R Block Financial Advisors
Fahnestock &amp; Co
Ferris Baker Watts Inc
Janney Montgomery Scott Inc
Legg Mason Wood Walker Inc
McDonald Investments Inc
Raymond James &amp; Associates Inc
RBC Capital Markets
TD Waterhouse Securities
Wachovia Bank NA
Wells Fargo Bank NA
Wedbush, Noble, Cooke, Inc.</t>
  </si>
  <si>
    <t>Ohio Legacy Corp</t>
  </si>
  <si>
    <t>OLCB</t>
  </si>
  <si>
    <t>FRIEDMAN-B-CO</t>
  </si>
  <si>
    <t>Friedman Billings Ramsey &amp; Co</t>
  </si>
  <si>
    <t>Friedman Billings Ramsey &amp; Co Inc</t>
  </si>
  <si>
    <t>Federated Premier Intermediate</t>
  </si>
  <si>
    <t>FPT</t>
  </si>
  <si>
    <t>31423M105</t>
  </si>
  <si>
    <t>Merrill Lynch
Prudential Securities Inc
AG Edwards &amp; Sons Inc
RBC Capital Markets
Wells Fargo Bank NA
Advest Inc
Robert W Baird &amp; Co Inc
BB&amp;T Capital Markets
Fahnestock &amp; Co
Ferris Baker Watts
Janney Montgomery Scott Inc
McDonald Investments
Parker-Hunter Inc
Quick &amp; Reilly Group, Inc.
Stephens Inc
Stifel Nicolaus &amp; Co Inc
CIBC World Markets Inc
Deutsche Bank Securities Corp
Citigroup/Salomon Smith Barney
US Bancorp Piper Jaffray
Wachovia Securities Inc
William Blair &amp; Co
Crowell Weedon &amp; Co
Legg Mason Wood Walker
Morgan Keegan Inc
Allen &amp; Co Inc
Arthurs Lestrange
Brean Murray &amp; Co Inc
Chatsworth Securities LLC
DA Davidson &amp; Co Inc
Gilford Securities
Howe Barnes Investments Inc
JJB Hilliard WL Lyons Inc
Johnston Lemon &amp; Co Inc
Mesirow
Needham &amp; Co LLC
David A. Noyes
Pacific Crest Securities Inc
Peacock Hislop Staley &amp; Given
Samuel A. Ramirez &amp; Co.
Sands Brothers &amp; Co Ltd
Sterling Financial Corp
Southwest Securities Inc
Seidler Corp
Torrey Pines Securities
Utendahl Capital Partners
CE Unterberg Towbin
Wedbush, Noble, Cooke</t>
  </si>
  <si>
    <t>MERRILL//PSI/A-G-EDWARDS/RBC-CAP-MKTS
/WELLS-FARGO/ADVEST/BAIRD/BB-T-CAP
/FAHNESTOCK/FERRIS-BAKER/JANNEY
/MCDONALD/PARKER-HUNTER/QUICK-REILLY
/STEPHENS/STIFEL/CIBC-WORLD
/DEUTSCHE-BK-SEC/CITIGROUP-SSB/US-PIPER
/WACHOVIA-SEC/WM-BLAIR/CROWELL
/LEGG-MASON-WW/MORGAN-KEEGAN/ALLEN
/ARTHURS-LES/BREAN/CHATSWORTH/DAVIDSON
/GILFORD/HOWE-BARNES/HILLIARD
/JOHNSTON-LEMON/MESIROW/NEEDHAM
/D-A-NOYES/PACIFIC-CREST/PEACOCK-HISLOP
/RAMIREZ/SANDS/STERLING-FIN/SWS-SEC
/SEIDLER-COS/TORREY-PINES/UTENDAHL-CAP
/UNTERBERG/WEDBUSH</t>
  </si>
  <si>
    <t>MERRILL
PSI
A-G-EDWARDS
RBC-CAP-MKTS
WELLS-FARGO
ADVEST
BAIRD
BB-T-CAP
FAHNESTOCK
FERRIS-BAKER
JANNEY
MCDONALD
PARKER-HUNTER
QUICK-REILLY
STEPHENS
STIFEL
CIBC-WORLD
DEUTSCHE-BK-SEC
CITIGROUP-SSB
US-PIPER
WACHOVIA-SEC
WM-BLAIR
CROWELL
LEGG-MASON-WW
MORGAN-KEEGAN
ALLEN
ARTHURS-LES
BREAN
CHATSWORTH
DAVIDSON
GILFORD
HOWE-BARNES
HILLIARD
JOHNSTON-LEMON
MESIROW
NEEDHAM
D-A-NOYES
PACIFIC-CREST
PEACOCK-HISLOP
RAMIREZ
SANDS
STERLING-FIN
SWS-SEC
SEIDLER-COS
TORREY-PINES
UTENDAHL-CAP
UNTERBERG
WEDBUSH</t>
  </si>
  <si>
    <t>Merrill Lynch &amp; Co Inc
Prudential Securities Inc
AG Edwards &amp; Sons Inc
RBC Capital Markets
Wells Fargo Bank NA
Advest Inc
Robert W Baird &amp; Co Inc
BB&amp;T Capital Markets
Fahnestock &amp; Co
Ferris Baker Watts Inc
Janney Montgomery Scott Inc
McDonald Investments Inc
Parker-Hunter Inc
Quick &amp; Reilly Group, Inc.
Stephens Inc
Stifel Nicolaus &amp; Co Inc
CIBC World Markets Inc
Deutsche Bank Securities Corp.
Citigroup/Salomon Smith Barney
US Bancorp Piper Jaffray Inc
Wachovia Securities Inc
William Blair &amp; Co
Crowell Weedon &amp; Co
Legg Mason Wood Walker Inc
Morgan Keegan Inc
Allen &amp; Co Inc
Arthurs Lestrange &amp; Co Inc
Brean Murray &amp; Co Inc
Chatsworth Securities LLC
DA Davidson &amp; Co Inc
Gilford Securities Incorporated
Howe Barnes Investments Inc
JJB Hilliard WL Lyons Inc
Johnston Lemon &amp; Co Inc
Mesirow &amp; Company, Incorporated
Needham &amp; Co LLC
David A. Noyes &amp; Co.
Pacific Crest Securities Inc
Peacock Hislop Staley &amp; Given Inc
Samuel A. Ramirez &amp; Co.
Sands Brothers &amp; Co Ltd
Sterling Financial Corp
Southwest Securities Inc
Seidler Corp
Torrey Pines Securities, Inc.
Utendahl Capital Partners
CE Unterberg Towbin
Wedbush, Noble, Cooke, Inc.</t>
  </si>
  <si>
    <t>Federated Premier Municipal</t>
  </si>
  <si>
    <t>FMN</t>
  </si>
  <si>
    <t>31423P108</t>
  </si>
  <si>
    <t>Merrill Lynch
UBS Warburg
AG Edwards &amp; Sons Inc
RBC Capital Markets
Wachovia Securities Inc
Wells Fargo Bank NA
Advest Inc
Robert W Baird &amp; Co Inc
BB&amp;T Capital Markets
Fahnestock &amp; Co
Ferris Baker Watts
Janney Montgomery Scott Inc
McDonald Investments
Parker-Hunter Inc
Quick &amp; Reilly Group, Inc.
Stephens Inc
Stifel Nicolaus &amp; Co Inc
CIBC World Markets Inc
Deutsche Bank Securities Corp
Citigroup/Salomon Smith Barney
US Bancorp Piper Jaffray
Crowell Weedon &amp; Co
Legg Mason Wood Walker
Morgan Keegan Inc
TD Waterhouse Securities
William Blair &amp; Co
Allen &amp; Co Inc
Arthurs Lestrange
Brean Murray &amp; Co Inc
Chatsworth Securities LLC
DA Davidson &amp; Co Inc
Gilford Securities
Howe Barnes Investments Inc
JJB Hilliard WL Lyons Inc
Johnston Lemon &amp; Co Inc
Mesirow Financial Corp
Needham &amp; Co LLC
David A. Noyes
Pacific Crest Securities Inc
Peacock Hislop Staley &amp; Given
Samuel A. Ramirez &amp; Co.
Sands Brothers &amp; Co Ltd
Smith, Moore
STERLING FINANCIAL INVESTMENT
Southwest Securities Inc
Seidler Corp
Torrey Pines Securities
Utendahl Capital Partners
CE Unterberg Towbin
Wedbush, Noble, Cooke</t>
  </si>
  <si>
    <t>MERRILL//UBS-WARBURG/A-G-EDWARDS
/RBC-CAP-MKTS/WACHOVIA-SEC/WELLS-FARGO
/ADVEST/BAIRD/BB-T-CAP/FAHNESTOCK
/FERRIS-BAKER/JANNEY/MCDONALD
/PARKER-HUNTER/QUICK-REILLY/STEPHENS
/STIFEL//CIBC-WORLD/DEUTSCHE-BK-SEC
/CITIGROUP-SSB/US-PIPER/CROWELL
/LEGG-MASON-WW/MORGAN-KEEGAN/TDWS
/WM-BLAIR/ALLEN/ARTHURS-LES/BREAN
/CHATSWORTH/DAVIDSON/GILFORD
/HOWE-BARNES/HILLIARD/JOHNSTON-LEMON
/MESIROW-FIN/NEEDHAM/D-A-NOYES
/PACIFIC-CREST/PEACOCK-HISLOP/RAMIREZ
/SANDS/SMITH-MOORE/STERLING-FIN-I
/SWS-SEC/SEIDLER-COS/TORREY-PINES
/UTENDAHL-CAP/UNTERBERG/WEDBUSH</t>
  </si>
  <si>
    <t>MERRILL
UBS-WARBURG
A-G-EDWARDS
RBC-CAP-MKTS
WACHOVIA-SEC
WELLS-FARGO
ADVEST
BAIRD
BB-T-CAP
FAHNESTOCK
FERRIS-BAKER
JANNEY
MCDONALD
PARKER-HUNTER
QUICK-REILLY
STEPHENS
STIFEL</t>
  </si>
  <si>
    <t>Merrill Lynch &amp; Co Inc
UBS Warburg
AG Edwards &amp; Sons Inc
RBC Capital Markets
Wachovia Securities Inc
Wells Fargo Bank NA
Advest Inc
Robert W Baird &amp; Co Inc
BB&amp;T Capital Markets
Fahnestock &amp; Co
Ferris Baker Watts Inc
Janney Montgomery Scott Inc
McDonald Investments Inc
Parker-Hunter Inc
Quick &amp; Reilly Group, Inc.
Stephens Inc
Stifel Nicolaus &amp; Co Inc</t>
  </si>
  <si>
    <t>PIMCO Corp Opp Fund</t>
  </si>
  <si>
    <t>PTY</t>
  </si>
  <si>
    <t>A-G-EDWARDS/MERRILL(JB)</t>
  </si>
  <si>
    <t>72201B101</t>
  </si>
  <si>
    <t>AG Edwards &amp; Sons Inc
Merrill Lynch
Prudential Securities Inc
UBS Warburg
RBC Capital Markets
Wachovia Securities Inc
Advest Inc
Bear Stearns &amp; Co Inc
H&amp;R Block Financial Advisors
SunTrust Capital Markets
Quick &amp; Reilly Group, Inc.
Wedbush, Noble, Cooke
Robert W Baird &amp; Co Inc
CIBC World Markets Inc
Deutsche Bank
Wells Fargo Bank NA
US Bancorp Piper Jaffray
William Blair &amp; Co
Brean Murray &amp; Co Inc
CE Unterberg Towbin
Crowell Weedon &amp; Co
DA Davidson &amp; Co Inc
Ferris Baker Watts
Jefferies &amp; Co Inc
Johnston Lemon &amp; Co Inc
Morgan Keegan Inc
Natcity Investments Inc.
Parker-Hunter Inc
Sanders Morris Harris Inc
Seidler Corp
Stifel Nicolaus &amp; Co Inc
Stephens Inc
TD Waterhouse Securities
Sterne Agee &amp; Leach Inc
Allen &amp; Co Inc
Gilford Securities
Howe Barnes Investments Inc
Wayne Hummer &amp; Co
David A. Noyes
Sands Brothers &amp; Co Ltd
Smith, Moore
Spelman &amp; Co.
Sterling Financial Corp
M. L. Stern
Stone &amp; Youngberg</t>
  </si>
  <si>
    <t>A-G-EDWARDS(JB)/MERRILL(JB)//PSI
/UBS-WARBURG/RBC-CAP-MKTS/WACHOVIA-SEC
/ADVEST/BEAR/HR-BLOCK-FIN/SUNTRUST-CAP
/QUICK-REILLY/WEDBUSH/BAIRD//CIBC-WORLD
/DEUTSCHE-BANK/WELLS-FARGO/US-PIPER
/WM-BLAIR/BREAN/UNTERBERG/CROWELL
/DAVIDSON/FERRIS-BAKER/JEFFERIES
/JOHNSTON-LEMON/MORGAN-KEEGAN
/NATCITY-INVEST/PARKER-HUNTER
/SANDERS-HARRIS/SEIDLER-COS/STIFEL
/STEPHENS/TDWS/STERNE-AGEE/ALLEN
/GILFORD/HOWE-BARNES/HUMMER/D-A-NOYES
/SANDS/SMITH-MOORE/SPELMAN/STERLING-FIN
/M-L-STERN/STONE-YOUNG</t>
  </si>
  <si>
    <t>A-G-EDWARDS/MERRILL</t>
  </si>
  <si>
    <t>A-G-EDWARDS
(JB)/MERRILL(JB)
PSI
UBS-WARBURG
RBC-CAP-MKTS
WACHOVIA-SEC
ADVEST
BEAR
HR-BLOCK-FIN
SUNTRUST-CAP
QUICK-REILLY
WEDBUSH
BAIRD</t>
  </si>
  <si>
    <t>AG Edwards &amp; Sons Inc
Merrill Lynch &amp; Co Inc
Prudential Securities Inc
UBS Warburg
RBC Capital Markets
Wachovia Securities Inc
Advest Inc
Bear Stearns &amp; Co Inc
H&amp;R Block Financial Advisors
SunTrust Capital Markets
Quick &amp; Reilly Group, Inc.
Wedbush, Noble, Cooke, Inc.
Robert W Baird &amp; Co Inc</t>
  </si>
  <si>
    <t>F&amp;C Claymore Preferred Fund</t>
  </si>
  <si>
    <t>FFC</t>
  </si>
  <si>
    <t>30236V104</t>
  </si>
  <si>
    <t>Merrill Lynch
AG Edwards &amp; Sons Inc
RBC Dain Rauscher Corp
Wachovia Securities Inc
Raymond James &amp; Associates Inc
Legg Mason Wood Walker
Wells Fargo Brokerage Svcs
Fahnestock &amp; Co
Advest Inc
Robert W Baird &amp; Co Inc
Janney Montgomery Scott Inc
Ryan Beck &amp; Co
JJB Hilliard WL Lyons Inc
McDonald Investments
BB&amp;T Capital Markets
Ferris Baker Watts
Huntleigh Securities Corp
Morgan Keegan Inc
Wedbush, Noble, Cooke
UBS Warburg LLC
US Bancorp Piper Jaffray
William Blair &amp; Co
Brean Murray &amp; Co Inc
CE Unterberg Towbin
Crowell Weedon &amp; Co
DA Davidson &amp; Co Inc
Davenport
Johnston Lemon &amp; Co Inc
Natcity Investments Inc.
Parker-Hunter Inc
Sands Brothers &amp; Co Ltd
Seidler Corp
Stephens Inc
Stifel Nicolaus &amp; Co Inc
TD Waterhouse Securities
Allen &amp; Company of Florida
First Southwest
Gilford Securities
Howe Barnes Investments Inc
Mesirow Financial Corp
David A. Noyes
STERLING FINANCIAL INVESTMENT
M. L. Stern
Stone &amp; Youngberg
Southwest Securities Inc</t>
  </si>
  <si>
    <t>MERRILL//A-G-EDWARDS/RBC-DAIN
/WACHOVIA-SEC/RAYMOND/LEGG-MASON-WW
/WELLS-BROKERAGE/FAHNESTOCK/ADVEST
/BAIRD/JANNEY/RYAN-BECK/HILLIARD
/MCDONALD/BB-T-CAP/FERRIS-BAKER
/HUNTLEIGH-SEC/MORGAN-KEEGAN/WEDBUSH
//UBS-WARBURG-LLC/US-PIPER/WM-BLAIR
/BREAN/UNTERBERG/CROWELL/DAVIDSON
/DAVENPORT/JOHNSTON-LEMON
/NATCITY-INVEST/PARKER-HUNTER/SANDS
/SEIDLER-COS/STEPHENS/STIFEL/TDWS
/ALLEN-FL/FIRST-SW/GILFORD/HOWE-BARNES
/MESIROW-FIN/D-A-NOYES/STERLING-FIN-I
/M-L-STERN/STONE-YOUNG/SWS-SEC</t>
  </si>
  <si>
    <t>MERRILL
A-G-EDWARDS
RBC-DAIN
WACHOVIA-SEC
RAYMOND
LEGG-MASON-WW
WELLS-BROKERAGE
FAHNESTOCK
ADVEST
BAIRD
JANNEY
RYAN-BECK
HILLIARD
MCDONALD
BB-T-CAP
FERRIS-BAKER
HUNTLEIGH-SEC
MORGAN-KEEGAN
WEDBUSH</t>
  </si>
  <si>
    <t>Merrill Lynch &amp; Co Inc
AG Edwards &amp; Sons Inc
RBC Dain Rauscher Corp
Wachovia Securities Inc
Raymond James &amp; Associates Inc
Legg Mason Wood Walker Inc
Wells Fargo Brokerage Services LLC
Fahnestock &amp; Co
Advest Inc
Robert W Baird &amp; Co Inc
Janney Montgomery Scott Inc
Ryan Beck &amp; Co
JJB Hilliard WL Lyons Inc
McDonald Investments Inc
BB&amp;T Capital Markets
Ferris Baker Watts Inc
Huntleigh Securities Corporation
Morgan Keegan Inc
Wedbush, Noble, Cooke, Inc.</t>
  </si>
  <si>
    <t>Bancshares of Florida Inc,FL</t>
  </si>
  <si>
    <t>BOFL</t>
  </si>
  <si>
    <t>05976U102</t>
  </si>
  <si>
    <t>Advest Inc
Allen C. Ewing
Ferris Baker Watts
Florida Atlantic Securities
Friedman Billings Ramsey Group
McDonald Investments
Robert W Baird &amp; Co Inc
Ryan Beck &amp; Co</t>
  </si>
  <si>
    <t>ADVEST//EWING/FERRIS-BAKER/FLORIDA-SEC
/FRIEDMAN-B/MCDONALD/BAIRD/RYAN-BECK</t>
  </si>
  <si>
    <t>Advest Inc</t>
  </si>
  <si>
    <t>Infinity Prop &amp; Casualty Corp</t>
  </si>
  <si>
    <t>IPCC</t>
  </si>
  <si>
    <t>45665Q103</t>
  </si>
  <si>
    <t>Credit Suisse First Boston
Merrill Lynch
Banc of America Securities LLC
Bear Stearns &amp; Co Inc
ABN AMRO Financial Services
BNY Capital Markets Inc
Dowling &amp; Partners Securities
Fox-Pitt Kelton
McDonald Investments</t>
  </si>
  <si>
    <t>American Finance Group Inc</t>
  </si>
  <si>
    <t>CS-FB-CS//MERRILL/BA-SEC-LLC/BEAR
//ABN-AMRO-FIN/BNY-CAP/DOWL/FOX-PITT
/MCDONALD</t>
  </si>
  <si>
    <t>CS-FB-CS
MERRILL
BA-SEC-LLC
BEAR</t>
  </si>
  <si>
    <t>Credit Suisse First Boston Corp
Merrill Lynch &amp; Co Inc
Banc of America Securities LLC
Bear Stearns &amp; Co Inc</t>
  </si>
  <si>
    <t>Accredited Home Lenders Hldg</t>
  </si>
  <si>
    <t>00437P107</t>
  </si>
  <si>
    <t>Friedman Billings Ramsey Group
US Bancorp Piper Jaffray
Wedbush Securities
Advest Inc
BB&amp;T Capital Markets
Crowell Weedon &amp; Co
Putnam Lovell Securities
Ryan Beck &amp; Co
Sanders Morris Harris Inc
Stifel Nicolaus &amp; Co Inc
Wells Fargo Bank NA</t>
  </si>
  <si>
    <t>02/09/04
08/13/03
08/13/03
02/09/04</t>
  </si>
  <si>
    <t>21.660
20.491
2.793
2.763</t>
  </si>
  <si>
    <t>360
180
180
360</t>
  </si>
  <si>
    <t>4003990.00
3787742.00
516354.00
510697.00</t>
  </si>
  <si>
    <t>FRIEDMAN-B//US-PIPER/WEDBUSH-M/ADVEST
/BB-T-CAP/CROWELL/PUTNAM-LOV-SEC
/RYAN-BECK/SANDERS-HARRIS/STIFEL
/WELLS-FARGO</t>
  </si>
  <si>
    <t>FRIEDMAN-B
US-PIPER
WEDBUSH-M
ADVEST
BB-T-CAP
CROWELL
PUTNAM-LOV-SEC
RYAN-BECK
SANDERS-HARRIS
STIFEL
WELLS-FARGO</t>
  </si>
  <si>
    <t>Friedman Billings Ramsey Group
US Bancorp Piper Jaffray Inc
Wedbush Securities
Advest Inc
BB&amp;T Capital Markets
Crowell Weedon &amp; Co
Putnam Lovell Securities Inc
Ryan Beck &amp; Co
Sanders Morris Harris Inc
Stifel Nicolaus &amp; Co Inc
Wells Fargo Bank NA</t>
  </si>
  <si>
    <t>Blackrock Preferred Opp Trust</t>
  </si>
  <si>
    <t>BPP</t>
  </si>
  <si>
    <t>09249V103</t>
  </si>
  <si>
    <t>Prudential Securities Inc
Merrill Lynch
JJB Hilliard WL Lyons Inc
Janney Montgomery Scott Inc
Quick &amp; Reilly Group, Inc.
RBC Capital Markets
Ryan Beck &amp; Co
Wells Fargo Bank NA
Deutsche Bank Securities
Legg Mason Wood Walker
US Bancorp Piper Jaffray
Wachovia Securities Inc
Adams Harkness &amp; Hill Inc
Advest Inc
BB&amp;T Capital Markets
Robert W Baird &amp; Co Inc
DA Davidson &amp; Co Inc
Fahnestock &amp; Co
Ferris Baker Watts
Friedman Billings Ramsey &amp; Co
McDonald Investments
Morgan Keegan Inc
Stifel Nicolaus &amp; Co Inc
TD Waterhouse Securities
Wedbush Securities
Allen &amp; Company of Florida
Chatsworth Securities LLC
City Securities
Crowell Weedon &amp; Co
Davenport
Fifth Third Securities Inc
Howe Barnes Investments Inc
Huntleigh Securities Corp
Johnston Lemon &amp; Co Inc
LaSalle Street Securities Inc
M. L. Stern
Mesirow Financial Corp
Natcity Investments Inc.
David A. Noyes
Parker-Hunter Inc
Sands Brothers &amp; Co Ltd
Sterne Agee &amp; Leach Inc
Southwest Securities Inc
Wayne Hummer &amp; Co</t>
  </si>
  <si>
    <t>PSI//MERRILL/HILLIARD/JANNEY
/QUICK-REILLY/RBC-CAP-MKTS/RYAN-BECK
/WELLS-FARGO/DBSECU/LEGG-MASON-WW
/US-PIPER/WACHOVIA-SEC/ADAMS-HARKNESS
/ADVEST/BB-T-CAP/BAIRD/DAVIDSON
/FAHNESTOCK/FERRIS-BAKER/FRIEDMAN-B-CO
/MCDONALD/MORGAN-KEEGAN/STIFEL/TDWS
/WEDBUSH-M/ALLEN-FL/CHATSWORTH/CITY-SEC
/CROWELL/DAVENPORT/FIFTH-THIRD-SEC
/HOWE-BARNES/HUNTLEIGH-SEC
/JOHNSTON-LEMON/LASALLE-SEC/M-L-STERN
/MESIROW-FIN/NATCITY-INVEST/D-A-NOYES
/PARKER-HUNTER/SANDS/STERNE-AGEE
/SWS-SEC/HUMMER</t>
  </si>
  <si>
    <t>PSI
MERRILL
HILLIARD
JANNEY
QUICK-REILLY
RBC-CAP-MKTS
RYAN-BECK
WELLS-FARGO
DBSECU
LEGG-MASON-WW
US-PIPER
WACHOVIA-SEC
ADAMS-HARKNESS
ADVEST
BB-T-CAP
BAIRD
DAVIDSON
FAHNESTOCK
FERRIS-BAKER
FRIEDMAN-B-CO
MCDONALD
MORGAN-KEEGAN
STIFEL
TDWS
WEDBUSH-M
ALLEN-FL
CHATSWORTH
CITY-SEC
CROWELL
DAVENPORT
FIFTH-THIRD-SEC
HOWE-BARNES
HUNTLEIGH-SEC
JOHNSTON-LEMON
LASALLE-SEC
M-L-STERN
MESIROW-FIN
NATCITY-INVEST
D-A-NOYES
PARKER-HUNTER
SANDS
STERNE-AGEE
SWS-SEC
HUMMER</t>
  </si>
  <si>
    <t>Prudential Securities Inc
Merrill Lynch &amp; Co Inc
JJB Hilliard WL Lyons Inc
Janney Montgomery Scott Inc
Quick &amp; Reilly Group, Inc.
RBC Capital Markets
Ryan Beck &amp; Co
Wells Fargo Bank NA
Deutsche Bank Securities Inc
Legg Mason Wood Walker Inc
US Bancorp Piper Jaffray Inc
Wachovia Securities Inc
Adams Harkness &amp; Hill Inc
Advest Inc
BB&amp;T Capital Markets
Robert W Baird &amp; Co Inc
DA Davidson &amp; Co Inc
Fahnestock &amp; Co
Ferris Baker Watts Inc
Friedman Billings Ramsey &amp; Co Inc
McDonald Investments Inc
Morgan Keegan Inc
Stifel Nicolaus &amp; Co Inc
TD Waterhouse Securities
Wedbush Securities
Allen &amp; Company of Florida, Inc.
Chatsworth Securities LLC
City Securities Corporation
Crowell Weedon &amp; Co
Davenport &amp; Co of Virginia Inc
Fifth Third Securities Inc
Howe Barnes Investments Inc
Huntleigh Securities Corporation
Johnston Lemon &amp; Co Inc
LaSalle Street Securities, Inc.
M. L. Stern &amp; Co., Inc.
Mesirow Financial Corp
Natcity Investments Inc.
David A. Noyes &amp; Co.
Parker-Hunter Inc
Sands Brothers &amp; Co Ltd
Sterne Agee &amp; Leach Inc
Southwest Securities Inc
Wayne Hummer &amp; Co</t>
  </si>
  <si>
    <t>Evergreen Income Adv Fund</t>
  </si>
  <si>
    <t>EAD</t>
  </si>
  <si>
    <t>30023Y105</t>
  </si>
  <si>
    <t>Merrill Lynch, Pierce, Fenner
Salomon Smith Barney
Wachovia Securities Inc
UBS Warburg
RBC Dain Rauscher Corp
Fahnestock &amp; Co
Advest Inc
Ferris Baker Watts
Janney Montgomery Scott Inc
McDonald Investments
Wedbush Securities
Wells Fargo Bank NA
National Securities Corp (US)
Newbridge Securities
Deutsche Bank Securities
Legg Mason Wood Walker
US Bancorp Piper Jaffray
BB&amp;T Capital Markets
William Blair &amp; Co
Crowell Weedon &amp; Co
DA Davidson &amp; Co Inc
Morgan Keegan Inc
Parker-Hunter Inc
Stephens Inc
Stifel Nicolaus &amp; Co Inc
Bishop, Rosen &amp; Co
Brean Murray &amp; Co Inc
CE Unterberg Towbin
David A. Noyes
First Southwest
Gilford Securities
Howe Barnes Investments Inc
Johnston Lemon &amp; Co Inc
LaSalle Street Securities Inc
McGinn, Smith &amp; Co Inc
Mesirow Financial Corp
Peacock Hislop Staley &amp; Given
Sands Brothers &amp; Co Ltd
Seidler Corp
Spelman &amp; Co.
STERLING FINANCIAL INVESTMENT
M. L. Stern
Stone &amp; Youngberg
Southwest Securities Inc
Torrey Pines Securities
Wayne Hummer &amp; Co</t>
  </si>
  <si>
    <t>ML//SALOMON-SMITH/WACHOVIA-SEC
/UBS-WARBURG/RBC-DAIN/FAHNESTOCK/ADVEST
/FERRIS-BAKER/JANNEY/MCDONALD/WEDBUSH-M
/WELLS-FARGO/NATL-SEC/NEWBRIDGE/DBSECU
/LEGG-MASON-WW/US-PIPER/BB-T-CAP
/WM-BLAIR/CROWELL/DAVIDSON
/MORGAN-KEEGAN/PARKER-HUNTER/STEPHENS
/STIFEL/BISHOP-ROSEN/BREAN/UNTERBERG
/D-A-NOYES/FIRST-SW/GILFORD/HOWE-BARNES
/JOHNSTON-LEMON/LASALLE-SEC
/MCGINN-SMITH/MESIROW-FIN
/PEACOCK-HISLOP/SANDS/SEIDLER-COS
/SPELMAN/STERLING-FIN-I/M-L-STERN
/STONE-YOUNG/SWS-SEC/TORREY-PINES
/HUMMER</t>
  </si>
  <si>
    <t>ML
SALOMON-SMITH
WACHOVIA-SEC
UBS-WARBURG
RBC-DAIN
FAHNESTOCK
ADVEST
FERRIS-BAKER
JANNEY
MCDONALD
WEDBUSH-M
WELLS-FARGO
NATL-SEC
NEWBRIDGE
DBSECU
LEGG-MASON-WW
US-PIPER
BB-T-CAP
WM-BLAIR
CROWELL
DAVIDSON
MORGAN-KEEGAN
PARKER-HUNTER
STEPHENS
STIFEL
BISHOP-ROSEN
BREAN
UNTERBERG
D-A-NOYES
FIRST-SW
GILFORD
HOWE-BARNES
JOHNSTON-LEMON
LASALLE-SEC
MCGINN-SMITH
MESIROW-FIN
PEACOCK-HISLOP
SANDS
SEIDLER-COS
SPELMAN
STERLING-FIN-I
M-L-STERN
STONE-YOUNG
SWS-SEC
TORREY-PINES
HUMMER</t>
  </si>
  <si>
    <t>Merrill Lynch Pierce Fenner &amp; Smith
Salomon Smith Barney
Wachovia Securities Inc
UBS Warburg
RBC Dain Rauscher Corp
Fahnestock &amp; Co
Advest Inc
Ferris Baker Watts Inc
Janney Montgomery Scott Inc
McDonald Investments Inc
Wedbush Securities
Wells Fargo Bank NA
National Securities Corp (US)
Newbridge Securities
Deutsche Bank Securities Inc
Legg Mason Wood Walker Inc
US Bancorp Piper Jaffray Inc
BB&amp;T Capital Markets
William Blair &amp; Co
Crowell Weedon &amp; Co
DA Davidson &amp; Co Inc
Morgan Keegan Inc
Parker-Hunter Inc
Stephens Inc
Stifel Nicolaus &amp; Co Inc
Bishop, Rosen &amp; Co, Inc.
Brean Murray &amp; Co Inc
CE Unterberg Towbin
David A. Noyes &amp; Co.
First Southwest Company
Gilford Securities Incorporated
Howe Barnes Investments Inc
Johnston Lemon &amp; Co Inc
LaSalle Street Securities, Inc.
McGinn, Smith &amp; Co Inc
Mesirow Financial Corp
Peacock Hislop Staley &amp; Given Inc
Sands Brothers &amp; Co Ltd
Seidler Corp
Spelman &amp; Co. Inc.
STERLING FINANCIAL INVESTMENT GROUP
M. L. Stern &amp; Co., Inc.
Stone &amp; Youngberg
Southwest Securities Inc
Torrey Pines Securities, Inc.
Wayne Hummer &amp; Co</t>
  </si>
  <si>
    <t>Endurance Specialty Holdings</t>
  </si>
  <si>
    <t>ENH</t>
  </si>
  <si>
    <t>GS/MERRILL(JB)</t>
  </si>
  <si>
    <t>G30397106</t>
  </si>
  <si>
    <t>Goldman Sachs &amp; Co
Merrill Lynch
JP Morgan
Credit Suisse First Boston
Deutsche Bank Securities Corp
Dowling &amp; Partners Securities
Fox-Pitt Kelton
Keefe Bruyette &amp; Woods Inc</t>
  </si>
  <si>
    <t>GS(JB)/MERRILL(JB)//JPM/CS-FB-CS
/DEUTSCHE-BK-SEC//DOWL/FOX-PITT/KEEFE</t>
  </si>
  <si>
    <t>GS
(JB)/MERRILL(JB)
JPM
CS-FB-CS
DEUTSCHE-BK-SEC</t>
  </si>
  <si>
    <t>Goldman Sachs &amp; Co
Merrill Lynch &amp; Co Inc
JP Morgan &amp; Co Inc
Credit Suisse First Boston Corp
Deutsche Bank Securities Corp.</t>
  </si>
  <si>
    <t>Telkom SA Ltd</t>
  </si>
  <si>
    <t>South Africa</t>
  </si>
  <si>
    <t>TKG</t>
  </si>
  <si>
    <t>DEUTSCHE-BANK/JPM(JB)</t>
  </si>
  <si>
    <t>Deutsche Bank
JP Morgan
Citigroup/Salomon Smith Barney
UBS Warburg
HSBC Holdings PLC
Investec Investment Banking
Barnard Jacobs Mellet Ltd
Deutsche Bank
JP Morgan</t>
  </si>
  <si>
    <t>08/30/03
08/30/03</t>
  </si>
  <si>
    <t>DEUTSCHE-BANK(JB)/JPM(JB)
//CITIGROUP-SSB/UBS-WARBURG
/SAM-CAPEL-HSBC/INVESTEC-INVEST/BJM
//DEUTSCHE-BANK(GC)/JPM(GC)</t>
  </si>
  <si>
    <t>DEUTSCHE-BANK/JPM</t>
  </si>
  <si>
    <t>DEUTSCHE-BANK
(JB)/JPM(JB)
CITIGROUP-SSB
UBS-WARBURG
SAM-CAPEL-HSBC
INVESTEC-INVEST
BJM</t>
  </si>
  <si>
    <t>Deutsche Bank
JP Morgan &amp; Co Inc
Citigroup/Salomon Smith Barney
UBS Warburg
HSBC Holdings PLC
Investec Investment Banking
Barnard Jacobs Mellet Ltd</t>
  </si>
  <si>
    <t>Preferred Income Strat Fund</t>
  </si>
  <si>
    <t>PSY</t>
  </si>
  <si>
    <t>74038E100</t>
  </si>
  <si>
    <t>Merrill Lynch
Advest Inc
BB&amp;T Capital Markets
Fahnestock &amp; Co
Janney Montgomery Scott Inc
Morgan Keegan Inc
Raymond James &amp; Associates Inc
Stifel Nicolaus &amp; Co Inc
Wells Fargo Bank NA
Deutsche Bank Securities
Legg Mason Wood Walker
Prudential Securities Inc
RBC Dain Rauscher Corp
US Bancorp Piper Jaffray
Wachovia Securities Inc
William Blair &amp; Co
Brean Murray &amp; Co Inc
CE Unterberg Towbin
Crowell Weedon &amp; Co
Davenport
DA Davidson &amp; Co Inc
Ferris Baker Watts
Johnston Lemon &amp; Co Inc
McDonald Investments
Natcity Investments Inc.
Parker-Hunter Inc
Quick &amp; Reilly Inc
Sands Brothers &amp; Co Ltd
Stephens Inc
SunTrust Capital Markets
Wedbush Securities
Arthurs Lestrange
Bishop, Rosen &amp; Co
Chatsworth Securities LLC
First Southwest
Gilford Securities
Howe Barnes Investments Inc
Huntleigh Securities Corp
LaSalle Street Securities Inc
Maxim Corporate Partners Inc
Mesirow Financial Corp
National Securities Corp (US)
Needham &amp; Co LLC
Northeast Securities Inc.
David A. Noyes
Nutmeg Securities Ltd
Ormes Capital Markets Inc
Pacific Crest Securities Inc
Paulson Investment Co
Peacock Hislop Staley &amp; Given
Southwest Securities Inc
STERLING FINANCIAL INVESTMENT
Torrey Pines Securities</t>
  </si>
  <si>
    <t>MERRILL//ADVEST/BB-T-CAP/FAHNESTOCK
/JANNEY/MORGAN-KEEGAN/RAYMOND/STIFEL
/WELLS-FARGO//DBSECU/LEGG-MASON-WW/PSI
/RBC-DAIN/US-PIPER/WACHOVIA-SEC
/WM-BLAIR/BREAN/UNTERBERG/CROWELL
/DAVENPORT/DAVIDSON/FERRIS-BAKER
/JOHNSTON-LEMON/MCDONALD/NATCITY-INVEST
/PARKER-HUNTER/Q&amp;R/SANDS/STEPHENS
/SUNTRUST-CAP/WEDBUSH-M/ARTHURS-LES
/BISHOP-ROSEN/CHATSWORTH/FIRST-SW
/GILFORD/HOWE-BARNES/HUNTLEIGH-SEC
/LASALLE-SEC/MAXIM/MESIROW-FIN/NATL-SEC
/NEEDHAM/NORTHEAST-SEC/D-A-NOYES
/NUTMEG-SEC/ORMES/PACIFIC-CREST/PAULSON
/PEACOCK-HISLOP/SWS-SEC/STERLING-FIN-I
/TORREY-PINES</t>
  </si>
  <si>
    <t>MERRILL
ADVEST
BB-T-CAP
FAHNESTOCK
JANNEY
MORGAN-KEEGAN
RAYMOND
STIFEL
WELLS-FARGO</t>
  </si>
  <si>
    <t>Merrill Lynch &amp; Co Inc
Advest Inc
BB&amp;T Capital Markets
Fahnestock &amp; Co
Janney Montgomery Scott Inc
Morgan Keegan Inc
Raymond James &amp; Associates Inc
Stifel Nicolaus &amp; Co Inc
Wells Fargo Bank NA</t>
  </si>
  <si>
    <t>Nicholas-Applegate Cvt Inc Fd</t>
  </si>
  <si>
    <t>NCV</t>
  </si>
  <si>
    <t>65370F101</t>
  </si>
  <si>
    <t>UBS Warburg
Prudential Securities Inc
Wachovia Bank NA
Legg Mason Wood Walker
RBC Capital Markets
Wells Fargo Bank NA
Advest Inc
H&amp;R Block Financial Advisors
Fahnestock &amp; Co
Janney Montgomery Scott Inc
McDonald Investments
Wedbush, Noble, Cooke
Ferris Baker Watts
Deutsche Bank Securities
Merrill Lynch, Pierce, Fenner
US Bancorp Piper Jaffray
M. L. Stern
Robert W Baird &amp; Co Inc
BB&amp;T Capital Markets
William Blair &amp; Co
Crowell Weedon &amp; Co
DA Davidson &amp; Co Inc
First Southwest
J. B. Hanauer
Johnston Lemon &amp; Co Inc
Kaufman Brothers LP
Leerink Swann &amp; Co
Natcity Investments Inc.
Morgan Keegan Inc
Parker-Hunter Inc
Sanders Morris Harris Inc
Sands Brothers &amp; Co Ltd
Seidler Corp
Stephens Inc
Stone &amp; Youngberg
SunTrust Capital Markets
CE Unterberg Towbin
Arthurs Lestrange
Bishop, Rosen &amp; Co
Brean Murray &amp; Co Inc
City Securities
Dorsey &amp; Company Incorporated
First Montauk Securities
Gerard Klauer Mattison &amp; Co
Gilford Securities
GunnAllen Financial Inc
Howe Barnes Investments Inc
Wayne Hummer &amp; Co
Huntleigh Securities Corp
Jesup &amp; Lamont Securities
JP Turner &amp; Co
Maxim Corporate Partners Inc
Mesirow Financial Corp
National Securities Corp (US)
Nutmeg Securities Ltd
Paulson Investment Co
Peacock Hislop Staley &amp; Given
Smith, Moore
Southwest Securities Inc
Sterling Financial Corp
Sterne Agee &amp; Leach Inc
SunAmerica Inc
Bernard Herold &amp; Co
Cadaret Grant &amp; Co
Finance 500 Inc</t>
  </si>
  <si>
    <t>UBS-WARBURG//PSI/WACHOVIA/LEGG-MASON-WW
/RBC-CAP-MKTS/WELLS-FARGO/ADVEST
/HR-BLOCK-FIN/FAHNESTOCK/JANNEY
/MCDONALD/WEDBUSH/FERRIS-BAKER//DBSECU
/ML/US-PIPER/M-L-STERN/BAIRD/BB-T-CAP
/WM-BLAIR/CROWELL/DAVIDSON/FIRST-SW
/J-B-HANAUER/JOHNSTON-LEMON
/KAUFMAN-BROS/LEERINK-SWANN
/NATCITY-INVEST/MORGAN-KEEGAN
/PARKER-HUNTER/SANDERS-HARRIS/SANDS
/SEIDLER-COS/STEPHENS/STONE-YOUNG
/SUNTRUST-CAP/UNTERBERG/ARTHURS-LES
/BISHOP-ROSEN/BREAN/CITY-SEC/DORSEY
/FIRST-MONTAUK/GERARD-KLAUER/GILFORD
/GUNNALLEN-FINL/HOWE-BARNES/HUMMER
/HUNTLEIGH-SEC/JESUP/J-P-TURNER/MAXIM
/MESIROW-FIN/NATL-SEC/NUTMEG-SEC
/PAULSON/PEACOCK-HISLOP/SMITH-MOORE
/SWS-SEC/STERLING-FIN/STERNE-AGEE/SUNAC
/BERNARD-HER/CADARET-GRANT/FINANCE-INC</t>
  </si>
  <si>
    <t>UBS-WARBURG
PSI
WACHOVIA
LEGG-MASON-WW
RBC-CAP-MKTS
WELLS-FARGO
ADVEST
HR-BLOCK-FIN
FAHNESTOCK
JANNEY
MCDONALD
WEDBUSH
FERRIS-BAKER</t>
  </si>
  <si>
    <t>UBS Warburg
Prudential Securities Inc
Wachovia Bank NA
Legg Mason Wood Walker Inc
RBC Capital Markets
Wells Fargo Bank NA
Advest Inc
H&amp;R Block Financial Advisors
Fahnestock &amp; Co
Janney Montgomery Scott Inc
McDonald Investments Inc
Wedbush, Noble, Cooke, Inc.
Ferris Baker Watts Inc</t>
  </si>
  <si>
    <t>Nuveen Pref and Conv Fund</t>
  </si>
  <si>
    <t>JPC</t>
  </si>
  <si>
    <t>67073B106</t>
  </si>
  <si>
    <t>Citigroup/Salomon Smith Barney
AG Edwards &amp; Sons Inc
Prudential Securities Inc
Wachovia Bank NA
Advest Inc
Robert W Baird &amp; Co Inc
H&amp;R Block Financial Advisors
Fahnestock &amp; Co
Ferris Baker Watts
Janney Montgomery Scott Inc
Legg Mason Wood Walker
McDonald Investments
Quick &amp; Reilly Inc
RBC Capital Markets
Ryan Beck &amp; Co
Stifel Nicolaus &amp; Co Inc
TD Waterhouse Securities
Wedbush Securities
Wells Fargo Bank NA
Nuveen Investments LLC
Deutsche Bank Securities
US Bancorp Piper Jaffray
BB&amp;T Capital Markets
Crowell Weedon &amp; Co
DA Davidson &amp; Co Inc
SunTrust Capital Markets
Davenport
Allen &amp; Company of Florida
Gilford Securities
Hazlett, Burt &amp; Watson
JJB Hilliard WL Lyons Inc
Howe Barnes Investments Inc
Wayne Hummer &amp; Co
Johnston Lemon &amp; Co Inc
LaSalle Street Securities Inc
Maxim Group LLC
Parker-Hunter Inc
Sanders Morris Harris Inc
Sands Brothers &amp; Co Ltd
Stephens Inc
M. L. Stern
Sterne Agee &amp; Leach Inc
Southwest Securities Inc
Mesirow Financial Holdings</t>
  </si>
  <si>
    <t>CITIGROUP-SSB//A-G-EDWARDS/PSI/WACHOVIA
/ADVEST/BAIRD/HR-BLOCK-FIN/FAHNESTOCK
/FERRIS-BAKER/JANNEY/LEGG-MASON-WW
/MCDONALD/Q&amp;R/RBC-CAP-MKTS/RYAN-BECK
/STIFEL/TDWS/WEDBUSH-M/WELLS-FARGO
//NUVEEN-INV/DBSECU/US-PIPER/BB-T-CAP
/CROWELL/DAVIDSON/SUNTRUST-CAP
/DAVENPORT/ALLEN-FL/GILFORD/HAZLETT
/HILLIARD/HOWE-BARNES/HUMMER
/JOHNSTON-LEMON/LASALLE-SEC/MAXIM-GROUP
/PARKER-HUNTER/SANDERS-HARRIS/SANDS
/STEPHENS/M-L-STERN/STERNE-AGEE/SWS-SEC
/MESIROW-HLDGS</t>
  </si>
  <si>
    <t>CITIGROUP-SSB
A-G-EDWARDS
PSI
WACHOVIA
ADVEST
BAIRD
HR-BLOCK-FIN
FAHNESTOCK
FERRIS-BAKER
JANNEY
LEGG-MASON-WW
MCDONALD
Q&amp;R
RBC-CAP-MKTS
RYAN-BECK
STIFEL
TDWS
WEDBUSH-M
WELLS-FARGO</t>
  </si>
  <si>
    <t>Citigroup/Salomon Smith Barney
AG Edwards &amp; Sons Inc
Prudential Securities Inc
Wachovia Bank NA
Advest Inc
Robert W Baird &amp; Co Inc
H&amp;R Block Financial Advisors
Fahnestock &amp; Co
Ferris Baker Watts Inc
Janney Montgomery Scott Inc
Legg Mason Wood Walker Inc
McDonald Investments Inc
Quick &amp; Reilly Inc
RBC Capital Markets
Ryan Beck &amp; Co
Stifel Nicolaus &amp; Co Inc
TD Waterhouse Securities
Wedbush Securities
Wells Fargo Bank NA</t>
  </si>
  <si>
    <t>Neuberger Berman Real Inc Fund</t>
  </si>
  <si>
    <t>NRI</t>
  </si>
  <si>
    <t>64126G109</t>
  </si>
  <si>
    <t>AG Edwards &amp; Sons Inc
Merrill Lynch
Robert W Baird &amp; Co Inc
BB&amp;T Capital Markets
Ferris Baker Watts
JJB Hilliard WL Lyons Inc
Janney Montgomery Scott Inc
Legg Mason &amp; Co Inc
McDonald Investments
Raymond James &amp; Associates Inc
RBC Capital Markets
Stifel Nicolaus &amp; Co Inc
US Bancorp Piper Jaffray
Prudential Securities Inc
Wachovia Securities Inc
Advest Inc
Crowell Weedon &amp; Co
Davenport
DA Davidson &amp; Co Inc
Fahnestock &amp; Co
First Southwest
Johnston Lemon &amp; Co Inc
Morgan Keegan Inc
Parker-Hunter Inc
Sanders Morris Harris Inc
Sterne Agee &amp; Leach Inc
Stephens Inc
SunTrust Capital Markets
Southwest Securities Inc
TD Waterhouse Securities
Wedbush Securities
Wells Fargo Brokerage Svcs</t>
  </si>
  <si>
    <t>A-G-EDWARDS//MERRILL/BAIRD/BB-T-CAP
/FERRIS-BAKER/HILLIARD/JANNEY
/LEGG-MASON/MCDONALD/RAYMOND
/RBC-CAP-MKTS/STIFEL/US-PIPER//PSI
/WACHOVIA-SEC/ADVEST/CROWELL/DAVENPORT
/DAVIDSON/FAHNESTOCK/FIRST-SW
/JOHNSTON-LEMON/MORGAN-KEEGAN
/PARKER-HUNTER/SANDERS-HARRIS
/STERNE-AGEE/STEPHENS/SUNTRUST-CAP
/SWS-SEC/TDWS/WEDBUSH-M/WELLS-BROKERAGE</t>
  </si>
  <si>
    <t>A-G-EDWARDS
MERRILL
BAIRD
BB-T-CAP
FERRIS-BAKER
HILLIARD
JANNEY
LEGG-MASON
MCDONALD
RAYMOND
RBC-CAP-MKTS
STIFEL
US-PIPER</t>
  </si>
  <si>
    <t>AG Edwards &amp; Sons Inc
Merrill Lynch &amp; Co Inc
Robert W Baird &amp; Co Inc
BB&amp;T Capital Markets
Ferris Baker Watts Inc
JJB Hilliard WL Lyons Inc
Janney Montgomery Scott Inc
Legg Mason &amp; Co Inc
McDonald Investments Inc
Raymond James &amp; Associates Inc
RBC Capital Markets
Stifel Nicolaus &amp; Co Inc
US Bancorp Piper Jaffray Inc</t>
  </si>
  <si>
    <t>PIMCO High Income Fund</t>
  </si>
  <si>
    <t>PHK</t>
  </si>
  <si>
    <t>CITIGROUP-SSB
/MERRILL(JB)
/UBS-WARBURG(JB)</t>
  </si>
  <si>
    <t>Citigroup/Salomon Smith Barney
Merrill Lynch
UBS Warburg
AG Edwards &amp; Sons Inc
Prudential Securities Inc
Wachovia Securities Inc
Advest Inc
Fahnestock &amp; Co
Janney Montgomery Scott Inc
Legg Mason Wood Walker
McDonald Investments
Quick &amp; Reilly Group, Inc.
RBC Capital Markets
Wedbush Securities
Wells Fargo Brokerage Svcs
Deutsche Bank Securities
US Bancorp Piper Jaffray
Robert W Baird &amp; Co Inc
BB&amp;T Capital Markets
William Blair &amp; Co
Crowell Weedon &amp; Co
Ferris Baker Watts
Jefferies &amp; Co Inc
Morgan Keegan Inc
SunTrust Capital Markets
TD Waterhouse Securities
Torrey Pines Securities
CE Unterberg Towbin
Cadaret Grant &amp; Co
City Securities
DA Davidson &amp; Co Inc
Gilford Securities
Howe Barnes Investments Inc
Huntleigh Securities Corp
Johnston Lemon &amp; Co Inc
Maxim Corporate Partners Inc
Parker-Hunter Inc
Peacock Hislop Staley &amp; Given
Sanders Morris Harris Inc
Sands Brothers &amp; Co Ltd
Southwest Securities Inc
Stephens Inc
M. L. Stern
Sterne Agee &amp; Leach Inc
Stone &amp; Youngberg
Mesirow Financial Corp</t>
  </si>
  <si>
    <t>CITIGROUP-SSB(JB)/MERRILL(JB)
/UBS-WARBURG(JB)//A-G-EDWARDS/PSI
/WACHOVIA-SEC/ADVEST/FAHNESTOCK/JANNEY
/LEGG-MASON-WW/MCDONALD/QUICK-REILLY
/RBC-CAP-MKTS/WEDBUSH-M/WELLS-BROKERAGE
//DBSECU/US-PIPER/BAIRD/BB-T-CAP
/WM-BLAIR/CROWELL/FERRIS-BAKER
/JEFFERIES/MORGAN-KEEGAN/SUNTRUST-CAP
/TDWS/TORREY-PINES/UNTERBERG
/CADARET-GRANT/CITY-SEC/DAVIDSON
/GILFORD/HOWE-BARNES/HUNTLEIGH-SEC
/JOHNSTON-LEMON/MAXIM/PARKER-HUNTER
/PEACOCK-HISLOP/SANDERS-HARRIS/SANDS
/SWS-SEC/STEPHENS/M-L-STERN/STERNE-AGEE
/STONE-YOUNG/MESIROW-FIN</t>
  </si>
  <si>
    <t>CITIGROUP-SSB/MERRILL/UBS-WARBURG</t>
  </si>
  <si>
    <t>CITIGROUP-SSB
(JB)/MERRILL(JB)
/UBS-WARBURG(JB)
A-G-EDWARDS
PSI
WACHOVIA-SEC
ADVEST
FAHNESTOCK
JANNEY
LEGG-MASON-WW
MCDONALD
QUICK-REILLY
RBC-CAP-MKTS
WEDBUSH-M
WELLS-BROKERAGE</t>
  </si>
  <si>
    <t>Citigroup/Salomon Smith Barney
Merrill Lynch &amp; Co Inc
UBS Warburg
AG Edwards &amp; Sons Inc
Prudential Securities Inc
Wachovia Securities Inc
Advest Inc
Fahnestock &amp; Co
Janney Montgomery Scott Inc
Legg Mason Wood Walker Inc
McDonald Investments Inc
Quick &amp; Reilly Group, Inc.
RBC Capital Markets
Wedbush Securities
Wells Fargo Brokerage Services LLC</t>
  </si>
  <si>
    <t>Advent Claymore Conv Sec Fund</t>
  </si>
  <si>
    <t>AVK</t>
  </si>
  <si>
    <t>00764C109</t>
  </si>
  <si>
    <t>Merrill Lynch
Legg Mason Wood Walker
RBC Capital Markets
Wachovia Bank NA
Wells Fargo Bank NA
Advest Inc
Robert W Baird &amp; Co Inc
JJB Hilliard WL Lyons Inc
Janney Montgomery Scott Inc
McDonald Investments
Ryan Beck &amp; Co
Stifel Nicolaus &amp; Co Inc
Deutsche Bank Securities
US Bancorp Piper Jaffray
BB&amp;T Capital Markets
William Blair &amp; Co
Brean Murray &amp; Co Inc
CE Unterberg Towbin
Crowell Weedon &amp; Co
Davenport
DA Davidson &amp; Co Inc
Ferris Baker Watts
Johnston Lemon &amp; Co Inc
Morgan Keegan Inc
Natcity Investments Inc.
Parker-Hunter Inc
Sands Brothers &amp; Co Ltd
Stephens Inc
TD Waterhouse Securities
Wedbush Securities
Allen &amp; Company of Florida
Arthurs Lestrange
Blaylock &amp; Partners LP
Chatsworth Securities LLC
First Southwest
Gerard Klauer Mattison &amp; Co
Gilford Securities
Howe Barnes Investments Inc
Huntleigh Securities Corp
JP Turner &amp; Co
Jesup &amp; Lamont Securities
LaSalle Street Securities Inc
Maxim Group LLC
Mesirow Financial Corp
National Securities Corp (US)
Needham &amp; Co LLC
Northeast Securities Inc.
David A. Noyes
Ormes Capital Markets Inc
Pacific Crest Securities Inc
Paulson Investment Co
Peacock Hilsop Staley &amp; Givens
Southwest Securities Inc
STERLING FINANCIAL INVESTMENT
Torrey Pines Securities</t>
  </si>
  <si>
    <t>MERRILL//LEGG-MASON-WW/RBC-CAP-MKTS
/WACHOVIA/WELLS-FARGO/ADVEST/BAIRD
/HILLIARD/JANNEY/MCDONALD/RYAN-BECK
/STIFEL//DBSECU/US-PIPER/BB-T-CAP
/WM-BLAIR/BREAN/UNTERBERG/CROWELL
/DAVENPORT/DAVIDSON/FERRIS-BAKER
/JOHNSTON-LEMON/MORGAN-KEEGAN
/NATCITY-INVEST/PARKER-HUNTER/SANDS
/STEPHENS/TDWS/WEDBUSH-M/ALLEN-FL
/ARTHURS-LES/BLAYLOCK-PTRNS/CHATSWORTH
/FIRST-SW/GERARD-KLAUER/GILFORD
/HOWE-BARNES/HUNTLEIGH-SEC/J-P-TURNER
/JESUP/LASALLE-SEC/MAXIM-GROUP
/MESIROW-FIN/NATL-SEC/NEEDHAM
/NORTHEAST-SEC/D-A-NOYES/ORMES
/PACIFIC-CREST/PAULSON/PEACOCK-HIL
/SWS-SEC/STERLING-FIN-I/TORREY-PINES</t>
  </si>
  <si>
    <t>MERRILL
LEGG-MASON-WW
RBC-CAP-MKTS
WACHOVIA
WELLS-FARGO
ADVEST
BAIRD
HILLIARD
JANNEY
MCDONALD
RYAN-BECK
STIFEL</t>
  </si>
  <si>
    <t>Merrill Lynch &amp; Co Inc
Legg Mason Wood Walker Inc
RBC Capital Markets
Wachovia Bank NA
Wells Fargo Bank NA
Advest Inc
Robert W Baird &amp; Co Inc
JJB Hilliard WL Lyons Inc
Janney Montgomery Scott Inc
McDonald Investments Inc
Ryan Beck &amp; Co
Stifel Nicolaus &amp; Co Inc</t>
  </si>
  <si>
    <t>iPayment Inc</t>
  </si>
  <si>
    <t>IPMT</t>
  </si>
  <si>
    <t>46262E105</t>
  </si>
  <si>
    <t>Bear Stearns &amp; Co Inc
Thomas Weisel Partners
Wachovia Bank NA
Deutsche Bank Securities
AG Edwards &amp; Sons Inc
Jefferies &amp; Co Inc
Friedman Billings Ramsey &amp; Co
Soundview Technology
Robert W Baird &amp; Co Inc
Gerard Klauer Mattison &amp; Co
Hoefer &amp; Arnett Inc
JMP Securities LLC
Morgan Joseph &amp; Co Inc
Needham &amp; Co LLC
Putnam Lovell Securities
CE Unterberg Towbin</t>
  </si>
  <si>
    <t>BEAR//THOMAS-WEISEL/WACHOVIA//DBSECU
/A-G-EDWARDS/JEFFERIES/FRIEDMAN-B-CO
/SOUNDV/BAIRD/GERARD-KLAUER
/HOEFER-ARNETT/JMP-SEC/MORGAN-JOSEPH
/NEEDHAM/PUTNAM-LOV-SEC/UNTERBERG</t>
  </si>
  <si>
    <t>BEAR
THOMAS-WEISEL
WACHOVIA</t>
  </si>
  <si>
    <t>Bear Stearns &amp; Co Inc
Thomas Weisel Partners
Wachovia Bank NA</t>
  </si>
  <si>
    <t>Redline Performance Inc</t>
  </si>
  <si>
    <t>RED</t>
  </si>
  <si>
    <t>75763Q101</t>
  </si>
  <si>
    <t>11/05/04
05/09/04</t>
  </si>
  <si>
    <t xml:space="preserve">48.125
</t>
  </si>
  <si>
    <t>540
360</t>
  </si>
  <si>
    <t xml:space="preserve">2359796.00
</t>
  </si>
  <si>
    <t>Calamos Cvt and High Inc Fund</t>
  </si>
  <si>
    <t>CHY</t>
  </si>
  <si>
    <t>12811P108</t>
  </si>
  <si>
    <t>Citigroup/Salomon Smith Barney
Wachovia Securities Inc
Advest Inc
H&amp;R Block Financial Advisors
Fahnestock &amp; Co
Janney Montgomery Scott Inc
Legg Mason Wood Walker
McDonald Investments
RBC Capital Markets
TD Waterhouse Securities
Wedbush, Noble, Cooke
Wells Fargo Bank NA
Robert W Baird &amp; Co Inc
Crowell Weedon &amp; Co
Deutsche Bank Securities
Quick &amp; Reilly Inc
US Bancorp Piper Jaffray
BB&amp;T Capital Markets
William Blair &amp; Co
Ferris Baker Watts
Morgan Keegan Inc
SunTrust Capital Markets
DA Davidson &amp; Co Inc
First Southwest
Leerink Swann &amp; Co
Natcity Investments Inc.
Southwest Securities Inc
Stephens Inc
M. L. Stern</t>
  </si>
  <si>
    <t>CITIGROUP-SSB//WACHOVIA-SEC/ADVEST
/HR-BLOCK-FIN/FAHNESTOCK/JANNEY
/LEGG-MASON-WW/MCDONALD/RBC-CAP-MKTS
/TDWS/WEDBUSH/WELLS-FARGO//BAIRD
/CROWELL/DBSECU/Q&amp;R/US-PIPER/BB-T-CAP
/WM-BLAIR/FERRIS-BAKER/MORGAN-KEEGAN
/SUNTRUST-CAP/DAVIDSON/FIRST-SW
/LEERINK-SWANN/NATCITY-INVEST/SWS-SEC
/STEPHENS/M-L-STERN</t>
  </si>
  <si>
    <t>CITIGROUP-SSB
WACHOVIA-SEC
ADVEST
HR-BLOCK-FIN
FAHNESTOCK
JANNEY
LEGG-MASON-WW
MCDONALD
RBC-CAP-MKTS
TDWS
WEDBUSH
WELLS-FARGO</t>
  </si>
  <si>
    <t>Citigroup/Salomon Smith Barney
Wachovia Securities Inc
Advest Inc
H&amp;R Block Financial Advisors
Fahnestock &amp; Co
Janney Montgomery Scott Inc
Legg Mason Wood Walker Inc
McDonald Investments Inc
RBC Capital Markets
TD Waterhouse Securities
Wedbush, Noble, Cooke, Inc.
Wells Fargo Bank NA</t>
  </si>
  <si>
    <t>Corporate High Yield Fund VI</t>
  </si>
  <si>
    <t>HYT</t>
  </si>
  <si>
    <t>Merrill Lynch
Advest Inc
Robert W Baird &amp; Co Inc
BB&amp;T Capital Markets
Fahnestock &amp; Co
Janney Montgomery Scott Inc
McDonald Investments
RBC Dain Rauscher Corp
Stifel Nicolaus &amp; Co Inc
Deutsche Bank Securities
AG Edwards &amp; Sons Inc
Prudential Securities Inc
US Bancorp Piper Jaffray
Wachovia Securities Inc
William Blair &amp; Co
Crowell Weedon &amp; Co
Ferris Baker Watts
Legg Mason Wood Walker
Morgan Keegan Inc
Parker-Hunter Inc
Stephens Inc
SunTrust Capital Markets
Wedbush Securities
Arthurs Lestrange
Bishop, Rosen &amp; Co
Brean Murray &amp; Co Inc
Chatsworth Securities LLC
DA Davidson &amp; Co Inc
First Southwest
Gerard Klauer Mattison &amp; Co
Gilford Securities
Howe Barnes Investments Inc
Wayne Hummer &amp; Co
Johnston Lemon &amp; Co Inc
LaSalle Street Securities Inc
Maxim Group LLC
McGinn, Smith &amp; Co Inc
Mesirow Financial Corp
Natcity Investments Inc.
National Securities Corp (US)
Needham &amp; Co LLC
Northeast Securities Inc.
Nutmeg Securities Ltd
Ormes Capital Markets Inc
Pacific Crest Securities Inc
Paulson Investment Co
Peacock Hilsop Staley &amp; Givens
Quick &amp; Reilly Inc
Sands Brothers &amp; Co Ltd
The Seidler Companies Inc
Source Capital Group Inc
Southwest Securities Inc
STERLING FINANCIAL INVESTMENT
M. L. Stern
Stone &amp; Youngberg
Torrey Pines Securities
JP Turner &amp; Co
CE Unterberg Towbin</t>
  </si>
  <si>
    <t>MERRILL//ADVEST/BAIRD/BB-T-CAP
/FAHNESTOCK/JANNEY/MCDONALD/RBC-DAIN
/STIFEL//DBSECU/A-G-EDWARDS/PSI
/US-PIPER/WACHOVIA-SEC/WM-BLAIR/CROWELL
/FERRIS-BAKER/LEGG-MASON-WW
/MORGAN-KEEGAN/PARKER-HUNTER/STEPHENS
/SUNTRUST-CAP/WEDBUSH-M/ARTHURS-LES
/BISHOP-ROSEN/BREAN/CHATSWORTH/DAVIDSON
/FIRST-SW/GERARD-KLAUER/GILFORD
/HOWE-BARNES/HUMMER/JOHNSTON-LEMON
/LASALLE-SEC/MAXIM-GROUP/MCGINN-SMITH
/MESIROW-FIN/NATCITY-INVEST/NATL-SEC
/NEEDHAM/NORTHEAST-SEC/NUTMEG-SEC/ORMES
/PACIFIC-CREST/PAULSON/PEACOCK-HIL/Q&amp;R
/SANDS/SEIDLER-CO-INC/SOURCE-CAPITAL
/SWS-SEC/STERLING-FIN-I/M-L-STERN
/STONE-YOUNG/TORREY-PINES/J-P-TURNER
/UNTERBERG</t>
  </si>
  <si>
    <t>MERRILL
ADVEST
BAIRD
BB-T-CAP
FAHNESTOCK
JANNEY
MCDONALD
RBC-DAIN
STIFEL</t>
  </si>
  <si>
    <t>Merrill Lynch &amp; Co Inc
Advest Inc
Robert W Baird &amp; Co Inc
BB&amp;T Capital Markets
Fahnestock &amp; Co
Janney Montgomery Scott Inc
McDonald Investments Inc
RBC Dain Rauscher Corp
Stifel Nicolaus &amp; Co Inc</t>
  </si>
  <si>
    <t>Eaton Vance Limited Duration</t>
  </si>
  <si>
    <t>EVV</t>
  </si>
  <si>
    <t>UBS-WARBURG
/CITIGROUP(JB)
/MERRILL(JB)</t>
  </si>
  <si>
    <t>27828H105</t>
  </si>
  <si>
    <t>UBS Warburg
Citigroup
Merrill Lynch
AG Edwards &amp; Sons Inc
RBC Capital Markets
Wells Fargo Bank NA
H&amp;R Block Financial Advisors
Fahnestock &amp; Co
JJB Hilliard WL Lyons Inc
Janney Montgomery Scott Inc
McDonald Investments
Quick &amp; Reilly Inc
Deutsche Bank Securities
Legg Mason Wood Walker
Ryan Beck &amp; Co
SunTrust Capital Markets
US Bancorp Piper Jaffray
TD Waterhouse Securities
Wachovia Securities Inc
Wedbush Securities
Advest Inc
Robert W Baird &amp; Co Inc
BB&amp;T Capital Markets
William Blair &amp; Co
Crowell Weedon &amp; Co
DA Davidson &amp; Co Inc
Ferris Baker Watts
First Montauk Securities
Jesup &amp; Lamont Securities
Leerink Swann &amp; Co
Morgan Keegan Inc
Parker-Hunter Inc
Sanders Morris Harris Inc
Stephens Inc
M. L. Stern
Stifel Nicolaus &amp; Co Inc
Stone &amp; Youngberg
Anderson &amp; Strudwick
Arthurs Lestrange
Bernard Herold &amp; Co
City Securities
Gerard Klauer Mattison &amp; Co
Gilford Securities
J. B. Hanauer
Howe Barnes Investments Inc
Wayne Hummer &amp; Co
Huntleigh Securities Corp
Roan/Meyers Associates LP
Johnston Lemon &amp; Co Inc
LaSalle Street Securities Inc
Mesirow Financial Corp
Natcity Investments Inc.
Nathan &amp; Lewis Secs Inc
David A. Noyes
Paulson Investment Co
Peacock Hislop Staley &amp; Given
Sands Brothers &amp; Co Ltd
The Seidler Companies Inc
Southwest Securities Inc
Spelman &amp; Co.
Sterne Agee &amp; Leach Inc
Westminster Financial Mgmt</t>
  </si>
  <si>
    <t>UBS-WARBURG(JB)/CITIGROUP(JB)
/MERRILL(JB)//A-G-EDWARDS/RBC-CAP-MKTS
/WELLS-FARGO/HR-BLOCK-FIN/FAHNESTOCK
/HILLIARD/JANNEY/MCDONALD/Q&amp;R//DBSECU
/LEGG-MASON-WW/RYAN-BECK/SUNTRUST-CAP
/US-PIPER/TDWS/WACHOVIA-SEC/WEDBUSH-M
/ADVEST/BAIRD/BB-T-CAP/WM-BLAIR/CROWELL
/DAVIDSON/FERRIS-BAKER/FIRST-MONTAUK
/JESUP/LEERINK-SWANN/MORGAN-KEEGAN
/PARKER-HUNTER/SANDERS-HARRIS/STEPHENS
/M-L-STERN/STIFEL/STONE-YOUNG/ANDERSON
/ARTHURS-LES/BERNARD-HER/CITY-SEC
/GERARD-KLAUER/GILFORD/J-B-HANAUER
/HOWE-BARNES/HUMMER/HUNTLEIGH-SEC
/ROAN-MEYERS/JOHNSTON-LEMON/LASALLE-SEC
/MESIROW-FIN/NATCITY-INVEST
/NATHAN-LEWIS/D-A-NOYES/PAULSON
/PEACOCK-HISLOP/SANDS/SEIDLER-CO-INC
/SWS-SEC/SPELMAN/STERNE-AGEE
/WESTMINSTER-FIN</t>
  </si>
  <si>
    <t>UBS-WARBURG/CITIGROUP/MERRILL</t>
  </si>
  <si>
    <t>UBS-WARBURG
(JB)/CITIGROUP(JB)
/MERRILL(JB)
A-G-EDWARDS
RBC-CAP-MKTS
WELLS-FARGO
HR-BLOCK-FIN
FAHNESTOCK
HILLIARD
JANNEY
MCDONALD
Q&amp;R</t>
  </si>
  <si>
    <t>UBS Warburg
Citigroup
Merrill Lynch &amp; Co Inc
AG Edwards &amp; Sons Inc
RBC Capital Markets
Wells Fargo Bank NA
H&amp;R Block Financial Advisors
Fahnestock &amp; Co
JJB Hilliard WL Lyons Inc
Janney Montgomery Scott Inc
McDonald Investments Inc
Quick &amp; Reilly Inc</t>
  </si>
  <si>
    <t>FormFactor Inc</t>
  </si>
  <si>
    <t>FORM</t>
  </si>
  <si>
    <t>Morgan Stanley
Lehman Brothers
Banc of America Securities LLC
Thomas Weisel Partners
Adams Harkness &amp; Hill Inc
Needham &amp; Co LLC</t>
  </si>
  <si>
    <t>MORGAN-STANLEY//LEH/BA-SEC-LLC
/THOMAS-WEISEL//ADAMS-HARKNESS/NEEDHAM</t>
  </si>
  <si>
    <t>MORGAN-STANLEY
LEH
BA-SEC-LLC
THOMAS-WEISEL</t>
  </si>
  <si>
    <t>Morgan Stanley
Lehman Brothers
Banc of America Securities LLC
Thomas Weisel Partners</t>
  </si>
  <si>
    <t>First Trst Value Line 100 Fund</t>
  </si>
  <si>
    <t>FVL</t>
  </si>
  <si>
    <t>33735D104</t>
  </si>
  <si>
    <t>AG Edwards &amp; Sons Inc
Merrill Lynch
Raymond James &amp; Associates Inc
Robert W Baird &amp; Co Inc
Janney Montgomery Scott Inc
McDonald Investments
RBC Capital Markets
Ryan Beck &amp; Co
Stephens Inc
Stifel Nicolaus &amp; Co Inc
Advest Inc
BB&amp;T Capital Markets
Crowell Weedon &amp; Co
Fahnestock &amp; Co
Ferris Baker Watts
JJB Hilliard WL Lyons Inc
Wayne Hummer &amp; Co
Huntleigh Securities Corp
Legg Mason Wood Walker
Mesirow Financial Corp
Morgan Keegan Inc
David A. Noyes
SunTrust Capital Markets
US Bancorp Piper Jaffray</t>
  </si>
  <si>
    <t>A-G-EDWARDS//MERRILL/RAYMOND/BAIRD
/JANNEY/MCDONALD/RBC-CAP-MKTS/RYAN-BECK
/STEPHENS/STIFEL//ADVEST/BB-T-CAP
/CROWELL/FAHNESTOCK/FERRIS-BAKER
/HILLIARD/HUMMER/HUNTLEIGH-SEC
/LEGG-MASON-WW/MESIROW-FIN
/MORGAN-KEEGAN/D-A-NOYES/SUNTRUST-CAP
/US-PIPER</t>
  </si>
  <si>
    <t>A-G-EDWARDS
MERRILL
RAYMOND
BAIRD
JANNEY
MCDONALD
RBC-CAP-MKTS
RYAN-BECK
STEPHENS
STIFEL</t>
  </si>
  <si>
    <t>AG Edwards &amp; Sons Inc
Merrill Lynch &amp; Co Inc
Raymond James &amp; Associates Inc
Robert W Baird &amp; Co Inc
Janney Montgomery Scott Inc
McDonald Investments Inc
RBC Capital Markets
Ryan Beck &amp; Co
Stephens Inc
Stifel Nicolaus &amp; Co Inc</t>
  </si>
  <si>
    <t>John Hancock Pref Inc Fund III</t>
  </si>
  <si>
    <t>HPS</t>
  </si>
  <si>
    <t>41021P103</t>
  </si>
  <si>
    <t>UBS Warburg
Merrill Lynch
Prudential Securities Inc
Wachovia Securities Inc
RBC Dominion Securities Corp
Advest Inc
Fahnestock &amp; Co
Quick &amp; Reilly Inc
Wells Fargo Bank NA
Signator Investors Inc
Robert W Baird &amp; Co Inc
JJB Hilliard WL Lyons Inc
Legg Mason Wood Walker
McDonald Investments
SunTrust Capital Markets
TD Waterhouse Securities
US Bancorp Piper Jaffray
Wedbush Securities
BB&amp;T Capital Markets
Brookstreet Securities
Crowell Weedon &amp; Co
Davenport
DA Davidson &amp; Co Inc
Ferris Baker Watts
First Montauk Securities
Gilford Securities
J. B. Hanauer
Huntleigh Securities Corp
Kirlin Securities Inc.
Mesirow Financial Corp
Morgan Keegan Inc
Natcity Investments Inc.
David A. Noyes
Parker-Hunter Inc
Sands Brothers &amp; Co Ltd
Spelman &amp; Co.
Stephens Inc
Sterne Agee &amp; Leach Inc
Stockcross Inc
Stone &amp; Youngberg</t>
  </si>
  <si>
    <t>UBS-WARBURG(JB)/MERRILL(JB)//PSI
/WACHOVIA-SEC/RBC-DOM-US/ADVEST
/FAHNESTOCK/Q&amp;R/WELLS-FARGO/SIGNATOR
//BAIRD/HILLIARD/LEGG-MASON-WW/MCDONALD
/SUNTRUST-CAP/TDWS/US-PIPER/WEDBUSH-M
/BB-T-CAP/BROOKSTREET/CROWELL/DAVENPORT
/DAVIDSON/FERRIS-BAKER/FIRST-MONTAUK
/GILFORD/J-B-HANAUER/HUNTLEIGH-SEC
/KIRLIN/MESIROW-FIN/MORGAN-KEEGAN
/NATCITY-INVEST/D-A-NOYES/PARKER-HUNTER
/SANDS/SPELMAN/STEPHENS/STERNE-AGEE
/STOCK-INC/STONE-YOUNG</t>
  </si>
  <si>
    <t>UBS-WARBURG
(JB)/MERRILL(JB)
PSI
WACHOVIA-SEC
RBC-DOM-US
ADVEST
FAHNESTOCK
Q&amp;R
WELLS-FARGO
SIGNATOR</t>
  </si>
  <si>
    <t>UBS Warburg
Merrill Lynch &amp; Co Inc
Prudential Securities Inc
Wachovia Securities Inc
RBC Dominion Securities Corp
Advest Inc
Fahnestock &amp; Co
Quick &amp; Reilly Inc
Wells Fargo Bank NA
Signator Investors Inc</t>
  </si>
  <si>
    <t>American Finl Realty Trust</t>
  </si>
  <si>
    <t>AFR</t>
  </si>
  <si>
    <t>BA-SEC-LLC
/FRIEDMAN-B-CO(JB)</t>
  </si>
  <si>
    <t>02607P305</t>
  </si>
  <si>
    <t>Banc of America Securities LLC
Friedman Billings Ramsey &amp; Co
Deutsche Bank Securities
UBS Securities Inc
Wachovia Securities Inc
Legg Mason Wood Walker
Raymond James &amp; Associates Inc
Bear Stearns &amp; Co Inc
Goldman Sachs &amp; Co
JP Morgan Chase &amp; Co
US Bancorp Piper Jaffray
Advest Inc
BB&amp;T Capital Markets
Blaylock &amp; Partners LP
Chatsworth Securities LLC
CMG Institutional Trading LLC
CMIC Finance &amp; Securities Co
Fahnestock &amp; Co
JMP Securities LLC
Keefe Bruyette &amp; Woods Inc
Ryan Beck &amp; Co
Sandler O'Neill Partners
Muriel Siebert &amp; Co
Stifel Nicolaus &amp; Co Inc
Wedbush Securities
WR Hambrecht &amp; Co LLC</t>
  </si>
  <si>
    <t>12/21/03
08/08/03</t>
  </si>
  <si>
    <t>5.777
36.781</t>
  </si>
  <si>
    <t>180
45</t>
  </si>
  <si>
    <t>5742198.00
36555810.00</t>
  </si>
  <si>
    <t>BA-SEC-LLC(JB)/FRIEDMAN-B-CO(JB)
//DBSECU/UBS-SEC/WACHOVIA-SEC
/LEGG-MASON-WW/RAYMOND/BEAR/GS/JPMCH
/US-PIPER/ADVEST/BB-T-CAP
/BLAYLOCK-PTRNS/CHATSWORTH/CMG-LLC
/CMIC-FINANCE/FAHNESTOCK/JMP-SEC/KEEFE
/RYAN-BECK/SANDLER-ONEILL/MURIEL/STIFEL
/WEDBUSH-M/W-R-HAMBRECHT</t>
  </si>
  <si>
    <t>BA-SEC-LLC/FRIEDMAN-B-CO</t>
  </si>
  <si>
    <t>BA-SEC-LLC
(JB)/FRIEDMAN-B-CO(JB)
DBSECU
UBS-SEC
WACHOVIA-SEC
LEGG-MASON-WW
RAYMOND
BEAR
GS
JPMCH
US-PIPER
ADVEST
BB-T-CAP
BLAYLOCK-PTRNS
CHATSWORTH
CMG-LLC
CMIC-FINANCE
FAHNESTOCK
JMP-SEC
KEEFE
RYAN-BECK
SANDLER-ONEILL
MURIEL
STIFEL
WEDBUSH-M
W-R-HAMBRECHT</t>
  </si>
  <si>
    <t>Banc of America Securities LLC
Friedman Billings Ramsey &amp; Co Inc
Deutsche Bank Securities Inc
UBS Securities Inc
Wachovia Securities Inc
Legg Mason Wood Walker Inc
Raymond James &amp; Associates Inc
Bear Stearns &amp; Co Inc
Goldman Sachs &amp; Co
JP Morgan Chase &amp; Co
US Bancorp Piper Jaffray Inc
Advest Inc
BB&amp;T Capital Markets
Blaylock &amp; Partners LP
Chatsworth Securities LLC
CMG Institutional Trading LLC
CMIC Finance &amp; Securities Co Ltd
Fahnestock &amp; Co
JMP Securities LLC
Keefe Bruyette &amp; Woods Inc
Ryan Beck &amp; Co
Sandler O'Neill Partners  L.P.
Muriel Siebert &amp; Co
Stifel Nicolaus &amp; Co Inc
Wedbush Securities
WR Hambrecht &amp; Co LLC</t>
  </si>
  <si>
    <t>Cohen &amp; Steers REIT Pref Fund</t>
  </si>
  <si>
    <t>RNP</t>
  </si>
  <si>
    <t>19247X100</t>
  </si>
  <si>
    <t>Merrill Lynch
AG Edwards &amp; Sons Inc
Deutsche Bank Securities
Legg Mason Wood Walker
Raymond James &amp; Associates Inc
RBC Dain Rauscher Corp
US Bancorp Piper Jaffray
Wachovia Securities Inc
Wells Fargo &amp; Co
Advest Inc
BB&amp;T Capital Markets
Robert W Baird &amp; Co Inc
H&amp;R Block Financial Advisors
Fahnestock &amp; Co
JJB Hilliard WL Lyons Inc
Janney Montgomery Scott Inc
McDonald Investments
Quick &amp; Reilly Inc
Stifel Nicolaus &amp; Co Inc
TD Waterhouse Securities
UBS Securities Inc
William Blair &amp; Co
Brean Murray &amp; Co Inc
CE Unterberg Towbin
Crowell Weedon &amp; Co
DA Davidson &amp; Co Inc
Doft &amp; Co Inc
Ferris Baker Watts
First Southwest
Johnston Lemon &amp; Co Inc
Morgan Keegan Inc
Parker-Hunter Inc
Ryan Beck &amp; Co
Charles Schwab &amp; Co Inc
Stephens Inc
SunTrust Capital Markets
Wedbush Securities
Arthurs Lestrange
Chatsworth Securities LLC
David A. Noyes
Gerard Klauer Mattison &amp; Co
Gilford Securities
Howe Barnes Investments Inc
Wayne Hummer &amp; Co
LaSalle Street Securities Inc
Leerink Swann &amp; Co
Maxim Group LLC
McGinn, Smith &amp; Co Inc
Mesirow Financial Corp
Natcity Investments Inc.
National Securities Corp (US)
Needham &amp; Co LLC
Northeast Securities Inc.
Nutmeg Securities Ltd
Ormes Capital Markets Inc
Pacific Crest Securities Inc
Paulson Investment Co
Peacock Hislop Staley &amp; Given
Sands Brothers &amp; Co Ltd
Source Capital Group Inc
Southwest Securities Inc
Spelman &amp; Co.
STERLING FINANCIAL INVESTMENT
Stone &amp; Youngberg
Strand,Atkinson,Williams&amp;Yerl
Torrey Pines Securities
JP Turner &amp; Co
Westminster Financial Mgmt</t>
  </si>
  <si>
    <t>MERRILL//A-G-EDWARDS/DBSECU
/LEGG-MASON-WW/RAYMOND/RBC-DAIN
/US-PIPER/WACHOVIA-SEC/WF/ADVEST
/BB-T-CAP/BAIRD/HR-BLOCK-FIN/FAHNESTOCK
/HILLIARD/JANNEY/MCDONALD/Q&amp;R/STIFEL
/TDWS//UBS-SEC/WM-BLAIR/BREAN/UNTERBERG
/CROWELL/DAVIDSON/DOFT/FERRIS-BAKER
/FIRST-SW/JOHNSTON-LEMON/MORGAN-KEEGAN
/PARKER-HUNTER/RYAN-BECK/CHARLES-SCHWAB
/STEPHENS/SUNTRUST-CAP/WEDBUSH-M
/ARTHURS-LES/CHATSWORTH/D-A-NOYES
/GERARD-KLAUER/GILFORD/HOWE-BARNES
/HUMMER/LASALLE-SEC/LEERINK-SWANN
/MAXIM-GROUP/MCGINN-SMITH/MESIROW-FIN
/NATCITY-INVEST/NATL-SEC/NEEDHAM
/NORTHEAST-SEC/NUTMEG-SEC/ORMES
/PACIFIC-CREST/PAULSON/PEACOCK-HISLOP
/SANDS/SOURCE-CAPITAL/SWS-SEC/SPELMAN
/STERLING-FIN-I/STONE-YOUNG
/STRAND-ATKIN/TORREY-PINES/J-P-TURNER
/WESTMINSTER-FIN</t>
  </si>
  <si>
    <t>MERRILL
A-G-EDWARDS
DBSECU
LEGG-MASON-WW
RAYMOND
RBC-DAIN
US-PIPER
WACHOVIA-SEC
WF
ADVEST
BB-T-CAP
BAIRD
HR-BLOCK-FIN
FAHNESTOCK
HILLIARD
JANNEY
MCDONALD
Q&amp;R
STIFEL
TDWS</t>
  </si>
  <si>
    <t>Merrill Lynch &amp; Co Inc
AG Edwards &amp; Sons Inc
Deutsche Bank Securities Inc
Legg Mason Wood Walker Inc
Raymond James &amp; Associates Inc
RBC Dain Rauscher Corp
US Bancorp Piper Jaffray Inc
Wachovia Securities Inc
Wells Fargo &amp; Co
Advest Inc
BB&amp;T Capital Markets
Robert W Baird &amp; Co Inc
H&amp;R Block Financial Advisors
Fahnestock &amp; Co
JJB Hilliard WL Lyons Inc
Janney Montgomery Scott Inc
McDonald Investments Inc
Quick &amp; Reilly Inc
Stifel Nicolaus &amp; Co Inc
TD Waterhouse Securities</t>
  </si>
  <si>
    <t>Maguire Properties Inc</t>
  </si>
  <si>
    <t>MPG</t>
  </si>
  <si>
    <t>CS-FB-CS
/CITIGROUP-SSB(JB)</t>
  </si>
  <si>
    <t>Credit Suisse First Boston
Citigroup/Salomon Smith Barney
Deutsche Bank Securities Corp
Banc of America Securities LLC
UBS Warburg
Wachovia Securities Inc
Legg Mason Wood Walker
AG Edwards &amp; Sons Inc
Raymond James &amp; Associates Inc
Advest Inc
BB&amp;T Capital Markets
MR Beal &amp; Co
Chatsworth Securities LLC
Crowell Weedon &amp; Co
Fahnestock &amp; Co
Friedman Billings Ramsey &amp; Co
Invemed Associates Inc
Janney Montgomery Scott Inc
CL King &amp; Associates Inc
McDonald Investments
RBC Dain Rauscher Corp
Sanders Morris Harris Inc
Muriel Siebert &amp; Co
Wedbush Securities</t>
  </si>
  <si>
    <t>CS-FB-CS(JB)/CITIGROUP-SSB(JB)
//DEUTSCHE-BK-SEC/BA-SEC-LLC
/UBS-WARBURG/WACHOVIA-SEC/LEGG-MASON-WW
/A-G-EDWARDS/RAYMOND//ADVEST/BB-T-CAP
/M-R-BEAL/CHATSWORTH/CROWELL/FAHNESTOCK
/FRIEDMAN-B-CO/INVEMED/JANNEY/CL-KING
/MCDONALD/RBC-DAIN/SANDERS-HARRIS
/MURIEL/WEDBUSH-M</t>
  </si>
  <si>
    <t>CS-FB-CS/CITIGROUP-SSB</t>
  </si>
  <si>
    <t>CS-FB-CS
(JB)/CITIGROUP-SSB(JB)
DEUTSCHE-BK-SEC
BA-SEC-LLC
UBS-WARBURG
WACHOVIA-SEC
LEGG-MASON-WW
A-G-EDWARDS
RAYMOND</t>
  </si>
  <si>
    <t>Credit Suisse First Boston Corp
Citigroup/Salomon Smith Barney
Deutsche Bank Securities Corp.
Banc of America Securities LLC
UBS Warburg
Wachovia Securities Inc
Legg Mason Wood Walker Inc
AG Edwards &amp; Sons Inc
Raymond James &amp; Associates Inc</t>
  </si>
  <si>
    <t>Neuberger Berman Inc Opp Fund</t>
  </si>
  <si>
    <t>NOX</t>
  </si>
  <si>
    <t>CITIGROUP</t>
  </si>
  <si>
    <t>64126L108</t>
  </si>
  <si>
    <t>Citigroup
Merrill Lynch
Advest Inc
Janney Montgomery Scott Inc
Legg Mason Wood Walker
Stifel Nicolaus &amp; Co Inc
Robert W Baird &amp; Co Inc
BB&amp;T Capital Markets
Crowell Weedon &amp; Co
Fahnestock &amp; Co
McDonald Investments
Morgan Keegan Inc
TD Waterhouse Securities
US Bancorp Piper Jaffray
Wachovia Securities Inc
Wedbush Securities
DA Davidson &amp; Co Inc
Quick &amp; Reilly Inc
Doft &amp; Co Inc
Gilford Securities
Johnston Lemon &amp; Co Inc
Maxim Group LLC
Sanders Morris Harris Inc
Sands Brothers &amp; Co Ltd
Stephens Inc
M. L. Stern</t>
  </si>
  <si>
    <t>CITIGROUP//MERRILL/ADVEST/JANNEY
/LEGG-MASON-WW/STIFEL//BAIRD/BB-T-CAP
/CROWELL/FAHNESTOCK/MCDONALD
/MORGAN-KEEGAN/TDWS/US-PIPER
/WACHOVIA-SEC/WEDBUSH-M/DAVIDSON/Q&amp;R
/DOFT/GILFORD/JOHNSTON-LEMON
/MAXIM-GROUP/SANDERS-HARRIS/SANDS
/STEPHENS/M-L-STERN</t>
  </si>
  <si>
    <t>CITIGROUP
MERRILL
ADVEST
JANNEY
LEGG-MASON-WW
STIFEL</t>
  </si>
  <si>
    <t>Citigroup
Merrill Lynch &amp; Co Inc
Advest Inc
Janney Montgomery Scott Inc
Legg Mason Wood Walker Inc
Stifel Nicolaus &amp; Co Inc</t>
  </si>
  <si>
    <t>RMK High Income Fund Inc</t>
  </si>
  <si>
    <t>RMH</t>
  </si>
  <si>
    <t>74963B105</t>
  </si>
  <si>
    <t>Morgan Keegan Inc
Advest Inc
BB&amp;T Capital Markets
Ferris Baker Watts
WR Hambrecht &amp; Co LLC
Legg Mason Wood Walker
Stephens Inc
Sterne Agee &amp; Leach Inc
Stifel Nicolaus &amp; Co Inc
SunTrust Robinson Humphrey
CE Unterberg Towbin
Wedbush Securities
US Bancorp Piper Jaffray
Robert W Baird &amp; Co Inc
Fahnestock &amp; Co
Brean Murray &amp; Co Inc
Burnham Securities Inc
Crowell Weedon &amp; Co
DA Davidson &amp; Co Inc
First Southwest
FMS
Gerard Klauer Mattison &amp; Co
Howe Barnes Investments Inc
McDonald Investments
Parker-Hunter Inc</t>
  </si>
  <si>
    <t>MORGAN-KEEGAN//ADVEST/BB-T-CAP
/FERRIS-BAKER/W-R-HAMBRECHT
/LEGG-MASON-WW/STEPHENS/STERNE-AGEE
/STIFEL/SUNTRUST-RH/UNTERBERG/WEDBUSH-M
//US-PIPER/BAIRD/FAHNESTOCK/BREAN
/BURNHAM-SEC/CROWELL/DAVIDSON/FIRST-SW
/FMS/GERARD-KLAUER/HOWE-BARNES/MCDONALD
/PARKER-HUNTER</t>
  </si>
  <si>
    <t>MORGAN-KEEGAN
ADVEST
BB-T-CAP
FERRIS-BAKER
W-R-HAMBRECHT
LEGG-MASON-WW
STEPHENS
STERNE-AGEE
STIFEL
SUNTRUST-RH
UNTERBERG
WEDBUSH-M</t>
  </si>
  <si>
    <t>Morgan Keegan Inc
Advest Inc
BB&amp;T Capital Markets
Ferris Baker Watts Inc
WR Hambrecht &amp; Co LLC
Legg Mason Wood Walker Inc
Stephens Inc
Sterne Agee &amp; Leach Inc
Stifel Nicolaus &amp; Co Inc
SunTrust Robinson Humphrey
CE Unterberg Towbin
Wedbush Securities</t>
  </si>
  <si>
    <t>Evergreen Managed Income</t>
  </si>
  <si>
    <t>ERC</t>
  </si>
  <si>
    <t>MERRILL
/WACHOVIA-SEC(JB)</t>
  </si>
  <si>
    <t>30024Y104</t>
  </si>
  <si>
    <t>Merrill Lynch
Wachovia Securities Inc
AG Edwards &amp; Sons Inc
Prudential Securities Inc
UBS Investment Bank
Advest Inc
Janney Montgomery Scott Inc
McDonald Investments
Quick &amp; Reilly Inc
Stifel Nicolaus &amp; Co Inc
Wells Fargo Bank NA
Citigroup Global Markets Inc
Deutsche Bank Securities
BB&amp;T Capital Markets
Robert W Baird &amp; Co Inc
William Blair &amp; Co
Crowell Weedon &amp; Co
DA Davidson &amp; Co Inc
Doft &amp; Co Inc
Fahnestock &amp; Co
Ferris Baker Watts
Legg Mason Wood Walker
Morgan Keegan Inc
Parker-Hunter Inc
Stephens Inc
Wedbush Securities
Arthurs Lestrange
Brean Murray &amp; Co Inc
CE Unterberg Towbin
Chatsworth Securities LLC
David A. Noyes
Gerard Klauer Mattison &amp; Co
Gilford Securities
Howe Barnes Investments Inc
Johnston Lemon &amp; Co Inc
LaSalle Street Securities Inc
McGinn, Smith &amp; Co Inc
Mesirow Financial Corp
Natcity Investments Inc.
National Securities Corp (US)
Needham &amp; Co LLC
Northeast Securities Inc.
Ormes Capital Markets Inc
Pacific Crest Securities Inc
Peacock Hislop Staley &amp; Given
Sands Brothers &amp; Co Ltd
Seidler Corp
Southwest Securities Inc
STERLING FINANCIAL INVESTMENT
Strand,Atkinson,Williams&amp;Yerl
M. L. Stern
Stone &amp; Youngberg
Torrey Pines Securities
HC Wainwright &amp; Co Inc
Wayne Hummer &amp; Co
RBC Dain Rauscher Corp
US Bancorp Piper Jaffray
Source Capital Group Inc</t>
  </si>
  <si>
    <t>MERRILL(JB)/WACHOVIA-SEC(JB)
//A-G-EDWARDS/PSI/UBS-INV-BANK/ADVEST
/JANNEY/MCDONALD/Q&amp;R/STIFEL/WELLS-FARGO
//CITIGROUP-GM/DBSECU/BB-T-CAP/BAIRD
/WM-BLAIR/CROWELL/DAVIDSON/DOFT
/FAHNESTOCK/FERRIS-BAKER/LEGG-MASON-WW
/MORGAN-KEEGAN/PARKER-HUNTER/STEPHENS
/WEDBUSH-M/ARTHURS-LES/BREAN/UNTERBERG
/CHATSWORTH/D-A-NOYES/GERARD-KLAUER
/GILFORD/HOWE-BARNES/JOHNSTON-LEMON
/LASALLE-SEC/MCGINN-SMITH/MESIROW-FIN
/NATCITY-INVEST/NATL-SEC/NEEDHAM
/NORTHEAST-SEC/ORMES/PACIFIC-CREST
/PEACOCK-HISLOP/SANDS/SEIDLER-COS
/SWS-SEC/STERLING-FIN-I/STRAND-ATKIN
/M-L-STERN/STONE-YOUNG/TORREY-PINES
/H-C-WAINWRIGHT/HUMMER/RBC-DAIN
/US-PIPER/SOURCE-CAPITAL</t>
  </si>
  <si>
    <t>MERRILL/WACHOVIA-SEC</t>
  </si>
  <si>
    <t>MERRILL
(JB)/WACHOVIA-SEC(JB)
A-G-EDWARDS
PSI
UBS-INV-BANK
ADVEST
JANNEY
MCDONALD
Q&amp;R
STIFEL
WELLS-FARGO</t>
  </si>
  <si>
    <t>Merrill Lynch &amp; Co Inc
Wachovia Securities Inc
AG Edwards &amp; Sons Inc
Prudential Securities Inc
UBS Investment Bank
Advest Inc
Janney Montgomery Scott Inc
McDonald Investments Inc
Quick &amp; Reilly Inc
Stifel Nicolaus &amp; Co Inc
Wells Fargo Bank NA</t>
  </si>
  <si>
    <t>Nuveen Pref &amp; Con Inc Fd II</t>
  </si>
  <si>
    <t>JQC</t>
  </si>
  <si>
    <t>67073D102</t>
  </si>
  <si>
    <t>Citigroup
Nuveen Investments LLC
AG Edwards &amp; Sons Inc
Prudential Securities Inc
Wachovia Securities Inc
Advest Inc
Robert W Baird &amp; Co Inc
H&amp;R Block Financial Advisors
Crowell Weedon &amp; Co
Fahnestock &amp; Co
Ferris Baker Watts
JJB Hilliard WL Lyons Inc
Janney Montgomery Scott Inc
Legg Mason Wood Walker
McDonald Investments
Quick &amp; Reilly Inc
RBC Capital Markets
Ryan Beck &amp; Co
Stifel Nicolaus &amp; Co Inc
TD Waterhouse Securities
Wedbush Securities
Wells Fargo Bank NA
Deutsche Bank Securities
US Bancorp Piper Jaffray
BB&amp;T Capital Markets
Davenport
DA Davidson &amp; Co Inc
Wayne Hummer &amp; Co
Sanders Morris Harris Inc
Stephens Inc
SunTrust Capital Markets
Allen &amp; Company of Florida
City Securities
Doft &amp; Co Inc
Gilford Securities
Hazlett, Burt &amp; Watson
Howe Barnes Investments Inc
Huntleigh Securities Corp
Johnston Lemon &amp; Co Inc
Maxim Group LLC
Mesirow Financial Corp
Parker-Hunter Inc
Sands Brothers &amp; Co Ltd
Southwest Securities Inc
M. L. Stern
Sterne Agee &amp; Leach Inc</t>
  </si>
  <si>
    <t>CITIGROUP//NUVEEN-INV/A-G-EDWARDS/PSI
/WACHOVIA-SEC/ADVEST/BAIRD/HR-BLOCK-FIN
/CROWELL/FAHNESTOCK/FERRIS-BAKER
/HILLIARD/JANNEY/LEGG-MASON-WW/MCDONALD
/Q&amp;R/RBC-CAP-MKTS/RYAN-BECK/STIFEL/TDWS
/WEDBUSH-M/WELLS-FARGO//DBSECU/US-PIPER
/BB-T-CAP/DAVENPORT/DAVIDSON/HUMMER
/SANDERS-HARRIS/STEPHENS/SUNTRUST-CAP
/ALLEN-FL/CITY-SEC/DOFT/GILFORD/HAZLETT
/HOWE-BARNES/HUNTLEIGH-SEC
/JOHNSTON-LEMON/MAXIM-GROUP/MESIROW-FIN
/PARKER-HUNTER/SANDS/SWS-SEC/M-L-STERN
/STERNE-AGEE</t>
  </si>
  <si>
    <t>CITIGROUP
NUVEEN-INV
A-G-EDWARDS
PSI
WACHOVIA-SEC
ADVEST
BAIRD
HR-BLOCK-FIN
CROWELL
FAHNESTOCK
FERRIS-BAKER
HILLIARD
JANNEY
LEGG-MASON-WW
MCDONALD
Q&amp;R
RBC-CAP-MKTS
RYAN-BECK
STIFEL
TDWS
WEDBUSH-M
WELLS-FARGO</t>
  </si>
  <si>
    <t>Citigroup
Nuveen Investments LLC
AG Edwards &amp; Sons Inc
Prudential Securities Inc
Wachovia Securities Inc
Advest Inc
Robert W Baird &amp; Co Inc
H&amp;R Block Financial Advisors
Crowell Weedon &amp; Co
Fahnestock &amp; Co
Ferris Baker Watts Inc
JJB Hilliard WL Lyons Inc
Janney Montgomery Scott Inc
Legg Mason Wood Walker Inc
McDonald Investments Inc
Quick &amp; Reilly Inc
RBC Capital Markets
Ryan Beck &amp; Co
Stifel Nicolaus &amp; Co Inc
TD Waterhouse Securities
Wedbush Securities
Wells Fargo Bank NA</t>
  </si>
  <si>
    <t>Axis Capital Holdings Ltd</t>
  </si>
  <si>
    <t>AXS</t>
  </si>
  <si>
    <t>G0692U109</t>
  </si>
  <si>
    <t>Morgan Stanley
Citigroup/Salomon Smith Barney
Credit Suisse First Boston
JP Morgan
Merrill Lynch
Dowling &amp; Partners Securities
Fox-Pitt Kelton
Cochran, Caronia &amp; Co.</t>
  </si>
  <si>
    <t>MORGAN-STANLEY(JB)/CITIGROUP-SSB(JB)
//CS-FB-CS/JPM/MERRILL/DOWL/FOX-PITT
//COCHRAN-CARONIA</t>
  </si>
  <si>
    <t>MORGAN-STANLEY
(JB)/CITIGROUP-SSB(JB)
CS-FB-CS
JPM
MERRILL
DOWL
FOX-PITT</t>
  </si>
  <si>
    <t>Morgan Stanley
Citigroup/Salomon Smith Barney
Credit Suisse First Boston Corp
JP Morgan &amp; Co Inc
Merrill Lynch &amp; Co Inc
Dowling &amp; Partners Securities LLC
Fox-Pitt Kelton</t>
  </si>
  <si>
    <t>Molina Healthcare Inc</t>
  </si>
  <si>
    <t>MOH</t>
  </si>
  <si>
    <t>60855R100</t>
  </si>
  <si>
    <t>Banc of America Securities LLC
CIBC World Markets Inc
SG Cowen Securities Corp
Legg Mason Wood Walker
STERLING FINANCIAL INVESTMENT
Stifel Nicolaus &amp; Co Inc
Thomas Weisel Partners</t>
  </si>
  <si>
    <t>BA-SEC-LLC(JB)/CIBC-WORLD(JB)//SG-COWEN
//LEGG-MASON-WW/STERLING-FIN-I/STIFEL
/THOMAS-WEISEL</t>
  </si>
  <si>
    <t>BA-SEC-LLC
(JB)/CIBC-WORLD(JB)
SG-COWEN</t>
  </si>
  <si>
    <t>Banc of America Securities LLC
CIBC World Markets Inc
SG Cowen Securities Corp</t>
  </si>
  <si>
    <t>Digital Theater Sys Inc</t>
  </si>
  <si>
    <t>DTSI</t>
  </si>
  <si>
    <t>25389G102</t>
  </si>
  <si>
    <t>SG Cowen Securities Corp
William Blair &amp; Co
Thomas Weisel Partners
Allen &amp; Co Inc
CIBC World Markets Inc
Merriman Curhan Ford &amp; Co
JP Morgan Securities Inc
Needham &amp; Co LLC
US Bancorp Piper Jaffray
Raymond James &amp; Associates Inc
UBS Securities Inc</t>
  </si>
  <si>
    <t>SG-COWEN//WM-BLAIR/THOMAS-WEISEL//ALLEN
/CIBC-WORLD/MERR-CUR/J-P-MORGAN/NEEDHAM
/US-PIPER/RAYMOND/UBS-SEC</t>
  </si>
  <si>
    <t>SG-COWEN
WM-BLAIR
THOMAS-WEISEL</t>
  </si>
  <si>
    <t>SG Cowen Securities Corp
William Blair &amp; Co
Thomas Weisel Partners</t>
  </si>
  <si>
    <t>InterVideo Inc</t>
  </si>
  <si>
    <t>IVII</t>
  </si>
  <si>
    <t>46114Y101</t>
  </si>
  <si>
    <t>SG Cowen Securities Corp
Soundview Financial Group Inc
Adams Harkness &amp; Hill Inc
Chatsworth Securities LLC
Merrill Lynch, Pierce, Fenner
JP Morgan Securities Inc
Pacific Crest Securities Inc
Pacific Growth Equities Inc
US Bancorp Piper Jaffray
CE Unterberg Towbin</t>
  </si>
  <si>
    <t>SG-COWEN//SOUNDVIEW-FIN//ADAMS-HARKNESS
/CHATSWORTH/ML/J-P-MORGAN/PACIFIC-CREST
/PACIFIC-GROWTH/US-PIPER/UNTERBERG</t>
  </si>
  <si>
    <t>SG-COWEN
SOUNDVIEW-FIN</t>
  </si>
  <si>
    <t>SG Cowen Securities Corp
Soundview Financial Group Inc</t>
  </si>
  <si>
    <t>Pioneer Muni High Inc Trust</t>
  </si>
  <si>
    <t>MHI</t>
  </si>
  <si>
    <t>UBS Investment Bank
Wachovia Securities Inc
RBC Capital Markets
Janney Montgomery Scott Inc
Merrill Lynch
Advest Inc
Fahnestock &amp; Co
McDonald Investments</t>
  </si>
  <si>
    <t>UBS-INV-BANK//WACHOVIA-SEC/RBC-CAP-MKTS
/JANNEY//MERRILL/ADVEST/FAHNESTOCK
/MCDONALD</t>
  </si>
  <si>
    <t>UBS-INV-BANK
WACHOVIA-SEC
RBC-CAP-MKTS
JANNEY</t>
  </si>
  <si>
    <t>UBS Investment Bank
Wachovia Securities Inc
RBC Capital Markets
Janney Montgomery Scott Inc</t>
  </si>
  <si>
    <t>Integrated Alarm Svcs Grp Inc</t>
  </si>
  <si>
    <t>IASG</t>
  </si>
  <si>
    <t>45890M109</t>
  </si>
  <si>
    <t>Friedman Billings Ramsey Group
Stifel Nicolaus &amp; Co Inc
Wells Fargo Bank NA
Advest Inc
BB&amp;T Capital Markets
Fahnestock &amp; Co
First Southwest
Janney Montgomery Scott Inc
McGinn, Smith &amp; Co Inc
Pali Capital LLC
Ryan Beck &amp; Co
Sanders Morris Harris Inc
Wedbush Securities
Wunderlich Securities Inc</t>
  </si>
  <si>
    <t>FRIEDMAN-B//STIFEL/WELLS-FARGO//ADVEST
/BB-T-CAP/FAHNESTOCK/FIRST-SW/JANNEY
/MCGINN-SMITH/PALI-CAPITAL/RYAN-BECK
/SANDERS-HARRIS/WEDBUSH-M/WUNDERLICH</t>
  </si>
  <si>
    <t>FRIEDMAN-B
STIFEL
WELLS-FARGO</t>
  </si>
  <si>
    <t>Friedman Billings Ramsey Group
Stifel Nicolaus &amp; Co Inc
Wells Fargo Bank NA</t>
  </si>
  <si>
    <t>iPass Inc</t>
  </si>
  <si>
    <t>IPAS</t>
  </si>
  <si>
    <t>46261V108</t>
  </si>
  <si>
    <t>Morgan Stanley
Credit Suisse First Boston
SG Cowen Securities Corp
Thomas Weisel Partners
Friedman Billings Ramsey &amp; Co
Pacific Crest Securities Inc
RBC Dain Rauscher Corp</t>
  </si>
  <si>
    <t>MORGAN-STANLEY/CS-FB-CS(JOINT)
//SG-COWEN/THOMAS-WEISEL//FRIEDMAN-B-CO
/PACIFIC-CREST/RBC-DAIN</t>
  </si>
  <si>
    <t>MORGAN-STANLEY
/CS-FB-CS(JOINT)
SG-COWEN
THOMAS-WEISEL</t>
  </si>
  <si>
    <t>Morgan Stanley
Credit Suisse First Boston Corp
SG Cowen Securities Corp
Thomas Weisel Partners</t>
  </si>
  <si>
    <t>Blackrock Ltd Duration Inc Tr</t>
  </si>
  <si>
    <t>BLW</t>
  </si>
  <si>
    <t>MERRILL
/UBS-INV-BANK(JB)
/A-G-EDWARDS(JB)
/WACHOVIA-CAP(JB)</t>
  </si>
  <si>
    <t>09249W101</t>
  </si>
  <si>
    <t>Merrill Lynch
UBS Investment Bank
AG Edwards &amp; Sons Inc
Wachovia Capital Markets
Legg Mason Wood Walker
PNC Capital Markets
RBC Dain Rauscher Corp
Wells Fargo Bank NA
Advest Inc
Robert W Baird &amp; Co Inc
H&amp;R Block Financial Advisors
Fahnestock &amp; Co
JJB Hilliard WL Lyons Inc
Janney Montgomery Scott Inc
Quick &amp; Reilly Inc
Stifel Nicolaus &amp; Co Inc
Deutsche Bank Securities
Harris Nesbitt
Morgan Keegan Inc
US Bancorp Piper Jaffray
BB&amp;T Capital Markets
William Blair &amp; Co
Crowell Weedon &amp; Co
DA Davidson &amp; Co Inc
Ferris Baker Watts
Friedman Billings Ramsey &amp; Co
Johnston Lemon &amp; Co Inc
Ladenburg Thalmann &amp; Co
McDonald Investments
Parker-Hunter Inc
Ryan Beck &amp; Co
Stephens Inc
SunTrust Capital Markets
TD Waterhouse Securities
The Seidler Companies Inc
CE Unterberg Towbin
Wedbush Securities
Arthurs Lestrange
Allen &amp; Company of Florida
Axiom Capital Management Inc
Brean Murray &amp; Co Inc
Chatsworth Securities LLC
City Securities
Davenport
Gilford Securities
J. B. Hanauer
Howe Barnes Investments Inc
Huntleigh Securities Corp
LaSalle Street Securities Inc
Maxim Group LLC
McGinn, Smith &amp; Co Inc
Mesirow Financial Corp
Natcity Investments Inc.
David A. Noyes
Peacock Hislop Staley &amp; Given
Sanders Morris Harris Inc
Source Capital Group Inc
Sands Brothers &amp; Co Ltd
SouthTrust Securities
Southwest Securities Inc
Spelman &amp; Co.
M. L. Stern
STERLING FINANCIAL INVESTMENT
Sterne Agee &amp; Leach Inc
Torrey Pines Securities
Wayne Hummer &amp; Co
Wunderlich Securities Inc</t>
  </si>
  <si>
    <t>MERRILL(JB)/UBS-INV-BANK(JB)
/A-G-EDWARDS(JB)/WACHOVIA-CAP(JB)
//LEGG-MASON-WW/PNC-CAPITAL/RBC-DAIN
/WELLS-FARGO/ADVEST/BAIRD/HR-BLOCK-FIN
/FAHNESTOCK/HILLIARD/JANNEY/Q&amp;R/STIFEL
//DBSECU/HARRN/MORGAN-KEEGAN/US-PIPER
/BB-T-CAP/WM-BLAIR/CROWELL/DAVIDSON
/FERRIS-BAKER/FRIEDMAN-B-CO
/JOHNSTON-LEMON/LADENBURG/MCDONALD
/PARKER-HUNTER/RYAN-BECK/STEPHENS
/SUNTRUST-CAP/TDWS/SEIDLER-CO-INC
/UNTERBERG/WEDBUSH-M/ARTHURS-LES
/ALLEN-FL/AXIOM-CAP/BREAN/CHATSWORTH
/CITY-SEC/DAVENPORT/GILFORD/J-B-HANAUER
/HOWE-BARNES/HUNTLEIGH-SEC/LASALLE-SEC
/MAXIM-GROUP/MCGINN-SMITH/MESIROW-FIN
/NATCITY-INVEST/D-A-NOYES
/PEACOCK-HISLOP/SANDERS-HARRIS
/SOURCE-CAPITAL/SANDS/SOUTHTRUST-SEC
/SWS-SEC/SPELMAN/M-L-STERN
/STERLING-FIN-I/STERNE-AGEE
/TORREY-PINES/HUMMER/WUNDERLICH</t>
  </si>
  <si>
    <t>MERRILL/UBS-INV-BANK/A-G-EDWARDS
/WACHOVIA-CAP</t>
  </si>
  <si>
    <t>MERRILL
(JB)/UBS-INV-BANK(JB)
/A-G-EDWARDS(JB)
/WACHOVIA-CAP(JB)
LEGG-MASON-WW
PNC-CAPITAL
RBC-DAIN
WELLS-FARGO
ADVEST
BAIRD
HR-BLOCK-FIN
FAHNESTOCK
HILLIARD
JANNEY
Q&amp;R
STIFEL</t>
  </si>
  <si>
    <t>Merrill Lynch &amp; Co Inc
UBS Investment Bank
AG Edwards &amp; Sons Inc
Wachovia Capital Markets
Legg Mason Wood Walker Inc
PNC Capital Markets
RBC Dain Rauscher Corp
Wells Fargo Bank NA
Advest Inc
Robert W Baird &amp; Co Inc
H&amp;R Block Financial Advisors
Fahnestock &amp; Co
JJB Hilliard WL Lyons Inc
Janney Montgomery Scott Inc
Quick &amp; Reilly Inc
Stifel Nicolaus &amp; Co Inc</t>
  </si>
  <si>
    <t>Leh Bros First Trust Opp Fund</t>
  </si>
  <si>
    <t>LBC</t>
  </si>
  <si>
    <t>Lehman Brothers
Fahnestock &amp; Co
Fixed Income Securities Inc
Janney Montgomery Scott Inc
Ladenburg Thalmann &amp; Co
SunTrust Capital Markets
Ferris Baker Watts
RBC Capital Markets
Sands Brothers &amp; Co Ltd
Sanders Morris Harris Inc
Stifel Nicolaus &amp; Co Inc
US Bancorp Piper Jaffray
Wedbush Securities
Advest Inc
S W Bach &amp; Company
Robert W Baird &amp; Co Inc
Brookstreet Securities
Deutsche Bank Securities
Hennion &amp; Walsh, Inc
Howe Barnes Investments Inc
Huntleigh Securities Corp
Jefferies &amp; Co Inc
McDonald Investments
Ryan Beck &amp; Co
Southwest Securities Inc
William Blair &amp; Co
City Securities
Fidelity Capital Markets
Morgan Keegan Inc
National Securities Corp (US)
Stephens Inc
BB&amp;T Capital Markets
Brean Murray &amp; Co Inc
Cadaret Grant &amp; Co
Chatsworth Securities LLC
Concord Equity Group LLC
Crowell Weedon &amp; Co
DA Davidson &amp; Co Inc
WR Hambrecht &amp; Co LLC
William R. Hough
Harris Nesbitt
Wayne Hummer &amp; Co
CL King &amp; Associates Inc
LaSalle Street Securities Inc
Maxim Group LLC
Mesirow Financial Holdings
Newbridge Securities
Parker-Hunter Inc
Paulson Investment Co
Royal Alliance Associates
The Seidler Companies Inc
STERLING FINANCIAL INVESTMENT
M. L. Stern
CE Unterberg Towbin</t>
  </si>
  <si>
    <t>LEH//FAHNESTOCK/FIXED-INC/JANNEY
/LADENBURG/SUNTRUST-CAP/FERRIS-BAKER
/RBC-CAP-MKTS/SANDS//SANDERS-HARRIS
/STIFEL/US-PIPER/WEDBUSH-M/ADVEST
/SW-BACH/BAIRD/BROOKSTREET/DBSECU
/HENNION-WALSH/HOWE-BARNES
/HUNTLEIGH-SEC/JEFFERIES/MCDONALD
/RYAN-BECK/SWS-SEC/WM-BLAIR/CITY-SEC
/FIDELITY-CAP/MORGAN-KEEGAN/NATL-SEC
/STEPHENS/BB-T-CAP/BREAN/CADARET-GRANT
/CHATSWORTH/CONCORD-EQUITY/CROWELL
/DAVIDSON/W-R-HAMBRECHT/WM-HOUGH/HARRN
/HUMMER/CL-KING/LASALLE-SEC/MAXIM-GROUP
/MESIROW-HLDGS/NEWBRIDGE/PARKER-HUNTER
/PAULSON/ROYAL-ALLIANCE/SEIDLER-CO-INC
/STERLING-FIN-I/M-L-STERN/UNTERBERG</t>
  </si>
  <si>
    <t>LEH
FAHNESTOCK
FIXED-INC
JANNEY
LADENBURG
SUNTRUST-CAP
FERRIS-BAKER
RBC-CAP-MKTS
SANDS</t>
  </si>
  <si>
    <t>Lehman Brothers
Fahnestock &amp; Co
Fixed Income Securities Inc
Janney Montgomery Scott Inc
Ladenburg Thalmann &amp; Co
SunTrust Capital Markets
Ferris Baker Watts Inc
RBC Capital Markets
Sands Brothers &amp; Co Ltd</t>
  </si>
  <si>
    <t>Nich-Apple Conv &amp; Inc Fd II</t>
  </si>
  <si>
    <t>NCZ</t>
  </si>
  <si>
    <t>UBS-INV-BANK
/CITIGROUP(JB)
/MERRILL(JB)</t>
  </si>
  <si>
    <t>65370G109</t>
  </si>
  <si>
    <t>UBS Investment Bank
Citigroup
Merrill Lynch
Wachovia Capital Markets
Legg Mason Wood Walker
RBC Capital Markets
Wells Fargo &amp; Co
Advest Inc
Fahnestock &amp; Co
Janney Montgomery Scott Inc
McDonald Investments
Quick &amp; Reilly Inc
Wedbush Securities
Deutsche Bank Securities
US Bancorp Piper Jaffray
M. L. Stern
TD Waterhouse Securities
Robert W Baird &amp; Co Inc
Crowell Weedon &amp; Co
DA Davidson &amp; Co Inc
Ferris Baker Watts
Harris Nesbitt
J. B. Hanauer
Leerink Swann &amp; Co
Morgan Keegan Inc
Natcity Investments Inc.
Parker-Hunter Inc
Ryan Beck &amp; Co
Sanders Morris Harris Inc
Sands Brothers &amp; Co Ltd
The Seidler Companies Inc
Stephens Inc
Stone &amp; Youngberg
SunTrust Capital Markets
Arthurs Lestrange
Axiom Partners
BB&amp;T Capital Markets
Bernard Herold &amp; Co
Cadaret Grant &amp; Co
City Securities
First Montauk Securities
Gilford Securities
Howe Barnes Investments Inc
Huntleigh Securities Corp
Jesup &amp; Lamont Securities
Johnston Lemon &amp; Co Inc
JP Turner &amp; Co
Kirlin Securities Inc.
Maxim Corporate Partners Inc
Mesirow Financial Corp
National Securities Corp (US)
David A. Noyes
Paulson Investment Co
Peacock Hislop Staley &amp; Given
Royal Alliance Associates
Smith, Moore
Southwest Securities Inc
Spelman &amp; Co.
STERLING FINANCIAL INVESTMENT
Sterne Agee &amp; Leach Inc
Wunderlich Securities Inc</t>
  </si>
  <si>
    <t>UBS-INV-BANK(JB)/CITIGROUP(JB)
/MERRILL(JB)//WACHOVIA-CAP
/LEGG-MASON-WW/RBC-CAP-MKTS/WF/ADVEST
/FAHNESTOCK/JANNEY/MCDONALD/Q&amp;R
/WEDBUSH-M//DBSECU/US-PIPER/M-L-STERN
/TDWS/BAIRD/CROWELL/DAVIDSON
/FERRIS-BAKER/HARRN/J-B-HANAUER
/LEERINK-SWANN/MORGAN-KEEGAN
/NATCITY-INVEST/PARKER-HUNTER/RYAN-BECK
/SANDERS-HARRIS/SANDS/SEIDLER-CO-INC
/STEPHENS/STONE-YOUNG/SUNTRUST-CAP
/ARTHURS-LES/AXIOM-PARTNERS/BB-T-CAP
/BERNARD-HER/CADARET-GRANT/CITY-SEC
/FIRST-MONTAUK/GILFORD/HOWE-BARNES
/HUNTLEIGH-SEC/JESUP/JOHNSTON-LEMON
/J-P-TURNER/KIRLIN/MAXIM/MESIROW-FIN
/NATL-SEC/D-A-NOYES/PAULSON
/PEACOCK-HISLOP/ROYAL-ALLIANCE
/SMITH-MOORE/SWS-SEC/SPELMAN
/STERLING-FIN-I/STERNE-AGEE/WUNDERLICH</t>
  </si>
  <si>
    <t>UBS-INV-BANK/CITIGROUP/MERRILL</t>
  </si>
  <si>
    <t>UBS-INV-BANK
(JB)/CITIGROUP(JB)
/MERRILL(JB)
WACHOVIA-CAP
LEGG-MASON-WW
RBC-CAP-MKTS
WF
ADVEST
FAHNESTOCK
JANNEY
MCDONALD
Q&amp;R
WEDBUSH-M</t>
  </si>
  <si>
    <t>UBS Investment Bank
Citigroup
Merrill Lynch &amp; Co Inc
Wachovia Capital Markets
Legg Mason Wood Walker Inc
RBC Capital Markets
Wells Fargo &amp; Co
Advest Inc
Fahnestock &amp; Co
Janney Montgomery Scott Inc
McDonald Investments Inc
Quick &amp; Reilly Inc
Wedbush Securities</t>
  </si>
  <si>
    <t>Salomon Bros Global High Yield</t>
  </si>
  <si>
    <t>EHI</t>
  </si>
  <si>
    <t>79550G102</t>
  </si>
  <si>
    <t>Citigroup
Merrill Lynch, Pierce, Fenner
Wachovia Securities Inc
Advest Inc
Fahnestock &amp; Co
Ferris Baker Watts
Janney Montgomery Scott Inc
Legg Mason Wood Walker
RBC Capital Markets
Stifel Nicolaus &amp; Co Inc
Robert W Baird &amp; Co Inc
McDonald Investments
Quick &amp; Reilly Group, Inc.
US Bancorp Piper Jaffray
Wedbush Securities
Crowell Weedon &amp; Co
DA Davidson &amp; Co Inc
Johnston Lemon &amp; Co Inc
Mesirow Financial Corp
Morgan Keegan Inc
Sanders Morris Harris Inc
M. L. Stern
Sands Brothers &amp; Co Ltd</t>
  </si>
  <si>
    <t>CITIGROUP//ML/WACHOVIA-SEC/ADVEST
/FAHNESTOCK/FERRIS-BAKER/JANNEY
/LEGG-MASON-WW/RBC-CAP-MKTS/STIFEL
//BAIRD/MCDONALD/QUICK-REILLY/US-PIPER
/WEDBUSH-M/CROWELL/DAVIDSON
/JOHNSTON-LEMON/MESIROW-FIN
/MORGAN-KEEGAN/SANDERS-HARRIS/M-L-STERN
/SANDS</t>
  </si>
  <si>
    <t>CITIGROUP
ML
WACHOVIA-SEC
ADVEST
FAHNESTOCK
FERRIS-BAKER
JANNEY
LEGG-MASON-WW
RBC-CAP-MKTS
STIFEL</t>
  </si>
  <si>
    <t>Citigroup
Merrill Lynch Pierce Fenner &amp; Smith
Wachovia Securities Inc
Advest Inc
Fahnestock &amp; Co
Ferris Baker Watts Inc
Janney Montgomery Scott Inc
Legg Mason Wood Walker Inc
RBC Capital Markets
Stifel Nicolaus &amp; Co Inc</t>
  </si>
  <si>
    <t>Muni New York Intermediate</t>
  </si>
  <si>
    <t>MNE</t>
  </si>
  <si>
    <t>62618T100</t>
  </si>
  <si>
    <t>Merrill Lynch
Advest Inc
Fahnestock &amp; Co
Janney Montgomery Scott Inc
McDonald Investments
Ryan Beck &amp; Co
Wedbush Securities
Deutsche Bank Securities
Harris Nesbitt
RBC Capital Markets
US Bancorp Investments Inc
Wells Fargo Bank NA
BB&amp;T Capital Markets
Robert W Baird &amp; Co Inc
William Blair &amp; Co
Crowell Weedon &amp; Co
DA Davidson &amp; Co Inc
Ferris Baker Watts
Legg Mason Wood Walker
Stephens Inc
TD Waterhouse Securities
Arthurs Lestrange
Brean Murray &amp; Co Inc
CE Unterberg Towbin
Chatsworth Securities LLC
Gilford Securities
Howe Barnes Investments Inc
Johnston Lemon &amp; Co Inc
LaSalle Street Securities Inc
Maxim Group LLC
Mesirow Financial Corp
National Securities Corp (US)
Needham &amp; Co LLC
David A. Noyes
Nutmeg Securities Ltd
Northeast Securities Inc.
Ormes Capital Markets Inc
Paulson Investment Co
Peacock Hislop Staley &amp; Given
Pacific Crest Securities Inc
Sands Brothers &amp; Co Ltd
Torrey Pines Securities
STERLING FINANCIAL INVESTMENT
Source Capital Group Inc</t>
  </si>
  <si>
    <t>MERRILL//ADVEST/FAHNESTOCK/JANNEY
/MCDONALD/RYAN-BECK/WEDBUSH-M//DBSECU
/HARRN/RBC-CAP-MKTS/US-BANCORP-INV
/WELLS-FARGO/BB-T-CAP/BAIRD/WM-BLAIR
/CROWELL/DAVIDSON/FERRIS-BAKER
/LEGG-MASON-WW/STEPHENS/TDWS
/ARTHURS-LES/BREAN/UNTERBERG/CHATSWORTH
/GILFORD/HOWE-BARNES/JOHNSTON-LEMON
/LASALLE-SEC/MAXIM-GROUP/MESIROW-FIN
/NATL-SEC/NEEDHAM/D-A-NOYES/NUTMEG-SEC
/NORTHEAST-SEC/ORMES/PAULSON
/PEACOCK-HISLOP/PACIFIC-CREST/SANDS
/TORREY-PINES/STERLING-FIN-I
/SOURCE-CAPITAL</t>
  </si>
  <si>
    <t>MERRILL
ADVEST
FAHNESTOCK
JANNEY
MCDONALD
RYAN-BECK
WEDBUSH-M</t>
  </si>
  <si>
    <t>Merrill Lynch &amp; Co Inc
Advest Inc
Fahnestock &amp; Co
Janney Montgomery Scott Inc
McDonald Investments Inc
Ryan Beck &amp; Co
Wedbush Securities</t>
  </si>
  <si>
    <t>Muni Intermediate Duration</t>
  </si>
  <si>
    <t>MUI</t>
  </si>
  <si>
    <t>62618U107</t>
  </si>
  <si>
    <t>Merrill Lynch
Advest Inc
BB&amp;T Capital Markets
Robert W Baird &amp; Co Inc
Fahnestock &amp; Co
Legg Mason Wood Walker
McDonald Investments
Ryan Beck &amp; Co
SunTrust Capital Markets
Wedbush, Noble, Cooke
Wells Fargo Brokerage Svcs
Janney Montgomery Scott Inc
Deutsche Bank Securities
Harris Nesbitt
RBC Dain Rauscher Corp
US Bancorp Piper Jaffray
William Blair &amp; Co
DA Davidson &amp; Co Inc
Ferris Baker Watts
Morgan Keegan Inc
Parker-Hunter Inc
Quick &amp; Reilly Group, Inc.
Stephens Inc
TD Waterhouse Securities
Arthurs Lestrange
Brean Murray &amp; Co Inc
CE Unterberg Towbin
Chatsworth Securities LLC
First Southwest
Gilford Securities
Howe Barnes Investments Inc
Johnston Lemon &amp; Co Inc
LaSalle Street Securities Inc
Maxim Group LLC
Mesirow Financial Corp
National Securities Corp (US)
Needham &amp; Co LLC
Northeast Securities Inc.
David A. Noyes
Ormes Capital Markets Inc
Pacific Crest Securities Inc
Paulson Investment Co
Peacock Hislop Staley &amp; Given
Sands Brothers &amp; Co Ltd
Source Capital Group Inc
STERLING FINANCIAL INVESTMENT
M. L. Stern
Stone &amp; Youngberg
Torrey Pines Securities
Wayne Hummer &amp; Co</t>
  </si>
  <si>
    <t>MERRILL//ADVEST/BB-T-CAP/BAIRD
/FAHNESTOCK/LEGG-MASON-WW/MCDONALD
/RYAN-BECK/SUNTRUST-CAP/WEDBUSH
/WELLS-BROKERAGE/JANNEY//DBSECU/HARRN
/RBC-DAIN/US-PIPER/WM-BLAIR/DAVIDSON
/FERRIS-BAKER/MORGAN-KEEGAN
/PARKER-HUNTER/QUICK-REILLY/STEPHENS
/TDWS/ARTHURS-LES/BREAN/UNTERBERG
/CHATSWORTH/FIRST-SW/GILFORD
/HOWE-BARNES/JOHNSTON-LEMON/LASALLE-SEC
/MAXIM-GROUP/MESIROW-FIN/NATL-SEC
/NEEDHAM/NORTHEAST-SEC/D-A-NOYES/ORMES
/PACIFIC-CREST/PAULSON/PEACOCK-HISLOP
/SANDS/SOURCE-CAPITAL/STERLING-FIN-I
/M-L-STERN/STONE-YOUNG/TORREY-PINES
/HUMMER</t>
  </si>
  <si>
    <t>MERRILL
ADVEST
BB-T-CAP
BAIRD
FAHNESTOCK
LEGG-MASON-WW
MCDONALD
RYAN-BECK
SUNTRUST-CAP
WEDBUSH
WELLS-BROKERAGE
JANNEY</t>
  </si>
  <si>
    <t>Merrill Lynch &amp; Co Inc
Advest Inc
BB&amp;T Capital Markets
Robert W Baird &amp; Co Inc
Fahnestock &amp; Co
Legg Mason Wood Walker Inc
McDonald Investments Inc
Ryan Beck &amp; Co
SunTrust Capital Markets
Wedbush, Noble, Cooke, Inc.
Wells Fargo Brokerage Services LLC
Janney Montgomery Scott Inc</t>
  </si>
  <si>
    <t>Preferred &amp; Corporate Income</t>
  </si>
  <si>
    <t>PSW</t>
  </si>
  <si>
    <t>74039B105</t>
  </si>
  <si>
    <t>Merrill Lynch
BB&amp;T Capital Markets
JJB Hilliard WL Lyons Inc
Janney Montgomery Scott Inc
Legg Mason Wood Walker
McDonald Investments
Quick &amp; Reilly Inc
Ryan Beck &amp; Co
Stifel Nicolaus &amp; Co Inc
Wells Fargo Brokerage Svcs
Deutsche Bank Securities
Harris Nesbitt
RBC Capital Markets
US Bancorp Piper Jaffray
Advest Inc
Robert W Baird &amp; Co Inc
William Blair &amp; Co
Crowell Weedon &amp; Co
DA Davidson &amp; Co Inc
Fahnestock &amp; Co
Morgan Keegan Inc
Parker-Hunter Inc
SunTrust Capital Markets
Wedbush Securities
Arthurs Lestrange
Axiom Capital Management Inc
Brean Murray &amp; Co Inc
CE Unterberg Towbin
Chatsworth Securities LLC
Fifth Third Securities Inc
First Southwest
Gilford Securities
Howe Barnes Investments Inc
Johnston Lemon &amp; Co Inc
LaSalle Street Securities Inc
Maxim Group LLC
McGinn, Smith &amp; Co Inc
Mesirow Financial Corp
Natcity Investments Inc.
National Securities Corp (US)
Needham &amp; Co LLC
Northeast Securities Inc.
David A. Noyes
Nutmeg Securities Ltd
Ormes Capital Markets Inc
Pacific Crest Securities Inc
Peacock Hislop Staley &amp; Given
Sands Brothers &amp; Co Ltd
Sterling Financial Corp
Stone &amp; Youngberg
Torrey Pines Securities
Wayne Hummer &amp; Co
Wunderlich Securities Inc
BC Ziegler &amp; Co</t>
  </si>
  <si>
    <t>MERRILL//BB-T-CAP/HILLIARD/JANNEY
/LEGG-MASON-WW/MCDONALD/Q&amp;R/RYAN-BECK
/STIFEL/WELLS-BROKERAGE//DBSECU/HARRN
/RBC-CAP-MKTS/US-PIPER/ADVEST/BAIRD
/WM-BLAIR/CROWELL/DAVIDSON/FAHNESTOCK
/MORGAN-KEEGAN/PARKER-HUNTER
/SUNTRUST-CAP/WEDBUSH-M/ARTHURS-LES
/AXIOM-CAP/BREAN/UNTERBERG/CHATSWORTH
/FIFTH-THIRD-SEC/FIRST-SW/GILFORD
/HOWE-BARNES/JOHNSTON-LEMON/LASALLE-SEC
/MAXIM-GROUP/MCGINN-SMITH/MESIROW-FIN
/NATCITY-INVEST/NATL-SEC/NEEDHAM
/NORTHEAST-SEC/D-A-NOYES/NUTMEG-SEC
/ORMES/PACIFIC-CREST/PEACOCK-HISLOP
/SANDS/STERLING-FIN/STONE-YOUNG
/TORREY-PINES/HUMMER/WUNDERLICH/ZIEGLER</t>
  </si>
  <si>
    <t>MERRILL
BB-T-CAP
HILLIARD
JANNEY
LEGG-MASON-WW
MCDONALD
Q&amp;R
RYAN-BECK
STIFEL
WELLS-BROKERAGE</t>
  </si>
  <si>
    <t>Merrill Lynch &amp; Co Inc
BB&amp;T Capital Markets
JJB Hilliard WL Lyons Inc
Janney Montgomery Scott Inc
Legg Mason Wood Walker Inc
McDonald Investments Inc
Quick &amp; Reilly Inc
Ryan Beck &amp; Co
Stifel Nicolaus &amp; Co Inc
Wells Fargo Brokerage Services LLC</t>
  </si>
  <si>
    <t>NETGEAR Inc</t>
  </si>
  <si>
    <t>NTGR</t>
  </si>
  <si>
    <t>64111Q104</t>
  </si>
  <si>
    <t>Lehman Brothers
Merrill Lynch
UBS Warburg
Fidelity Capital Markets
Harris Nesbitt
US Bancorp Piper Jaffray
SG Cowen Securities Corp
Chatsworth Securities LLC
Fahnestock &amp; Co
Needham &amp; Co LLC
Pacific Growth Equities Inc
Wedbush Securities</t>
  </si>
  <si>
    <t>LEH//MERRILL/UBS-WARBURG//FIDELITY-CAP
/HARRN/US-PIPER/SG-COWEN/CHATSWORTH
/FAHNESTOCK/NEEDHAM/PACIFIC-GROWTH
/WEDBUSH-M</t>
  </si>
  <si>
    <t>LEH
MERRILL
UBS-WARBURG</t>
  </si>
  <si>
    <t>Lehman Brothers
Merrill Lynch &amp; Co Inc
UBS Warburg</t>
  </si>
  <si>
    <t>Citadel Broadcasting Corp</t>
  </si>
  <si>
    <t>CDL</t>
  </si>
  <si>
    <t>17285T106</t>
  </si>
  <si>
    <t>Goldman Sachs &amp; Co
Credit Suisse First Boston
Deutsche Bank Securities Corp
Merrill Lynch
Bear Stearns &amp; Co Inc
JP Morgan
Wachovia Bank NA
Citigroup
Allen &amp; Co Inc
Banc of America Securities LLC
AG Edwards &amp; Sons Inc
Scotia Capital Markets (USA)</t>
  </si>
  <si>
    <t>GS/CS-FB-CS(JOINT)//DEUTSCHE-BK-SEC
/MERRILL/BEAR/JPM/WACHOVIA/CITIGROUP
//ALLEN/BA-SEC-LLC/A-G-EDWARDS/SCAPUS</t>
  </si>
  <si>
    <t>GS
/CS-FB-CS(JOINT)
DEUTSCHE-BK-SEC
MERRILL
BEAR
JPM
WACHOVIA
CITIGROUP</t>
  </si>
  <si>
    <t>Goldman Sachs &amp; Co
Credit Suisse First Boston Corp
Deutsche Bank Securities Corp.
Merrill Lynch &amp; Co Inc
Bear Stearns &amp; Co Inc
JP Morgan &amp; Co Inc
Wachovia Bank NA
Citigroup</t>
  </si>
  <si>
    <t>CapitalSource Inc</t>
  </si>
  <si>
    <t>CSE</t>
  </si>
  <si>
    <t>CS-FB-CS/CITIGROUP(JB)
/WACHOVIA-SEC(JB)</t>
  </si>
  <si>
    <t>14055X102</t>
  </si>
  <si>
    <t>Credit Suisse First Boston
Citigroup
Wachovia Securities Inc
Goldman Sachs &amp; Co
Lehman Brothers
JMP Securities LLC
US Bancorp Piper Jaffray
Fox-Pitt Kelton
Keefe Bruyette &amp; Woods Inc
Legg Mason Wood Walker</t>
  </si>
  <si>
    <t>CS-FB-CS(JB)/CITIGROUP(JB)
/WACHOVIA-SEC(JB)//GS/LEH/JMP-SEC
/US-PIPER//FOX-PITT/KEEFE/LEGG-MASON-WW</t>
  </si>
  <si>
    <t>CS-FB-CS/CITIGROUP/WACHOVIA-SEC</t>
  </si>
  <si>
    <t>CS-FB-CS
(JB)/CITIGROUP(JB)
/WACHOVIA-SEC(JB)
GS
LEH
JMP-SEC
US-PIPER</t>
  </si>
  <si>
    <t>Credit Suisse First Boston Corp
Citigroup
Wachovia Securities Inc
Goldman Sachs &amp; Co
Lehman Brothers
JMP Securities LLC
US Bancorp Piper Jaffray Inc</t>
  </si>
  <si>
    <t>Direct General Corp</t>
  </si>
  <si>
    <t>DRCT</t>
  </si>
  <si>
    <t>25456W204</t>
  </si>
  <si>
    <t>Keefe Bruyette &amp; Woods Inc
Morgan Keegan Inc
US Bancorp Piper Jaffray
SunTrust Robinson Humphrey
Legg Mason Wood Walker
Raymond James &amp; Associates Inc
Advest Inc
Avondale Partners
Ferris Baker Watts
Putnam Lovell NBF Securities
Wunderlich Securities Inc</t>
  </si>
  <si>
    <t>11/09/03
02/07/04</t>
  </si>
  <si>
    <t>0.633
52.614</t>
  </si>
  <si>
    <t>135108.00
11221630.00</t>
  </si>
  <si>
    <t>KEEFE//MORGAN-KEEGAN/US-PIPER
/SUNTRUST-RH//LEGG-MASON-WW/RAYMOND
/ADVEST/AVONDALE/FERRIS-BAKER
/PUTNAM-LOV-NBF/WUNDERLICH</t>
  </si>
  <si>
    <t>KEEFE
MORGAN-KEEGAN
US-PIPER
SUNTRUST-RH</t>
  </si>
  <si>
    <t>Keefe Bruyette &amp; Woods Inc
Morgan Keegan Inc
US Bancorp Piper Jaffray Inc
SunTrust Robinson Humphrey</t>
  </si>
  <si>
    <t>Gladstone Commercial Corp</t>
  </si>
  <si>
    <t>GOOD</t>
  </si>
  <si>
    <t>Ferris Baker Watts
Jefferies &amp; Co Inc
JJB Hilliard WL Lyons Inc
Stifel Nicolaus &amp; Co Inc</t>
  </si>
  <si>
    <t>FERRIS-BAKER/JEFFERIES(JOINT)//HILLIARD
/STIFEL</t>
  </si>
  <si>
    <t>FERRIS-BAKER/JEFFERIES</t>
  </si>
  <si>
    <t>FERRIS-BAKER
/JEFFERIES(JOINT)
HILLIARD
STIFEL</t>
  </si>
  <si>
    <t>Ferris Baker Watts Inc
Jefferies &amp; Co Inc
JJB Hilliard WL Lyons Inc
Stifel Nicolaus &amp; Co Inc</t>
  </si>
  <si>
    <t>Texas Capital Bancshares Inc</t>
  </si>
  <si>
    <t>TCBI</t>
  </si>
  <si>
    <t>88224Q107</t>
  </si>
  <si>
    <t>Lehman Brothers
US Bancorp Piper Jaffray
SunTrust Capital Markets
Sandler O'Neill Partners
Fahnestock &amp; Co
Fidelity Capital Markets
RBC Capital Markets
Stephens Inc
Stifel Nicolaus &amp; Co Inc
Fechtor, Detwiler
Fox-Pitt Kelton
Morgan Keegan Inc
Sanders Morris Harris Inc</t>
  </si>
  <si>
    <t>LEH//US-PIPER/SUNTRUST-CAP
/SANDLER-ONEILL//FAHNESTOCK
/FIDELITY-CAP/RBC-CAP-MKTS/STEPHENS
/STIFEL/FECHTOR/FOX-PITT/MORGAN-KEEGAN
/SANDERS-HARRIS</t>
  </si>
  <si>
    <t>LEH
US-PIPER
SUNTRUST-CAP
SANDLER-ONEILL</t>
  </si>
  <si>
    <t>Lehman Brothers
US Bancorp Piper Jaffray Inc
SunTrust Capital Markets
Sandler O'Neill Partners  L.P.</t>
  </si>
  <si>
    <t>Providence Service Corp</t>
  </si>
  <si>
    <t>PRSC</t>
  </si>
  <si>
    <t>SUNTRUST-RH</t>
  </si>
  <si>
    <t>SunTrust Robinson Humphrey
Jefferies &amp; Co Inc
Avondale Partners</t>
  </si>
  <si>
    <t>SUNTRUST-RH/JEFFERIES(JOINT)//AVONDALE</t>
  </si>
  <si>
    <t>SUNTRUST-RH/JEFFERIES</t>
  </si>
  <si>
    <t>SUNTRUST-RH
/JEFFERIES(JOINT)
AVONDALE</t>
  </si>
  <si>
    <t>Ashford Hospitality Trust Inc</t>
  </si>
  <si>
    <t>AHT</t>
  </si>
  <si>
    <t>044103109</t>
  </si>
  <si>
    <t>Friedman Billings Ramsey &amp; Co
Legg Mason Wood Walker
Credit Lyonnais Securities USA
US Bancorp Piper Jaffray
Advest Inc
BB&amp;T Capital Markets
Blaylock &amp; Partners LP
Flagstone Securities Inc
Stifel Nicolaus &amp; Co Inc
Wedbush Securities</t>
  </si>
  <si>
    <t>FRIEDMAN-B-CO//LEGG-MASON-WW/CL-SEC-USA
//US-PIPER/ADVEST/BB-T-CAP
/BLAYLOCK-PTRNS/FLAGSTONE/STIFEL
/WEDBUSH-M</t>
  </si>
  <si>
    <t>FRIEDMAN-B-CO
LEGG-MASON-WW
CL-SEC-USA</t>
  </si>
  <si>
    <t>Friedman Billings Ramsey &amp; Co Inc
Legg Mason Wood Walker Inc
Credit Lyonnais Securities USA</t>
  </si>
  <si>
    <t>First Trust Val Line Div Fund</t>
  </si>
  <si>
    <t>FVD</t>
  </si>
  <si>
    <t>A-G-EDWARDS/ML(JB)</t>
  </si>
  <si>
    <t>33735A100</t>
  </si>
  <si>
    <t>AG Edwards &amp; Sons Inc
Merrill Lynch, Pierce, Fenner
Raymond James &amp; Associates Inc
Advest Inc
Robert W Baird &amp; Co Inc
BB&amp;T Capital Markets
Fahnestock &amp; Co
Ferris Baker Watts
JJB Hilliard WL Lyons Inc
Huntleigh Securities Corp
Janney Montgomery Scott Inc
Legg Mason Wood Walker
McDonald Investments
RBC Dain Rauscher Corp
Ryan Beck &amp; Co
Stephens Inc
Stifel Nicolaus &amp; Co Inc
SunTrust Capital Markets
Wells Fargo Bank NA</t>
  </si>
  <si>
    <t>A-G-EDWARDS(JB)/ML(JB)//RAYMOND/ADVEST
/BAIRD/BB-T-CAP/FAHNESTOCK/FERRIS-BAKER
/HILLIARD/HUNTLEIGH-SEC/JANNEY
/LEGG-MASON-WW/MCDONALD/RBC-DAIN
/RYAN-BECK/STEPHENS/STIFEL/SUNTRUST-CAP
/WELLS-FARGO</t>
  </si>
  <si>
    <t>A-G-EDWARDS/ML</t>
  </si>
  <si>
    <t>A-G-EDWARDS
(JB)/ML(JB)
RAYMOND
ADVEST
BAIRD
BB-T-CAP
FAHNESTOCK
FERRIS-BAKER
HILLIARD
HUNTLEIGH-SEC
JANNEY
LEGG-MASON-WW
MCDONALD
RBC-DAIN
RYAN-BECK
STEPHENS
STIFEL
SUNTRUST-CAP
WELLS-FARGO</t>
  </si>
  <si>
    <t>AG Edwards &amp; Sons Inc
Merrill Lynch Pierce Fenner &amp; Smith
Raymond James &amp; Associates Inc
Advest Inc
Robert W Baird &amp; Co Inc
BB&amp;T Capital Markets
Fahnestock &amp; Co
Ferris Baker Watts Inc
JJB Hilliard WL Lyons Inc
Huntleigh Securities Corporation
Janney Montgomery Scott Inc
Legg Mason Wood Walker Inc
McDonald Investments Inc
RBC Dain Rauscher Corp
Ryan Beck &amp; Co
Stephens Inc
Stifel Nicolaus &amp; Co Inc
SunTrust Capital Markets
Wells Fargo Bank NA</t>
  </si>
  <si>
    <t>Flaherty &amp; Crumrine/Claymore</t>
  </si>
  <si>
    <t>FLC</t>
  </si>
  <si>
    <t>MERRILL/A-G-EDWARDS(JB)
/WACHOVIA-CAP(JB)</t>
  </si>
  <si>
    <t>Merrill Lynch
AG Edwards &amp; Sons Inc
Wachovia Capital Markets
Legg Mason Wood Walker
Raymond James &amp; Associates Inc
RBC Dain Rauscher Corp
Wells Fargo Bank NA
Advest Inc
Robert W Baird &amp; Co Inc
Fahnestock &amp; Co
JJB Hilliard WL Lyons Inc
Janney Montgomery Scott Inc
McDonald Investments
Quick &amp; Reilly Inc
Stifel Nicolaus &amp; Co Inc
Bear Stearns &amp; Co Inc
Deutsche Bank Securities
Harris Nesbitt
US Bancorp Piper Jaffray
BB&amp;T Capital Markets
William Blair &amp; Co
Crowell Weedon &amp; Co
DA Davidson &amp; Co Inc
Ferris Baker Watts
Morgan Keegan Inc
Stephens Inc
Wedbush Securities
Arthurs Lestrange
Brean Murray &amp; Co Inc
David A. Noyes
First Montauk Securities
First Southwest
Gilford Securities
Wayne Hummer &amp; Co
Huntleigh Securities Corp
Johnston Lemon &amp; Co Inc
LaSalle Street Securities Inc
Maxim Group LLC
Mesirow Financial Corp
Natcity Investments Inc.
National Securities Corp (US)
Needham &amp; Co LLC
Northeast Securities Inc.
Nutmeg Securities Ltd
Pacific Crest Securities Inc
Paulson Investment Co
Ryan Beck &amp; Co
Sanders Morris Harris Inc
Sands Brothers &amp; Co Ltd
Southwest Securities Inc
STERLING FINANCIAL INVESTMENT
M. L. Stern
Torrey Pines Securities
Westminster Financial Mgmt
Peacock Hislop Staley &amp; Given</t>
  </si>
  <si>
    <t>MERRILL(JB)/A-G-EDWARDS(JB)
/WACHOVIA-CAP(JB)//LEGG-MASON-WW
/RAYMOND/RBC-DAIN/WELLS-FARGO/ADVEST
/BAIRD/FAHNESTOCK/HILLIARD/JANNEY
/MCDONALD/Q&amp;R/STIFEL/BEAR//DBSECU/HARRN
/US-PIPER/BB-T-CAP/WM-BLAIR/CROWELL
/DAVIDSON/FERRIS-BAKER/MORGAN-KEEGAN
/STEPHENS/WEDBUSH-M/ARTHURS-LES/BREAN
/D-A-NOYES/FIRST-MONTAUK/FIRST-SW
/GILFORD/HUMMER/HUNTLEIGH-SEC
/JOHNSTON-LEMON/LASALLE-SEC/MAXIM-GROUP
/MESIROW-FIN/NATCITY-INVEST/NATL-SEC
/NEEDHAM/NORTHEAST-SEC/NUTMEG-SEC
/PACIFIC-CREST/PAULSON/RYAN-BECK
/SANDERS-HARRIS/SANDS/SWS-SEC
/STERLING-FIN-I/M-L-STERN/TORREY-PINES
/WESTMINSTER-FIN/PEACOCK-HISLOP</t>
  </si>
  <si>
    <t>MERRILL/A-G-EDWARDS/WACHOVIA-CAP</t>
  </si>
  <si>
    <t>MERRILL
(JB)/A-G-EDWARDS(JB)
/WACHOVIA-CAP(JB)
LEGG-MASON-WW
RAYMOND
RBC-DAIN
WELLS-FARGO
ADVEST
BAIRD
FAHNESTOCK
HILLIARD
JANNEY
MCDONALD
Q&amp;R
STIFEL
BEAR</t>
  </si>
  <si>
    <t>Merrill Lynch &amp; Co Inc
AG Edwards &amp; Sons Inc
Wachovia Capital Markets
Legg Mason Wood Walker Inc
Raymond James &amp; Associates Inc
RBC Dain Rauscher Corp
Wells Fargo Bank NA
Advest Inc
Robert W Baird &amp; Co Inc
Fahnestock &amp; Co
JJB Hilliard WL Lyons Inc
Janney Montgomery Scott Inc
McDonald Investments Inc
Quick &amp; Reilly Inc
Stifel Nicolaus &amp; Co Inc
Bear Stearns &amp; Co Inc</t>
  </si>
  <si>
    <t>Frank Temp Lim Dur Inc Trust</t>
  </si>
  <si>
    <t>FTF</t>
  </si>
  <si>
    <t>35472T101</t>
  </si>
  <si>
    <t>Citigroup
Merrill Lynch
UBS Investment Bank
Wachovia Securities Inc
Advest Inc
H&amp;R Block Financial Advisors
Ferris Baker Watts
JJB Hilliard WL Lyons Inc
Janney Montgomery Scott Inc
Quick &amp; Reilly Inc
RBC Capital Markets
Stifel Nicolaus &amp; Co Inc
SunTrust Capital Markets
Wells Fargo Bank NA
AG Edwards &amp; Sons Inc
Fahnestock &amp; Co
Legg Mason Wood Walker
TD Waterhouse Securities
US Bancorp Piper Jaffray
Wedbush Securities
Robert W Baird &amp; Co Inc
Crowell Weedon &amp; Co
LaSalle Street Securities Inc
McDonald Investments
Morgan Keegan Inc
Ryan Beck &amp; Co
BB&amp;T Capital Markets
DA Davidson &amp; Co Inc
David A. Noyes
Maxim Group LLC
Mesirow Financial Corp
Spelman &amp; Co.
M. L. Stern</t>
  </si>
  <si>
    <t>CITIGROUP//MERRILL/UBS-INV-BANK
/WACHOVIA-SEC/ADVEST/HR-BLOCK-FIN
/FERRIS-BAKER/HILLIARD/JANNEY/Q&amp;R
/RBC-CAP-MKTS/STIFEL/SUNTRUST-CAP
/WELLS-FARGO//A-G-EDWARDS/FAHNESTOCK
/LEGG-MASON-WW/TDWS/US-PIPER/WEDBUSH-M
/BAIRD/CROWELL/LASALLE-SEC/MCDONALD
/MORGAN-KEEGAN/RYAN-BECK/BB-T-CAP
/DAVIDSON/D-A-NOYES/MAXIM-GROUP
/MESIROW-FIN/SPELMAN/M-L-STERN</t>
  </si>
  <si>
    <t>CITIGROUP
MERRILL
UBS-INV-BANK
WACHOVIA-SEC
ADVEST
HR-BLOCK-FIN
FERRIS-BAKER
HILLIARD
JANNEY
Q&amp;R
RBC-CAP-MKTS
STIFEL
SUNTRUST-CAP
WELLS-FARGO</t>
  </si>
  <si>
    <t>Citigroup
Merrill Lynch &amp; Co Inc
UBS Investment Bank
Wachovia Securities Inc
Advest Inc
H&amp;R Block Financial Advisors
Ferris Baker Watts Inc
JJB Hilliard WL Lyons Inc
Janney Montgomery Scott Inc
Quick &amp; Reilly Inc
RBC Capital Markets
Stifel Nicolaus &amp; Co Inc
SunTrust Capital Markets
Wells Fargo Bank NA</t>
  </si>
  <si>
    <t>MBIA Cap/Claymore Managed</t>
  </si>
  <si>
    <t>MZF</t>
  </si>
  <si>
    <t>55266X100</t>
  </si>
  <si>
    <t>AG Edwards &amp; Sons Inc
Merrill Lynch
Advest Inc
Robert W Baird &amp; Co Inc
Ferris Baker Watts
Janney Montgomery Scott Inc
JJB Hilliard WL Lyons Inc
Legg Mason Wood Walker
McDonald Investments
Quick &amp; Reilly Inc
RBC Capital Markets
The Seidler Companies Inc
SunTrust Capital Markets
Wells Fargo Brokerage Svcs
BB&amp;T Capital Markets
Crowell Weedon &amp; Co
DA Davidson &amp; Co Inc
Deutsche Bank Securities
Fahnestock &amp; Co
Mesirow Financial Corp
Morgan Keegan Inc
Ryan Beck &amp; Co
Stifel Nicolaus &amp; Co Inc
US Bancorp Piper Jaffray
Wedbush Securities</t>
  </si>
  <si>
    <t>A-G-EDWARDS/MERRILL(JOINT)//ADVEST
/BAIRD/FERRIS-BAKER/JANNEY/HILLIARD
/LEGG-MASON-WW/MCDONALD/Q&amp;R
/RBC-CAP-MKTS/SEIDLER-CO-INC
/SUNTRUST-CAP/WELLS-BROKERAGE//BB-T-CAP
/CROWELL/DAVIDSON/DBSECU/FAHNESTOCK
/MESIROW-FIN/MORGAN-KEEGAN/RYAN-BECK
/STIFEL/US-PIPER/WEDBUSH-M</t>
  </si>
  <si>
    <t>A-G-EDWARDS
/MERRILL(JOINT)
ADVEST
BAIRD
FERRIS-BAKER
JANNEY
HILLIARD
LEGG-MASON-WW
MCDONALD
Q&amp;R
RBC-CAP-MKTS
SEIDLER-CO-INC
SUNTRUST-CAP
WELLS-BROKERAGE</t>
  </si>
  <si>
    <t>AG Edwards &amp; Sons Inc
Merrill Lynch &amp; Co Inc
Advest Inc
Robert W Baird &amp; Co Inc
Ferris Baker Watts Inc
Janney Montgomery Scott Inc
JJB Hilliard WL Lyons Inc
Legg Mason Wood Walker Inc
McDonald Investments Inc
Quick &amp; Reilly Inc
RBC Capital Markets
The Seidler Companies Incorporated
SunTrust Capital Markets
Wells Fargo Brokerage Services LLC</t>
  </si>
  <si>
    <t>Pimco Floating Rate Income</t>
  </si>
  <si>
    <t>PFL</t>
  </si>
  <si>
    <t>72201H108</t>
  </si>
  <si>
    <t>Merrill Lynch
Wachovia Bank NA
AG Edwards &amp; Sons Inc
RBC Capital Markets
Advest Inc
Robert W Baird &amp; Co Inc
Janney Montgomery Scott Inc
McDonald Investments
Wedbush Securities
Quick &amp; Reilly Inc
Bear Stearns &amp; Co Inc
Crowell Weedon &amp; Co
TD Waterhouse Securities
Deutsche Bank Securities
Harris Nesbitt
Legg Mason Wood Walker
US Bancorp Piper Jaffray
BB&amp;T Capital Markets
William Blair &amp; Co
DA Davidson &amp; Co Inc
Ferris Baker Watts
Ladenburg Thalmann &amp; Co
Morgan Keegan Inc
Parker-Hunter Inc
Stephens Inc
Stifel Nicolaus &amp; Co Inc
SunTrust Capital Markets
Axiom Capital Management Inc
Brean Murray &amp; Co Inc
Chatsworth Securities LLC
Fifth Third Securities Inc
Gilford Securities
Huntleigh Securities Corp
Johnston Lemon &amp; Co Inc
LaSalle Street Securities Inc
Leerink Swann &amp; Co
Maxim Group LLC
Mesirow Financial Corp
National Securities Corp (US)
Needham &amp; Co LLC
David A. Noyes
Sanders Morris Harris Inc
Sands Brothers &amp; Co Ltd
The Seidler Companies Inc
Source Capital Group Inc
Spelman &amp; Co.
Sterling Financial Corp
M. L. Stern
Sterne Agee &amp; Leach Inc
Torrey Pines Securities
JP Turner &amp; Co
Westminster Financial Mgmt
Wunderlich Securities Inc</t>
  </si>
  <si>
    <t>MERRILL//WACHOVIA/A-G-EDWARDS
/RBC-CAP-MKTS/ADVEST/BAIRD/JANNEY
/MCDONALD/WEDBUSH-M/Q&amp;R/BEAR/CROWELL
/TDWS//DBSECU/HARRN/LEGG-MASON-WW
/US-PIPER/BB-T-CAP/WM-BLAIR/DAVIDSON
/FERRIS-BAKER/LADENBURG/MORGAN-KEEGAN
/PARKER-HUNTER/STEPHENS/STIFEL
/SUNTRUST-CAP/AXIOM-CAP/BREAN
/CHATSWORTH/FIFTH-THIRD-SEC/GILFORD
/HUNTLEIGH-SEC/JOHNSTON-LEMON
/LASALLE-SEC/LEERINK-SWANN/MAXIM-GROUP
/MESIROW-FIN/NATL-SEC/NEEDHAM/D-A-NOYES
/SANDERS-HARRIS/SANDS/SEIDLER-CO-INC
/SOURCE-CAPITAL/SPELMAN/STERLING-FIN
/M-L-STERN/STERNE-AGEE/TORREY-PINES
/J-P-TURNER/WESTMINSTER-FIN/WUNDERLICH</t>
  </si>
  <si>
    <t>MERRILL
WACHOVIA
A-G-EDWARDS
RBC-CAP-MKTS
ADVEST
BAIRD
JANNEY
MCDONALD
WEDBUSH-M
Q&amp;R
BEAR
CROWELL
TDWS</t>
  </si>
  <si>
    <t>Merrill Lynch &amp; Co Inc
Wachovia Bank NA
AG Edwards &amp; Sons Inc
RBC Capital Markets
Advest Inc
Robert W Baird &amp; Co Inc
Janney Montgomery Scott Inc
McDonald Investments Inc
Wedbush Securities
Quick &amp; Reilly Inc
Bear Stearns &amp; Co Inc
Crowell Weedon &amp; Co
TD Waterhouse Securities</t>
  </si>
  <si>
    <t>Scudder RREEF REIT Fund II Inc</t>
  </si>
  <si>
    <t>SRO</t>
  </si>
  <si>
    <t>81119R108</t>
  </si>
  <si>
    <t>UBS Investment Bank
Merrill Lynch
Deutsche Bank Securities Corp
Wachovia Securities Inc
Legg Mason &amp; Co Inc
RBC Capital Markets
H&amp;R Block Financial Advisors
Fahnestock &amp; Co
Janney Montgomery Scott Inc
AG Edwards &amp; Sons Inc
McDonald Investments
US Bancorp Piper Jaffray
Quick &amp; Reilly Inc
TD Waterhouse Securities
Advest Inc
Robert W Baird &amp; Co Inc
BB&amp;T Capital Markets
Crowell Weedon &amp; Co
DA Davidson &amp; Co Inc
Ferris Baker Watts
Morgan Keegan Inc
Parker-Hunter Inc
Sanders Morris Harris Inc
The Seidler Companies Inc
M. L. Stern
Stifel Nicolaus &amp; Co Inc
SunTrust Capital Markets
Wedbush Securities
Arthurs Lestrange
Axiom Partners
First Southwest
First Montauk Securities
Howe Barnes Investments Inc
Jesup &amp; Lamont Securities
Johnston Lemon &amp; Co Inc
Mesirow Financial Corp
Royal Alliance Associates
Sands Brothers &amp; Co Ltd
Spelman &amp; Co.</t>
  </si>
  <si>
    <t>UBS-INV-BANK/MERRILL
/DEUTSCHE-BK-SEC(JOINT)//WACHOVIA-SEC
/LEGG-MASON/RBC-CAP-MKTS/HR-BLOCK-FIN
/FAHNESTOCK/JANNEY//A-G-EDWARDS
/MCDONALD/US-PIPER/Q&amp;R/TDWS/ADVEST
/BAIRD/BB-T-CAP/CROWELL/DAVIDSON
/FERRIS-BAKER/MORGAN-KEEGAN
/PARKER-HUNTER/SANDERS-HARRIS
/SEIDLER-CO-INC/M-L-STERN/STIFEL
/SUNTRUST-CAP/WEDBUSH-M/ARTHURS-LES
/AXIOM-PARTNERS/FIRST-SW/FIRST-MONTAUK
/HOWE-BARNES/JESUP/JOHNSTON-LEMON
/MESIROW-FIN/ROYAL-ALLIANCE/SANDS
/SPELMAN</t>
  </si>
  <si>
    <t>UBS-INV-BANK/MERRILL/DEUTSCHE-BK-SEC</t>
  </si>
  <si>
    <t>UBS-INV-BANK
/MERRILL
/DEUTSCHE-BK-SEC(JOINT)
WACHOVIA-SEC
LEGG-MASON
RBC-CAP-MKTS
HR-BLOCK-FIN
FAHNESTOCK
JANNEY</t>
  </si>
  <si>
    <t>UBS Investment Bank
Merrill Lynch &amp; Co Inc
Deutsche Bank Securities Corp.
Wachovia Securities Inc
Legg Mason &amp; Co Inc
RBC Capital Markets
H&amp;R Block Financial Advisors
Fahnestock &amp; Co
Janney Montgomery Scott Inc</t>
  </si>
  <si>
    <t>National Finl Partners Corp</t>
  </si>
  <si>
    <t>NFP</t>
  </si>
  <si>
    <t>63607P208</t>
  </si>
  <si>
    <t>Goldman Sachs &amp; Co
Merrill Lynch
JP Morgan
Bear Stearns &amp; Co Inc
CIBC World Markets Inc
Sandler O'Neill Partners
Allen &amp; Co Inc
Lehman Brothers
Blaylock &amp; Partners LP
CMG Institutional Trading LLC
Fox-Pitt Kelton SA
Gabelli &amp; Co Inc
Keefe Bruyette &amp; Woods Inc</t>
  </si>
  <si>
    <t>GS(JB)/MERRILL(JB)//JPM/BEAR/CIBC-WORLD
/SANDLER-ONEILL//ALLEN/LEH
/BLAYLOCK-PTRNS/CMG-LLC/FOX-PITT-NV
/GABELLI/KEEFE</t>
  </si>
  <si>
    <t>GS
(JB)/MERRILL(JB)
JPM
BEAR
CIBC-WORLD
SANDLER-ONEILL</t>
  </si>
  <si>
    <t>Goldman Sachs &amp; Co
Merrill Lynch &amp; Co Inc
JP Morgan &amp; Co Inc
Bear Stearns &amp; Co Inc
CIBC World Markets Inc
Sandler O'Neill Partners  L.P.</t>
  </si>
  <si>
    <t>GS(JB)/MERRILL(JB)//JPM/BEAR/CIBC-WORLD
/SANDLER-ONEILL/ALLEN/LEH
/BLAYLOCK-PTRNS/CMG-LLC/FOX-PITT-NV
/GABELLI/KEEFE</t>
  </si>
  <si>
    <t>GS
(JB)/MERRILL(JB)</t>
  </si>
  <si>
    <t>Goldman Sachs &amp; Co
Merrill Lynch &amp; Co Inc</t>
  </si>
  <si>
    <t>Neurochem Inc</t>
  </si>
  <si>
    <t>NRM</t>
  </si>
  <si>
    <t>64125K101</t>
  </si>
  <si>
    <t>UBS Investment Bank
Banc of America Securities LLC
RBC Capital Markets
CIBC World Markets Inc
Loewen Ondaatje McCutcheon Inc
Orion Securities</t>
  </si>
  <si>
    <t>UBS-INV-BANK//BA-SEC-LLC/RBC-CAP-MKTS
/CIBC-WORLD/LOEWEN/ORION-SEC</t>
  </si>
  <si>
    <t>UBS-INV-BANK
BA-SEC-LLC
RBC-CAP-MKTS
CIBC-WORLD
LOEWEN
ORION-SEC</t>
  </si>
  <si>
    <t>SigmaTel Inc</t>
  </si>
  <si>
    <t>SGTL</t>
  </si>
  <si>
    <t>82661W107</t>
  </si>
  <si>
    <t>Merrill Lynch
JP Morgan
CIBC World Markets Inc
Needham &amp; Co LLC
Adams Harkness &amp; Hill Inc
JMP Securities LLC
Lehman Brothers
Pacific Growth Equities Inc
Southwest Securities Inc
Thomas Weisel Partners
US Bancorp Piper Jaffray</t>
  </si>
  <si>
    <t>03/16/04
03/16/04</t>
  </si>
  <si>
    <t xml:space="preserve">66.353
</t>
  </si>
  <si>
    <t xml:space="preserve">23269805.00
</t>
  </si>
  <si>
    <t>MERRILL/JPM(JOINT)//CIBC-WORLD/NEEDHAM
//ADAMS-HARKNESS/JMP-SEC/LEH
/PACIFIC-GROWTH/SWS-SEC/THOMAS-WEISEL
/US-PIPER</t>
  </si>
  <si>
    <t>MERRILL
/JPM(JOINT)
CIBC-WORLD
NEEDHAM</t>
  </si>
  <si>
    <t>Merrill Lynch &amp; Co Inc
JP Morgan &amp; Co Inc
CIBC World Markets Inc
Needham &amp; Co LLC</t>
  </si>
  <si>
    <t>MERRILL/JPM(JOINT)//CIBC-WORLD/NEEDHAM
/ADAMS-HARKNESS/JMP-SEC/LEH
/PACIFIC-GROWTH/SWS-SEC/THOMAS-WEISEL
/US-PIPER</t>
  </si>
  <si>
    <t>AMIS Holdings Inc</t>
  </si>
  <si>
    <t>AMIS</t>
  </si>
  <si>
    <t>CS-FB-CS/GS(JB)</t>
  </si>
  <si>
    <t>031538101</t>
  </si>
  <si>
    <t>Credit Suisse First Boston
Goldman Sachs &amp; Co
Lehman Brothers
Merrill Lynch
UBS Investment Bank
SoundView Technology Group Inc
US Bancorp Piper Jaffray</t>
  </si>
  <si>
    <t>CS-FB-CS(JB)/GS(JB)/LEH/MERRILL(JOINT)
//UBS-INV-BANK/SOUNDVIEW-GROUP/US-PIPER</t>
  </si>
  <si>
    <t>CS-FB-CS/GS/LEH/MERRILL</t>
  </si>
  <si>
    <t>CS-FB-CS
(JB)/GS(JB)
/LEH
/MERRILL(JOINT)
UBS-INV-BANK
SOUNDVIEW-GROUP
US-PIPER</t>
  </si>
  <si>
    <t>Credit Suisse First Boston Corp
Goldman Sachs &amp; Co
Lehman Brothers
Merrill Lynch &amp; Co Inc
UBS Investment Bank
SoundView Technology Group Inc
US Bancorp Piper Jaffray Inc</t>
  </si>
  <si>
    <t>Journal Communications Inc</t>
  </si>
  <si>
    <t>JRN</t>
  </si>
  <si>
    <t>MORGAN-STANLEY
/BAIRD(JB)</t>
  </si>
  <si>
    <t>Morgan Stanley
Robert W Baird &amp; Co Inc
CS First Boston Corp
Goldman Sachs &amp; Co
Merrill Lynch
William Blair &amp; Co
CMG Institutional Trading LLC
AG Edwards &amp; Sons Inc
Edward D Jones &amp; Co
Loop Capital Markets
SunTrust Capital Markets
US Bancorp Piper Jaffray</t>
  </si>
  <si>
    <t>MORGAN-STANLEY(JB)/BAIRD(JB)//CS-FB/GS
/MERRILL//WM-BLAIR/CMG-LLC/A-G-EDWARDS
/ED-JONES/LOOP/SUNTRUST-CAP/US-PIPER</t>
  </si>
  <si>
    <t>MORGAN-STANLEY/BAIRD</t>
  </si>
  <si>
    <t>MORGAN-STANLEY
(JB)/BAIRD(JB)
CS-FB
GS
MERRILL</t>
  </si>
  <si>
    <t>Morgan Stanley
Robert W Baird &amp; Co Inc
CS First Boston Corp
Goldman Sachs &amp; Co
Merrill Lynch &amp; Co Inc</t>
  </si>
  <si>
    <t>Anchor Glass Container Corp</t>
  </si>
  <si>
    <t>AGCC</t>
  </si>
  <si>
    <t>CS-FB-CS/MERRILL(JB)</t>
  </si>
  <si>
    <t>03304B300</t>
  </si>
  <si>
    <t>Credit Suisse First Boston
Merrill Lynch
Lehman Brothers
Invemed Associates Inc
RBC Dain Rauscher Corp
SunTrust Capital Markets
Utendahl Capital Partners
Williams Capital Group LP</t>
  </si>
  <si>
    <t>CS-FB-CS(JB)/MERRILL(JB)//LEH//INVEMED
/RBC-DAIN/SUNTRUST-CAP/UTENDAHL-CAP
/WILLIAMS-CAP</t>
  </si>
  <si>
    <t>CS-FB-CS/MERRILL</t>
  </si>
  <si>
    <t>CS-FB-CS
(JB)/MERRILL(JB)
LEH</t>
  </si>
  <si>
    <t>Credit Suisse First Boston Corp
Merrill Lynch &amp; Co Inc
Lehman Brothers</t>
  </si>
  <si>
    <t>CS-FB-CS(JB)/MERRILL(JB)//LEH/INVEMED
/RBC-DAIN/SUNTRUST-CAP/UTENDAHL-CAP
/WILLIAMS-CAP</t>
  </si>
  <si>
    <t>CS-FB-CS
(JB)/MERRILL(JB)</t>
  </si>
  <si>
    <t>Credit Suisse First Boston Corp
Merrill Lynch &amp; Co Inc</t>
  </si>
  <si>
    <t>RedEnvelope Inc</t>
  </si>
  <si>
    <t>REDE</t>
  </si>
  <si>
    <t>75733R601</t>
  </si>
  <si>
    <t>WR Hambrecht &amp; Co LLC
Pacific Crest Securities Inc</t>
  </si>
  <si>
    <t>W-R-HAMBRECHT//PACIFIC-CREST</t>
  </si>
  <si>
    <t>W-R-HAMBRECHT
PACIFIC-CREST</t>
  </si>
  <si>
    <t>BlackRock Municipal 2020 Term</t>
  </si>
  <si>
    <t>BKK</t>
  </si>
  <si>
    <t>09249X109</t>
  </si>
  <si>
    <t>UBS Investment Bank
Merrill Lynch
AG Edwards &amp; Sons Inc
RBC Capital Markets
Wachovia Securities Inc
Wells Fargo Brokerage Svcs
JJB Hilliard WL Lyons Inc
Janney Montgomery Scott Inc
Oppenheimer &amp; Co Inc
Quick &amp; Reilly Group, Inc.
Ryan Beck &amp; Co
Advest Inc
Robert W Baird &amp; Co Inc
Deutsche Bank Securities
Legg Mason Wood Walker
TD Waterhouse Securities
US Bancorp Piper Jaffray
BB&amp;T Capital Markets
Crowell Weedon &amp; Co
DA Davidson &amp; Co Inc
Ferris Baker Watts
Morgan Keegan Inc
Parker-Hunter Inc
PNC Capital Markets
The Seidler Companies Inc
Stephens Inc
M. L. Stern
Stifel Nicolaus &amp; Co Inc
SunTrust Capital Markets
Wedbush Securities
Brean Murray &amp; Co Inc
City Securities
Fifth Third Securities Inc
First Montauk Securities
Wayne Hummer &amp; Co
Jesup &amp; Lamont Securities
Ladenburg Thalmann &amp; Co
LPL Financial Services
Mesirow Financial Corp
David A. Noyes
Paulson Investment Co
Peacock Hislop Staley &amp; Given
Roan/Meyers Associates LP
Sanders Morris Harris Inc
Sands Brothers &amp; Co Ltd
Southwest Securities Inc
Spelman &amp; Co.
STERLING FINANCIAL INVESTMENT</t>
  </si>
  <si>
    <t>UBS-INV-BANK/MERRILL(JOINT)
//A-G-EDWARDS/RBC-CAP-MKTS/WACHOVIA-SEC
/WELLS-BROKERAGE/HILLIARD/JANNEY
/OPPENHEIMER-CO/QUICK-REILLY/RYAN-BECK
//ADVEST/BAIRD/DBSECU/LEGG-MASON-WW
/TDWS/US-PIPER/BB-T-CAP/CROWELL
/DAVIDSON/FERRIS-BAKER/MORGAN-KEEGAN
/PARKER-HUNTER/PNC-CAPITAL
/SEIDLER-CO-INC/STEPHENS/M-L-STERN
/STIFEL/SUNTRUST-CAP/WEDBUSH-M/BREAN
/CITY-SEC/FIFTH-THIRD-SEC/FIRST-MONTAUK
/HUMMER/JESUP/LADENBURG/LPL-FIN
/MESIROW-FIN/D-A-NOYES/PAULSON
/PEACOCK-HISLOP/ROAN-MEYERS
/SANDERS-HARRIS/SANDS/SWS-SEC/SPELMAN
/STERLING-FIN-I</t>
  </si>
  <si>
    <t>UBS-INV-BANK/MERRILL</t>
  </si>
  <si>
    <t>UBS-INV-BANK
/MERRILL(JOINT)
A-G-EDWARDS
RBC-CAP-MKTS
WACHOVIA-SEC
WELLS-BROKERAGE
HILLIARD
JANNEY
OPPENHEIMER-CO
QUICK-REILLY
RYAN-BECK</t>
  </si>
  <si>
    <t>UBS Investment Bank
Merrill Lynch &amp; Co Inc
AG Edwards &amp; Sons Inc
RBC Capital Markets
Wachovia Securities Inc
Wells Fargo Brokerage Services LLC
JJB Hilliard WL Lyons Inc
Janney Montgomery Scott Inc
Oppenheimer &amp; Co Inc
Quick &amp; Reilly Group, Inc.
Ryan Beck &amp; Co</t>
  </si>
  <si>
    <t>BlackRock Florida Mun 2020</t>
  </si>
  <si>
    <t>BFO</t>
  </si>
  <si>
    <t>UBS-INV-BANK
/MERRILL(JB)</t>
  </si>
  <si>
    <t>09250M109</t>
  </si>
  <si>
    <t>UBS Investment Bank
Merrill Lynch
AG Edwards &amp; Sons Inc
Wachovia Securities Inc
Oppenheimer &amp; Co Inc
Quick &amp; Reilly Group, Inc.
Advest Inc
Janney Montgomery Scott Inc
Legg Mason Wood Walker
PNC Capital Markets
RBC Dain Rauscher Corp
SunTrust Capital Markets
TD Waterhouse Securities
Ferris Baker Watts
Fifth Third Securities Inc
First Southwest
JJB Hilliard WL Lyons Inc
Morgan Keegan Inc
Roan/Meyers Associates LP
Ryan Beck &amp; Co</t>
  </si>
  <si>
    <t>UBS-INV-BANK(JB)/MERRILL(JB)
//A-G-EDWARDS/WACHOVIA-SEC
/OPPENHEIMER-CO/QUICK-REILLY//ADVEST
/JANNEY/LEGG-MASON-WW/PNC-CAPITAL
/RBC-DAIN/SUNTRUST-CAP/TDWS
/FERRIS-BAKER/FIFTH-THIRD-SEC/FIRST-SW
/HILLIARD/MORGAN-KEEGAN/ROAN-MEYERS
/RYAN-BECK</t>
  </si>
  <si>
    <t>UBS-INV-BANK
(JB)/MERRILL(JB)
A-G-EDWARDS
WACHOVIA-SEC
OPPENHEIMER-CO
QUICK-REILLY</t>
  </si>
  <si>
    <t>UBS Investment Bank
Merrill Lynch &amp; Co Inc
AG Edwards &amp; Sons Inc
Wachovia Securities Inc
Oppenheimer &amp; Co Inc
Quick &amp; Reilly Group, Inc.</t>
  </si>
  <si>
    <t>Eaton Vance Tax Advantaged Div</t>
  </si>
  <si>
    <t>EVT</t>
  </si>
  <si>
    <t>27828G107</t>
  </si>
  <si>
    <t>UBS Investment Bank
Citigroup
Merrill Lynch
AG Edwards &amp; Sons Inc
RBC Capital Markets
Wachovia Securities Inc
Wells Fargo Bank NA
H&amp;R Block Financial Advisors
JJB Hilliard WL Lyons Inc
Janney Montgomery Scott Inc
Oppenheimer &amp; Co Inc
Quick &amp; Reilly Inc
Ryan Beck &amp; Co
Deutsche Bank Securities
Legg Mason Wood Walker
US Bancorp Piper Jaffray
SunTrust Capital Markets
TD Waterhouse Securities
Advest Inc
Robert W Baird &amp; Co Inc
Boenning &amp; Scattergood
Crowell Weedon &amp; Co
DA Davidson &amp; Co Inc
Ferris Baker Watts
McDonald Investments
Morgan Keegan Inc
Parker-Hunter Inc
M. L. Stern
Wedbush Securities
BB&amp;T Capital Markets
First Montauk Securities
Jesup &amp; Lamont Securities
Ladenburg Thalmann &amp; Co
Leerink Swann &amp; Co
Mesirow
David A. Noyes
Royal Alliance Associates
Sanders Morris Harris Inc
Stephens Inc
Anderson &amp; Strudwick
Arthurs Lestrange
Axiom Partners
Bernard Herold &amp; Co
Cadaret Grant &amp; Co
City Securities
Commonwealth Financial Svcs
First Southwest
Gilford Securities
J. B. Hanauer
Howe Barnes Investments Inc
Wayne Hummer &amp; Co
Huntleigh Securities Corp
Johnston Lemon &amp; Co Inc
Kirlin Securities Inc.
LaSalle Street Securities Inc
Maxim Group LLC
Natcity Investments Inc.
Paulson Investment Co
Sands Brothers &amp; Co Ltd
Smith Hayes Financial Services
Spelman &amp; Co.
STERLING FINANCIAL INVESTMENT
Sterne Agee &amp; Leach Inc</t>
  </si>
  <si>
    <t>UBS-INV-BANK(JB)/CITIGROUP(JB)
/MERRILL(JB)//A-G-EDWARDS/RBC-CAP-MKTS
/WACHOVIA-SEC/WELLS-FARGO/HR-BLOCK-FIN
/HILLIARD/JANNEY/OPPENHEIMER-CO/Q&amp;R
/RYAN-BECK//DBSECU/LEGG-MASON-WW
/US-PIPER/SUNTRUST-CAP/TDWS/ADVEST
/BAIRD/BOENNING/CROWELL/DAVIDSON
/FERRIS-BAKER/MCDONALD/MORGAN-KEEGAN
/PARKER-HUNTER/M-L-STERN/WEDBUSH-M
/BB-T-CAP/FIRST-MONTAUK/JESUP/LADENBURG
/LEERINK-SWANN/MESIROW/D-A-NOYES
/ROYAL-ALLIANCE/SANDERS-HARRIS/STEPHENS
/ANDERSON/ARTHURS-LES/AXIOM-PARTNERS
/BERNARD-HER/CADARET-GRANT/CITY-SEC
/CFINSE/FIRST-SW/GILFORD/J-B-HANAUER
/HOWE-BARNES/HUMMER/HUNTLEIGH-SEC
/JOHNSTON-LEMON/KIRLIN/LASALLE-SEC
/MAXIM-GROUP/NATCITY-INVEST/PAULSON
/SANDS/SMITH-HAYES/SPELMAN
/STERLING-FIN-I/STERNE-AGEE</t>
  </si>
  <si>
    <t>UBS-INV-BANK
(JB)/CITIGROUP(JB)
/MERRILL(JB)
A-G-EDWARDS
RBC-CAP-MKTS
WACHOVIA-SEC
WELLS-FARGO
HR-BLOCK-FIN
HILLIARD
JANNEY
OPPENHEIMER-CO
Q&amp;R
RYAN-BECK</t>
  </si>
  <si>
    <t>UBS Investment Bank
Citigroup
Merrill Lynch &amp; Co Inc
AG Edwards &amp; Sons Inc
RBC Capital Markets
Wachovia Securities Inc
Wells Fargo Bank NA
H&amp;R Block Financial Advisors
JJB Hilliard WL Lyons Inc
Janney Montgomery Scott Inc
Oppenheimer &amp; Co Inc
Quick &amp; Reilly Inc
Ryan Beck &amp; Co</t>
  </si>
  <si>
    <t>First Trust/Four Corners Sen</t>
  </si>
  <si>
    <t>FCM</t>
  </si>
  <si>
    <t>33733Q107</t>
  </si>
  <si>
    <t>Raymond James &amp; Associates Inc
Advest Inc
Ferris Baker Watts
JJB Hilliard WL Lyons Inc
McDonald Investments
Stifel Nicolaus &amp; Co Inc
H&amp;R Block Financial Advisors
Fixed Income Securities Inc
Janney Montgomery Scott Inc
RBC Capital Markets
SunTrust Robinson Humphrey</t>
  </si>
  <si>
    <t>RAYMOND//ADVEST/FERRIS-BAKER/HILLIARD
/MCDONALD/STIFEL/HR-BLOCK-FIN/FIXED-INC
/JANNEY/RBC-CAP-MKTS/SUNTRUST-RH</t>
  </si>
  <si>
    <t>RAYMOND
ADVEST
FERRIS-BAKER
HILLIARD
MCDONALD
STIFEL
HR-BLOCK-FIN
FIXED-INC
JANNEY
RBC-CAP-MKTS
SUNTRUST-RH</t>
  </si>
  <si>
    <t>Raymond James &amp; Associates Inc
Advest Inc
Ferris Baker Watts Inc
JJB Hilliard WL Lyons Inc
McDonald Investments Inc
Stifel Nicolaus &amp; Co Inc
H&amp;R Block Financial Advisors
Fixed Income Securities Inc
Janney Montgomery Scott Inc
RBC Capital Markets
SunTrust Robinson Humphrey</t>
  </si>
  <si>
    <t>Nuveen Diversified Dividend</t>
  </si>
  <si>
    <t>JDD</t>
  </si>
  <si>
    <t>6706EP105</t>
  </si>
  <si>
    <t>Citigroup
AG Edwards &amp; Sons Inc
Advest Inc
Robert W Baird &amp; Co Inc
Crowell Weedon &amp; Co
Ferris Baker Watts
JJB Hilliard WL Lyons Inc
Legg Mason &amp; Co Inc
Janney Montgomery Scott Inc
McDonald Investments
Quick &amp; Reilly Group, Inc.
RBC Capital Markets
Ryan Beck &amp; Co
Stifel Nicolaus &amp; Co Inc
SunTrust Capital Markets
Wedbush Securities
Wells Fargo Bank NA
Nuveen Investments LLC</t>
  </si>
  <si>
    <t>CITIGROUP//A-G-EDWARDS/ADVEST/BAIRD
/CROWELL/FERRIS-BAKER/HILLIARD
/LEGG-MASON/JANNEY/MCDONALD
/QUICK-REILLY/RBC-CAP-MKTS/RYAN-BECK
/STIFEL/SUNTRUST-CAP/WEDBUSH-M
/WELLS-FARGO/NUVEEN-INV</t>
  </si>
  <si>
    <t>CITIGROUP
A-G-EDWARDS
ADVEST
BAIRD
CROWELL
FERRIS-BAKER
HILLIARD
LEGG-MASON
JANNEY
MCDONALD
QUICK-REILLY
RBC-CAP-MKTS
RYAN-BECK
STIFEL
SUNTRUST-CAP
WEDBUSH-M
WELLS-FARGO
NUVEEN-INV</t>
  </si>
  <si>
    <t>Citigroup
AG Edwards &amp; Sons Inc
Advest Inc
Robert W Baird &amp; Co Inc
Crowell Weedon &amp; Co
Ferris Baker Watts Inc
JJB Hilliard WL Lyons Inc
Legg Mason &amp; Co Inc
Janney Montgomery Scott Inc
McDonald Investments Inc
Quick &amp; Reilly Group, Inc.
RBC Capital Markets
Ryan Beck &amp; Co
Stifel Nicolaus &amp; Co Inc
SunTrust Capital Markets
Wedbush Securities
Wells Fargo Bank NA
Nuveen Investments LLC</t>
  </si>
  <si>
    <t>Western Asset/Claymore US Trs</t>
  </si>
  <si>
    <t>WIA</t>
  </si>
  <si>
    <t>MERRILL
/LEGG-MASON-WW(JB)</t>
  </si>
  <si>
    <t>95766Q106</t>
  </si>
  <si>
    <t>Merrill Lynch
Legg Mason Wood Walker
RBC Capital Markets
Advest Inc
BB&amp;T Capital Markets
Robert W Baird &amp; Co Inc
JJB Hilliard WL Lyons Inc
Janney Montgomery Scott Inc
McDonald Investments
Morgan Keegan Inc
Oppenheimer &amp; Co Inc
Quick &amp; Reilly Inc
Stifel Nicolaus &amp; Co Inc
WR Hambrecht &amp; Co LLC
Wedbush Securities
Claymore Capital Pty Ltd
AG Edwards &amp; Sons Inc
Deutsche Bank Securities
Harris Nesbitt
Ryan Beck &amp; Co
US Bancorp Piper Jaffray
William Blair &amp; Co
Crowell Weedon &amp; Co
DA Davidson &amp; Co Inc
Ferris Baker Watts
Ladenburg Thalmann &amp; Co
Parker-Hunter Inc
Stephens Inc
SunTrust Capital Markets
Blaylock &amp; Partners LP
Brean Murray &amp; Co Inc
Chatsworth Securities LLC
Fifth Third Securities Inc
Gilford Securities
Howe Barnes Investments Inc
Huntleigh Securities Corp
Johnston Lemon &amp; Co Inc
LaSalle Street Securities Inc
Maxim Corporate Partners Inc
McGinn, Smith &amp; Co Inc
Mesirow
Natcity Investments Inc.
National Securities Corp (US)
Needham &amp; Co LLC
David A. Noyes
Sands Brothers &amp; Co Ltd
Southwest Securities Inc
STERLING FINANCIAL INVESTMENT
M. L. Stern
Torrey Pines Securities
JP Turner &amp; Co</t>
  </si>
  <si>
    <t>MERRILL(JB)/LEGG-MASON-WW(JB)
//RBC-CAP-MKTS/ADVEST/BB-T-CAP/BAIRD
/HILLIARD/JANNEY/MCDONALD/MORGAN-KEEGAN
/OPPENHEIMER-CO/Q&amp;R/STIFEL
/W-R-HAMBRECHT/WEDBUSH-M/CLAY-CAP
//A-G-EDWARDS/DBSECU/HARRN/RYAN-BECK
/US-PIPER/WM-BLAIR/CROWELL/DAVIDSON
/FERRIS-BAKER/LADENBURG/PARKER-HUNTER
/STEPHENS/SUNTRUST-CAP/BLAYLOCK-PTRNS
/BREAN/CHATSWORTH/FIFTH-THIRD-SEC
/GILFORD/HOWE-BARNES/HUNTLEIGH-SEC
/JOHNSTON-LEMON/LASALLE-SEC/MAXIM
/MCGINN-SMITH/MESIROW/NATCITY-INVEST
/NATL-SEC/NEEDHAM/D-A-NOYES/SANDS
/SWS-SEC/STERLING-FIN-I/M-L-STERN
/TORREY-PINES/J-P-TURNER</t>
  </si>
  <si>
    <t>MERRILL
(JB)/LEGG-MASON-WW(JB)
RBC-CAP-MKTS
ADVEST
BB-T-CAP
BAIRD
HILLIARD
JANNEY
MCDONALD
MORGAN-KEEGAN
OPPENHEIMER-CO
Q&amp;R
STIFEL
W-R-HAMBRECHT
WEDBUSH-M
CLAY-CAP</t>
  </si>
  <si>
    <t>Merrill Lynch &amp; Co Inc
Legg Mason Wood Walker Inc
RBC Capital Markets
Advest Inc
BB&amp;T Capital Markets
Robert W Baird &amp; Co Inc
JJB Hilliard WL Lyons Inc
Janney Montgomery Scott Inc
McDonald Investments Inc
Morgan Keegan Inc
Oppenheimer &amp; Co Inc
Quick &amp; Reilly Inc
Stifel Nicolaus &amp; Co Inc
WR Hambrecht &amp; Co LLC
Wedbush Securities
Claymore Capital Pty Ltd</t>
  </si>
  <si>
    <t>ING Clarion RE Income Fund</t>
  </si>
  <si>
    <t>IIA</t>
  </si>
  <si>
    <t>AG Edwards &amp; Sons Inc
Merrill Lynch
BB&amp;T Capital Markets
JJB Hilliard WL Lyons Inc
Huntleigh Securities Corp
Janney Montgomery Scott Inc
Legg Mason Wood Walker
McDonald Investments
Oppenheimer &amp; Co Inc
RBC Capital Markets
Stifel Nicolaus &amp; Co Inc
Deutsche Bank Securities Corp
US Bancorp Piper Jaffray
Advest Inc
Robert W Baird &amp; Co Inc
Brean Murray &amp; Co Inc
Crowell Weedon &amp; Co
DA Davidson &amp; Co Inc
Ferris Baker Watts
First Southwest
Morgan Keegan Inc
Parker-Hunter Inc
Quick &amp; Reilly Inc
Ryan Beck &amp; Co
Sanders Morris Harris Inc
Stephens Inc
Sterne Agee &amp; Leach Inc
SunTrust Capital Markets
TD Waterhouse Securities
Wedbush Securities</t>
  </si>
  <si>
    <t>A-G-EDWARDS//MERRILL/BB-T-CAP/HILLIARD
/HUNTLEIGH-SEC/JANNEY/LEGG-MASON-WW
/MCDONALD/OPPENHEIMER/RBC-CAP-MKTS
/STIFEL/DEUTSCHE-BK-SEC/US-PIPER/ADVEST
/BAIRD/BREAN/CROWELL/DAVIDSON
/FERRIS-BAKER/FIRST-SW/MORGAN-KEEGAN
/PARKER-HUNTER/Q&amp;R/RYAN-BECK
/SANDERS-HARRIS/STEPHENS/STERNE-AGEE
/SUNTRUST-CAP/TDWS/WEDBUSH-M</t>
  </si>
  <si>
    <t>A-G-EDWARDS
MERRILL
BB-T-CAP
HILLIARD
HUNTLEIGH-SEC
JANNEY
LEGG-MASON-WW
MCDONALD
OPPENHEIMER
RBC-CAP-MKTS
STIFEL
DEUTSCHE-BK-SEC
US-PIPER
ADVEST
BAIRD
BREAN
CROWELL
DAVIDSON
FERRIS-BAKER
FIRST-SW
MORGAN-KEEGAN
PARKER-HUNTER
Q&amp;R
RYAN-BECK
SANDERS-HARRIS
STEPHENS
STERNE-AGEE
SUNTRUST-CAP
TDWS
WEDBUSH-M</t>
  </si>
  <si>
    <t>AG Edwards &amp; Sons Inc
Merrill Lynch &amp; Co Inc
BB&amp;T Capital Markets
JJB Hilliard WL Lyons Inc
Huntleigh Securities Corporation
Janney Montgomery Scott Inc
Legg Mason Wood Walker Inc
McDonald Investments Inc
Oppenheimer &amp; Co Inc (DO NOT USE after 9/2/2003)
RBC Capital Markets
Stifel Nicolaus &amp; Co Inc
Deutsche Bank Securities Corp.
US Bancorp Piper Jaffray Inc
Advest Inc
Robert W Baird &amp; Co Inc
Brean Murray &amp; Co Inc
Crowell Weedon &amp; Co
DA Davidson &amp; Co Inc
Ferris Baker Watts Inc
First Southwest Company
Morgan Keegan Inc
Parker-Hunter Inc
Quick &amp; Reilly Inc
Ryan Beck &amp; Co
Sanders Morris Harris Inc
Stephens Inc
Sterne Agee &amp; Leach Inc
SunTrust Capital Markets
TD Waterhouse Securities
Wedbush Securities</t>
  </si>
  <si>
    <t>LKQ Corp</t>
  </si>
  <si>
    <t>LKQ</t>
  </si>
  <si>
    <t>BAIRD</t>
  </si>
  <si>
    <t>Robert W Baird &amp; Co Inc
Jefferies &amp; Co Inc
Allen &amp; Co Inc
Barrington Research Inc.
Ferris Baker Watts
First Analysis Securities
Morgan Keegan Inc
Oppenheimer &amp; Co Inc
SunTrust Robinson Humphrey</t>
  </si>
  <si>
    <t>03/30/04
12/31/03</t>
  </si>
  <si>
    <t>55.088
0.420</t>
  </si>
  <si>
    <t>10532828.00
80326.00</t>
  </si>
  <si>
    <t>BAIRD//JEFFERIES//ALLEN/BARRINGTON-RES
/FERRIS-BAKER/F-ANALYSIS/MORGAN-KEEGAN
/OPPENHEIMER-CO/SUNTRUST-RH</t>
  </si>
  <si>
    <t>BAIRD
JEFFERIES</t>
  </si>
  <si>
    <t>Robert W Baird &amp; Co Inc
Jefferies &amp; Co Inc</t>
  </si>
  <si>
    <t>Acusphere Inc</t>
  </si>
  <si>
    <t>ACUS</t>
  </si>
  <si>
    <t>00511R870</t>
  </si>
  <si>
    <t>SG Cowen Securities Corp
US Bancorp Piper Jaffray
Thomas Weisel Partners
Friedman Billings Ramsey Group
Roth Capital Partners Inc
Jefferies &amp; Co Inc
Merriman Curhan Ford &amp; Co
Morgan Keegan Inc
ThinkEquity Partners</t>
  </si>
  <si>
    <t>SG-COWEN//US-PIPER/THOMAS-WEISEL
/FRIEDMAN-B//ROTH-CAPITAL/JEFFERIES
/MERR-CUR/MORGAN-KEEGAN/THINK</t>
  </si>
  <si>
    <t>SG-COWEN
US-PIPER
THOMAS-WEISEL
FRIEDMAN-B</t>
  </si>
  <si>
    <t>SG Cowen Securities Corp
US Bancorp Piper Jaffray Inc
Thomas Weisel Partners
Friedman Billings Ramsey Group</t>
  </si>
  <si>
    <t>DigitalNet Holdings Inc</t>
  </si>
  <si>
    <t>DNET</t>
  </si>
  <si>
    <t>CITIGROUP
/UBS-INV-BANK(JB)</t>
  </si>
  <si>
    <t>25389B103</t>
  </si>
  <si>
    <t>Citigroup
UBS Investment Bank
Legg Mason Wood Walker
Raymond James &amp; Associates Inc
Blaylock &amp; Partners LP
Friedman Billings Ramsey &amp; Co
Jefferies &amp; Co Inc</t>
  </si>
  <si>
    <t>CITIGROUP(JB)/UBS-INV-BANK(JB)
//LEGG-MASON-WW/RAYMOND//BLAYLOCK-PTRNS
/FRIEDMAN-B-CO/JEFFERIES</t>
  </si>
  <si>
    <t>CITIGROUP/UBS-INV-BANK</t>
  </si>
  <si>
    <t>CITIGROUP
(JB)/UBS-INV-BANK(JB)
LEGG-MASON-WW
RAYMOND</t>
  </si>
  <si>
    <t>Citigroup
UBS Investment Bank
Legg Mason Wood Walker Inc
Raymond James &amp; Associates Inc</t>
  </si>
  <si>
    <t>Pioneer Municipal High Income</t>
  </si>
  <si>
    <t>MAV</t>
  </si>
  <si>
    <t>UBS-INV-BANK
/MERRILL(JB)
/WACHOVIA-SEC(JB)
/RBC(JB)</t>
  </si>
  <si>
    <t>UBS Investment Bank
Merrill Lynch
Wachovia Securities Inc
Royal Bank of Canada
Janney Montgomery Scott Inc</t>
  </si>
  <si>
    <t>UBS-INV-BANK(JB)/MERRILL(JB)
/WACHOVIA-SEC(JB)/RBC(JB)//JANNEY</t>
  </si>
  <si>
    <t>UBS-INV-BANK/MERRILL/WACHOVIA-SEC/RBC</t>
  </si>
  <si>
    <t>UBS-INV-BANK
(JB)/MERRILL(JB)
/WACHOVIA-SEC(JB)
/RBC(JB)
JANNEY</t>
  </si>
  <si>
    <t>UBS Investment Bank
Merrill Lynch &amp; Co Inc
Wachovia Securities Inc
Royal Bank of Canada
Janney Montgomery Scott Inc</t>
  </si>
  <si>
    <t>Advancis Pharmaceutical Corp</t>
  </si>
  <si>
    <t>AVNC</t>
  </si>
  <si>
    <t>00764L109</t>
  </si>
  <si>
    <t>Lehman Brothers
Pacific Growth Equities Inc
Thomas Weisel Partners
Oppenheimer &amp; Co Inc
Fidelity Capital Markets
Stifel Nicolaus &amp; Co Inc
Chatsworth Securities LLC
CL King &amp; Associates Inc
Koonce Securities
Leerink Swann &amp; Co
SunTrust Capital Markets</t>
  </si>
  <si>
    <t>LEH//PACIFIC-GROWTH/THOMAS-WEISEL
//OPPENHEIMER-CO/FIDELITY-CAP/STIFEL
/CHATSWORTH/CL-KING/KOONCE-SEC
/LEERINK-SWANN/SUNTRUST-CAP</t>
  </si>
  <si>
    <t>LEH
PACIFIC-GROWTH
THOMAS-WEISEL</t>
  </si>
  <si>
    <t>Lehman Brothers
Pacific Growth Equities Inc
Thomas Weisel Partners</t>
  </si>
  <si>
    <t>Carter's Inc</t>
  </si>
  <si>
    <t>CRI</t>
  </si>
  <si>
    <t>Goldman Sachs &amp; Co
Banc of America Securities LLC
Credit Suisse First Boston
Morgan Stanley
Morgan Keegan Inc
Muriel Siebert &amp; Co
SunTrust Capital Markets
US Bancorp Piper Jaffray</t>
  </si>
  <si>
    <t>GS//BA-SEC-LLC/CS-FB-CS/MORGAN-STANLEY
//MORGAN-KEEGAN/MURIEL/SUNTRUST-CAP
/US-PIPER</t>
  </si>
  <si>
    <t>GS
BA-SEC-LLC
CS-FB-CS
MORGAN-STANLEY</t>
  </si>
  <si>
    <t>Goldman Sachs &amp; Co
Banc of America Securities LLC
Credit Suisse First Boston Corp
Morgan Stanley</t>
  </si>
  <si>
    <t>First Potomac Realty Trust</t>
  </si>
  <si>
    <t>FPO</t>
  </si>
  <si>
    <t>33610F109</t>
  </si>
  <si>
    <t>Ferris Baker Watts
McDonald Investments
Advest Inc
Hilliard Lyons Inc</t>
  </si>
  <si>
    <t>FERRIS-BAKER//MCDONALD/ADVEST
/HILLIARD-LYONS</t>
  </si>
  <si>
    <t>FERRIS-BAKER
MCDONALD
ADVEST
HILLIARD-LYONS</t>
  </si>
  <si>
    <t>Ferris Baker Watts Inc
McDonald Investments Inc
Advest Inc
Hilliard Lyons Inc</t>
  </si>
  <si>
    <t>Floating Rate Income Fund Inc</t>
  </si>
  <si>
    <t>FRA</t>
  </si>
  <si>
    <t>Merrill Lynch
Wachovia Securities Inc
McDonald Investments
SunTrust Robinson Humphrey
Deutsche Bank Securities
US Bancorp Piper Jaffray
Advest Inc
Robert W Baird &amp; Co Inc
Crowell Weedon &amp; Co
Ferris Baker Watts
Ladenburg Thalmann &amp; Co
Legg Mason Wood Walker
Morgan Keegan Inc
Oppenheimer &amp; Co Inc
Quick &amp; Reilly Inc
Stephens Inc
Stifel Nicolaus &amp; Co Inc
Wedbush Securities
First Southwest
Huntleigh Securities Corp
LaSalle Street Securities Inc
Maxim Group LLC
David A. Noyes
Sands Brothers &amp; Co Ltd
STERLING FINANCIAL INVESTMENT</t>
  </si>
  <si>
    <t>MERRILL//WACHOVIA-SEC/MCDONALD
/SUNTRUST-RH//DBSECU/US-PIPER/ADVEST
/BAIRD/CROWELL/FERRIS-BAKER/LADENBURG
/LEGG-MASON-WW/MORGAN-KEEGAN
/OPPENHEIMER-CO/Q&amp;R/STEPHENS/STIFEL
/WEDBUSH-M/FIRST-SW/HUNTLEIGH-SEC
/LASALLE-SEC/MAXIM-GROUP/D-A-NOYES
/SANDS/STERLING-FIN-I</t>
  </si>
  <si>
    <t>MERRILL
WACHOVIA-SEC
MCDONALD
SUNTRUST-RH</t>
  </si>
  <si>
    <t>Merrill Lynch &amp; Co Inc
Wachovia Securities Inc
McDonald Investments Inc
SunTrust Robinson Humphrey</t>
  </si>
  <si>
    <t>Neuberger Berman RE Sec Inc Fd</t>
  </si>
  <si>
    <t>NRO</t>
  </si>
  <si>
    <t>64190A103</t>
  </si>
  <si>
    <t>AG Edwards &amp; Sons Inc
Lehman Brothers
Merrill Lynch
Advest Inc
BB&amp;T Capital Markets
Dominick &amp; Dominick Inc
Ferris Baker Watts
JJB Hilliard WL Lyons Inc
Janney Montgomery Scott Inc
Legg Mason Wood Walker
McDonald Investments
Oppenheimer &amp; Co Inc
RBC Dain Rauscher Corp
Stifel Nicolaus &amp; Co Inc
SunTrust Securities
Wells Fargo Bank NA
Deutsche Bank Securities
US Bancorp Piper Jaffray
Robert W Baird &amp; Co Inc
DA Davidson &amp; Co Inc
First Southwest
Huntleigh Securities Corp
Johnston Lemon &amp; Co Inc
Ladenburg Thalmann &amp; Co
Morgan Keegan Inc
Quick &amp; Reilly Inc
Ryan Beck &amp; Co
Sanders Morris Harris Inc
Southwest Securities Inc
TD Waterhouse Securities
Wedbush Securities</t>
  </si>
  <si>
    <t>A-G-EDWARDS/LEH/MERRILL(JOINT)//ADVEST
/BB-T-CAP/DOMINICK/FERRIS-BAKER
/HILLIARD/JANNEY/LEGG-MASON-WW/MCDONALD
/OPPENHEIMER-CO/RBC-DAIN/STIFEL
/SUN-TRUST-SEC/WELLS-FARGO//DBSECU
/US-PIPER/BAIRD/DAVIDSON/FIRST-SW
/HUNTLEIGH-SEC/JOHNSTON-LEMON/LADENBURG
/MORGAN-KEEGAN/Q&amp;R/RYAN-BECK
/SANDERS-HARRIS/SWS-SEC/TDWS/WEDBUSH-M</t>
  </si>
  <si>
    <t>A-G-EDWARDS/LEH/MERRILL</t>
  </si>
  <si>
    <t>A-G-EDWARDS
/LEH
/MERRILL(JOINT)
ADVEST
BB-T-CAP
DOMINICK
FERRIS-BAKER
HILLIARD
JANNEY
LEGG-MASON-WW
MCDONALD
OPPENHEIMER-CO
RBC-DAIN
STIFEL
SUN-TRUST-SEC
WELLS-FARGO</t>
  </si>
  <si>
    <t>AG Edwards &amp; Sons Inc
Lehman Brothers
Merrill Lynch &amp; Co Inc
Advest Inc
BB&amp;T Capital Markets
Dominick &amp; Dominick Inc
Ferris Baker Watts Inc
JJB Hilliard WL Lyons Inc
Janney Montgomery Scott Inc
Legg Mason Wood Walker Inc
McDonald Investments Inc
Oppenheimer &amp; Co Inc
RBC Dain Rauscher Corp
Stifel Nicolaus &amp; Co Inc
SunTrust Securities
Wells Fargo Bank NA</t>
  </si>
  <si>
    <t>CancerVax Corp</t>
  </si>
  <si>
    <t>CNVX</t>
  </si>
  <si>
    <t>13738Y107</t>
  </si>
  <si>
    <t>Lehman Brothers
Citigroup
Thomas Weisel Partners
US Bancorp Piper Jaffray
Fidelity Capital Markets
Legg Mason Wood Walker
SG Cowen Securities Corp
Roth Capital Partners Inc
ThinkEquity Partners</t>
  </si>
  <si>
    <t>LEH//CITIGROUP/THOMAS-WEISEL/US-PIPER
//FIDELITY-CAP/LEGG-MASON-WW/SG-COWEN
/ROTH-CAPITAL/THINK</t>
  </si>
  <si>
    <t>LEH
CITIGROUP
THOMAS-WEISEL
US-PIPER</t>
  </si>
  <si>
    <t>Lehman Brothers
Citigroup
Thomas Weisel Partners
US Bancorp Piper Jaffray Inc</t>
  </si>
  <si>
    <t>Centennial Specialty Foods</t>
  </si>
  <si>
    <t>CSJ</t>
  </si>
  <si>
    <t>J-P-TURNER</t>
  </si>
  <si>
    <t>Boston</t>
  </si>
  <si>
    <t>JP Turner &amp; Co
Newbridge Securities
Pali Capital LLC
STERLING FINANCIAL INVESTMENT</t>
  </si>
  <si>
    <t>J-P-TURNER//NEWBRIDGE/PALI-CAPITAL
/STERLING-FIN-I</t>
  </si>
  <si>
    <t>JP Turner &amp; Co</t>
  </si>
  <si>
    <t>Genitope Corp</t>
  </si>
  <si>
    <t>GTOP</t>
  </si>
  <si>
    <t>37229P507</t>
  </si>
  <si>
    <t>WR Hambrecht &amp; Co LLC
Punk Ziegel &amp; Co LP
Brean Murray &amp; Co Inc</t>
  </si>
  <si>
    <t>W-R-HAMBRECHT//PUNK/BREAN</t>
  </si>
  <si>
    <t>W-R-HAMBRECHT
PUNK
BREAN</t>
  </si>
  <si>
    <t>Myogen Inc</t>
  </si>
  <si>
    <t>MYOG</t>
  </si>
  <si>
    <t>CS-FB-CS/JPM(JB)</t>
  </si>
  <si>
    <t>62856E104</t>
  </si>
  <si>
    <t>Credit Suisse First Boston
JP Morgan
CIBC World Markets Inc
Lazard
JMP Securities LLC
Leerink Swann &amp; Co
Needham &amp; Co LLC</t>
  </si>
  <si>
    <t>CS-FB-CS(JB)/JPM(JB)//CIBC-WORLD/LAZARD
//JMP-SEC/LEERINK-SWANN/NEEDHAM</t>
  </si>
  <si>
    <t>CS-FB-CS/JPM</t>
  </si>
  <si>
    <t>CS-FB-CS
(JB)/JPM(JB)
CIBC-WORLD
LAZARD</t>
  </si>
  <si>
    <t>Credit Suisse First Boston Corp
JP Morgan &amp; Co Inc
CIBC World Markets Inc
Lazard</t>
  </si>
  <si>
    <t>First Marblehead Corp</t>
  </si>
  <si>
    <t>FMD</t>
  </si>
  <si>
    <t>Goldman Sachs &amp; Co
JP Morgan
Bear Stearns &amp; Co Inc
Blaylock &amp; Partners LP
Friedman Billings Ramsey &amp; Co
Jefferies &amp; Co Inc
Utendahl Capital Partners</t>
  </si>
  <si>
    <t>GS/JPM(JOINT)//BEAR//BLAYLOCK-PTRNS
/FRIEDMAN-B-CO/JEFFERIES/UTENDAHL-CAP</t>
  </si>
  <si>
    <t>GS
/JPM(JOINT)
BEAR</t>
  </si>
  <si>
    <t>Goldman Sachs &amp; Co
JP Morgan &amp; Co Inc
Bear Stearns &amp; Co Inc</t>
  </si>
  <si>
    <t>Overnite Corp</t>
  </si>
  <si>
    <t>OVNT</t>
  </si>
  <si>
    <t>CS-FB-CS
/MORGAN-STANLEY(JB)</t>
  </si>
  <si>
    <t>Credit Suisse First Boston
Morgan Stanley
Citigroup
Banc of America Securities LLC
JP Morgan
Merrill Lynch
BNP Paribas SA
Daiwa Capital Markets America
Stifel Nicolaus &amp; Co Inc
SunTrust Capital Markets
Wachovia Capital Markets
Williams Capital Group LP</t>
  </si>
  <si>
    <t>UNP</t>
  </si>
  <si>
    <t>Union Pacific Corp</t>
  </si>
  <si>
    <t>CS-FB-CS(JB)/MORGAN-STANLEY(JB)
/CITIGROUP(JOINT)//BA-SEC-LLC/JPM
/MERRILL//BNP-PARIBAS/DAIWA-SEC-AMER
/STIFEL/SUNTRUST-CAP/WACHOVIA-CAP
/WILLIAMS-CAP</t>
  </si>
  <si>
    <t>CS-FB-CS/MORGAN-STANLEY/CITIGROUP</t>
  </si>
  <si>
    <t>CS-FB-CS
(JB)/MORGAN-STANLEY(JB)
/CITIGROUP(JOINT)
BA-SEC-LLC
JPM
MERRILL</t>
  </si>
  <si>
    <t>Credit Suisse First Boston Corp
Morgan Stanley
Citigroup
Banc of America Securities LLC
JP Morgan &amp; Co Inc
Merrill Lynch &amp; Co Inc</t>
  </si>
  <si>
    <t>Coast Financial Holdings Inc</t>
  </si>
  <si>
    <t>CFHI</t>
  </si>
  <si>
    <t>STERNE-AGEE</t>
  </si>
  <si>
    <t>Sterne Agee &amp; Leach Inc</t>
  </si>
  <si>
    <t>NitroMed Inc</t>
  </si>
  <si>
    <t>NTMD</t>
  </si>
  <si>
    <t>DEUTSCHE-BK-SEC/JPM(JB)</t>
  </si>
  <si>
    <t>Deutsche Bank Securities Corp
JP Morgan
Pacific Growth Equities Inc</t>
  </si>
  <si>
    <t>DEUTSCHE-BK-SEC(JB)/JPM(JB)
//PACIFIC-GROWTH</t>
  </si>
  <si>
    <t>DEUTSCHE-BK-SEC/JPM</t>
  </si>
  <si>
    <t>DEUTSCHE-BK-SEC
(JB)/JPM(JB)
PACIFIC-GROWTH</t>
  </si>
  <si>
    <t>Deutsche Bank Securities Corp.
JP Morgan &amp; Co Inc
Pacific Growth Equities Inc</t>
  </si>
  <si>
    <t>Pharmion Corp</t>
  </si>
  <si>
    <t>PHRM</t>
  </si>
  <si>
    <t>71715B409</t>
  </si>
  <si>
    <t>Morgan Stanley
JP Morgan
Pacific Growth Equities Inc
US Bancorp Piper Jaffray</t>
  </si>
  <si>
    <t>MORGAN-STANLEY/JPM(JOINT)
//PACIFIC-GROWTH/US-PIPER</t>
  </si>
  <si>
    <t>MORGAN-STANLEY/JPM</t>
  </si>
  <si>
    <t>MORGAN-STANLEY
/JPM(JOINT)
PACIFIC-GROWTH
US-PIPER</t>
  </si>
  <si>
    <t>Morgan Stanley
JP Morgan &amp; Co Inc
Pacific Growth Equities Inc
US Bancorp Piper Jaffray Inc</t>
  </si>
  <si>
    <t>Quality Distribution Inc</t>
  </si>
  <si>
    <t>QLTY</t>
  </si>
  <si>
    <t>74756M102</t>
  </si>
  <si>
    <t>Credit Suisse First Boston
Bear Stearns &amp; Co Inc
Deutsche Bank Securities Corp
JP Morgan
Legg Mason Wood Walker
CL King &amp; Associates Inc
Morgan Keegan Inc
Sanders Morris Harris Inc
Stephens Inc
Stifel Nicolaus &amp; Co Inc
SunTrust Capital Markets
Williams Capital Group LP</t>
  </si>
  <si>
    <t>10/31/04
10/31/04</t>
  </si>
  <si>
    <t xml:space="preserve">58.305
</t>
  </si>
  <si>
    <t>360
360</t>
  </si>
  <si>
    <t xml:space="preserve">11012311.00
</t>
  </si>
  <si>
    <t>Apollo Management LP</t>
  </si>
  <si>
    <t>CS-FB-CS(JB)/BEAR(JB)//DEUTSCHE-BK-SEC
/JPM/LEGG-MASON-WW//CL-KING
/MORGAN-KEEGAN/SANDERS-HARRIS/STEPHENS
/STIFEL/SUNTRUST-CAP/WILLIAMS-CAP</t>
  </si>
  <si>
    <t>CS-FB-CS
(JB)/BEAR(JB)
DEUTSCHE-BK-SEC
JPM
LEGG-MASON-WW</t>
  </si>
  <si>
    <t>Credit Suisse First Boston Corp
Bear Stearns &amp; Co Inc
Deutsche Bank Securities Corp.
JP Morgan &amp; Co Inc
Legg Mason Wood Walker Inc</t>
  </si>
  <si>
    <t>Marlin Business Services Inc</t>
  </si>
  <si>
    <t>MRLN</t>
  </si>
  <si>
    <t>US Bancorp Piper Jaffray
William Blair &amp; Co
AG Edwards &amp; Sons Inc
Friedman Billings Ramsey &amp; Co
Jefferies &amp; Co Inc
JMP Securities LLC
Keefe Bruyette &amp; Woods Inc
RBC Dain Rauscher Corp
SG Cowen Securities Corp
SunTrust Capital Markets
Wachovia Capital Markets
Thomas Weisel Partners</t>
  </si>
  <si>
    <t>US-PIPER//WM-BLAIR//A-G-EDWARDS
/FRIEDMAN-B-CO/JEFFERIES/JMP-SEC/KEEFE
/RBC-DAIN/SG-COWEN/SUNTRUST-CAP
/WACHOVIA-CAP/THOMAS-WEISEL</t>
  </si>
  <si>
    <t>US-PIPER
WM-BLAIR</t>
  </si>
  <si>
    <t>US Bancorp Piper Jaffray Inc
William Blair &amp; Co</t>
  </si>
  <si>
    <t>Tessera Technologies Inc</t>
  </si>
  <si>
    <t>TSRA</t>
  </si>
  <si>
    <t>88164L100</t>
  </si>
  <si>
    <t>Lehman Brothers
Merrill Lynch
Needham &amp; Co LLC
SoundView Technology Group Inc
Fidelity Capital Markets
Oppenheimer &amp; Co Inc
Chatsworth Securities LLC
DA Davidson &amp; Co Inc
B Riley &amp; Company</t>
  </si>
  <si>
    <t>LEH/MERRILL(JOINT)//NEEDHAM
/SOUNDVIEW-GROUP//FIDELITY-CAP
/OPPENHEIMER-CO/CHATSWORTH/DAVIDSON
/B-RILEY</t>
  </si>
  <si>
    <t>LEH
/MERRILL(JOINT)
NEEDHAM
SOUNDVIEW-GROUP</t>
  </si>
  <si>
    <t>Lehman Brothers
Merrill Lynch &amp; Co Inc
Needham &amp; Co LLC
SoundView Technology Group Inc</t>
  </si>
  <si>
    <t>LECG Corp</t>
  </si>
  <si>
    <t>XPRT</t>
  </si>
  <si>
    <t>UBS Investment Bank
Lehman Brothers
Adams Harkness &amp; Hill Inc
Legg Mason Wood Walker</t>
  </si>
  <si>
    <t>UBS-INV-BANK//LEH/ADAMS-HARKNESS
/LEGG-MASON-WW</t>
  </si>
  <si>
    <t>UBS-INV-BANK
LEH
ADAMS-HARKNESS
LEGG-MASON-WW</t>
  </si>
  <si>
    <t>UBS Investment Bank
Lehman Brothers
Adams Harkness &amp; Hill Inc
Legg Mason Wood Walker Inc</t>
  </si>
  <si>
    <t>Callidus Software Inc</t>
  </si>
  <si>
    <t>CITIGROUP-GM</t>
  </si>
  <si>
    <t>13123E500</t>
  </si>
  <si>
    <t>Citigroup Global Markets Inc
Lehman Brothers
US Bancorp Piper Jaffray</t>
  </si>
  <si>
    <t>CITIGROUP-GM//LEH/US-PIPER</t>
  </si>
  <si>
    <t>CITIGROUP-GM
LEH
US-PIPER</t>
  </si>
  <si>
    <t>Citigroup Global Markets Inc
Lehman Brothers
US Bancorp Piper Jaffray Inc</t>
  </si>
  <si>
    <t>Nuveen Muni High Income Fd</t>
  </si>
  <si>
    <t>NMZ</t>
  </si>
  <si>
    <t>AG-EDWARDS-INC</t>
  </si>
  <si>
    <t>AG Edwards Inc
Wachovia Securities Inc
Nuveen Investments LLC
Legg Mason Wood Walker
Oppenheimer &amp; Co Inc
Quick &amp; Reilly Group, Inc.
RBC Dain Rauscher Corp
TD Waterhouse Securities</t>
  </si>
  <si>
    <t>AG-EDWARDS-INC//WACHOVIA-SEC/NUVEEN-INV
/LEGG-MASON-WW/OPPENHEIMER-CO
/QUICK-REILLY/RBC-DAIN/TDWS</t>
  </si>
  <si>
    <t>AG-EDWARDS-INC
WACHOVIA-SEC
NUVEEN-INV
LEGG-MASON-WW
OPPENHEIMER-CO
QUICK-REILLY
RBC-DAIN
TDWS</t>
  </si>
  <si>
    <t>AG Edwards Inc
Wachovia Securities Inc
Nuveen Investments LLC
Legg Mason Wood Walker Inc
Oppenheimer &amp; Co Inc
Quick &amp; Reilly Group, Inc.
RBC Dain Rauscher Corp
TD Waterhouse Securities</t>
  </si>
  <si>
    <t>Whiting Petroleum Corp</t>
  </si>
  <si>
    <t>WLL</t>
  </si>
  <si>
    <t>Merrill Lynch, Pierce, Fenner
AG Edwards &amp; Sons Inc
Lehman Brothers
Petrie Parkman &amp; Co Inc
Raymond James &amp; Associates Inc
McDonald Investments
Simmons &amp; Co International
Williams Capital Group LP</t>
  </si>
  <si>
    <t>ML/A-G-EDWARDS(JOINT)//LEH
/PETRIE-PARKMAN/RAYMOND/MCDONALD
/SIMMONS/WILLIAMS-CAP</t>
  </si>
  <si>
    <t>ML/A-G-EDWARDS</t>
  </si>
  <si>
    <t>ML
/A-G-EDWARDS(JOINT)
LEH
PETRIE-PARKMAN
RAYMOND
MCDONALD
SIMMONS
WILLIAMS-CAP</t>
  </si>
  <si>
    <t>Merrill Lynch Pierce Fenner &amp; Smith
AG Edwards &amp; Sons Inc
Lehman Brothers
Petrie Parkman &amp; Co Inc
Raymond James &amp; Associates Inc
McDonald Investments Inc
Simmons &amp; Co International
Williams Capital Group LP</t>
  </si>
  <si>
    <t>Buffalo Wild Wings Inc</t>
  </si>
  <si>
    <t>BWLD</t>
  </si>
  <si>
    <t>RBC-CAP-MKTS
/SG-COWEN(JB)</t>
  </si>
  <si>
    <t>RBC Capital Markets
SG Cowen Securities Corp
McDonald Investments
Avondale Partners
Roth Capital Partners Inc
Oppenheimer &amp; Co Inc
Harris Nesbitt
Morgan Keegan Inc
Stephens Inc</t>
  </si>
  <si>
    <t>RBC-CAP-MKTS(JB)/SG-COWEN(JB)//MCDONALD
//AVONDALE/ROTH-CAPITAL/OPPENHEIMER-CO
/HARRN/MORGAN-KEEGAN/STEPHENS</t>
  </si>
  <si>
    <t>RBC-CAP-MKTS/SG-COWEN</t>
  </si>
  <si>
    <t>RBC-CAP-MKTS
(JB)/SG-COWEN(JB)
MCDONALD</t>
  </si>
  <si>
    <t>RBC Capital Markets
SG Cowen Securities Corp
McDonald Investments Inc</t>
  </si>
  <si>
    <t>Technology Investment Capital</t>
  </si>
  <si>
    <t>TICC</t>
  </si>
  <si>
    <t>UBS Investment Bank
Jefferies &amp; Co Inc
Legg Mason Wood Walker
RBC Capital Markets
JMP Securities LLC</t>
  </si>
  <si>
    <t>UBS-INV-BANK//JEFFERIES/LEGG-MASON-WW
/RBC-CAP-MKTS/JMP-SEC</t>
  </si>
  <si>
    <t>UBS-INV-BANK
JEFFERIES
LEGG-MASON-WW
RBC-CAP-MKTS
JMP-SEC</t>
  </si>
  <si>
    <t>UBS Investment Bank
Jefferies &amp; Co Inc
Legg Mason Wood Walker Inc
RBC Capital Markets
JMP Securities LLC</t>
  </si>
  <si>
    <t>Conn's Inc</t>
  </si>
  <si>
    <t>CONN</t>
  </si>
  <si>
    <t>STEPHENS
/SUNTRUST-RH(JB)</t>
  </si>
  <si>
    <t>Stephens Inc
SunTrust Robinson Humphrey
AG Edwards &amp; Sons Inc
Lehman Brothers
Merrill Lynch, Pierce, Fenner
US Bancorp Piper Jaffray
Wachovia Capital Markets
Thomas Weisel Partners
BB&amp;T Capital Markets
Oppenheimer &amp; Co Inc
Harris Nesbitt
Jefferies &amp; Co Inc
Morgan Keegan Inc
Sanders Morris Harris Inc
Southwest Securities Inc
Wedbush Securities</t>
  </si>
  <si>
    <t>STEPHENS(JB)/SUNTRUST-RH(JB)
//A-G-EDWARDS/LEH/ML/US-PIPER
/WACHOVIA-CAP/THOMAS-WEISEL/BB-T-CAP
/OPPENHEIMER-CO/HARRN/JEFFERIES
/MORGAN-KEEGAN/SANDERS-HARRIS/SWS-SEC
/WEDBUSH-M</t>
  </si>
  <si>
    <t>STEPHENS/SUNTRUST-RH</t>
  </si>
  <si>
    <t>STEPHENS
(JB)/SUNTRUST-RH(JB)</t>
  </si>
  <si>
    <t>Stephens Inc
SunTrust Robinson Humphrey</t>
  </si>
  <si>
    <t>Eaton Vance Floating Rate</t>
  </si>
  <si>
    <t>EFR</t>
  </si>
  <si>
    <t>27828Q105</t>
  </si>
  <si>
    <t>UBS Investment Bank
Merrill Lynch, Pierce, Fenner
AG Edwards &amp; Sons Inc
RBC Dain Rauscher Corp
Wachovia Securities Inc
JJB Hilliard WL Lyons Inc
Janney Montgomery Scott Inc
Quick &amp; Reilly Inc
Ryan Beck &amp; Co
Advest Inc
Deutsche Bank Securities
Oppenheimer &amp; Co Inc
Legg Mason Wood Walker
McDonald Investments
US Bancorp Piper Jaffray
SunTrust Capital Markets
TD Waterhouse Securities
Robert W Baird &amp; Co Inc
William Blair &amp; Co
Crowell Weedon &amp; Co
Ferris Baker Watts
Ladenburg Thalmann &amp; Co
Morgan Keegan Inc
Stifel Nicolaus &amp; Co Inc
Wedbush Securities
BB&amp;T Capital Markets
DA Davidson &amp; Co Inc
Johnston Lemon &amp; Co Inc
Kirlin Securities Inc.
Linsco/Private Ledger
Mesirow Financial Corp
David A. Noyes
Sanders Morris Mundy Inc
Seidler, Arnett &amp; Spillane
SouthTrust Securities
Spelman &amp; Co.
Sterne Agee &amp; Leach Inc</t>
  </si>
  <si>
    <t>UBS-INV-BANK/ML(JOINT)//A-G-EDWARDS
/RBC-DAIN/WACHOVIA-SEC/HILLIARD/JANNEY
/Q&amp;R/RYAN-BECK//ADVEST/DBSECU
/OPPENHEIMER-CO/LEGG-MASON-WW/MCDONALD
/US-PIPER/SUNTRUST-CAP/TDWS/BAIRD
/WM-BLAIR/CROWELL/FERRIS-BAKER
/LADENBURG/MORGAN-KEEGAN/STIFEL
/WEDBUSH-M/BB-T-CAP/DAVIDSON
/JOHNSTON-LEMON/KIRLIN/LINSCO-PVT
/MESIROW-FIN/D-A-NOYES/SANDERS-MORRIS
/SEIDLER-ARNETT/SOUTHTRUST-SEC/SPELMAN
/STERNE-AGEE</t>
  </si>
  <si>
    <t>UBS-INV-BANK/ML</t>
  </si>
  <si>
    <t>UBS-INV-BANK
/ML(JOINT)
A-G-EDWARDS
RBC-DAIN
WACHOVIA-SEC
HILLIARD
JANNEY
Q&amp;R
RYAN-BECK</t>
  </si>
  <si>
    <t>UBS Investment Bank
Merrill Lynch Pierce Fenner &amp; Smith
AG Edwards &amp; Sons Inc
RBC Dain Rauscher Corp
Wachovia Securities Inc
JJB Hilliard WL Lyons Inc
Janney Montgomery Scott Inc
Quick &amp; Reilly Inc
Ryan Beck &amp; Co</t>
  </si>
  <si>
    <t>Gabelli Dividend &amp; Inc Trust</t>
  </si>
  <si>
    <t>GDV</t>
  </si>
  <si>
    <t>36242H104</t>
  </si>
  <si>
    <t>Merrill Lynch, Pierce, Fenner
Citigroup Global Markets Inc
AG Edwards &amp; Sons Inc
Gabelli &amp; Co Inc
Raymond James &amp; Associates Inc
RBC Dain Rauscher Corp
Wells Fargo Bank NA
Advest Inc
Robert W Baird &amp; Co Inc
BB&amp;T Capital Markets
H&amp;R Block Financial Advisors
Ferris Baker Watts
JJB Hilliard WL Lyons Inc
Janney Montgomery Scott Inc
Legg Mason Wood Walker
McDonald Investments
Morgan Keegan Inc
Oppenheimer &amp; Co Inc
Quick &amp; Reilly Group, Inc.
Ryan Beck &amp; Co
Stifel Nicolaus &amp; Co Inc
SunTrust Securities
TD Waterhouse Securities
Wedbush Securities
Claymore Capital Pty Ltd
Hennion &amp; Walsh, Inc
Deutsche Bank Securities
Harris Nesbitt
US Bancorp Piper Jaffray
William Blair &amp; Co
Crowell Weedon &amp; Co
DA Davidson &amp; Co Inc
Ladenburg Thalmann &amp; Co
Needham &amp; Co LLC
Parker-Hunter Inc
Allen &amp; Company of Florida
Arthurs Lestrange
Axiom Capital Management Inc
Bishop, Rosen &amp; Co
Brean Murray &amp; Co Inc
Chatsworth Securities LLC
City Securities
Dominick &amp; Dominick Inc
Fifth Third Securities Inc
First Southwest
Gilford Securities
GunnAllen Financial Inc
Howe Barnes Investments Inc
Wayne Hummer &amp; Co
Huntleigh Securities Corp
Johnston Lemon &amp; Co Inc
Keeley Investment Corp
LaSalle Street Securities Inc
Leerink Swann &amp; Co
Maxim Group LLC
McGinn, Smith &amp; Co Inc
Mesirow Financial Corp
Natcity Investments Inc.
National Securities Corp (US)
Northeast Securities Inc.
David A. Noyes
Nutmeg Securities Ltd
Ormes Capital Markets Inc
Paulson Investment Co
Peacock Hislop Staley &amp; Given
Sanders Morris Harris Inc
Sands Brothers &amp; Co Ltd
Source Capital Group Inc
Southwest Securities Inc
Spelman &amp; Co.
STERLING FINANCIAL INVESTMENT
M. L. Stern
Stone &amp; Youngberg
Torrey Pines Securities
JP Turner &amp; Co</t>
  </si>
  <si>
    <t>ML//CITIGROUP-GM/A-G-EDWARDS/GABELLI
/RAYMOND/RBC-DAIN/WELLS-FARGO/ADVEST
/BAIRD/BB-T-CAP/HR-BLOCK-FIN
/FERRIS-BAKER/HILLIARD/JANNEY
/LEGG-MASON-WW/MCDONALD/MORGAN-KEEGAN
/OPPENHEIMER-CO/QUICK-REILLY/RYAN-BECK
/STIFEL/SUN-TRUST-SEC/TDWS/WEDBUSH-M
/CLAY-CAP/HENNION-WALSH//DBSECU/HARRN
/US-PIPER/WM-BLAIR/CROWELL/DAVIDSON
/LADENBURG/NEEDHAM/PARKER-HUNTER
/ALLEN-FL/ARTHURS-LES/AXIOM-CAP
/BISHOP-ROSEN/BREAN/CHATSWORTH/CITY-SEC
/DOMINICK/FIFTH-THIRD-SEC/FIRST-SW
/GILFORD/GUNNALLEN-FINL/HOWE-BARNES
/HUMMER/HUNTLEIGH-SEC/JOHNSTON-LEMON
/KEELEY-INV/LASALLE-SEC/LEERINK-SWANN
/MAXIM-GROUP/MCGINN-SMITH/MESIROW-FIN
/NATCITY-INVEST/NATL-SEC/NORTHEAST-SEC
/D-A-NOYES/NUTMEG-SEC/ORMES/PAULSON
/PEACOCK-HISLOP/SANDERS-HARRIS/SANDS
/SOURCE-CAPITAL/SWS-SEC/SPELMAN
/STERLING-FIN-I/M-L-STERN/STONE-YOUNG
/TORREY-PINES/J-P-TURNER</t>
  </si>
  <si>
    <t>ML
CITIGROUP-GM
A-G-EDWARDS
GABELLI
RAYMOND
RBC-DAIN
WELLS-FARGO
ADVEST
BAIRD
BB-T-CAP
HR-BLOCK-FIN
FERRIS-BAKER
HILLIARD
JANNEY
LEGG-MASON-WW
MCDONALD
MORGAN-KEEGAN
OPPENHEIMER-CO
QUICK-REILLY
RYAN-BECK
STIFEL
SUN-TRUST-SEC
TDWS
WEDBUSH-M
CLAY-CAP
HENNION-WALSH</t>
  </si>
  <si>
    <t>Merrill Lynch Pierce Fenner &amp; Smith
Citigroup Global Markets Inc
AG Edwards &amp; Sons Inc
Gabelli &amp; Co Inc
Raymond James &amp; Associates Inc
RBC Dain Rauscher Corp
Wells Fargo Bank NA
Advest Inc
Robert W Baird &amp; Co Inc
BB&amp;T Capital Markets
H&amp;R Block Financial Advisors
Ferris Baker Watts Inc
JJB Hilliard WL Lyons Inc
Janney Montgomery Scott Inc
Legg Mason Wood Walker Inc
McDonald Investments Inc
Morgan Keegan Inc
Oppenheimer &amp; Co Inc
Quick &amp; Reilly Group, Inc.
Ryan Beck &amp; Co
Stifel Nicolaus &amp; Co Inc
SunTrust Securities
TD Waterhouse Securities
Wedbush Securities
Claymore Capital Pty Ltd
Hennion &amp; Walsh, Inc</t>
  </si>
  <si>
    <t>Nexstar Broadcasting Group Inc</t>
  </si>
  <si>
    <t>NXST</t>
  </si>
  <si>
    <t>65336K103</t>
  </si>
  <si>
    <t>Banc of America Securities LLC
Bear Stearns &amp; Co Inc
Lehman Brothers
UBS Investment Bank
RBC Capital Markets
Allen &amp; Co Inc
Dominick &amp; Dominick Inc
Harris Nesbitt</t>
  </si>
  <si>
    <t>BA-SEC-LLC/BEAR(JOINT)//LEH
/UBS-INV-BANK/RBC-CAP-MKTS//ALLEN
/DOMINICK/HARRN</t>
  </si>
  <si>
    <t>BA-SEC-LLC/BEAR</t>
  </si>
  <si>
    <t>BA-SEC-LLC
/BEAR(JOINT)
LEH
UBS-INV-BANK
RBC-CAP-MKTS</t>
  </si>
  <si>
    <t>Banc of America Securities LLC
Bear Stearns &amp; Co Inc
Lehman Brothers
UBS Investment Bank
RBC Capital Markets</t>
  </si>
  <si>
    <t>Pinnacle Airlines Corp</t>
  </si>
  <si>
    <t>PNCLQ</t>
  </si>
  <si>
    <t>Morgan Stanley
Credit Suisse First Boston
Deutsche Bank
Citigroup Global Markets Inc
JP Morgan
Blaylock &amp; Partners LP
Morgan Keegan Inc
AG Edwards &amp; Sons Inc
US Bancorp Piper Jaffray</t>
  </si>
  <si>
    <t>MORGAN-STANLEY//CS-FB-CS/DEUTSCHE-BANK
/CITIGROUP-GM/JPM/BLAYLOCK-PTRNS
//MORGAN-KEEGAN/A-G-EDWARDS/US-PIPER</t>
  </si>
  <si>
    <t>MORGAN-STANLEY
CS-FB-CS
DEUTSCHE-BANK
CITIGROUP-GM
JPM
BLAYLOCK-PTRNS</t>
  </si>
  <si>
    <t>Morgan Stanley
Credit Suisse First Boston Corp
Deutsche Bank
Citigroup Global Markets Inc
JP Morgan &amp; Co Inc
Blaylock &amp; Partners LP</t>
  </si>
  <si>
    <t>SIRVA Inc</t>
  </si>
  <si>
    <t>SIR</t>
  </si>
  <si>
    <t>82967Y104</t>
  </si>
  <si>
    <t>Credit Suisse First Boston
Goldman Sachs &amp; Co
Deutsche Bank Securities Corp
Citigroup
JP Morgan
Banc of America Securities LLC</t>
  </si>
  <si>
    <t>CS-FB-CS(JB)/GS(JB)//DEUTSCHE-BK-SEC
/CITIGROUP/JPM/BA-SEC-LLC</t>
  </si>
  <si>
    <t>CS-FB-CS
(JB)/GS(JB)
DEUTSCHE-BK-SEC
CITIGROUP
JPM
BA-SEC-LLC</t>
  </si>
  <si>
    <t>Credit Suisse First Boston Corp
Goldman Sachs &amp; Co
Deutsche Bank Securities Corp.
Citigroup
JP Morgan &amp; Co Inc
Banc of America Securities LLC</t>
  </si>
  <si>
    <t>Open Solutions Inc</t>
  </si>
  <si>
    <t>OPEN</t>
  </si>
  <si>
    <t>68371P102</t>
  </si>
  <si>
    <t>Bear Stearns &amp; Co Inc
Friedman Billings Ramsey &amp; Co
US Bancorp Piper Jaffray
Adams Harkness &amp; Hill Inc
Jefferies &amp; Co Inc
Stephens Inc
SunTrust Capital Markets</t>
  </si>
  <si>
    <t>BEAR//FRIEDMAN-B-CO/US-PIPER
//ADAMS-HARKNESS/JEFFERIES/STEPHENS
/SUNTRUST-CAP</t>
  </si>
  <si>
    <t>BEAR
FRIEDMAN-B-CO
US-PIPER</t>
  </si>
  <si>
    <t>Bear Stearns &amp; Co Inc
Friedman Billings Ramsey &amp; Co Inc
US Bancorp Piper Jaffray Inc</t>
  </si>
  <si>
    <t>SYNNEX Corp</t>
  </si>
  <si>
    <t>SNX</t>
  </si>
  <si>
    <t>87162W100</t>
  </si>
  <si>
    <t>Bear Stearns &amp; Co Inc
Banc of America Securities LLC
Raymond James &amp; Associates Inc</t>
  </si>
  <si>
    <t>BEAR//BA-SEC-LLC/RAYMOND</t>
  </si>
  <si>
    <t>BEAR
BA-SEC-LLC
RAYMOND</t>
  </si>
  <si>
    <t>Salomon Brothers Emerging Mkts</t>
  </si>
  <si>
    <t>ESD</t>
  </si>
  <si>
    <t>79550E107</t>
  </si>
  <si>
    <t>Citigroup
Merrill Lynch
Wachovia Securities Inc
Advest Inc
Wedbush Securities</t>
  </si>
  <si>
    <t>CITIGROUP//MERRILL/WACHOVIA-SEC/ADVEST
/WEDBUSH-M</t>
  </si>
  <si>
    <t>CITIGROUP
MERRILL
WACHOVIA-SEC
ADVEST
WEDBUSH-M</t>
  </si>
  <si>
    <t>Citigroup
Merrill Lynch &amp; Co Inc
Wachovia Securities Inc
Advest Inc
Wedbush Securities</t>
  </si>
  <si>
    <t>American Equity Investment</t>
  </si>
  <si>
    <t>AEL</t>
  </si>
  <si>
    <t>025676206</t>
  </si>
  <si>
    <t>Merrill Lynch
Advest Inc
Raymond James &amp; Associates Inc
Sanders Morris Harris Inc
Deutsche Bank Securities
AG Edwards &amp; Sons Inc
McDonald Investments
RBC Dain Rauscher Corp
Wachovia Capital Markets
CMG Institutional Trading LLC
DM Kelly &amp; Co</t>
  </si>
  <si>
    <t>MERRILL//ADVEST/RAYMOND/SANDERS-HARRIS
//DBSECU/A-G-EDWARDS/MCDONALD/RBC-DAIN
/WACHOVIA-CAP/CMG-LLC/DM-KELLY</t>
  </si>
  <si>
    <t>MERRILL
ADVEST
RAYMOND
SANDERS-HARRIS</t>
  </si>
  <si>
    <t>Merrill Lynch &amp; Co Inc
Advest Inc
Raymond James &amp; Associates Inc
Sanders Morris Harris Inc</t>
  </si>
  <si>
    <t>Aspen Insurance Holdings Ltd</t>
  </si>
  <si>
    <t>AHL</t>
  </si>
  <si>
    <t>G05384105</t>
  </si>
  <si>
    <t>Credit Suisse First Boston
Goldman Sachs &amp; Co
Deutsche Bank Securities Corp
UBS Investment Bank
Dowling &amp; Partners Securities
Fox-Pitt Kelton
Keefe Bruyette &amp; Woods Inc
ABN AMRO Rothschild
Cochran, Caronia &amp; Co.</t>
  </si>
  <si>
    <t>CS-FB-CS(JB)/GS(JB)
/DEUTSCHE-BK-SEC(JOINT)//UBS-INV-BANK
/DOWL/FOX-PITT/KEEFE//ABN-ROTHSCHILD
/COCHRAN-CARONIA</t>
  </si>
  <si>
    <t>CS-FB-CS/GS/DEUTSCHE-BK-SEC</t>
  </si>
  <si>
    <t>CS-FB-CS
(JB)/GS(JB)
/DEUTSCHE-BK-SEC(JOINT)
UBS-INV-BANK
DOWL
FOX-PITT
KEEFE</t>
  </si>
  <si>
    <t>Credit Suisse First Boston Corp
Goldman Sachs &amp; Co
Deutsche Bank Securities Corp.
UBS Investment Bank
Dowling &amp; Partners Securities LLC
Fox-Pitt Kelton
Keefe Bruyette &amp; Woods Inc</t>
  </si>
  <si>
    <t>Volume Srvcs Am Hldgs Inc</t>
  </si>
  <si>
    <t>CVP</t>
  </si>
  <si>
    <t>Income Dep Sec</t>
  </si>
  <si>
    <t>92873P105</t>
  </si>
  <si>
    <t>CIBC World Markets Inc
UBS Investment Bank
RBC Dain Rauscher Corp
KeyCorp/McDonald Investments
BMO Nesbitt Burns Inc
Robert W Baird &amp; Co Inc
TD Securities Inc
Piper Jaffray Cos
Wells Fargo Securities LLC
Morgan Joseph &amp; Co Inc
Banc of America Securities LLC
Credit Suisse First Boston
Deutsche Bank Securities Corp
SG Cowen Securities Corp
Adams Harkness &amp; Hill Inc
Advest Inc
BB&amp;T Capital Markets
Janney Montgomery Scott LLC
Legg Mason Wood Walker
Morgan Keegan Inc
Needham &amp; Co LLC
Punk Ziegel &amp; Co LP
Sanders Morris Harris Inc
Stifel Nicolaus &amp; Co Inc
SunTrust Robinson Humphrey
Wedbush Securities
William Blair &amp; Co
Williams Capital Group LP
Crowell Weedon &amp; Co
DA Davidson &amp; Co Inc
Howe Barnes Investments Inc
Johnston Lemon &amp; Co Inc
LaSalle Street Securities Inc
Natcity Investments Inc.
Nutmeg Securities Ltd
Parker-Hunter Inc
Sands Brothers &amp; Co Ltd
Seidler Corp
Stephens Inc
Sterne Agee &amp; Leach Inc
Torrey Pines Securities
Brean Murray &amp; Co Inc
Chatsworth Securities LLC
GunnAllen Financial Inc
Mesirow Financial Corp
Ormes Capital Markets Inc</t>
  </si>
  <si>
    <t>CIBC-WORLD/UBS-INV-BANK(JOINT)
//RBC-DAIN/KEY-MCDONALD/BMO-NES-INC
/BAIRD/TD-SECURITIES/PIPER-JAFFRAY
/WELLS-FARGO-SEC/MORGAN-JOSEPH
/BA-SEC-LLC/CS-FB-CS/DEUTSCHE-BK-SEC
/SG-COWEN/ADAMS-HARKNESS/ADVEST
/BB-T-CAP/JANNEY-LLC/LEGG-MASON-WW
/MORGAN-KEEGAN/NEEDHAM/PUNK
/SANDERS-HARRIS/STIFEL/SUNTRUST-RH
/WEDBUSH-M/WM-BLAIR/WILLIAMS-CAP
/CROWELL/DAVIDSON/HOWE-BARNES
/JOHNSTON-LEMON/LASALLE-SEC
/NATCITY-INVEST/NUTMEG-SEC
/PARKER-HUNTER/SANDS/SEIDLER-COS
/STEPHENS/STERNE-AGEE/TORREY-PINES
/BREAN/CHATSWORTH/GUNNALLEN-FINL
/MESIROW-FIN/ORMES</t>
  </si>
  <si>
    <t>CIBC-WORLD/UBS-INV-BANK</t>
  </si>
  <si>
    <t>CIBC-WORLD
/UBS-INV-BANK(JOINT)
RBC-DAIN
KEY-MCDONALD
BMO-NES-INC
BAIRD
TD-SECURITIES
PIPER-JAFFRAY
WELLS-FARGO-SEC
MORGAN-JOSEPH
BA-SEC-LLC
CS-FB-CS
DEUTSCHE-BK-SEC
SG-COWEN
ADAMS-HARKNESS
ADVEST
BB-T-CAP
JANNEY-LLC
LEGG-MASON-WW
MORGAN-KEEGAN
NEEDHAM
PUNK
SANDERS-HARRIS
STIFEL
SUNTRUST-RH
WEDBUSH-M
WM-BLAIR
WILLIAMS-CAP
CROWELL
DAVIDSON
HOWE-BARNES
JOHNSTON-LEMON
LASALLE-SEC
NATCITY-INVEST
NUTMEG-SEC
PARKER-HUNTER
SANDS
SEIDLER-COS
STEPHENS
STERNE-AGEE
TORREY-PINES
BREAN
CHATSWORTH
GUNNALLEN-FINL
MESIROW-FIN
ORMES</t>
  </si>
  <si>
    <t>CIBC World Markets Inc
UBS Investment Bank
RBC Dain Rauscher Corp
KeyCorp/McDonald Investments
BMO Nesbitt Burns Inc
Robert W Baird &amp; Co Inc
TD Securities Inc
Piper Jaffray Cos
Wells Fargo Securities LLC
Morgan Joseph &amp; Co Inc
Banc of America Securities LLC
Credit Suisse First Boston Corp
Deutsche Bank Securities Corp.
SG Cowen Securities Corp
Adams Harkness &amp; Hill Inc
Advest Inc
BB&amp;T Capital Markets
Janney Montgomery Scott LLC
Legg Mason Wood Walker Inc
Morgan Keegan Inc
Needham &amp; Co LLC
Punk Ziegel &amp; Co LP
Sanders Morris Harris Inc
Stifel Nicolaus &amp; Co Inc
SunTrust Robinson Humphrey
Wedbush Securities
William Blair &amp; Co
Williams Capital Group LP
Crowell Weedon &amp; Co
DA Davidson &amp; Co Inc
Howe Barnes Investments Inc
Johnston Lemon &amp; Co Inc
LaSalle Street Securities, Inc.
Natcity Investments Inc.
Nutmeg Securities Ltd
Parker-Hunter Inc
Sands Brothers &amp; Co Ltd
Seidler Corp
Stephens Inc
Sterne Agee &amp; Leach Inc
Torrey Pines Securities, Inc.
Brean Murray &amp; Co Inc
Chatsworth Securities LLC
GunnAllen Financial, Inc.
Mesirow Financial Corp
Ormes Capital Markets Inc</t>
  </si>
  <si>
    <t>Ctrip.com International Ltd</t>
  </si>
  <si>
    <t>CTRP</t>
  </si>
  <si>
    <t>22943F100</t>
  </si>
  <si>
    <t>Merrill Lynch, Pierce, Fenner
US Bancorp Piper Jaffray
SoundView Technology Group Inc
Merrill Lynch Far East Ltd
CLSA
BOCI Asia</t>
  </si>
  <si>
    <t>06/06/04
06/06/04</t>
  </si>
  <si>
    <t>ML//US-PIPER/SOUNDVIEW-GROUP//MLFE
/CLSA-HK/BOCIA</t>
  </si>
  <si>
    <t>ML
US-PIPER
SOUNDVIEW-GROUP</t>
  </si>
  <si>
    <t>Merrill Lynch Pierce Fenner &amp; Smith
US Bancorp Piper Jaffray Inc
SoundView Technology Group Inc</t>
  </si>
  <si>
    <t>Vaso Active Pharma Inc</t>
  </si>
  <si>
    <t>VAPH</t>
  </si>
  <si>
    <t>92232R107</t>
  </si>
  <si>
    <t>Kashner Davidson Securities</t>
  </si>
  <si>
    <t>Kashner Davidson Securities Corporation</t>
  </si>
  <si>
    <t>Nelnet Inc</t>
  </si>
  <si>
    <t>NNI</t>
  </si>
  <si>
    <t>J-P-MORGAN
/BA-SEC-LLC(JB)</t>
  </si>
  <si>
    <t>64031N108</t>
  </si>
  <si>
    <t>JP Morgan Securities Inc
Banc of America Securities LLC
Credit Suisse First Boston
Morgan Stanley &amp; Co</t>
  </si>
  <si>
    <t>J-P-MORGAN(JB)/BA-SEC-LLC(JB)//CS-FB-CS
/MS</t>
  </si>
  <si>
    <t>J-P-MORGAN/BA-SEC-LLC</t>
  </si>
  <si>
    <t>J-P-MORGAN
(JB)/BA-SEC-LLC(JB)
CS-FB-CS
MS</t>
  </si>
  <si>
    <t>JP Morgan Securities Inc
Banc of America Securities LLC
Credit Suisse First Boston Corp
Morgan Stanley &amp; Co</t>
  </si>
  <si>
    <t>Central Freight Lines Inc</t>
  </si>
  <si>
    <t>CENF</t>
  </si>
  <si>
    <t>Bear Stearns &amp; Co Inc
BB&amp;T Capital Markets
Legg Mason Wood Walker
Morgan Keegan Inc
Stephens Inc</t>
  </si>
  <si>
    <t>BEAR//BB-T-CAP/LEGG-MASON-WW
/MORGAN-KEEGAN/STEPHENS</t>
  </si>
  <si>
    <t>BEAR
BB-T-CAP
LEGG-MASON-WW
MORGAN-KEEGAN
STEPHENS</t>
  </si>
  <si>
    <t>Bear Stearns &amp; Co Inc
BB&amp;T Capital Markets
Legg Mason Wood Walker Inc
Morgan Keegan Inc
Stephens Inc</t>
  </si>
  <si>
    <t>China Life Insurance Co Ltd</t>
  </si>
  <si>
    <t>LFC</t>
  </si>
  <si>
    <t>CHINA-CAPITAL
/CITIGROUP-GM(JB)
/CS-FB-CS(JB)
/DEUTSCHE-BK-SEC(JB)</t>
  </si>
  <si>
    <t>16939P106</t>
  </si>
  <si>
    <t>China International Capital Co
Citigroup Global Markets Inc
Credit Suisse First Boston
Deutsche Bank Securities Corp
Fox-Pitt Kelton SA
Lehman Brothers Asia
Merrill Lynch, Pierce, Fenner
UBS Securities Inc
Hongkong &amp; Shanghai Bank (HK)
Bank of China(Hong Kong)Ltd
Bank of East Asia Ltd
BNP Paribas Peregrine Sec
CIBC World Markets Inc
Cazenove Inc
ING Bank NV</t>
  </si>
  <si>
    <t>China Life Insurance(Group)Co</t>
  </si>
  <si>
    <t>CHINA-CAPITAL(JB)/CITIGROUP-GM(JB)
/CS-FB-CS(JB)/DEUTSCHE-BK-SEC(JB)
//FOX-PITT-NV/LEH-ASIA/ML/UBS-SEC
/HONG-SHANG-BKG/BOC-HONGKONG/BK-EASIA
//BNPSLT/CIBC-WORLD/CAZENOVE-INC/ING-BK</t>
  </si>
  <si>
    <t>CHINA-CAPITAL/CITIGROUP-GM/CS-FB-CS
/DEUTSCHE-BK-SEC</t>
  </si>
  <si>
    <t>CHINA-CAPITAL
(JB)/CITIGROUP-GM(JB)
/CS-FB-CS(JB)
/DEUTSCHE-BK-SEC(JB)
FOX-PITT-NV
LEH-ASIA
ML
UBS-SEC
HONG-SHANG-BKG
BOC-HONGKONG
BK-EASIA</t>
  </si>
  <si>
    <t>China International Capital Corp
Citigroup Global Markets Inc
Credit Suisse First Boston Corp
Deutsche Bank Securities Corp.
Fox-Pitt Kelton SA
Lehman Brothers Asia
Merrill Lynch Pierce Fenner &amp; Smith
UBS Securities Inc
Hongkong &amp; Shanghai Banking Corp Ltd
Bank of China(Hong Kong)Ltd
Bank of East Asia Ltd</t>
  </si>
  <si>
    <t>CHINA-CAPITAL
/CITIGROUP(JB)
/CS-FB-CS(JB)
/DEUTSCHE-BK-SEC(JB)</t>
  </si>
  <si>
    <t>China International Capital Co
Citigroup
Credit Suisse First Boston
Deutsche Bank Securities Corp
Daiwa Securities SMBC Co Ltd
Fox-Pitt Kelton SA
Lehman Brothers Asia
Merrill Lynch Far East Ltd
Nomura International (HK) Ltd
UBS Warburg
BNP Paribas Peregrine Sec
Cazenove Asia Ltd
CIBC (Asia)
China Everbright Bank
First Shanghai Capital Ltd
ICEA Capital Limited
ING Bank NV
Samsung Securities
Bank of East Asia Ltd
Bank of China(Hong Kong)Ltd
Hongkong &amp; Shanghai Bank (HK)
China International Capital Co
Citigroup
Credit Suisse First Boston
Deutsche Bank Securities Corp</t>
  </si>
  <si>
    <t>CHINA-CAPITAL(JB)/CITIGROUP(JB)
/CS-FB-CS(JB)/DEUTSCHE-BK-SEC(JB)
//DAIWA-SMBC/FOX-PITT-NV/LEH-ASIA/MLFE
/NOMURA-HK/UBS-WARBURG//BNPSLT/CAZEAS
/CASIA/CHINA-EVER-BANK/FIRST-SHANGHAI
/ICEA/ING-BK/SAMSUNG-SEC/BK-EASIA
/BOC-HONGKONG/HONG-SHANG-BKG
//CHINA-CAPITAL(GC)/CITIGROUP(GC)
/CS-FB-CS(GC)/DEUTSCHE-BK-SEC(GC)</t>
  </si>
  <si>
    <t>CHINA-CAPITAL/CITIGROUP/CS-FB-CS
/DEUTSCHE-BK-SEC</t>
  </si>
  <si>
    <t>CHINA-CAPITAL
(JB)/CITIGROUP(JB)
/CS-FB-CS(JB)
/DEUTSCHE-BK-SEC(JB)
DAIWA-SMBC
FOX-PITT-NV
LEH-ASIA
MLFE
NOMURA-HK
UBS-WARBURG</t>
  </si>
  <si>
    <t>China International Capital Corp
Citigroup
Credit Suisse First Boston Corp
Deutsche Bank Securities Corp.
Daiwa Securities SMBC Co Ltd
Fox-Pitt Kelton SA
Lehman Brothers Asia
Merrill Lynch Far East Ltd
Nomura International (Hong Kong) Ltd
UBS Warburg</t>
  </si>
  <si>
    <t>Compass Minerals Intl Inc</t>
  </si>
  <si>
    <t>CMP</t>
  </si>
  <si>
    <t>GS/CS-FB-CS(JB)</t>
  </si>
  <si>
    <t>20451N101</t>
  </si>
  <si>
    <t>Goldman Sachs &amp; Co
Credit Suisse First Boston
JP Morgan Securities Inc
Deutsche Bank Securities Corp
UBS Securities Inc
AG Edwards &amp; Sons Inc
Edward D Jones &amp; Co LP
Legg Mason Wood Walker
Raymond James &amp; Associates Inc
CMG Institutional Trading LLC</t>
  </si>
  <si>
    <t>GS(JB)/CS-FB-CS(JB)//J-P-MORGAN
/DEUTSCHE-BK-SEC/UBS-SEC//A-G-EDWARDS
/ED-JONES-LP/LEGG-MASON-WW/RAYMOND
/CMG-LLC</t>
  </si>
  <si>
    <t>GS
(JB)/CS-FB-CS(JB)
J-P-MORGAN
DEUTSCHE-BK-SEC
UBS-SEC</t>
  </si>
  <si>
    <t>Goldman Sachs &amp; Co
Credit Suisse First Boston Corp
JP Morgan Securities Inc
Deutsche Bank Securities Corp.
UBS Securities Inc</t>
  </si>
  <si>
    <t>International Steel Group Inc</t>
  </si>
  <si>
    <t>ISG</t>
  </si>
  <si>
    <t>GS/UBS-INV-BANK(JB)</t>
  </si>
  <si>
    <t>Goldman Sachs &amp; Co
UBS Investment Bank
JP Morgan
Bear Stearns &amp; Co Inc
CIBC World Markets Inc</t>
  </si>
  <si>
    <t>GS(JB)/UBS-INV-BANK(JB)//JPM/BEAR
/CIBC-WORLD</t>
  </si>
  <si>
    <t>GS/UBS-INV-BANK</t>
  </si>
  <si>
    <t>GS
(JB)/UBS-INV-BANK(JB)
JPM
BEAR
CIBC-WORLD</t>
  </si>
  <si>
    <t>Goldman Sachs &amp; Co
UBS Investment Bank
JP Morgan &amp; Co Inc
Bear Stearns &amp; Co Inc
CIBC World Markets Inc</t>
  </si>
  <si>
    <t>Natural Golf Corporation</t>
  </si>
  <si>
    <t>NAX</t>
  </si>
  <si>
    <t>GILFORD</t>
  </si>
  <si>
    <t>63888E203</t>
  </si>
  <si>
    <t>Gilford Securities
Brean Murray &amp; Co Inc
Sanders Morris Harris Inc
Joseph Gunnar &amp; Co., LLC
JP Turner &amp; Co
Kashner Davidson Securities
Maxim Group LLC
Newbridge Securities
Pali Capital LLC
Source Capital Group Inc</t>
  </si>
  <si>
    <t>GILFORD//BREAN/SANDERS-HARRIS/GUNNAR
/J-P-TURNER/KASHNER/MAXIM-GROUP
/NEWBRIDGE/PALI-CAPITAL/SOURCE-CAPITAL</t>
  </si>
  <si>
    <t>Gilford Securities Incorporated</t>
  </si>
  <si>
    <t>NPTest Holding Corp</t>
  </si>
  <si>
    <t>NPTT</t>
  </si>
  <si>
    <t>67019A105</t>
  </si>
  <si>
    <t>Citigroup
Credit Suisse First Boston
Lehman Brothers
Banc of America Securities LLC
Chatsworth Securities LLC
CL King &amp; Associates Inc
MR Beal &amp; Co
CMG Institutional Trading LLC</t>
  </si>
  <si>
    <t>CITIGROUP/CS-FB-CS(JOINT)//LEH
/BA-SEC-LLC//CHATSWORTH/CL-KING
/M-R-BEAL/CMG-LLC</t>
  </si>
  <si>
    <t>CITIGROUP/CS-FB-CS</t>
  </si>
  <si>
    <t>CITIGROUP
/CS-FB-CS(JOINT)
LEH
BA-SEC-LLC</t>
  </si>
  <si>
    <t>Citigroup
Credit Suisse First Boston Corp
Lehman Brothers
Banc of America Securities LLC</t>
  </si>
  <si>
    <t>United National Group Ltd</t>
  </si>
  <si>
    <t>UNGL</t>
  </si>
  <si>
    <t>91103X102</t>
  </si>
  <si>
    <t>Merrill Lynch
Banc of America Securities LLC
Dowling &amp; Partners Securities
Fox-Pitt Kelton SA
Keefe Bruyette &amp; Woods Inc</t>
  </si>
  <si>
    <t>MERRILL//BA-SEC-LLC/DOWL/FOX-PITT-NV
/KEEFE</t>
  </si>
  <si>
    <t>MERRILL
BA-SEC-LLC
DOWL
FOX-PITT-NV
KEEFE</t>
  </si>
  <si>
    <t>Merrill Lynch &amp; Co Inc
Banc of America Securities LLC
Dowling &amp; Partners Securities LLC
Fox-Pitt Kelton SA
Keefe Bruyette &amp; Woods Inc</t>
  </si>
  <si>
    <t>Falcon Financial Investment</t>
  </si>
  <si>
    <t>FLCN</t>
  </si>
  <si>
    <t>Friedman Billings Ramsey Group
BB&amp;T Capital Markets
Stifel Nicolaus &amp; Co Inc
Flagstone Securities Inc</t>
  </si>
  <si>
    <t>FRIEDMAN-B//BB-T-CAP/STIFEL/FLAGSTONE</t>
  </si>
  <si>
    <t>FRIEDMAN-B
BB-T-CAP
STIFEL
FLAGSTONE</t>
  </si>
  <si>
    <t>Highland Hospitality Corp</t>
  </si>
  <si>
    <t>HIH</t>
  </si>
  <si>
    <t>Friedman Billings Ramsey Group
Deutsche Bank Securities Corp
Raymond James &amp; Associates Inc
Advest Inc
BB&amp;T Capital Markets
Oppenheimer &amp; Co Inc
Flagstone Securities Inc
Jeffries Industries Ltd
Legg Mason Wood Walker
Ryan Beck &amp; Co
Stifel Nicolaus &amp; Co Inc
Wedbush Securities
Wells Fargo Bank NA</t>
  </si>
  <si>
    <t>FRIEDMAN-B//DEUTSCHE-BK-SEC/RAYMOND
//ADVEST/BB-T-CAP/OPPENHEIMER-CO
/FLAGSTONE/JEFFIN/LEGG-MASON-WW
/RYAN-BECK/STIFEL/WEDBUSH-M/WELLS-FARGO</t>
  </si>
  <si>
    <t>FRIEDMAN-B
DEUTSCHE-BK-SEC
RAYMOND</t>
  </si>
  <si>
    <t>Friedman Billings Ramsey Group
Deutsche Bank Securities Corp.
Raymond James &amp; Associates Inc</t>
  </si>
  <si>
    <t>Orbitz Inc</t>
  </si>
  <si>
    <t>ORBZ</t>
  </si>
  <si>
    <t>68556Y100</t>
  </si>
  <si>
    <t>Goldman Sachs &amp; Co
Credit Suisse First Boston
Legg Mason Wood Walker
Thomas Weisel Partners
Allen &amp; Co Inc
Epoch Capital Corp
Fidelity Capital Markets
JP Morgan</t>
  </si>
  <si>
    <t>GS/CS-FB-CS(JOINT)//LEGG-MASON-WW
/THOMAS-WEISEL//ALLEN/EPOCH
/FIDELITY-CAP/JPM</t>
  </si>
  <si>
    <t>GS
/CS-FB-CS(JOINT)
LEGG-MASON-WW
THOMAS-WEISEL</t>
  </si>
  <si>
    <t>Goldman Sachs &amp; Co
Credit Suisse First Boston Corp
Legg Mason Wood Walker Inc
Thomas Weisel Partners</t>
  </si>
  <si>
    <t>Universal Technical Institute</t>
  </si>
  <si>
    <t>UTI</t>
  </si>
  <si>
    <t>Credit Suisse First Boston
Banc of America Securities LLC
Jefferies &amp; Co Inc
Thomas Weisel Partners
SunTrust Robinson Humphrey
ThinkEquity Partners</t>
  </si>
  <si>
    <t>CS-FB-CS//BA-SEC-LLC/JEFFERIES
/THOMAS-WEISEL/SUNTRUST-RH//THINK</t>
  </si>
  <si>
    <t>CS-FB-CS
BA-SEC-LLC
JEFFERIES
THOMAS-WEISEL
SUNTRUST-RH</t>
  </si>
  <si>
    <t>Credit Suisse First Boston Corp
Banc of America Securities LLC
Jefferies &amp; Co Inc
Thomas Weisel Partners
SunTrust Robinson Humphrey</t>
  </si>
  <si>
    <t>Webzen Inc</t>
  </si>
  <si>
    <t>WZEN</t>
  </si>
  <si>
    <t>94846M102</t>
  </si>
  <si>
    <t>JP Morgan
Daiwa SBCM (Hong Kong) Ltd
ING Bank NV</t>
  </si>
  <si>
    <t>JPM//DAISH$/ING-BK</t>
  </si>
  <si>
    <t>JPM
DAISH$
ING-BK</t>
  </si>
  <si>
    <t>JP Morgan &amp; Co Inc
Daiwa SBCM (Hong Kong) Ltd
ING Bank NV</t>
  </si>
  <si>
    <t>Franklin Bank Corp,Houston,TX</t>
  </si>
  <si>
    <t>FBTX</t>
  </si>
  <si>
    <t>Friedman Billings Ramsey &amp; Co
RBC Dain Rauscher Corp
Sandler O'Neill Partners
Stephens Inc
BB&amp;T Capital Markets
First Southwest
Howe Barnes Investments Inc
Keefe Bruyette &amp; Woods Inc
McDonald Investments
Ryan Beck &amp; Co
Sanders Morris Harris Inc
Stifel Nicolaus &amp; Co Inc
Jefferies &amp; Co Inc</t>
  </si>
  <si>
    <t>06/14/04
06/14/04</t>
  </si>
  <si>
    <t xml:space="preserve">53.381
</t>
  </si>
  <si>
    <t xml:space="preserve">10589747.00
</t>
  </si>
  <si>
    <t>FRIEDMAN-B-CO//RBC-DAIN/SANDLER-ONEILL
/STEPHENS//BB-T-CAP/FIRST-SW
/HOWE-BARNES/KEEFE/MCDONALD/RYAN-BECK
/SANDERS-HARRIS/STIFEL/JEFFERIES</t>
  </si>
  <si>
    <t>FRIEDMAN-B-CO
RBC-DAIN
SANDLER-ONEILL
STEPHENS</t>
  </si>
  <si>
    <t>Friedman Billings Ramsey &amp; Co Inc
RBC Dain Rauscher Corp
Sandler O'Neill Partners  L.P.
Stephens Inc</t>
  </si>
  <si>
    <t>Provide Commerce Inc</t>
  </si>
  <si>
    <t>PRVD</t>
  </si>
  <si>
    <t>74373W103</t>
  </si>
  <si>
    <t>SG Cowen Securities Corp
Roth Capital Partners Inc
Morgan Keegan Inc
Robert W Baird &amp; Co Inc
CIBC World Markets Inc
Hibernia Southcoast Capital
Maxim Group LLC
McDonald Investments
Pacific Growth Equities Inc
Wedbush Securities
Thomas Weisel Partners
WR Hambrecht &amp; Co LLC</t>
  </si>
  <si>
    <t>03/16/04
06/14/04</t>
  </si>
  <si>
    <t>0.032
61.819</t>
  </si>
  <si>
    <t>3675.00
7023159.00</t>
  </si>
  <si>
    <t>SG-COWEN//ROTH-CAPITAL/MORGAN-KEEGAN
//BAIRD/CIBC-WORLD/HIBERNIA-SOUTH
/MAXIM-GROUP/MCDONALD/PACIFIC-GROWTH
/WEDBUSH-M/THOMAS-WEISEL/W-R-HAMBRECHT</t>
  </si>
  <si>
    <t>SG-COWEN
ROTH-CAPITAL
MORGAN-KEEGAN</t>
  </si>
  <si>
    <t>SG Cowen Securities Corp
Roth Capital Partners Inc
Morgan Keegan Inc</t>
  </si>
  <si>
    <t>Tempur-Pedic International Inc</t>
  </si>
  <si>
    <t>TPX</t>
  </si>
  <si>
    <t>88023U101</t>
  </si>
  <si>
    <t>Lehman Brothers
Goldman Sachs &amp; Co
UBS Securities Inc
Citigroup Global Markets Inc
CIBC World Markets Inc
US Bancorp Piper Jaffray
Epoch Partners
Oppenheimer &amp; Co Inc
Fidelity Capital Markets
Thomas Weisel Partners
Adams Harkness &amp; Hill Inc
Chatsworth Securities LLC
Morgan Keegan Inc
Wedbush Securities</t>
  </si>
  <si>
    <t xml:space="preserve">78.455
</t>
  </si>
  <si>
    <t xml:space="preserve">78516520.00
</t>
  </si>
  <si>
    <t>LEH(JB)/GS(JB)//UBS-SEC/CITIGROUP-GM
/CIBC-WORLD/US-PIPER//EPOCHP
/OPPENHEIMER-CO/FIDELITY-CAP
/THOMAS-WEISEL/ADAMS-HARKNESS
/CHATSWORTH/MORGAN-KEEGAN/WEDBUSH-M</t>
  </si>
  <si>
    <t>LEH
(JB)/GS(JB)
UBS-SEC
CITIGROUP-GM
CIBC-WORLD
US-PIPER</t>
  </si>
  <si>
    <t>Lehman Brothers
Goldman Sachs &amp; Co
UBS Securities Inc
Citigroup Global Markets Inc
CIBC World Markets Inc
US Bancorp Piper Jaffray Inc</t>
  </si>
  <si>
    <t>BlackRock Divi Achievers Trst</t>
  </si>
  <si>
    <t>BDV</t>
  </si>
  <si>
    <t>09250N107</t>
  </si>
  <si>
    <t>AG Edwards &amp; Sons Inc
Merrill Lynch
H&amp;R Block Financial Advisors
JJB Hilliard WL Lyons Inc
Janney Montgomery Scott Inc
Legg Mason Wood Walker
McDonald Investments
Oppenheimer &amp; Co Inc
PNC Capital Markets
Quick &amp; Reilly Group, Inc.
Raymond James &amp; Associates Inc
RBC Dain Rauscher Corp
Ryan Beck &amp; Co
Stifel Nicolaus &amp; Co Inc
SunTrust Capital Markets
Wells Fargo &amp; Co
Advest Inc
BB&amp;T Capital Markets
Robert W Baird &amp; Co Inc
Crowell Weedon &amp; Co
DA Davidson &amp; Co Inc
Deutsche Bank Securities
Dominick &amp; Dominick Inc
Ferris Baker Watts
Ladenburg Thalmann &amp; Co
Newbridge Securities
David A. Noyes
SouthTrust Securities
Southwest Securities Inc
TD Waterhouse Securities
US Bancorp Piper Jaffray</t>
  </si>
  <si>
    <t>A-G-EDWARDS(JB)/MERRILL(JB)
//HR-BLOCK-FIN/HILLIARD/JANNEY
/LEGG-MASON-WW/MCDONALD/OPPENHEIMER-CO
/PNC-CAPITAL/QUICK-REILLY/RAYMOND
/RBC-DAIN/RYAN-BECK/STIFEL/SUNTRUST-CAP
/WF//ADVEST/BB-T-CAP/BAIRD/CROWELL
/DAVIDSON/DBSECU/DOMINICK/FERRIS-BAKER
/LADENBURG/NEWBRIDGE/D-A-NOYES
/SOUTHTRUST-SEC/SWS-SEC/TDWS/US-PIPER</t>
  </si>
  <si>
    <t>A-G-EDWARDS
(JB)/MERRILL(JB)
HR-BLOCK-FIN
HILLIARD
JANNEY
LEGG-MASON-WW
MCDONALD
OPPENHEIMER-CO
PNC-CAPITAL
QUICK-REILLY
RAYMOND
RBC-DAIN
RYAN-BECK
STIFEL
SUNTRUST-CAP
WF</t>
  </si>
  <si>
    <t>AG Edwards &amp; Sons Inc
Merrill Lynch &amp; Co Inc
H&amp;R Block Financial Advisors
JJB Hilliard WL Lyons Inc
Janney Montgomery Scott Inc
Legg Mason Wood Walker Inc
McDonald Investments Inc
Oppenheimer &amp; Co Inc
PNC Capital Markets
Quick &amp; Reilly Group, Inc.
Raymond James &amp; Associates Inc
RBC Dain Rauscher Corp
Ryan Beck &amp; Co
Stifel Nicolaus &amp; Co Inc
SunTrust Capital Markets
Wells Fargo &amp; Co</t>
  </si>
  <si>
    <t>Knology Inc</t>
  </si>
  <si>
    <t>KNOL</t>
  </si>
  <si>
    <t>UBS Investment Bank
Raymond James &amp; Associates Inc
Robert W Baird &amp; Co Inc
Morgan Keegan Inc</t>
  </si>
  <si>
    <t>UBS-INV-BANK//RAYMOND/BAIRD
/MORGAN-KEEGAN</t>
  </si>
  <si>
    <t>UBS-INV-BANK
RAYMOND
BAIRD
MORGAN-KEEGAN</t>
  </si>
  <si>
    <t>Luminent Mortgage Capital Inc</t>
  </si>
  <si>
    <t>LUM</t>
  </si>
  <si>
    <t>Friedman Billings Ramsey Group
Credit Suisse First Boston
JMP Securities LLC
Flagstone Securities Inc
Advest Inc
BB&amp;T Capital Markets
Blaylock &amp; Partners LP
Roth Capital Partners Inc
Jefferies &amp; Co Inc
Stifel Nicolaus &amp; Co Inc
Wells Fargo &amp; Co</t>
  </si>
  <si>
    <t>03/17/04
04/16/04
06/15/04</t>
  </si>
  <si>
    <t>49.150
0.221
1.693</t>
  </si>
  <si>
    <t>90
120
180</t>
  </si>
  <si>
    <t>11355552.00
51000.00
391148.00</t>
  </si>
  <si>
    <t>FRIEDMAN-B//CS-FB-CS/JMP-SEC/FLAGSTONE
//ADVEST/BB-T-CAP/BLAYLOCK-PTRNS
/ROTH-CAPITAL/JEFFERIES/STIFEL/WF</t>
  </si>
  <si>
    <t>FRIEDMAN-B
CS-FB-CS
JMP-SEC
FLAGSTONE</t>
  </si>
  <si>
    <t>Friedman Billings Ramsey Group
Credit Suisse First Boston Corp
JMP Securities LLC
Flagstone Securities Inc</t>
  </si>
  <si>
    <t>Marshall Edwards Inc</t>
  </si>
  <si>
    <t>Australia</t>
  </si>
  <si>
    <t>MSHL</t>
  </si>
  <si>
    <t>JANNEY</t>
  </si>
  <si>
    <t>Janney Montgomery Scott Inc</t>
  </si>
  <si>
    <t>Kintera Inc</t>
  </si>
  <si>
    <t>KNTA</t>
  </si>
  <si>
    <t>49720P506</t>
  </si>
  <si>
    <t>SG Cowen Securities Corp
CIBC World Markets Inc
Roth Capital Partners Inc
Advest Inc
Chatsworth Securities LLC
Oppenheimer &amp; Co Inc
Jefferies &amp; Co Inc
Punk Ziegel &amp; Co LP
Ryan Beck &amp; Co</t>
  </si>
  <si>
    <t>03/18/04
06/16/04
09/14/04</t>
  </si>
  <si>
    <t>1.286
73.598
2.349</t>
  </si>
  <si>
    <t>90
180
270</t>
  </si>
  <si>
    <t>293258.00
16785876.00
535826.00</t>
  </si>
  <si>
    <t>SG-COWEN//CIBC-WORLD/ROTH-CAPITAL
//ADVEST/CHATSWORTH/OPPENHEIMER-CO
/JEFFERIES/PUNK/RYAN-BECK</t>
  </si>
  <si>
    <t>SG-COWEN
CIBC-WORLD
ROTH-CAPITAL</t>
  </si>
  <si>
    <t>SG Cowen Securities Corp
CIBC World Markets Inc
Roth Capital Partners Inc</t>
  </si>
  <si>
    <t>RMR Real Estate Fund</t>
  </si>
  <si>
    <t>RBC-DAIN</t>
  </si>
  <si>
    <t>74963F106</t>
  </si>
  <si>
    <t>RBC Dain Rauscher Corp
Advest Inc
BB&amp;T Capital Markets
Brookstreet Securities
Dominick &amp; Dominick Inc
Ferris Baker Watts
Legg Mason Wood Walker
McDonald Investments
Morgan Keegan Inc
Stephens Inc
Stifel Nicolaus &amp; Co Inc
SunTrust Capital Markets
TD Waterhouse Securities
Wedbush Securities
Oppenheimer &amp; Co Inc
Deutsche Bank Securities
Quick &amp; Reilly Inc
Robert W Baird &amp; Co Inc
Howe Barnes Investments Inc
The Seidler Companies Inc
Crowell Weedon &amp; Co
DA Davidson &amp; Co Inc
First Southwest
Gilford Securities
Huntleigh Securities Corp
Johnston Lemon &amp; Co Inc
Maxim Group LLC
Mesirow Financial Corp
Newbridge Securities
Parker-Hunter Inc
US Bancorp Piper Jaffray
Sanders Morris Harris Inc
Sands Brothers &amp; Co Ltd
SG Cowen Securities Corp
Harris Bankcorp Inc</t>
  </si>
  <si>
    <t>RBC-DAIN//ADVEST/BB-T-CAP/BROOKSTREET
/DOMINICK/FERRIS-BAKER/LEGG-MASON-WW
/MCDONALD/MORGAN-KEEGAN/STEPHENS/STIFEL
//SUNTRUST-CAP/TDWS/WEDBUSH-M
/OPPENHEIMER-CO/DBSECU/Q&amp;R/BAIRD
/HOWE-BARNES/SEIDLER-CO-INC/CROWELL
/DAVIDSON/FIRST-SW/GILFORD
/HUNTLEIGH-SEC/JOHNSTON-LEMON
/MAXIM-GROUP/MESIROW-FIN/NEWBRIDGE
/PARKER-HUNTER/US-PIPER/SANDERS-HARRIS
/SANDS/SG-COWEN/HARRIS-BK</t>
  </si>
  <si>
    <t>RBC-DAIN
ADVEST
BB-T-CAP
BROOKSTREET
DOMINICK
FERRIS-BAKER
LEGG-MASON-WW
MCDONALD
MORGAN-KEEGAN
STEPHENS
STIFEL</t>
  </si>
  <si>
    <t>RBC Dain Rauscher Corp
Advest Inc
BB&amp;T Capital Markets
Brookstreet Securities
Dominick &amp; Dominick Inc
Ferris Baker Watts Inc
Legg Mason Wood Walker Inc
McDonald Investments Inc
Morgan Keegan Inc
Stephens Inc
Stifel Nicolaus &amp; Co Inc</t>
  </si>
  <si>
    <t>K-Sea Transp Partners LP</t>
  </si>
  <si>
    <t>KSP</t>
  </si>
  <si>
    <t>48268Y101</t>
  </si>
  <si>
    <t>Lehman Brothers
UBS Investment Bank
McDonald Investments
Raymond James &amp; Associates Inc
Jefferies &amp; Co Inc</t>
  </si>
  <si>
    <t>LEH/UBS-INV-BANK(JOINT)//MCDONALD
/RAYMOND/JEFFERIES</t>
  </si>
  <si>
    <t>LEH/UBS-INV-BANK</t>
  </si>
  <si>
    <t>LEH
/UBS-INV-BANK(JOINT)
MCDONALD
RAYMOND
JEFFERIES</t>
  </si>
  <si>
    <t>Lehman Brothers
UBS Investment Bank
McDonald Investments Inc
Raymond James &amp; Associates Inc
Jefferies &amp; Co Inc</t>
  </si>
  <si>
    <t>Crosstex Energy Inc</t>
  </si>
  <si>
    <t>XTXI</t>
  </si>
  <si>
    <t>22765Y104</t>
  </si>
  <si>
    <t>Portec Rail Products Inc</t>
  </si>
  <si>
    <t>PRPX</t>
  </si>
  <si>
    <t>Ferris Baker Watts</t>
  </si>
  <si>
    <t>Ferris Baker Watts Inc</t>
  </si>
  <si>
    <t>Government Properties Trust</t>
  </si>
  <si>
    <t>GPT</t>
  </si>
  <si>
    <t>38374W107</t>
  </si>
  <si>
    <t>Friedman Billings Ramsey Group
BB&amp;T Capital Markets
Flagstone Securities Inc
Credit Lyonnais Securities USA
Legg Mason Wood Walker
RBC Dain Rauscher Corp
Advest Inc
CMG Institutional Trading LLC
Howe Barnes Investments Inc
McGinn, Smith &amp; Co Inc
Morgan Keegan Inc
Sanders Morris Harris Inc
Stifel Nicolaus &amp; Co Inc</t>
  </si>
  <si>
    <t>FRIEDMAN-B//BB-T-CAP/FLAGSTONE
//CL-SEC-USA/LEGG-MASON-WW/RBC-DAIN
/ADVEST/CMG-LLC/HOWE-BARNES
/MCGINN-SMITH/MORGAN-KEEGAN
/SANDERS-HARRIS/STIFEL</t>
  </si>
  <si>
    <t>FRIEDMAN-B
BB-T-CAP
FLAGSTONE</t>
  </si>
  <si>
    <t>Friedman Billings Ramsey Group
BB&amp;T Capital Markets
Flagstone Securities Inc</t>
  </si>
  <si>
    <t>Cohen &amp; Steers REIT Util Fund</t>
  </si>
  <si>
    <t>RTU</t>
  </si>
  <si>
    <t>19247Y108</t>
  </si>
  <si>
    <t>Merrill Lynch
AG Edwards &amp; Sons Inc
Wachovia Securities Inc
US Bancorp Piper Jaffray
Wells Fargo Bank NA
Deutsche Bank Securities Corp
Legg Mason Wood Walker
Advest Inc
RBC Capital Markets
BB&amp;T Capital Markets
Robert W Baird &amp; Co Inc
Ferris Baker Watts
JJB Hilliard WL Lyons Inc
Janney Montgomery Scott LLC
McDonald Investments
Morgan Keegan Inc
Quick &amp; Reilly Group, Inc.
Charles Schwab &amp; Co Inc
Stifel Nicolaus &amp; Co Inc
SunTrust Capital Markets
TD Securities Inc
Oppenheimer &amp; Co Inc
UBS Securities Inc
Harris Nesbitt
William Blair &amp; Co
Crowell Weedon &amp; Co
DA Davidson &amp; Co Inc
Doft &amp; Co Inc
ING Barings Financial Products
Ladenburg Thalmann &amp; Co
Parker-Hunter Inc
Stephens Inc
Sterne Agee &amp; Leach Inc
Wedbush Securities
Arthurs Lestrange
Brean Murray &amp; Co Inc
Chatsworth Securities LLC
Dominick &amp; Dominick Inc
Fifth Third Securities Inc
First Southwest
Gilford Securities
Wayne Hummer &amp; Co
Howe Barnes Investments Inc
Huntleigh Securities Corp
Jesup &amp; Lamont Securities
Johnston Lemon &amp; Co Inc
LaSalle Street Securities Inc
Maxim Group LLC
McGinn, Smith &amp; Co Inc
Mesirow Financial Corp
National Securities Corp (US)
Needham &amp; Co LLC
Newbridge Securities
Northeast Securities Inc.
David A. Noyes
Nutmeg Securities Ltd
Ormes Capital Markets Inc
Pacific Crest Securities Inc
Paulson Investment Co
Peacock Hislop Staley &amp; Given
Sands Brothers &amp; Co Ltd
The Seidler Companies Inc
Source Capital Group Inc
Southwest Securities Inc
Spelman &amp; Co.
STERLING FINANCIAL INVESTMENT
Stone &amp; Youngberg
Strand,Atkinson,Williams&amp;Yerl
Torrey Pines Securities
JP Turner &amp; Co</t>
  </si>
  <si>
    <t>MERRILL/A-G-EDWARDS(JOINT)
//WACHOVIA-SEC/US-PIPER/WELLS-FARGO
/DEUTSCHE-BK-SEC/LEGG-MASON-WW/ADVEST
/RBC-CAP-MKTS/BB-T-CAP/BAIRD
/FERRIS-BAKER/HILLIARD/JANNEY-LLC
/MCDONALD/MORGAN-KEEGAN/QUICK-REILLY
/CHARLES-SCHWAB/STIFEL/SUNTRUST-CAP
/TD-SECURITIES//OPPENHEIMER-CO/UBS-SEC
/HARRN/WM-BLAIR/CROWELL/DAVIDSON/DOFT
/INGBFP/LADENBURG/PARKER-HUNTER
/STEPHENS/STERNE-AGEE/WEDBUSH-M
/ARTHURS-LES/BREAN/CHATSWORTH/DOMINICK
/FIFTH-THIRD-SEC/FIRST-SW/GILFORD
/HUMMER/HOWE-BARNES/HUNTLEIGH-SEC/JESUP
/JOHNSTON-LEMON/LASALLE-SEC/MAXIM-GROUP
/MCGINN-SMITH/MESIROW-FIN/NATL-SEC
/NEEDHAM/NEWBRIDGE/NORTHEAST-SEC
/D-A-NOYES/NUTMEG-SEC/ORMES
/PACIFIC-CREST/PAULSON/PEACOCK-HISLOP
/SANDS/SEIDLER-CO-INC/SOURCE-CAPITAL
/SWS-SEC/SPELMAN/STERLING-FIN-I
/STONE-YOUNG/STRAND-ATKIN/TORREY-PINES
/J-P-TURNER</t>
  </si>
  <si>
    <t>MERRILL/A-G-EDWARDS</t>
  </si>
  <si>
    <t>MERRILL
/A-G-EDWARDS(JOINT)
WACHOVIA-SEC
US-PIPER
WELLS-FARGO
DEUTSCHE-BK-SEC
LEGG-MASON-WW
ADVEST
RBC-CAP-MKTS
BB-T-CAP
BAIRD
FERRIS-BAKER
HILLIARD
JANNEY-LLC
MCDONALD
MORGAN-KEEGAN
QUICK-REILLY
CHARLES-SCHWAB
STIFEL
SUNTRUST-CAP
TD-SECURITIES</t>
  </si>
  <si>
    <t>Merrill Lynch &amp; Co Inc
AG Edwards &amp; Sons Inc
Wachovia Securities Inc
US Bancorp Piper Jaffray Inc
Wells Fargo Bank NA
Deutsche Bank Securities Corp.
Legg Mason Wood Walker Inc
Advest Inc
RBC Capital Markets
BB&amp;T Capital Markets
Robert W Baird &amp; Co Inc
Ferris Baker Watts Inc
JJB Hilliard WL Lyons Inc
Janney Montgomery Scott LLC
McDonald Investments Inc
Morgan Keegan Inc
Quick &amp; Reilly Group, Inc.
Charles Schwab &amp; Co Inc
Stifel Nicolaus &amp; Co Inc
SunTrust Capital Markets
TD Securities Inc</t>
  </si>
  <si>
    <t>Dreman/Claymore Div Incme Fund</t>
  </si>
  <si>
    <t>DCS</t>
  </si>
  <si>
    <t>26153R100</t>
  </si>
  <si>
    <t>Merrill Lynch
AG Edwards &amp; Sons Inc
Oppenheimer &amp; Co Inc
RBC Capital Markets
Wells Fargo Brokerage Svcs
Advest Inc
BB&amp;T Capital Markets
Robert W Baird &amp; Co Inc
Ferris Baker Watts
JJB Hilliard WL Lyons Inc
Janney Montgomery Scott Inc
Morgan Keegan Inc
Stifel Nicolaus &amp; Co Inc
TD Waterhouse Securities
Legg Mason Wood Walker
McDonald Investments
Claymore Capital Pty Ltd
Deutsche Bank Securities Corp
Harris Nesbitt
Piper Jaffray Cos
William Blair &amp; Co
Crowell Weedon &amp; Co
DA Davidson &amp; Co Inc
Doft &amp; Co Inc
ING Barings Financial Products
Ladenburg Thalmann &amp; Co
Parker-Hunter Inc
Quick &amp; Reilly Inc
Ryan Beck &amp; Co
Stephens Inc
Wedbush Securities
Allen &amp; Company of Florida
Arthurs Lestrange
Brean Murray &amp; Co Inc
CMG Institutional Trading LLC
Chatsworth Securities LLC
Dominick &amp; Dominick Inc
First Southwest
Gilford Securities
William R. Hough
Howe Barnes Investments Inc
Huntleigh Securities Corp
Jesup &amp; Lamont Securities
Johnston Lemon &amp; Co Inc
LaSalle Street Securities Inc
Leerink Swann &amp; Co
Maxim Group LLC
McGinn, Smith &amp; Co Inc
Mesirow Financial Corp
Morgan Stanley &amp; Co
Natcity Investments Inc.
Needham &amp; Co LLC
Northeast Securities Inc.
David A. Noyes
Ormes Capital Markets Inc
Pacific Crest Securities Inc
Paulson Investment Co
Peacock Hislop Staley &amp; Given
Sands Brothers &amp; Co Ltd
Source Capital Group Inc
Southwest Securities Co Ltd
Spelman &amp; Co.
STERLING FINANCIAL INVESTMENT
M. L. Stern
Stone &amp; Youngberg
Torrey Pines Securities
JP Turner &amp; Co
National Securities Corp (US)</t>
  </si>
  <si>
    <t>MERRILL//A-G-EDWARDS/OPPENHEIMER-CO
/RBC-CAP-MKTS/WELLS-BROKERAGE/ADVEST
/BB-T-CAP/BAIRD/FERRIS-BAKER/HILLIARD
/JANNEY/MORGAN-KEEGAN/STIFEL/TDWS
//LEGG-MASON-WW/MCDONALD/CLAY-CAP
/DEUTSCHE-BK-SEC/HARRN/PIPER-JAFFRAY
/WM-BLAIR/CROWELL/DAVIDSON/DOFT/INGBFP
/LADENBURG/PARKER-HUNTER/Q&amp;R/RYAN-BECK
/STEPHENS/WEDBUSH-M/ALLEN-FL
/ARTHURS-LES/BREAN/CMG-LLC/CHATSWORTH
/DOMINICK/FIRST-SW/GILFORD/WM-HOUGH
/HOWE-BARNES/HUNTLEIGH-SEC/JESUP
/JOHNSTON-LEMON/LASALLE-SEC
/LEERINK-SWANN/MAXIM-GROUP/MCGINN-SMITH
/MESIROW-FIN/MS/NATCITY-INVEST/NEEDHAM
/NORTHEAST-SEC/D-A-NOYES/ORMES
/PACIFIC-CREST/PAULSON/PEACOCK-HISLOP
/SANDS/SOURCE-CAPITAL/SOUTHWESTERN-S
/SPELMAN/STERLING-FIN-I/M-L-STERN
/STONE-YOUNG/TORREY-PINES/J-P-TURNER
/NATL-SEC</t>
  </si>
  <si>
    <t>MERRILL
A-G-EDWARDS
OPPENHEIMER-CO
RBC-CAP-MKTS
WELLS-BROKERAGE
ADVEST
BB-T-CAP
BAIRD
FERRIS-BAKER
HILLIARD
JANNEY
MORGAN-KEEGAN
STIFEL
TDWS</t>
  </si>
  <si>
    <t>Merrill Lynch &amp; Co Inc
AG Edwards &amp; Sons Inc
Oppenheimer &amp; Co Inc
RBC Capital Markets
Wells Fargo Brokerage Services LLC
Advest Inc
BB&amp;T Capital Markets
Robert W Baird &amp; Co Inc
Ferris Baker Watts Inc
JJB Hilliard WL Lyons Inc
Janney Montgomery Scott Inc
Morgan Keegan Inc
Stifel Nicolaus &amp; Co Inc
TD Waterhouse Securities</t>
  </si>
  <si>
    <t>Etn Vance Tax Adv. Gl. DivFun</t>
  </si>
  <si>
    <t>ETG</t>
  </si>
  <si>
    <t>27828S101</t>
  </si>
  <si>
    <t>UBS Investment Bank
Citigroup
Merrill Lynch
AG Edwards &amp; Sons Inc
Legg Mason Wood Walker
RBC Capital Markets
Wachovia Securities Inc
Wells Fargo Bank NA
H&amp;R Block Financial Advisors
Janney Montgomery Scott LLC
Oppenheimer &amp; Co Inc
Quick &amp; Reilly Group, Inc.
Robert W Baird &amp; Co Inc
Deutsche Bank Securities Corp
Ferris Baker Watts
Piper Jaffray Cos
Ryan Beck &amp; Co
SunTrust Capital Markets
TD Waterhouse Securities
Wedbush Securities
Advest Inc
DA Davidson &amp; Co Inc
JJB Hilliard WL Lyons Inc
McDonald Investments
Morgan Keegan Inc
Parker-Hunter Inc
Royal Alliance Associates
M. L. Stern
Stone &amp; Youngberg
BB&amp;T Capital Markets
William Blair &amp; Co
Crowell Weedon &amp; Co
First Montauk Securities
J. B. Hanauer
Hollencrest Securities
McGinn, Smith &amp; Co Inc
Mesirow Financial Corp
Fifth Third Securities Inc
The Seidler Companies Inc
Anderson &amp; Strudwick
Arthurs Lestrange
Bernard Herold &amp; Co
City Securities
Commonwealth Financial Svcs
Davenport
First Southwest
Gilford Securities
GunnAllen Financial Inc
Howe Barnes Investments Inc
Wayne Hummer &amp; Co
Jesup &amp; Lamont Securities
Johnston Lemon &amp; Co Inc
Kirlin Securities Inc.
LaSalle Street Securities Inc
Natcity Investments Inc.
David A. Noyes
Paulson Investment Co
Peacock Hislop Staley &amp; Given
Provident Securities
Sanders Morris Harris Inc
Sands Brothers &amp; Co Ltd
Smith Hayes Financial Services
SouthTrust Securities
Spelman &amp; Co.
Sterne Agee &amp; Leach Inc
Stockcross Inc
Strand,Atkinson,Williams&amp;Yerl
Walnut Valley State Bank
Wunderlich Securities Inc
BC Ziegler &amp; Co</t>
  </si>
  <si>
    <t>UBS-INV-BANK(JB)/CITIGROUP(JB)
/MERRILL(JB)//A-G-EDWARDS/LEGG-MASON-WW
/RBC-CAP-MKTS/WACHOVIA-SEC/WELLS-FARGO
/HR-BLOCK-FIN/JANNEY-LLC/OPPENHEIMER-CO
/QUICK-REILLY//BAIRD/DEUTSCHE-BK-SEC
/FERRIS-BAKER/PIPER-JAFFRAY/RYAN-BECK
/SUNTRUST-CAP/TDWS/WEDBUSH-M/ADVEST
/DAVIDSON/HILLIARD/MCDONALD
/MORGAN-KEEGAN/PARKER-HUNTER
/ROYAL-ALLIANCE/M-L-STERN/STONE-YOUNG
/BB-T-CAP/WM-BLAIR/CROWELL
/FIRST-MONTAUK/J-B-HANAUER/HOLLENCREST
/MCGINN-SMITH/MESIROW-FIN
/FIFTH-THIRD-SEC/SEIDLER-CO-INC
/ANDERSON/ARTHURS-LES/BERNARD-HER
/CITY-SEC/CFINSE/DAVENPORT/FIRST-SW
/GILFORD/GUNNALLEN-FINL/HOWE-BARNES
/HUMMER/JESUP/JOHNSTON-LEMON/KIRLIN
/LASALLE-SEC/NATCITY-INVEST/D-A-NOYES
/PAULSON/PEACOCK-HISLOP/PROVIDENT-SEC
/SANDERS-HARRIS/SANDS/SMITH-HAYES
/SOUTHTRUST-SEC/SPELMAN/STERNE-AGEE
/STOCK-INC/STRAND-ATKIN/WALNUT-VALLEY
/WUNDERLICH/ZIEGLER</t>
  </si>
  <si>
    <t>UBS-INV-BANK
(JB)/CITIGROUP(JB)
/MERRILL(JB)
A-G-EDWARDS
LEGG-MASON-WW
RBC-CAP-MKTS
WACHOVIA-SEC
WELLS-FARGO
HR-BLOCK-FIN
JANNEY-LLC
OPPENHEIMER-CO
QUICK-REILLY</t>
  </si>
  <si>
    <t>UBS Investment Bank
Citigroup
Merrill Lynch &amp; Co Inc
AG Edwards &amp; Sons Inc
Legg Mason Wood Walker Inc
RBC Capital Markets
Wachovia Securities Inc
Wells Fargo Bank NA
H&amp;R Block Financial Advisors
Janney Montgomery Scott LLC
Oppenheimer &amp; Co Inc
Quick &amp; Reilly Group, Inc.</t>
  </si>
  <si>
    <t>Nuveen Tax Advantage Total</t>
  </si>
  <si>
    <t>JTA</t>
  </si>
  <si>
    <t>67090H102</t>
  </si>
  <si>
    <t>Citigroup
Nuveen Investments LLC
AG Edwards &amp; Sons Inc
Wachovia Securities Inc
Advest Inc
H&amp;R Block Financial Advisors
Ferris Baker Watts
Legg Mason &amp; Co Inc
McDonald Investments
Quick &amp; Reilly Group, Inc.
RBC Dain Rauscher Corp
Stifel Nicolaus &amp; Co Inc
SunTrust Robinson Humphrey
Wedbush Securities
Robert W Baird &amp; Co Inc
Crowell Weedon &amp; Co
Deutsche Bank Securities Corp
JJB Hilliard WL Lyons Inc
Oppenheimer &amp; Co Inc
Piper Jaffray &amp; Hopwood Inc
Ryan Beck &amp; Co
TD Waterhouse Securities
BB&amp;T Capital Markets
DA Davidson &amp; Co Inc
Davenport
Maxim Group LLC
Mesirow Financial Corp
Sanders Morris Harris Inc
Southwest Securities Inc
Spelman &amp; Co.
Sterne Agee &amp; Leach Inc
City Securities
Doft &amp; Co Inc
Gilford Securities
Hazlett, Burt &amp; Watson
Howe Barnes Investments Inc
Wayne Hummer &amp; Co
Johnston Lemon &amp; Co Inc
LaSalle Street Securities Inc
National Securities Corp (US)
Sands Brothers &amp; Co Ltd
Smith, Moore</t>
  </si>
  <si>
    <t>CITIGROUP//NUVEEN-INV/A-G-EDWARDS
/WACHOVIA-SEC/ADVEST/HR-BLOCK-FIN
/FERRIS-BAKER/LEGG-MASON/MCDONALD
/QUICK-REILLY/RBC-DAIN/STIFEL
/SUNTRUST-RH/WEDBUSH-M//BAIRD/CROWELL
/DEUTSCHE-BK-SEC/HILLIARD
/OPPENHEIMER-CO/PIPER/RYAN-BECK/TDWS
/BB-T-CAP/DAVIDSON/DAVENPORT
/MAXIM-GROUP/MESIROW-FIN/SANDERS-HARRIS
/SWS-SEC/SPELMAN/STERNE-AGEE/CITY-SEC
/DOFT/GILFORD/HAZLETT/HOWE-BARNES
/HUMMER/JOHNSTON-LEMON/LASALLE-SEC
/NATL-SEC/SANDS/SMITH-MOORE</t>
  </si>
  <si>
    <t>CITIGROUP
NUVEEN-INV
A-G-EDWARDS
WACHOVIA-SEC
ADVEST
HR-BLOCK-FIN
FERRIS-BAKER
LEGG-MASON
MCDONALD
QUICK-REILLY
RBC-DAIN
STIFEL
SUNTRUST-RH
WEDBUSH-M</t>
  </si>
  <si>
    <t>Citigroup
Nuveen Investments LLC
AG Edwards &amp; Sons Inc
Wachovia Securities Inc
Advest Inc
H&amp;R Block Financial Advisors
Ferris Baker Watts Inc
Legg Mason &amp; Co Inc
McDonald Investments Inc
Quick &amp; Reilly Group, Inc.
RBC Dain Rauscher Corp
Stifel Nicolaus &amp; Co Inc
SunTrust Robinson Humphrey
Wedbush Securities</t>
  </si>
  <si>
    <t>Pioneer Tax Adv Balanced Trust</t>
  </si>
  <si>
    <t>PBF</t>
  </si>
  <si>
    <t>72388R101</t>
  </si>
  <si>
    <t>Merrill Lynch
RBC Capital Markets
Advest Inc
Robert W Baird &amp; Co Inc
JJB Hilliard WL Lyons Inc
Janney Montgomery Scott LLC
Legg Mason Wood Walker
Quick &amp; Reilly Inc
SunTrust Capital Markets
Deutsche Bank Securities
AG Edwards &amp; Sons Inc
Harris Nesbitt
Oppenheimer &amp; Co Inc
Piper Jaffray Cos
BB&amp;T Capital Markets
William Blair &amp; Co
Crowell Weedon &amp; Co
DA Davidson &amp; Co Inc
Doft &amp; Co Inc
Ferris Baker Watts
ING Barings Financial Products
Ladenburg Thalmann &amp; Co
McDonald Investments
Morgan Keegan Inc
Parker-Hunter Inc
Ryan Beck &amp; Co
Stephens Inc
TD Waterhouse Securities
Wedbush Securities
Arthurs Lestrange
Brean Murray &amp; Co Inc
CMG Institutional Trading LLC
Chatsworth Securities LLC
Dominick &amp; Dominick Inc
Fidelity Capital Markets
Fifth Third Securities Inc
Gilford Securities
Howe Barnes Investments Inc
Wayne Hummer &amp; Co
Huntleigh Securities Corp
Johnston Lemon &amp; Co Inc
LaSalle Street Securities Inc
Maxim Group LLC
McGinn, Smith &amp; Co Inc
Mesirow Financial Corp
Needham &amp; Co LLC
Northeast Securities Inc.
David A. Noyes
Ormes Capital Markets Inc
Pacific Crest Securities Inc
Paulson Investment Co
Peacock Hislop Staley &amp; Given
Sands Brothers &amp; Co Ltd
Source Capital Group Inc
Southwest Securities Inc
Spelman &amp; Co.
STERLING FINANCIAL INVESTMENT
Stone &amp; Youngberg
Strand,Atkinson,Williams&amp;Yerl
Torrey Pines Securities
JP Turner &amp; Co</t>
  </si>
  <si>
    <t>MERRILL//RBC-CAP-MKTS/ADVEST/BAIRD
//HILLIARD/JANNEY-LLC/LEGG-MASON-WW/Q&amp;R
/SUNTRUST-CAP/DBSECU/A-G-EDWARDS/HARRN
/OPPENHEIMER-CO/PIPER-JAFFRAY/BB-T-CAP
/WM-BLAIR/CROWELL/DAVIDSON/DOFT
/FERRIS-BAKER/INGBFP/LADENBURG/MCDONALD
/MORGAN-KEEGAN/PARKER-HUNTER/RYAN-BECK
/STEPHENS/TDWS/WEDBUSH-M/ARTHURS-LES
/BREAN/CMG-LLC/CHATSWORTH/DOMINICK
/FIDELITY-CAP/FIFTH-THIRD-SEC/GILFORD
/HOWE-BARNES/HUMMER/HUNTLEIGH-SEC
/JOHNSTON-LEMON/LASALLE-SEC/MAXIM-GROUP
/MCGINN-SMITH/MESIROW-FIN/NEEDHAM
/NORTHEAST-SEC/D-A-NOYES/ORMES
/PACIFIC-CREST/PAULSON/PEACOCK-HISLOP
/SANDS/SOURCE-CAPITAL/SWS-SEC/SPELMAN
/STERLING-FIN-I/STONE-YOUNG
/STRAND-ATKIN/TORREY-PINES/J-P-TURNER</t>
  </si>
  <si>
    <t>MERRILL
RBC-CAP-MKTS
ADVEST
BAIRD</t>
  </si>
  <si>
    <t>Merrill Lynch &amp; Co Inc
RBC Capital Markets
Advest Inc
Robert W Baird &amp; Co Inc</t>
  </si>
  <si>
    <t>Lipman Electronic Engineering</t>
  </si>
  <si>
    <t>LPMA</t>
  </si>
  <si>
    <t>MERRILL
/HONG-SHANG-BKG(JB)</t>
  </si>
  <si>
    <t>56772H101</t>
  </si>
  <si>
    <t>Merrill Lynch
Hongkong &amp; Shanghai Bank (HK)
Piper Jaffray Cos</t>
  </si>
  <si>
    <t>07/26/04
07/26/04</t>
  </si>
  <si>
    <t>MERRILL(JB)/HONG-SHANG-BKG(JB)
//PIPER-JAFFRAY</t>
  </si>
  <si>
    <t>MERRILL/HONG-SHANG-BKG</t>
  </si>
  <si>
    <t>MERRILL
(JB)/HONG-SHANG-BKG(JB)
PIPER-JAFFRAY</t>
  </si>
  <si>
    <t>Merrill Lynch &amp; Co Inc
Hongkong &amp; Shanghai Banking Corp Ltd
Piper Jaffray Cos</t>
  </si>
  <si>
    <t>Eyetech Pharmaceuticals Inc</t>
  </si>
  <si>
    <t>EYET</t>
  </si>
  <si>
    <t>Merrill Lynch
Morgan Stanley
Bear Stearns &amp; Co Inc
Credit Suisse First Boston</t>
  </si>
  <si>
    <t>MERRILL(JB)/MORGAN-STANLEY(JB)//BEAR
/CS-FB-CS</t>
  </si>
  <si>
    <t>MERRILL
(JB)/MORGAN-STANLEY(JB)
BEAR
CS-FB-CS</t>
  </si>
  <si>
    <t>Merrill Lynch &amp; Co Inc
Morgan Stanley
Bear Stearns &amp; Co Inc
Credit Suisse First Boston Corp</t>
  </si>
  <si>
    <t>Bancorp Inc</t>
  </si>
  <si>
    <t>TBBK</t>
  </si>
  <si>
    <t>05969F104</t>
  </si>
  <si>
    <t>Friedman Billings Ramsey Group
Sandler O'Neill Partners
Stifel Nicolaus &amp; Co Inc</t>
  </si>
  <si>
    <t>FRIEDMAN-B//SANDLER-ONEILL/STIFEL</t>
  </si>
  <si>
    <t>FRIEDMAN-B
SANDLER-ONEILL
STIFEL</t>
  </si>
  <si>
    <t>Friedman Billings Ramsey Group
Sandler O'Neill Partners  L.P.
Stifel Nicolaus &amp; Co Inc</t>
  </si>
  <si>
    <t>GTx Inc</t>
  </si>
  <si>
    <t>GTXI</t>
  </si>
  <si>
    <t>40052B108</t>
  </si>
  <si>
    <t>Goldman Sachs &amp; Co
SG Cowen Securities Corp
Lazard
Morgan Keegan Inc</t>
  </si>
  <si>
    <t>66.291
11.752</t>
  </si>
  <si>
    <t xml:space="preserve">180
</t>
  </si>
  <si>
    <t>16302695.00
2890058.00</t>
  </si>
  <si>
    <t>GS//SG-COWEN/LAZARD//MORGAN-KEEGAN</t>
  </si>
  <si>
    <t>GS
SG-COWEN
LAZARD</t>
  </si>
  <si>
    <t>Goldman Sachs &amp; Co
SG Cowen Securities Corp
Lazard</t>
  </si>
  <si>
    <t>TRW Automotive Holdings Corp</t>
  </si>
  <si>
    <t>GS/CS-FB-CS(JB)/JPM(JB)</t>
  </si>
  <si>
    <t>87264S106</t>
  </si>
  <si>
    <t>Goldman Sachs &amp; Co
Credit Suisse First Boston
JP Morgan
Morgan Stanley
Deutsche Bank Securities Corp
Banc of America Securities LLC
Lazard
Lehman Brothers
Merrill Lynch</t>
  </si>
  <si>
    <t>74.383
1.214</t>
  </si>
  <si>
    <t>73575284.00
1201050.00</t>
  </si>
  <si>
    <t>GS(JB)/CS-FB-CS(JB)/JPM(JB)
//MORGAN-STANLEY/DEUTSCHE-BK-SEC
/BA-SEC-LLC/LAZARD/LEH/MERRILL</t>
  </si>
  <si>
    <t>GS/CS-FB-CS/JPM</t>
  </si>
  <si>
    <t>GS
(JB)/CS-FB-CS(JB)
/JPM(JB)
MORGAN-STANLEY
DEUTSCHE-BK-SEC
BA-SEC-LLC
LAZARD
LEH
MERRILL</t>
  </si>
  <si>
    <t>Goldman Sachs &amp; Co
Credit Suisse First Boston Corp
JP Morgan &amp; Co Inc
Morgan Stanley
Deutsche Bank Securities Corp.
Banc of America Securities LLC
Lazard
Lehman Brothers
Merrill Lynch &amp; Co Inc</t>
  </si>
  <si>
    <t>Assurant Inc</t>
  </si>
  <si>
    <t>AIZ</t>
  </si>
  <si>
    <t>04621X108</t>
  </si>
  <si>
    <t>Morgan Stanley
Credit Suisse First Boston
Merrill Lynch
Citigroup
Goldman Sachs &amp; Co
JP Morgan
Bear Stearns &amp; Co Inc
Cochran, Caronia &amp; Co.
Fortis Securities Inc
McDonald Investments
Raymond James &amp; Associates Inc
SunTrust Robinson Humphrey</t>
  </si>
  <si>
    <t>08/02/04
08/02/04</t>
  </si>
  <si>
    <t xml:space="preserve">43.768
</t>
  </si>
  <si>
    <t xml:space="preserve">62268106.00
</t>
  </si>
  <si>
    <t>FORB</t>
  </si>
  <si>
    <t>Fortis SA/NV</t>
  </si>
  <si>
    <t>MORGAN-STANLEY/CS-FB-CS/MERRILL(JOINT)
//CITIGROUP/GS/JPM/BEAR/COCHRAN-CARONIA
/FORTIS-SEC/MCDONALD/RAYMOND
/SUNTRUST-RH</t>
  </si>
  <si>
    <t>MORGAN-STANLEY/CS-FB-CS/MERRILL</t>
  </si>
  <si>
    <t>MORGAN-STANLEY
/CS-FB-CS
/MERRILL(JOINT)
CITIGROUP
GS
JPM
BEAR
COCHRAN-CARONIA
FORTIS-SEC
MCDONALD
RAYMOND
SUNTRUST-RH</t>
  </si>
  <si>
    <t>Morgan Stanley
Credit Suisse First Boston Corp
Merrill Lynch &amp; Co Inc
Citigroup
Goldman Sachs &amp; Co
JP Morgan &amp; Co Inc
Bear Stearns &amp; Co Inc
Cochran, Caronia &amp; Co.
Fortis Securities Inc
McDonald Investments Inc
Raymond James &amp; Associates Inc
SunTrust Robinson Humphrey</t>
  </si>
  <si>
    <t>Asset Acceptance Capital Corp</t>
  </si>
  <si>
    <t>AACC</t>
  </si>
  <si>
    <t>04543P100</t>
  </si>
  <si>
    <t>Bear Stearns &amp; Co Inc
William Blair &amp; Co
CIBC World Markets Inc
SunTrust Robinson Humphrey</t>
  </si>
  <si>
    <t>75.761
2.614</t>
  </si>
  <si>
    <t>28202103.00
973172.00</t>
  </si>
  <si>
    <t>BEAR//WM-BLAIR/CIBC-WORLD/SUNTRUST-RH</t>
  </si>
  <si>
    <t>BEAR
WM-BLAIR
CIBC-WORLD
SUNTRUST-RH</t>
  </si>
  <si>
    <t>Renovis Inc</t>
  </si>
  <si>
    <t>RNVS</t>
  </si>
  <si>
    <t>Goldman Sachs &amp; Co
CIBC World Markets Inc
Piper Jaffray Cos
SG Cowen Securities Corp</t>
  </si>
  <si>
    <t>GS//CIBC-WORLD/PIPER-JAFFRAY/SG-COWEN</t>
  </si>
  <si>
    <t>GS
CIBC-WORLD
PIPER-JAFFRAY
SG-COWEN</t>
  </si>
  <si>
    <t>TODCO</t>
  </si>
  <si>
    <t>THE</t>
  </si>
  <si>
    <t>88889T107</t>
  </si>
  <si>
    <t>Morgan Stanley
Banc of America Securities LLC
Citigroup
Credit Suisse First Boston
UBS Investment Bank
Simmons &amp; Co International
Natexis SA
AG Edwards &amp; Sons Inc
Jefferies &amp; Co Inc</t>
  </si>
  <si>
    <t>07/08/04
07/08/04</t>
  </si>
  <si>
    <t>155
155</t>
  </si>
  <si>
    <t>MORGAN-STANLEY//BA-SEC-LLC/CITIGROUP
/CS-FB-CS/UBS-INV-BANK/SIMMONS
//NATEXISBK/A-G-EDWARDS/JEFFERIES</t>
  </si>
  <si>
    <t>MORGAN-STANLEY
BA-SEC-LLC
CITIGROUP
CS-FB-CS
UBS-INV-BANK
SIMMONS</t>
  </si>
  <si>
    <t>Morgan Stanley
Banc of America Securities LLC
Citigroup
Credit Suisse First Boston Corp
UBS Investment Bank
Simmons &amp; Co International</t>
  </si>
  <si>
    <t>Bakers Footwear Group Inc</t>
  </si>
  <si>
    <t>BKRS</t>
  </si>
  <si>
    <t>RYAN-BECK/BB-T-CAP(JB)</t>
  </si>
  <si>
    <t>057465106</t>
  </si>
  <si>
    <t>Ryan Beck &amp; Co
BB&amp;T Capital Markets</t>
  </si>
  <si>
    <t>RYAN-BECK(JB)/BB-T-CAP(JB)</t>
  </si>
  <si>
    <t>RYAN-BECK/BB-T-CAP</t>
  </si>
  <si>
    <t>RYAN-BECK
(JB)/BB-T-CAP(JB)</t>
  </si>
  <si>
    <t>DayStar Technologies Inc</t>
  </si>
  <si>
    <t>DSTI</t>
  </si>
  <si>
    <t>23962Q100</t>
  </si>
  <si>
    <t>Paulson Investment Co
I-Bankers Securities Inc
Chicago Investment Group LLC</t>
  </si>
  <si>
    <t>PAULSON//I-BANKERS-SEC/CHICAGO-INV</t>
  </si>
  <si>
    <t>PAULSON
I-BANKERS-SEC
CHICAGO-INV</t>
  </si>
  <si>
    <t>Staktek Holdings Inc</t>
  </si>
  <si>
    <t>STAK</t>
  </si>
  <si>
    <t>85256P106</t>
  </si>
  <si>
    <t>Morgan Stanley
Merrill Lynch
Thomas Weisel Partners
Wachovia Securities Inc</t>
  </si>
  <si>
    <t>MORGAN-STANLEY/MERRILL(JOINT)
//THOMAS-WEISEL/WACHOVIA-SEC</t>
  </si>
  <si>
    <t>MORGAN-STANLEY
/MERRILL(JOINT)
THOMAS-WEISEL
WACHOVIA-SEC</t>
  </si>
  <si>
    <t>Morgan Stanley
Merrill Lynch &amp; Co Inc
Thomas Weisel Partners
Wachovia Securities Inc</t>
  </si>
  <si>
    <t>Symbion Inc</t>
  </si>
  <si>
    <t>SMBI</t>
  </si>
  <si>
    <t>Credit Suisse First Boston
Banc of America Securities LLC
Merrill Lynch
Jefferies &amp; Co Inc
Raymond James &amp; Associates Inc
Avondale Partners
Morgan Stanley &amp; Co
Stephens Inc</t>
  </si>
  <si>
    <t>CS-FB-CS/BA-SEC-LLC/MERRILL(JOINT)
//JEFFERIES/RAYMOND//AVONDALE/MS
/STEPHENS</t>
  </si>
  <si>
    <t>CS-FB-CS/BA-SEC-LLC/MERRILL</t>
  </si>
  <si>
    <t>CS-FB-CS
/BA-SEC-LLC
/MERRILL(JOINT)
JEFFERIES
RAYMOND</t>
  </si>
  <si>
    <t>Credit Suisse First Boston Corp
Banc of America Securities LLC
Merrill Lynch &amp; Co Inc
Jefferies &amp; Co Inc
Raymond James &amp; Associates Inc</t>
  </si>
  <si>
    <t>AlphaSmart Inc</t>
  </si>
  <si>
    <t>ALSM</t>
  </si>
  <si>
    <t>02081F104</t>
  </si>
  <si>
    <t>Jefferies &amp; Co Inc
William Blair &amp; Co
Legg Mason &amp; Co Inc
AG Edwards &amp; Sons Inc
Allen &amp; Co Inc
Credit Lyonnais Securities USA
Friedman Billings Ramsey &amp; Co
Harris Nesbitt
Janney Montgomery Scott LLC
Lazard Freres &amp; Co LLC
Piper Jaffray Cos
Robert W Baird &amp; Co Inc
SunTrust Robinson Humphrey</t>
  </si>
  <si>
    <t>JEFFERIES//WM-BLAIR/LEGG-MASON
//A-G-EDWARDS/ALLEN/CL-SEC-USA
/FRIEDMAN-B-CO/HARRN/JANNEY-LLC/LAZ
/PIPER-JAFFRAY/BAIRD/SUNTRUST-RH</t>
  </si>
  <si>
    <t>JEFFERIES
WM-BLAIR
LEGG-MASON</t>
  </si>
  <si>
    <t>Jefferies &amp; Co Inc
William Blair &amp; Co
Legg Mason &amp; Co Inc</t>
  </si>
  <si>
    <t>Affordable Residential</t>
  </si>
  <si>
    <t>ARC</t>
  </si>
  <si>
    <t>MERRILL/CITIGROUP(JB)</t>
  </si>
  <si>
    <t>008273104</t>
  </si>
  <si>
    <t>Merrill Lynch
Citigroup
Morgan Stanley
Credit Suisse First Boston
UBS Investment Bank
Wachovia Securities Inc
Legg Mason Wood Walker
McDonald Investments
Keefe Bruyette &amp; Woods Inc</t>
  </si>
  <si>
    <t>MERRILL(JB)/CITIGROUP(JB)
//MORGAN-STANLEY/CS-FB-CS/UBS-INV-BANK
/WACHOVIA-SEC/LEGG-MASON-WW/MCDONALD
/KEEFE</t>
  </si>
  <si>
    <t>MERRILL/CITIGROUP</t>
  </si>
  <si>
    <t>MERRILL
(JB)/CITIGROUP(JB)
MORGAN-STANLEY
CS-FB-CS
UBS-INV-BANK
WACHOVIA-SEC
LEGG-MASON-WW
MCDONALD
KEEFE</t>
  </si>
  <si>
    <t>Merrill Lynch &amp; Co Inc
Citigroup
Morgan Stanley
Credit Suisse First Boston Corp
UBS Investment Bank
Wachovia Securities Inc
Legg Mason Wood Walker Inc
McDonald Investments Inc
Keefe Bruyette &amp; Woods Inc</t>
  </si>
  <si>
    <t>Atheros Communications Inc</t>
  </si>
  <si>
    <t>ATHR</t>
  </si>
  <si>
    <t>04743P108</t>
  </si>
  <si>
    <t>Morgan Stanley
Lehman Brothers
Banc of America Securities LLC
Thomas Weisel Partners
Needham &amp; Co LLC
CE Unterberg Towbin
CMG Institutional Trading LLC
Pacific Growth Equities Inc</t>
  </si>
  <si>
    <t>MORGAN-STANLEY/LEH(JOINT)//BA-SEC-LLC
/THOMAS-WEISEL//NEEDHAM/UNTERBERG
/CMG-LLC/PACIFIC-GROWTH</t>
  </si>
  <si>
    <t>MORGAN-STANLEY/LEH</t>
  </si>
  <si>
    <t>MORGAN-STANLEY
/LEH(JOINT)
BA-SEC-LLC
THOMAS-WEISEL</t>
  </si>
  <si>
    <t>Bristol West Holdings Inc</t>
  </si>
  <si>
    <t>BRW</t>
  </si>
  <si>
    <t>11037M105</t>
  </si>
  <si>
    <t>Credit Suisse First Boston
Bear Stearns &amp; Co Inc
JP Morgan
UBS Investment Bank
Dowling &amp; Partners Securities
Keefe Bruyette &amp; Woods Inc
Cochran, Caronia &amp; Co.
Fox-Pitt Kelton
Friedman Billings Ramsey &amp; Co
Morgan Keegan Inc
Sandler O'Neill Partners
The Shemano Group, Inc.
Williams Capital Group LP</t>
  </si>
  <si>
    <t>08/09/04
08/09/04</t>
  </si>
  <si>
    <t xml:space="preserve">51.020
</t>
  </si>
  <si>
    <t xml:space="preserve">15624993.00
</t>
  </si>
  <si>
    <t>CS-FB-CS(JB)/BEAR(JB)//JPM/UBS-INV-BANK
/DOWL/KEEFE/COCHRAN-CARONIA//FOX-PITT
/FRIEDMAN-B-CO/MORGAN-KEEGAN
/SANDLER-ONEILL/SHEMANO/WILLIAMS-CAP</t>
  </si>
  <si>
    <t>CS-FB-CS
(JB)/BEAR(JB)
JPM
UBS-INV-BANK
DOWL
KEEFE
COCHRAN-CARONIA</t>
  </si>
  <si>
    <t>Credit Suisse First Boston Corp
Bear Stearns &amp; Co Inc
JP Morgan &amp; Co Inc
UBS Investment Bank
Dowling &amp; Partners Securities LLC
Keefe Bruyette &amp; Woods Inc
Cochran, Caronia &amp; Co.</t>
  </si>
  <si>
    <t>CEA Acquisition Corp</t>
  </si>
  <si>
    <t>CEAC</t>
  </si>
  <si>
    <t>EARLYBIRD-CAP</t>
  </si>
  <si>
    <t>12513Q206</t>
  </si>
  <si>
    <t>Earlybirdcapital Inc
GunnAllen Financial Inc
Ladenburg Thalmann &amp; Co
Maxim Group LLC</t>
  </si>
  <si>
    <t>EARLYBIRD-CAP/GUNNALLEN-FINL(JOINT)
//LADENBURG/MAXIM-GROUP</t>
  </si>
  <si>
    <t>EARLYBIRD-CAP/GUNNALLEN-FINL</t>
  </si>
  <si>
    <t>EARLYBIRD-CAP
/GUNNALLEN-FINL(JOINT)</t>
  </si>
  <si>
    <t>Earlybirdcapital Inc
GunnAllen Financial, Inc.</t>
  </si>
  <si>
    <t>Corgentech Inc</t>
  </si>
  <si>
    <t>CGTK</t>
  </si>
  <si>
    <t>21872P105</t>
  </si>
  <si>
    <t>Credit Suisse First Boston
Lehman Brothers
CIBC World Markets Inc
Piper Jaffray Cos
Caris &amp; Company
Chatsworth Securities LLC
Invemed Associates Inc
Janney Montgomery Scott LLC
Lazard Freres &amp; Co LLC
Leerink Swann &amp; Co
Roth Capital Partners Inc
SG Cowen Securities Corp
Wedbush Securities
Williams Capital Group LP</t>
  </si>
  <si>
    <t>CS-FB-CS(JB)/LEH(JB)//CIBC-WORLD
/PIPER-JAFFRAY//CARIS-CO/CHATSWORTH
/INVEMED/JANNEY-LLC/LAZ/LEERINK-SWANN
/ROTH-CAPITAL/SG-COWEN/WEDBUSH-M
/WILLIAMS-CAP</t>
  </si>
  <si>
    <t>CS-FB-CS
(JB)/LEH(JB)
CIBC-WORLD
PIPER-JAFFRAY</t>
  </si>
  <si>
    <t>Credit Suisse First Boston Corp
Lehman Brothers
CIBC World Markets Inc
Piper Jaffray Cos</t>
  </si>
  <si>
    <t>Cherokee International Corp</t>
  </si>
  <si>
    <t>CHRK</t>
  </si>
  <si>
    <t>Credit Suisse First Boston
Lehman Brothers
UBS Investment Bank
Stephens Inc
Invemed Associates Inc
CL King &amp; Associates Inc
Piper Jaffray Cos
Wells Fargo &amp; Co
Williams Capital Group LP</t>
  </si>
  <si>
    <t>CS-FB-CS/LEH(JOINT)//UBS-INV-BANK
/STEPHENS//INVEMED/CL-KING
/PIPER-JAFFRAY/WF/WILLIAMS-CAP</t>
  </si>
  <si>
    <t>CS-FB-CS
/LEH(JOINT)
UBS-INV-BANK
STEPHENS</t>
  </si>
  <si>
    <t>Credit Suisse First Boston Corp
Lehman Brothers
UBS Investment Bank
Stephens Inc</t>
  </si>
  <si>
    <t>Dynavax Technologies Corp</t>
  </si>
  <si>
    <t>DVAX</t>
  </si>
  <si>
    <t>BEAR
/DEUTSCHE-BK-SEC(JB)</t>
  </si>
  <si>
    <t>Bear Stearns &amp; Co Inc
Deutsche Bank Securities Corp
US Bancorp Piper Jaffray</t>
  </si>
  <si>
    <t>BEAR(JB)/DEUTSCHE-BK-SEC(JB)//US-PIPER</t>
  </si>
  <si>
    <t>BEAR/DEUTSCHE-BK-SEC</t>
  </si>
  <si>
    <t>BEAR
(JB)/DEUTSCHE-BK-SEC(JB)
US-PIPER</t>
  </si>
  <si>
    <t>Bear Stearns &amp; Co Inc
Deutsche Bank Securities Corp.
US Bancorp Piper Jaffray Inc</t>
  </si>
  <si>
    <t>Kinetic Concepts Inc</t>
  </si>
  <si>
    <t>KCI</t>
  </si>
  <si>
    <t>49460W208</t>
  </si>
  <si>
    <t>Merrill Lynch
JP Morgan
Credit Suisse First Boston
Goldman Sachs &amp; Co
Citigroup
Deutsche Bank Securities Corp
Piper Jaffray Cos
SG Cowen Securities Corp
Scotia Capital Markets
Wachovia Capital Markets
Wells Fargo Bank NA</t>
  </si>
  <si>
    <t>MERRILL(JB)/JPM(JB)/CS-FB-CS/GS(JOINT)
//CITIGROUP/DEUTSCHE-BK-SEC
/PIPER-JAFFRAY/SG-COWEN//SCOTIA-CAP-USA
/WACHOVIA-CAP/WELLS-FARGO</t>
  </si>
  <si>
    <t>MERRILL/JPM/CS-FB-CS/GS</t>
  </si>
  <si>
    <t>MERRILL
(JB)/JPM(JB)
/CS-FB-CS
/GS(JOINT)
CITIGROUP
DEUTSCHE-BK-SEC
PIPER-JAFFRAY
SG-COWEN</t>
  </si>
  <si>
    <t>Merrill Lynch &amp; Co Inc
JP Morgan &amp; Co Inc
Credit Suisse First Boston Corp
Goldman Sachs &amp; Co
Citigroup
Deutsche Bank Securities Corp.
Piper Jaffray Cos
SG Cowen Securities Corp</t>
  </si>
  <si>
    <t>John Hancock Tax-Advantaged</t>
  </si>
  <si>
    <t>HTD</t>
  </si>
  <si>
    <t>41013V100</t>
  </si>
  <si>
    <t>UBS Investment Bank
Merrill Lynch
AG Edwards &amp; Sons Inc
RBC Dain Rauscher Corp
Wachovia Securities Inc
Wells Fargo Bank NA
Advest Inc
H&amp;R Block Financial Advisors
Janney Montgomery Scott Inc
Legg Mason &amp; Co Inc
Oppenheimer &amp; Co Inc
Quick &amp; Reilly Group, Inc.
Signator Investors Inc
Robert W Baird &amp; Co Inc
JJB Hilliard WL Lyons Inc
Morgan Keegan Inc
Natcity Investments Inc.
Piper Jaffray Cos
Ryan Beck &amp; Co
M. L. Stern
SunTrust Capital Markets
TD Waterhouse Securities
Wedbush Securities
Arthurs Lestrange
BB&amp;T Capital Markets
Crowell Weedon &amp; Co
DA Davidson &amp; Co Inc
First Montauk Securities
J. B. Hanauer
Jesup &amp; Lamont Securities
Johnston Lemon &amp; Co Inc
Kirlin Securities Inc.
Ladenburg Thalmann &amp; Co
Mesirow Financial Corp
To Be Announced
David A. Noyes
Fifth Third/Ohio Co
Parker-Hunter Inc
Royal Alliance Associates
Sands Brothers &amp; Co Ltd
Spelman &amp; Co.
Stephens Inc
Sterne Agee &amp; Leach Inc
Stone &amp; Youngberg</t>
  </si>
  <si>
    <t>UBS-INV-BANK(JB)/MERRILL(JB)
//A-G-EDWARDS/RBC-DAIN/WACHOVIA-SEC
/WELLS-FARGO/ADVEST/HR-BLOCK-FIN/JANNEY
/LEGG-MASON/OPPENHEIMER-CO/QUICK-REILLY
//SIGNATOR/BAIRD/HILLIARD/MORGAN-KEEGAN
/NATCITY-INVEST/PIPER-JAFFRAY/RYAN-BECK
/M-L-STERN/SUNTRUST-CAP/TDWS/WEDBUSH-M
/ARTHURS-LES/BB-T-CAP/CROWELL/DAVIDSON
/FIRST-MONTAUK/J-B-HANAUER/JESUP
/JOHNSTON-LEMON/KIRLIN/LADENBURG
/MESIROW-FIN/TO-BE-ANNOUNCED/D-A-NOYES
/FIFTH-OHIO/PARKER-HUNTER
/ROYAL-ALLIANCE/SANDS/SPELMAN/STEPHENS
/STERNE-AGEE/STONE-YOUNG</t>
  </si>
  <si>
    <t>UBS-INV-BANK
(JB)/MERRILL(JB)
A-G-EDWARDS
RBC-DAIN
WACHOVIA-SEC
WELLS-FARGO
ADVEST
HR-BLOCK-FIN
JANNEY
LEGG-MASON
OPPENHEIMER-CO
QUICK-REILLY</t>
  </si>
  <si>
    <t>UBS Investment Bank
Merrill Lynch &amp; Co Inc
AG Edwards &amp; Sons Inc
RBC Dain Rauscher Corp
Wachovia Securities Inc
Wells Fargo Bank NA
Advest Inc
H&amp;R Block Financial Advisors
Janney Montgomery Scott Inc
Legg Mason &amp; Co Inc
Oppenheimer &amp; Co Inc
Quick &amp; Reilly Group, Inc.</t>
  </si>
  <si>
    <t>ING Clarion Global RE Income</t>
  </si>
  <si>
    <t>IGR</t>
  </si>
  <si>
    <t>44982G104</t>
  </si>
  <si>
    <t>Citigroup
AG Edwards &amp; Sons Inc
Merrill Lynch
UBS Investment Bank
Advest Inc
JJB Hilliard WL Lyons Inc
Janney Montgomery Scott Inc
McDonald Investments
Quick &amp; Reilly Group, Inc.
Stifel Nicolaus &amp; Co Inc
Wells Fargo Bank NA
Wachovia Securities Inc
H&amp;R Block Financial Advisors
Huntleigh Securities Corp
Legg Mason &amp; Co Inc
Oppenheimer &amp; Co Inc
RBC Capital Markets
Wedbush Securities
Robert W Baird &amp; Co Inc
Deutsche Bank Securities
Ferris Baker Watts
Piper Jaffray Cos
SunTrust Capital Markets
TD Waterhouse Securities
BB&amp;T Capital Markets
Brookstreet Securities
Crowell Weedon &amp; Co
Morgan Keegan Inc
M. L. Stern
DA Davidson &amp; Co Inc
Axiom Capital Management Inc
Doft &amp; Co Inc
Hazlett, Burt &amp; Watson
Ladenburg Thalmann &amp; Co
National Securities Corp (US)
Sanders Morris Harris Inc
Southwest Securities Group Inc
Sterne Agee &amp; Leach Inc
First Montauk Securities
First Southwest
GMS Group Inc.
GunnAllen Financial Inc
Maxim Group LLC
Mesirow Financial Corp
Newbridge Securities
Parker-Hunter Inc
Sands Brothers &amp; Co Ltd
Stephens Inc
Strand,Atkinson,Williams&amp;Yerl
Westminster Financial Mgmt</t>
  </si>
  <si>
    <t>CITIGROUP/A-G-EDWARDS(JOINT)//MERRILL
/UBS-INV-BANK/ADVEST/HILLIARD/JANNEY
/MCDONALD/QUICK-REILLY/STIFEL
/WELLS-FARGO/WACHOVIA-SEC/HR-BLOCK-FIN
/HUNTLEIGH-SEC/LEGG-MASON
/OPPENHEIMER-CO/RBC-CAP-MKTS/WEDBUSH-M
//BAIRD/DBSECU/FERRIS-BAKER
/PIPER-JAFFRAY/SUNTRUST-CAP/TDWS
/BB-T-CAP/BROOKSTREET/CROWELL
/MORGAN-KEEGAN/M-L-STERN/DAVIDSON
/AXIOM-CAP/DOFT/HAZLETT/LADENBURG
/NATL-SEC/SANDERS-HARRIS/SOUTHWEST-SEC
/STERNE-AGEE/FIRST-MONTAUK/FIRST-SW/GMS
/GUNNALLEN-FINL/MAXIM-GROUP/MESIROW-FIN
/NEWBRIDGE/PARKER-HUNTER/SANDS/STEPHENS
/STRAND-ATKIN/WESTMINSTER-FIN</t>
  </si>
  <si>
    <t>CITIGROUP/A-G-EDWARDS</t>
  </si>
  <si>
    <t>CITIGROUP
/A-G-EDWARDS(JOINT)
MERRILL
UBS-INV-BANK
ADVEST
HILLIARD
JANNEY
MCDONALD
QUICK-REILLY
STIFEL
WELLS-FARGO
WACHOVIA-SEC
HR-BLOCK-FIN
HUNTLEIGH-SEC
LEGG-MASON
OPPENHEIMER-CO
RBC-CAP-MKTS
WEDBUSH-M</t>
  </si>
  <si>
    <t>Citigroup
AG Edwards &amp; Sons Inc
Merrill Lynch &amp; Co Inc
UBS Investment Bank
Advest Inc
JJB Hilliard WL Lyons Inc
Janney Montgomery Scott Inc
McDonald Investments Inc
Quick &amp; Reilly Group, Inc.
Stifel Nicolaus &amp; Co Inc
Wells Fargo Bank NA
Wachovia Securities Inc
H&amp;R Block Financial Advisors
Huntleigh Securities Corporation
Legg Mason &amp; Co Inc
Oppenheimer &amp; Co Inc
RBC Capital Markets
Wedbush Securities</t>
  </si>
  <si>
    <t>Reaves Utility Income Fund</t>
  </si>
  <si>
    <t>UTG</t>
  </si>
  <si>
    <t>Merrill Lynch
AG Edwards &amp; Sons Inc
RBC Capital Markets
Wachovia Securities Inc
Advest Inc
BB&amp;T Capital Markets
Robert W Baird &amp; Co Inc
JJB Hilliard WL Lyons Inc
Janney Montgomery Scott Inc
McDonald Investments
Morgan Keegan Inc
BNY Capital Markets Inc
Deutsche Bank Securities
Harris Nesbitt
Oppenheimer &amp; Co Inc
Piper Jaffray Cos
William Blair &amp; Co
Crowell Weedon &amp; Co
DA Davidson &amp; Co Inc
Doft &amp; Co Inc
Ferris Baker Watts
Parker-Hunter Inc
Quick &amp; Reilly Inc
Stephens Inc
Stifel Nicolaus &amp; Co Inc
TD Waterhouse Securities
Wedbush Securities
Brean Murray &amp; Co Inc
CE Unterberg Towbin
CMG Institutional Trading LLC
Chatsworth Securities LLC
Dominick &amp; Dominick Inc
First Southwest
Gilford Securities
Howe Barnes Investments Inc
Huntleigh Securities Corp
Johnston Lemon &amp; Co Inc
LaSalle Street Securities Inc
Maxim Group LLC
McGinn, Smith &amp; Co Inc
Mesirow Financial Corp
Natcity Investments Inc.
National Securities Corp (US)
Needham &amp; Co LLC
Northeast Securities Inc.
David A. Noyes
Nutmeg Securities Ltd
Ormes Capital Markets Inc
Paulson Investment Co
Peacock Hislop Staley &amp; Given
Sanders Morris Harris Inc
Sands Brothers &amp; Co Ltd
Source Capital Group Inc
Southwest Securities Inc
STERLING FINANCIAL INVESTMENT
Torrey Pines Securities</t>
  </si>
  <si>
    <t>MERRILL//A-G-EDWARDS/RBC-CAP-MKTS
/WACHOVIA-SEC/ADVEST/BB-T-CAP/BAIRD
/HILLIARD/JANNEY/MCDONALD/MORGAN-KEEGAN
//BNY-CAP/DBSECU/HARRN/OPPENHEIMER-CO
/PIPER-JAFFRAY/WM-BLAIR/CROWELL
/DAVIDSON/DOFT/FERRIS-BAKER
/PARKER-HUNTER/Q&amp;R/STEPHENS/STIFEL/TDWS
/WEDBUSH-M/BREAN/UNTERBERG/CMG-LLC
/CHATSWORTH/DOMINICK/FIRST-SW/GILFORD
/HOWE-BARNES/HUNTLEIGH-SEC
/JOHNSTON-LEMON/LASALLE-SEC/MAXIM-GROUP
/MCGINN-SMITH/MESIROW-FIN
/NATCITY-INVEST/NATL-SEC/NEEDHAM
/NORTHEAST-SEC/D-A-NOYES/NUTMEG-SEC
/ORMES/PAULSON/PEACOCK-HISLOP
/SANDERS-HARRIS/SANDS/SOURCE-CAPITAL
/SWS-SEC/STERLING-FIN-I/TORREY-PINES</t>
  </si>
  <si>
    <t>MERRILL
A-G-EDWARDS
RBC-CAP-MKTS
WACHOVIA-SEC
ADVEST
BB-T-CAP
BAIRD
HILLIARD
JANNEY
MCDONALD
MORGAN-KEEGAN</t>
  </si>
  <si>
    <t>Merrill Lynch &amp; Co Inc
AG Edwards &amp; Sons Inc
RBC Capital Markets
Wachovia Securities Inc
Advest Inc
BB&amp;T Capital Markets
Robert W Baird &amp; Co Inc
JJB Hilliard WL Lyons Inc
Janney Montgomery Scott Inc
McDonald Investments Inc
Morgan Keegan Inc</t>
  </si>
  <si>
    <t>Salomon Brothers Cap and Inc</t>
  </si>
  <si>
    <t>SCD</t>
  </si>
  <si>
    <t>Citigroup
Oppenheimer &amp; Co Inc
Merrill Lynch
Advest Inc
Wedbush Securities
AG Edwards &amp; Sons Inc
Ferris Baker Watts
Janney Montgomery Scott Inc
McDonald Investments
Piper Jaffray Cos
Quick &amp; Reilly Inc
RBC Capital Markets
Robert W Baird &amp; Co Inc
Stifel Nicolaus &amp; Co Inc
SunTrust Capital Markets
TD Waterhouse Securities
Crowell Weedon &amp; Co
DA Davidson &amp; Co Inc
Doft &amp; Co Inc
Harris Investor Services LLC
Morgan Keegan Inc
Maxim Group LLC</t>
  </si>
  <si>
    <t>CITIGROUP//OPPENHEIMER-CO/MERRILL
/ADVEST/WEDBUSH-M//A-G-EDWARDS
/FERRIS-BAKER/JANNEY/MCDONALD
/PIPER-JAFFRAY/Q&amp;R/RBC-CAP-MKTS/BAIRD
/STIFEL/SUNTRUST-CAP/TDWS/CROWELL
/DAVIDSON/DOFT/HARRIS-INV-SVCS
/MORGAN-KEEGAN/MAXIM-GROUP</t>
  </si>
  <si>
    <t>CITIGROUP
OPPENHEIMER-CO
MERRILL
ADVEST
WEDBUSH-M</t>
  </si>
  <si>
    <t>Citigroup
Oppenheimer &amp; Co Inc
Merrill Lynch &amp; Co Inc
Advest Inc
Wedbush Securities</t>
  </si>
  <si>
    <t>Tortoise Energy Infrastructure</t>
  </si>
  <si>
    <t>TYG</t>
  </si>
  <si>
    <t>STIFEL</t>
  </si>
  <si>
    <t>89147L100</t>
  </si>
  <si>
    <t>Stifel Nicolaus &amp; Co Inc
Lehman Brothers
RBC Dain Rauscher Corp
Oppenheimer &amp; Co Inc
Advest Inc
BB&amp;T Capital Markets
Sanders Morris Harris Inc
WR Hambrecht &amp; Co LLC
Parker-Hunter Inc
Wunderlich Securities Inc
Friedman Billings Ramsey Group
Legg Mason Wood Walker
Brean Murray &amp; Co Inc
Crowell Weedon &amp; Co
DA Davidson &amp; Co Inc
Ferris Baker Watts
Keefe Bruyette &amp; Woods Inc
Morgan Keegan Inc
Petrie Parkman &amp; Co Inc
Ryan Beck &amp; Co
Southwest Securities Inc
Dominick &amp; Dominick Inc
Kaufman Brothers LP
Natcity Investments Inc.
Neidiger, Tucker, Bruner Inc.
David A. Noyes
Redwine &amp; Company Inc
Sands Brothers &amp; Co Ltd
Torrey Pines Securities</t>
  </si>
  <si>
    <t>STIFEL//LEH/RBC-DAIN/OPPENHEIMER-CO
/ADVEST/BB-T-CAP/SANDERS-HARRIS
/W-R-HAMBRECHT/PARKER-HUNTER/WUNDERLICH
//FRIEDMAN-B/LEGG-MASON-WW/BREAN
/CROWELL/DAVIDSON/FERRIS-BAKER/KEEFE
/MORGAN-KEEGAN/PETRIE-PARKMAN/RYAN-BECK
/SWS-SEC/DOMINICK/KAUFMAN-BROS
/NATCITY-INVEST/NEIDIGER/D-A-NOYES
/REDWINE-CO/SANDS/TORREY-PINES</t>
  </si>
  <si>
    <t>STIFEL
LEH
RBC-DAIN
OPPENHEIMER-CO
ADVEST
BB-T-CAP
SANDERS-HARRIS
W-R-HAMBRECHT
PARKER-HUNTER
WUNDERLICH</t>
  </si>
  <si>
    <t>Stifel Nicolaus &amp; Co Inc
Lehman Brothers
RBC Dain Rauscher Corp
Oppenheimer &amp; Co Inc
Advest Inc
BB&amp;T Capital Markets
Sanders Morris Harris Inc
WR Hambrecht &amp; Co LLC
Parker-Hunter Inc
Wunderlich Securities Inc</t>
  </si>
  <si>
    <t>Western Asset Claymore Fund 2</t>
  </si>
  <si>
    <t>WIW</t>
  </si>
  <si>
    <t>MERRILL/LEGG-MASON(JB)</t>
  </si>
  <si>
    <t>95766R104</t>
  </si>
  <si>
    <t>Merrill Lynch
Legg Mason &amp; Co Inc
AG Edwards &amp; Sons Inc
Oppenheimer &amp; Co Inc
RBC Capital Markets
Wells Fargo Brokerage Svcs
Advest Inc
BB&amp;T Capital Markets
Robert W Baird &amp; Co Inc
Ferris Baker Watts
JJB Hilliard WL Lyons Inc
Janney Montgomery Scott Inc
McDonald Investments
Quick &amp; Reilly Inc
Ryan Beck &amp; Co
Wedbush Securities
SunTrust Capital Markets
TD Waterhouse Securities
Claymore Capital Pty Ltd
Harris Nesbitt
Deutsche Bank Securities
Piper Jaffray Cos
William Blair &amp; Co
Crowell Weedon &amp; Co
DA Davidson &amp; Co Inc
Doft &amp; Co Inc
Morgan Keegan Inc
Parker-Hunter Inc
Stephens Inc
Stifel Nicolaus &amp; Co Inc
Arthurs Lestrange
Brean Murray &amp; Co Inc
CE Unterberg Towbin
CMG Institutional Trading LLC
Chatsworth Securities LLC
Dominick &amp; Dominick Inc
Fifth Third Securities Inc
Finance 500 Inc
First Southwest
Gilford Securities
Hennion &amp; Walsh, Inc
Howe Barnes Investments Inc
Wayne Hummer &amp; Co
Huntleigh Securities Corp
Johnston Lemon &amp; Co Inc
LaSalle Street Securities Inc
Leerink Swann &amp; Co
Maxim Group LLC
McGinn, Smith &amp; Co Inc
Mesirow Financial Corp
Natcity Investments Inc.
National Securities Corp (US)
Needham &amp; Co LLC
Northeast Securities Inc.
David A. Noyes
Ormes Capital Markets Inc
Pacific Crest Securities Inc
Paulson Investment Co
Peacock Hislop Staley &amp; Given
Sanders Morris Harris Inc
Sands Brothers &amp; Co Ltd
The Seidler Companies Inc
Source Capital Group Inc
Southwest Securities Group Inc
Spelman &amp; Co.
STERLING FINANCIAL INVESTMENT
M. L. Stern
Torrey Pines Securities
JP Turner &amp; Co</t>
  </si>
  <si>
    <t>MERRILL(JB)/LEGG-MASON(JB)//A-G-EDWARDS
/OPPENHEIMER-CO/RBC-CAP-MKTS
/WELLS-BROKERAGE/ADVEST/BB-T-CAP/BAIRD
/FERRIS-BAKER/HILLIARD/JANNEY/MCDONALD
/Q&amp;R/RYAN-BECK/WEDBUSH-M//SUNTRUST-CAP
/TDWS/CLAY-CAP/HARRN/DBSECU
/PIPER-JAFFRAY/WM-BLAIR/CROWELL
/DAVIDSON/DOFT/MORGAN-KEEGAN
/PARKER-HUNTER/STEPHENS/STIFEL
/ARTHURS-LES/BREAN/UNTERBERG/CMG-LLC
/CHATSWORTH/DOMINICK/FIFTH-THIRD-SEC
/FINANCE-INC/FIRST-SW/GILFORD
/HENNION-WALSH/HOWE-BARNES/HUMMER
/HUNTLEIGH-SEC/JOHNSTON-LEMON
/LASALLE-SEC/LEERINK-SWANN/MAXIM-GROUP
/MCGINN-SMITH/MESIROW-FIN
/NATCITY-INVEST/NATL-SEC/NEEDHAM
/NORTHEAST-SEC/D-A-NOYES/ORMES
/PACIFIC-CREST/PAULSON/PEACOCK-HISLOP
/SANDERS-HARRIS/SANDS/SEIDLER-CO-INC
/SOURCE-CAPITAL/SOUTHWEST-SEC/SPELMAN
/STERLING-FIN-I/M-L-STERN/TORREY-PINES
/J-P-TURNER</t>
  </si>
  <si>
    <t>MERRILL/LEGG-MASON</t>
  </si>
  <si>
    <t>MERRILL
(JB)/LEGG-MASON(JB)
A-G-EDWARDS
OPPENHEIMER-CO
RBC-CAP-MKTS
WELLS-BROKERAGE
ADVEST
BB-T-CAP
BAIRD
FERRIS-BAKER
HILLIARD
JANNEY
MCDONALD
Q&amp;R
RYAN-BECK
WEDBUSH-M</t>
  </si>
  <si>
    <t>Merrill Lynch &amp; Co Inc
Legg Mason &amp; Co Inc
AG Edwards &amp; Sons Inc
Oppenheimer &amp; Co Inc
RBC Capital Markets
Wells Fargo Brokerage Services LLC
Advest Inc
BB&amp;T Capital Markets
Robert W Baird &amp; Co Inc
Ferris Baker Watts Inc
JJB Hilliard WL Lyons Inc
Janney Montgomery Scott Inc
McDonald Investments Inc
Quick &amp; Reilly Inc
Ryan Beck &amp; Co
Wedbush Securities</t>
  </si>
  <si>
    <t>Linktone Ltd</t>
  </si>
  <si>
    <t>LTON</t>
  </si>
  <si>
    <t>Credit Suisse First Boston
JP Morgan
Piper Jaffray Cos
CLSA</t>
  </si>
  <si>
    <t>CS-FB-CS//JPM/PIPER-JAFFRAY/CLSA-HK</t>
  </si>
  <si>
    <t>CS-FB-CS
JPM
PIPER-JAFFRAY
CLSA-HK</t>
  </si>
  <si>
    <t>Credit Suisse First Boston Corp
JP Morgan &amp; Co Inc
Piper Jaffray Cos
CLSA Asia-Pacific Markets Ltd</t>
  </si>
  <si>
    <t>TOM Online Inc</t>
  </si>
  <si>
    <t>TOMO</t>
  </si>
  <si>
    <t>CITIGROUP
/MORGAN-STANLEY(JB)</t>
  </si>
  <si>
    <t>Citigroup
Morgan Stanley
Piper Jaffray Cos
Cazenove Inc
Deutsche Bank Securities
UOB Asia Limited</t>
  </si>
  <si>
    <t>Tom Group Ltd</t>
  </si>
  <si>
    <t>CITIGROUP(JB)/MORGAN-STANLEY(JB)
//PIPER-JAFFRAY/CAZENOVE-INC/DBSECU
/UOBAS</t>
  </si>
  <si>
    <t>CITIGROUP/MORGAN-STANLEY</t>
  </si>
  <si>
    <t>CITIGROUP
(JB)/MORGAN-STANLEY(JB)
PIPER-JAFFRAY
CAZENOVE-INC
DBSECU
UOBAS</t>
  </si>
  <si>
    <t>Citigroup
Morgan Stanley
Piper Jaffray Cos
Cazenove Inc
Deutsche Bank Securities Inc
UOB Asia Limited</t>
  </si>
  <si>
    <t>Citigroup
Morgan Stanley
Piper Jaffray Cos
Cazenove Asia Ltd
Deutsche Bank Asia
UOB Asia Limited</t>
  </si>
  <si>
    <t>CITIGROUP(JB)/MORGAN-STANLEY(JB)
//PIPER-JAFFRAY//CAZEAS/DEUTSCHE-A
/UOBAS</t>
  </si>
  <si>
    <t>CITIGROUP
(JB)/MORGAN-STANLEY(JB)
PIPER-JAFFRAY</t>
  </si>
  <si>
    <t>Citigroup
Morgan Stanley
Piper Jaffray Cos</t>
  </si>
  <si>
    <t>SMIC</t>
  </si>
  <si>
    <t>SMI</t>
  </si>
  <si>
    <t>CS-FB-CS
/DEUTSCHE-BK-SEC(JB)</t>
  </si>
  <si>
    <t>81663N206</t>
  </si>
  <si>
    <t>Credit Suisse First Boston
Deutsche Bank Securities Corp
Hongkong &amp; Shanghai Bank (HK)
Bear Stearns &amp; Co Inc
Needham &amp; Co LLC
SG Cowen Securities Corp
ThinkEquity Partners
Thomas Weisel Partners
WR Hambrecht &amp; Co LLC</t>
  </si>
  <si>
    <t>CS-FB-CS(JB)/DEUTSCHE-BK-SEC(JB)
//HONG-SHANG-BKG/BEAR/NEEDHAM/SG-COWEN
/THINK/THOMAS-WEISEL/W-R-HAMBRECHT</t>
  </si>
  <si>
    <t>CS-FB-CS/DEUTSCHE-BK-SEC</t>
  </si>
  <si>
    <t>CS-FB-CS
(JB)/DEUTSCHE-BK-SEC(JB)
HONG-SHANG-BKG
BEAR
NEEDHAM
SG-COWEN
THINK
THOMAS-WEISEL
W-R-HAMBRECHT</t>
  </si>
  <si>
    <t>Credit Suisse First Boston Corp
Deutsche Bank Securities Corp.
Hongkong &amp; Shanghai Banking Corp Ltd
Bear Stearns &amp; Co Inc
Needham &amp; Co LLC
SG Cowen Securities Corp
ThinkEquity Partners
Thomas Weisel Partners
WR Hambrecht &amp; Co LLC</t>
  </si>
  <si>
    <t>Credit Suisse First Boston
Deutsche Bank Securities Corp
Hongkong &amp; Shanghai Bank (HK)
Bear Stearns &amp; Co Inc
Needham &amp; Co LLC
SG Cowen Securities Corp
ThinkEquity Partners
Thomas Weisel Partners
WR Hambrecht &amp; Co LLC
Nomura International PLC
ABN AMRO Rothschild
DBS Bank (Hong Kong) Ltd</t>
  </si>
  <si>
    <t>CS-FB-CS(JB)/DEUTSCHE-BK-SEC(JB)
//HONG-SHANG-BKG//BEAR/NEEDHAM/SG-COWEN
/THINK/THOMAS-WEISEL/W-R-HAMBRECHT
/NOMURA-INT/ABN-ROTHSCHILD/DBS-BANK-HK</t>
  </si>
  <si>
    <t>CS-FB-CS
(JB)/DEUTSCHE-BK-SEC(JB)
HONG-SHANG-BKG</t>
  </si>
  <si>
    <t>Credit Suisse First Boston Corp
Deutsche Bank Securities Corp.
Hongkong &amp; Shanghai Banking Corp Ltd</t>
  </si>
  <si>
    <t>CS-FB-CS(JB)/DEUTSCHE-BK-SEC(JB)
//HONG-SHANG-BKG//BEAR/NEEDHAM/SG-COWEN
/THINK/THOMAS-WEISEL/W-R-HAMBRECHT</t>
  </si>
  <si>
    <t>Chardan China Acquisition Corp</t>
  </si>
  <si>
    <t>CAQC</t>
  </si>
  <si>
    <t>Earlybirdcapital Inc
I-Bankers Securities Inc
Maxim Group LLC
S W Bach &amp; Company
Newbridge Securities
GunnAllen Financial Inc</t>
  </si>
  <si>
    <t>EARLYBIRD-CAP//I-BANKERS-SEC
/MAXIM-GROUP/SW-BACH/NEWBRIDGE
/GUNNALLEN-FINL</t>
  </si>
  <si>
    <t>Earlybirdcapital Inc</t>
  </si>
  <si>
    <t>TNS Inc</t>
  </si>
  <si>
    <t>TNS</t>
  </si>
  <si>
    <t>JPM/LEH(JB)</t>
  </si>
  <si>
    <t>JP Morgan
Lehman Brothers
Credit Suisse First Boston
William Blair &amp; Co
SunTrust Robinson Humphrey</t>
  </si>
  <si>
    <t>JPM(JB)/LEH(JB)//CS-FB-CS/WM-BLAIR
/SUNTRUST-RH</t>
  </si>
  <si>
    <t>JPM/LEH</t>
  </si>
  <si>
    <t>JPM
(JB)/LEH(JB)
CS-FB-CS
WM-BLAIR
SUNTRUST-RH</t>
  </si>
  <si>
    <t>JP Morgan &amp; Co Inc
Lehman Brothers
Credit Suisse First Boston Corp
William Blair &amp; Co
SunTrust Robinson Humphrey</t>
  </si>
  <si>
    <t>Tercica Inc</t>
  </si>
  <si>
    <t>TRCA</t>
  </si>
  <si>
    <t>88078L105</t>
  </si>
  <si>
    <t>Lehman Brothers
SG Cowen Securities Corp
Harris Nesbitt
Robert W Baird &amp; Co Inc
Fidelity Capital Markets
Oppenheimer &amp; Co Inc
Stifel Nicolaus &amp; Co Inc
Chatsworth Securities LLC
CL King &amp; Associates Inc
Wedbush Securities</t>
  </si>
  <si>
    <t>LEH/SG-COWEN(JOINT)//HARRN/BAIRD
//FIDELITY-CAP/OPPENHEIMER-CO/STIFEL
/CHATSWORTH/CL-KING/WEDBUSH-M</t>
  </si>
  <si>
    <t>LEH
/SG-COWEN(JOINT)
HARRN
BAIRD</t>
  </si>
  <si>
    <t>Lehman Brothers
SG Cowen Securities Corp
Harris Nesbitt
Robert W Baird &amp; Co Inc</t>
  </si>
  <si>
    <t>Xcyte Therapies Inc</t>
  </si>
  <si>
    <t>XCYT</t>
  </si>
  <si>
    <t>98389F309</t>
  </si>
  <si>
    <t>US Bancorp Piper Jaffray
Royal Bank of Canada
Wells Fargo Bank NA
JMP Securities LLC
Banc of America Securities LLC
Needham &amp; Co LLC
SG Cowen Securities Corp
Thomas Weisel Partners
Delafield Hambrecht Inc
McAdams Wright Ragen Inc</t>
  </si>
  <si>
    <t>06/14/04
09/12/04</t>
  </si>
  <si>
    <t>0.440
9.184</t>
  </si>
  <si>
    <t>64963.00
1356738.00</t>
  </si>
  <si>
    <t>US-PIPER/RBC(JOINT)//WELLS-FARGO
/JMP-SEC//BA-SEC-LLC/NEEDHAM/SG-COWEN
/THOMAS-WEISEL/DELAFIELD/MCADAMS-WRIGHT</t>
  </si>
  <si>
    <t>US-PIPER/RBC</t>
  </si>
  <si>
    <t>US-PIPER
/RBC(JOINT)
WELLS-FARGO
JMP-SEC</t>
  </si>
  <si>
    <t>US Bancorp Piper Jaffray Inc
Royal Bank of Canada
Wells Fargo Bank NA
JMP Securities LLC</t>
  </si>
  <si>
    <t>Great Wall Acquisition Corp</t>
  </si>
  <si>
    <t>GWAQ</t>
  </si>
  <si>
    <t>BROADBAND</t>
  </si>
  <si>
    <t>39136T200</t>
  </si>
  <si>
    <t>Broadband Capital Management
Spencer Clarke LLC
Network 1 Financial Securities</t>
  </si>
  <si>
    <t>BROADBAND//SPENCER-CLARKE/NETWORK-FIN</t>
  </si>
  <si>
    <t>Broadband Capital Management LLC</t>
  </si>
  <si>
    <t>Sunset Financial Resources Inc</t>
  </si>
  <si>
    <t>SFO</t>
  </si>
  <si>
    <t>W-R-HAMBRECHT/JPM(JB)</t>
  </si>
  <si>
    <t>WR Hambrecht &amp; Co LLC
JP Morgan
Stifel Nicolaus &amp; Co Inc
Fidelity Capital Markets
Keefe Bruyette &amp; Woods Inc</t>
  </si>
  <si>
    <t>W-R-HAMBRECHT(JB)/JPM(JB)//STIFEL
//FIDELITY-CAP/KEEFE</t>
  </si>
  <si>
    <t>W-R-HAMBRECHT/JPM</t>
  </si>
  <si>
    <t>W-R-HAMBRECHT
(JB)/JPM(JB)
STIFEL</t>
  </si>
  <si>
    <t>WR Hambrecht &amp; Co LLC
JP Morgan &amp; Co Inc
Stifel Nicolaus &amp; Co Inc</t>
  </si>
  <si>
    <t>Capital Lease Funding Inc</t>
  </si>
  <si>
    <t>LSE</t>
  </si>
  <si>
    <t>Friedman Billings Ramsey Group
Wachovia Securities Inc
RBC Capital Markets
BB&amp;T Capital Markets
CMG Institutional Trading LLC
Roth Capital Partners Inc
Flagstone Securities Inc
McGinn, Smith &amp; Co Inc
Stifel Nicolaus &amp; Co Inc</t>
  </si>
  <si>
    <t>FRIEDMAN-B/WACHOVIA-SEC(JOINT)
//RBC-CAP-MKTS//BB-T-CAP/CMG-LLC
/ROTH-CAPITAL/FLAGSTONE/MCGINN-SMITH
/STIFEL</t>
  </si>
  <si>
    <t>FRIEDMAN-B/WACHOVIA-SEC</t>
  </si>
  <si>
    <t>FRIEDMAN-B
/WACHOVIA-SEC(JOINT)
RBC-CAP-MKTS</t>
  </si>
  <si>
    <t>Friedman Billings Ramsey Group
Wachovia Securities Inc
RBC Capital Markets</t>
  </si>
  <si>
    <t>RMK Strategic Income Fund</t>
  </si>
  <si>
    <t>RSF</t>
  </si>
  <si>
    <t>74963H102</t>
  </si>
  <si>
    <t>Morgan Keegan Inc
Advest Inc
BB&amp;T Capital Markets
Ferris Baker Watts
Legg Mason Wood Walker
McDonald Investments
Oppenheimer &amp; Co Inc
RBC Capital Markets
Stephens Inc
Sterne Agee &amp; Leach Inc
Stifel Nicolaus &amp; Co Inc
SunTrust Capital Markets
CE Unterberg Towbin
Wedbush Securities
FMS
NBC Capital Markets Group Inc</t>
  </si>
  <si>
    <t>MORGAN-KEEGAN//ADVEST/BB-T-CAP
/FERRIS-BAKER/LEGG-MASON-WW/MCDONALD
/OPPENHEIMER-CO/RBC-CAP-MKTS/STEPHENS
/STERNE-AGEE/STIFEL/SUNTRUST-CAP
/UNTERBERG/WEDBUSH-M//FMS/NBC-CAP-MKTS</t>
  </si>
  <si>
    <t>MORGAN-KEEGAN
ADVEST
BB-T-CAP
FERRIS-BAKER
LEGG-MASON-WW
MCDONALD
OPPENHEIMER-CO
RBC-CAP-MKTS
STEPHENS
STERNE-AGEE
STIFEL
SUNTRUST-CAP
UNTERBERG
WEDBUSH-M</t>
  </si>
  <si>
    <t>Morgan Keegan Inc
Advest Inc
BB&amp;T Capital Markets
Ferris Baker Watts Inc
Legg Mason Wood Walker Inc
McDonald Investments Inc
Oppenheimer &amp; Co Inc
RBC Capital Markets
Stephens Inc
Sterne Agee &amp; Leach Inc
Stifel Nicolaus &amp; Co Inc
SunTrust Capital Markets
CE Unterberg Towbin
Wedbush Securities</t>
  </si>
  <si>
    <t>Signature Bank NY</t>
  </si>
  <si>
    <t>SBNY</t>
  </si>
  <si>
    <t>82669G104</t>
  </si>
  <si>
    <t>Friedman Billings Ramsey Group</t>
  </si>
  <si>
    <t>Ultra Clean Holdings Inc</t>
  </si>
  <si>
    <t>UCTT</t>
  </si>
  <si>
    <t>90385V107</t>
  </si>
  <si>
    <t>Credit Suisse First Boston
JP Morgan
Banc of America Securities LLC
Piper Jaffray Cos</t>
  </si>
  <si>
    <t>09/20/04
12/19/04</t>
  </si>
  <si>
    <t>3.048
60.019</t>
  </si>
  <si>
    <t>180
270</t>
  </si>
  <si>
    <t>495145.00
9750250.00</t>
  </si>
  <si>
    <t>CS-FB-CS/JPM(JOINT)//BA-SEC-LLC
/PIPER-JAFFRAY</t>
  </si>
  <si>
    <t>CS-FB-CS
/JPM(JOINT)
BA-SEC-LLC
PIPER-JAFFRAY</t>
  </si>
  <si>
    <t>Credit Suisse First Boston Corp
JP Morgan &amp; Co Inc
Banc of America Securities LLC
Piper Jaffray Cos</t>
  </si>
  <si>
    <t>Blackrock Strategic Div Ach Tr</t>
  </si>
  <si>
    <t>BDT</t>
  </si>
  <si>
    <t>09249Y107</t>
  </si>
  <si>
    <t>Merrill Lynch
AG Edwards &amp; Sons Inc
Advest Inc
Robert W Baird &amp; Co Inc
H&amp;R Block Financial Advisors
JJB Hilliard WL Lyons Inc
Janney Montgomery Scott Inc
Legg Mason Wood Walker
Oppenheimer &amp; Co Inc
PNC Capital Markets
Quick &amp; Reilly Group, Inc.
Raymond James &amp; Associates Inc
RBC Capital Markets
SunTrust Capital Markets
Wells Fargo Bank NA
McDonald Investments
Deutsche Bank Securities
Harris Nesbitt Thomson Secs
Piper Jaffray Cos
BB&amp;T Capital Markets
William Blair &amp; Co
Crowell Weedon &amp; Co
DA Davidson &amp; Co Inc
Doft &amp; Co Inc
Ferris Baker Watts
Ladenburg Thalmann &amp; Co
Morgan Keegan Inc
Parker-Hunter Inc
Ryan Beck &amp; Co
Stephens Inc
Stifel Nicolaus &amp; Co Inc
TD Waterhouse Securities
Wedbush Securities
Arthurs Lestrange
Axiom Capital Management Inc
CE Unterberg Towbin
CMG Institutional Trading LLC
Chatsworth Securities LLC
Dominick &amp; Dominick Inc
Fifth Third Securities Inc
First Southwest
Gilford Securities
Hennion &amp; Walsh, Inc
Huntleigh Securities Corp
Johnston Lemon &amp; Co Inc
LaSalle Street Securities Inc
Leerink Swann &amp; Co
M. L. Stern
Maxim Group LLC
McGinn, Smith &amp; Co Inc
Mesirow Financial Corp
Morgan Wilshire Securities
Natcity Investments Inc.
National Securities Corp (US)
Northeast Securities Inc.
David A. Noyes
Nutmeg Securities Ltd
Ormes Capital
Paulson Investment Co
Peacock Hislop Staley &amp; Given
Sanders Morris Harris Inc
Sands Brothers &amp; Co Ltd
Source Capital Group Inc
Southwest Securities Group Inc
Spelman &amp; Co.
STERLING FINANCIAL INVESTMENT
Stone &amp; Youngberg
Strand,Atkinson,Williams&amp;Yerl
Torrey Pines Securities
Westminster Financial Mgmt
Needham &amp; Co LLC</t>
  </si>
  <si>
    <t>MERRILL/A-G-EDWARDS(JOINT)//ADVEST
/BAIRD/HR-BLOCK-FIN/HILLIARD/JANNEY
/LEGG-MASON-WW/OPPENHEIMER-CO
/PNC-CAPITAL/QUICK-REILLY/RAYMOND
/RBC-CAP-MKTS/SUNTRUST-CAP/WELLS-FARGO
//MCDONALD/DBSECU/HARRIS-NESBITT
/PIPER-JAFFRAY/BB-T-CAP/WM-BLAIR
/CROWELL/DAVIDSON/DOFT/FERRIS-BAKER
/LADENBURG/MORGAN-KEEGAN/PARKER-HUNTER
/RYAN-BECK/STEPHENS/STIFEL/TDWS
/WEDBUSH-M/ARTHURS-LES/AXIOM-CAP
/UNTERBERG/CMG-LLC/CHATSWORTH/DOMINICK
/FIFTH-THIRD-SEC/FIRST-SW/GILFORD
/HENNION-WALSH/HUNTLEIGH-SEC
/JOHNSTON-LEMON/LASALLE-SEC
/LEERINK-SWANN/M-L-STERN/MAXIM-GROUP
/MCGINN-SMITH/MESIROW-FIN
/MORGAN-WILSHIRE/NATCITY-INVEST
/NATL-SEC/NORTHEAST-SEC/D-A-NOYES
/NUTMEG-SEC/ORMES-CAPITAL/PAULSON
/PEACOCK-HISLOP/SANDERS-HARRIS/SANDS
/SOURCE-CAPITAL/SOUTHWEST-SEC/SPELMAN
/STERLING-FIN-I/STONE-YOUNG
/STRAND-ATKIN/TORREY-PINES
/WESTMINSTER-FIN/NEEDHAM</t>
  </si>
  <si>
    <t>MERRILL
/A-G-EDWARDS(JOINT)
ADVEST
BAIRD
HR-BLOCK-FIN
HILLIARD
JANNEY
LEGG-MASON-WW
OPPENHEIMER-CO
PNC-CAPITAL
QUICK-REILLY
RAYMOND
RBC-CAP-MKTS
SUNTRUST-CAP
WELLS-FARGO</t>
  </si>
  <si>
    <t>Merrill Lynch &amp; Co Inc
AG Edwards &amp; Sons Inc
Advest Inc
Robert W Baird &amp; Co Inc
H&amp;R Block Financial Advisors
JJB Hilliard WL Lyons Inc
Janney Montgomery Scott Inc
Legg Mason Wood Walker Inc
Oppenheimer &amp; Co Inc
PNC Capital Markets
Quick &amp; Reilly Group, Inc.
Raymond James &amp; Associates Inc
RBC Capital Markets
SunTrust Capital Markets
Wells Fargo Bank NA</t>
  </si>
  <si>
    <t>Calamos Strategic Ttl Rtrn Fnd</t>
  </si>
  <si>
    <t>CSQ</t>
  </si>
  <si>
    <t>Citigroup
Merrill Lynch
UBS Investment Bank
AG Edwards &amp; Sons Inc
Advest Inc
H&amp;R Block Financial Advisors
Ferris Baker Watts
Janney Montgomery Scott LLC
Legg Mason &amp; Co Inc
McDonald Investments
Oppenheimer &amp; Co Inc
Quick &amp; Reilly Group, Inc.
RBC Dain Rauscher Corp
TD Waterhouse Securities
Wedbush Securities
Wells Fargo Bank NA
Robert W Baird &amp; Co Inc
BB&amp;T Capital Markets
Crowell Weedon &amp; Co
Deutsche Bank Securities
Morgan Keegan Inc
Piper Jaffray Cos
Stephens Inc
Stifel Nicolaus &amp; Co Inc
DA Davidson &amp; Co Inc
William Blair &amp; Co
Doft &amp; Co Inc
GMS Group
J. B. Hanauer
Ladenburg Thalmann &amp; Co
Mesirow Financial Corp
M. L. Stern
Sterne Agee &amp; Leach Inc
Stockcross Inc
SunTrust Capital Markets</t>
  </si>
  <si>
    <t>CITIGROUP/MERRILL/UBS-INV-BANK(JOINT)
//A-G-EDWARDS/ADVEST/HR-BLOCK-FIN
/FERRIS-BAKER/JANNEY-LLC/LEGG-MASON
/MCDONALD/OPPENHEIMER-CO/QUICK-REILLY
/RBC-DAIN/TDWS/WEDBUSH-M/WELLS-FARGO
//BAIRD/BB-T-CAP/CROWELL/DBSECU
/MORGAN-KEEGAN/PIPER-JAFFRAY/STEPHENS
/STIFEL/DAVIDSON/WM-BLAIR/DOFT
/GMS-GROUP/J-B-HANAUER/LADENBURG
/MESIROW-FIN/M-L-STERN/STERNE-AGEE
/STOCK-INC/SUNTRUST-CAP</t>
  </si>
  <si>
    <t>CITIGROUP/MERRILL/UBS-INV-BANK</t>
  </si>
  <si>
    <t>CITIGROUP
/MERRILL
/UBS-INV-BANK(JOINT)
A-G-EDWARDS
ADVEST
HR-BLOCK-FIN
FERRIS-BAKER
JANNEY-LLC
LEGG-MASON
MCDONALD
OPPENHEIMER-CO
QUICK-REILLY
RBC-DAIN
TDWS
WEDBUSH-M
WELLS-FARGO</t>
  </si>
  <si>
    <t>Citigroup
Merrill Lynch &amp; Co Inc
UBS Investment Bank
AG Edwards &amp; Sons Inc
Advest Inc
H&amp;R Block Financial Advisors
Ferris Baker Watts Inc
Janney Montgomery Scott LLC
Legg Mason &amp; Co Inc
McDonald Investments Inc
Oppenheimer &amp; Co Inc
Quick &amp; Reilly Group, Inc.
RBC Dain Rauscher Corp
TD Waterhouse Securities
Wedbush Securities
Wells Fargo Bank NA</t>
  </si>
  <si>
    <t>Cohen &amp; Steers Select Utility</t>
  </si>
  <si>
    <t>UTF</t>
  </si>
  <si>
    <t>19248A109</t>
  </si>
  <si>
    <t>Merrill Lynch
AG Edwards &amp; Sons Inc
Wachovia Securities Inc
Deutsche Bank Securities Corp
Legg Mason Wood Walker
Raymond James &amp; Associates Inc
RBC Capital Markets
Wells Fargo Brokerage Svcs
Advest Inc
BB&amp;T Capital Markets
Robert W Baird &amp; Co Inc
H&amp;R Block Financial Advisors
JJB Hilliard WL Lyons Inc
Janney Montgomery Scott LLC
McDonald Investments
Quick &amp; Reilly Inc
Stifel Nicolaus &amp; Co Inc
TD Waterhouse Securities
UBS Investment Bank
Oppenheimer &amp; Co Inc
Piper Jaffray Cos
William Blair &amp; Co
Crowell Weedon &amp; Co
DA Davidson &amp; Co Inc
Doft &amp; Co Inc
Ferris Baker Watts
Morgan Keegan Inc
Parker-Hunter Inc
Stephens Inc
SunTrust Capital Markets
Wedbush Securities
Arthurs Lestrange
Brean Murray &amp; Co Inc
CE Unterberg Towbin
Chatsworth Securities LLC
City Securities
First Southwest
Gilford Securities
Harris Investor Services LLC
Howe Barnes Investments Inc
Wayne Hummer &amp; Co
Huntleigh Securities Corp
Jesup &amp; Lamont Securities
Johnston Lemon &amp; Co Inc
LaSalle Street Securities Inc
Maxim Group LLC
McGinn, Smith &amp; Co Inc
Mesirow Financial Corp
Morgan Wilshire Securities
Natcity Investments Inc.
National Securities Corp (US)
Needham &amp; Co LLC
Northeast Securities Inc.
David A. Noyes
Ormes Capital Markets Inc
Paulson Investment Co
Peacock Hislop Staley &amp; Given
Sands Brothers &amp; Co Ltd
The Seidler Companies Inc
Source Capital Group Inc
Southwest Securities Group Inc
Spelman &amp; Co.
Sterling Financial Corp
Sterne Agee &amp; Leach Inc
Torrey Pines Securities
JP Turner &amp; Co</t>
  </si>
  <si>
    <t>MERRILL//A-G-EDWARDS/WACHOVIA-SEC
/DEUTSCHE-BK-SEC/LEGG-MASON-WW/RAYMOND
/RBC-CAP-MKTS/WELLS-BROKERAGE/ADVEST
/BB-T-CAP/BAIRD/HR-BLOCK-FIN/HILLIARD
/JANNEY-LLC/MCDONALD/Q&amp;R/STIFEL/TDWS
/UBS-INV-BANK//OPPENHEIMER-CO
/PIPER-JAFFRAY/WM-BLAIR/CROWELL
/DAVIDSON/DOFT/FERRIS-BAKER
/MORGAN-KEEGAN/PARKER-HUNTER/STEPHENS
/SUNTRUST-CAP/WEDBUSH-M/ARTHURS-LES
/BREAN/UNTERBERG/CHATSWORTH/CITY-SEC
/FIRST-SW/GILFORD/HARRIS-INV-SVCS
/HOWE-BARNES/HUMMER/HUNTLEIGH-SEC/JESUP
/JOHNSTON-LEMON/LASALLE-SEC/MAXIM-GROUP
/MCGINN-SMITH/MESIROW-FIN
/MORGAN-WILSHIRE/NATCITY-INVEST
/NATL-SEC/NEEDHAM/NORTHEAST-SEC
/D-A-NOYES/ORMES/PAULSON/PEACOCK-HISLOP
/SANDS/SEIDLER-CO-INC/SOURCE-CAPITAL
/SOUTHWEST-SEC/SPELMAN/STERLING-FIN
/STERNE-AGEE/TORREY-PINES/J-P-TURNER</t>
  </si>
  <si>
    <t>MERRILL
A-G-EDWARDS
WACHOVIA-SEC
DEUTSCHE-BK-SEC
LEGG-MASON-WW
RAYMOND
RBC-CAP-MKTS
WELLS-BROKERAGE
ADVEST
BB-T-CAP
BAIRD
HR-BLOCK-FIN
HILLIARD
JANNEY-LLC
MCDONALD
Q&amp;R
STIFEL
TDWS
UBS-INV-BANK</t>
  </si>
  <si>
    <t>Merrill Lynch &amp; Co Inc
AG Edwards &amp; Sons Inc
Wachovia Securities Inc
Deutsche Bank Securities Corp.
Legg Mason Wood Walker Inc
Raymond James &amp; Associates Inc
RBC Capital Markets
Wells Fargo Brokerage Services LLC
Advest Inc
BB&amp;T Capital Markets
Robert W Baird &amp; Co Inc
H&amp;R Block Financial Advisors
JJB Hilliard WL Lyons Inc
Janney Montgomery Scott LLC
McDonald Investments Inc
Quick &amp; Reilly Inc
Stifel Nicolaus &amp; Co Inc
TD Waterhouse Securities
UBS Investment Bank</t>
  </si>
  <si>
    <t>Hornbeck Offshore Services Inc</t>
  </si>
  <si>
    <t>HOS</t>
  </si>
  <si>
    <t>Goldman Sachs &amp; Co
Jefferies &amp; Co Inc
Simmons &amp; Co International
Johnson Rice &amp; Co
Pritchard &amp; Partners Pty Ltd
Hibernia Southcoast Capital
Fidelity Capital Markets</t>
  </si>
  <si>
    <t>GS/JEFFERIES(JOINT)//SIMMONS
/JOHNSON-RICE//PRITCHARD-PART
/HIBERNIA-SOUTH/FIDELITY-CAP</t>
  </si>
  <si>
    <t>GS/JEFFERIES</t>
  </si>
  <si>
    <t>GS
/JEFFERIES(JOINT)
SIMMONS
JOHNSON-RICE</t>
  </si>
  <si>
    <t>Goldman Sachs &amp; Co
Jefferies &amp; Co Inc
Simmons &amp; Co International
Johnson Rice &amp; Co</t>
  </si>
  <si>
    <t>Macquarie Global Div &amp; Inc Fnd</t>
  </si>
  <si>
    <t>MFD</t>
  </si>
  <si>
    <t>55607W100</t>
  </si>
  <si>
    <t>Merrill Lynch
Robert W Baird &amp; Co Inc
Raymond James &amp; Associates Inc
RBC Capital Markets
SunTrust Robinson Humphrey
Deutsche Bank Securities
Harris Nesbitt
Piper Jaffray Cos
Advest Inc
BB&amp;T Capital Markets
William Blair &amp; Co
Crowell Weedon &amp; Co
DA Davidson &amp; Co Inc
Doft &amp; Co Inc
Ferris Baker Watts
Ladenburg Thalmann &amp; Co
McDonald Investments
Morgan Keegan Inc
Parker-Hunter Inc
Quick &amp; Reilly Group, Inc.
Ryan Beck &amp; Co
Stifel Nicolaus &amp; Co Inc
TD Waterhouse Securities
Wedbush Securities
Arthurs Lestrange
Axiom Capital Management Inc
Brean Murray &amp; Co Inc
Bishop, Rosen &amp; Co
CMG Institutional Trading LLC
Dominick &amp; Dominick Inc
First Southwest
Gilford Securities
Howe Barnes Investments Inc
Huntleigh Securities Corp
Johnston Lemon &amp; Co Inc
LaSalle Street Securities Inc
Maxim Group LLC
Mesirow Financial Corp
National Securities Corp (US)
Northeast Securities Inc.
David A. Noyes
Nutmeg Securities Ltd
Paulson Investment Co
Sands Brothers &amp; Co Ltd
Sanders Morris Harris Inc
The Seidler Companies Inc
Southwest Securities Group Inc
STERLING FINANCIAL INVESTMENT
Torrey Pines Securities</t>
  </si>
  <si>
    <t>MERRILL//BAIRD/RAYMOND/RBC-CAP-MKTS
/SUNTRUST-RH//DBSECU/HARRN
/PIPER-JAFFRAY/ADVEST/BB-T-CAP/WM-BLAIR
/CROWELL/DAVIDSON/DOFT/FERRIS-BAKER
/LADENBURG/MCDONALD/MORGAN-KEEGAN
/PARKER-HUNTER/QUICK-REILLY/RYAN-BECK
/STIFEL/TDWS/WEDBUSH-M/ARTHURS-LES
/AXIOM-CAP/BREAN/BISHOP-ROSEN/CMG-LLC
/DOMINICK/FIRST-SW/GILFORD/HOWE-BARNES
/HUNTLEIGH-SEC/JOHNSTON-LEMON
/LASALLE-SEC/MAXIM-GROUP/MESIROW-FIN
/NATL-SEC/NORTHEAST-SEC/D-A-NOYES
/NUTMEG-SEC/PAULSON/SANDS
/SANDERS-HARRIS/SEIDLER-CO-INC
/SOUTHWEST-SEC/STERLING-FIN-I
/TORREY-PINES</t>
  </si>
  <si>
    <t>MERRILL
BAIRD
RAYMOND
RBC-CAP-MKTS
SUNTRUST-RH</t>
  </si>
  <si>
    <t>Merrill Lynch &amp; Co Inc
Robert W Baird &amp; Co Inc
Raymond James &amp; Associates Inc
RBC Capital Markets
SunTrust Robinson Humphrey</t>
  </si>
  <si>
    <t>Neuberger Berman Dvd Adv Fnd</t>
  </si>
  <si>
    <t>NDD</t>
  </si>
  <si>
    <t>MERRILL/A-G-EDWARDS(JB)
/LEH(JB)</t>
  </si>
  <si>
    <t>64127J102</t>
  </si>
  <si>
    <t>Merrill Lynch
AG Edwards &amp; Sons Inc
Lehman Brothers
BB&amp;T Capital Markets
Robert W Baird &amp; Co Inc
JJB Hilliard WL Lyons Inc
Legg Mason Wood Walker
McDonald Investments
RBC Capital Markets
Stifel Nicolaus &amp; Co Inc
Wedbush Securities
Harris Nesbitt
Deutsche Bank Securities
Oppenheimer &amp; Co Inc
Piper Jaffray Cos
Advest Inc
Crowell Weedon &amp; Co
DA Davidson &amp; Co Inc
Doft &amp; Co Inc
Ferris Baker Watts
Janney Montgomery Scott LLC
Morgan Keegan Inc
Parker-Hunter Inc
Quick &amp; Reilly Inc
The Seidler Companies Inc
TD Waterhouse Securities
Arthurs Lestrange
Axiom Capital Management Inc
Brean Murray &amp; Co Inc
CMG Institutional Trading LLC
Dominick &amp; Dominick Inc
First Southwest
Gilford Securities
Howe Barnes Investments Inc
Johnston Lemon &amp; Co Inc
LaSalle Street Securities Inc
Leerink Swann &amp; Co
Maxim Group LLC
McGinn, Smith &amp; Co Inc
Mesirow Financial Corp
Morgan Wilshire Securities
National Securities Corp (US)
Northeast Securities Inc.
David A. Noyes
Nutmeg Securities Ltd
Paulson Investment Co
Sanders Morris Harris Inc
Sands Brothers &amp; Co Ltd
Source Capital Group Inc
Southwest Securities Group Inc
Spelman &amp; Co.
STERLING FINANCIAL INVESTMENT
M. L. Stern
Stone &amp; Youngberg
Torrey Pines Securities</t>
  </si>
  <si>
    <t>MERRILL(JB)/A-G-EDWARDS(JB)/LEH(JB)
//BB-T-CAP/BAIRD/HILLIARD/LEGG-MASON-WW
/MCDONALD/RBC-CAP-MKTS/STIFEL/WEDBUSH-M
/HARRN/DBSECU/OPPENHEIMER-CO
/PIPER-JAFFRAY/ADVEST/CROWELL/DAVIDSON
/DOFT/FERRIS-BAKER/JANNEY-LLC
/MORGAN-KEEGAN/PARKER-HUNTER/Q&amp;R
/SEIDLER-CO-INC/TDWS/ARTHURS-LES
/AXIOM-CAP/BREAN/CMG-LLC/DOMINICK
/FIRST-SW/GILFORD/HOWE-BARNES
/JOHNSTON-LEMON/LASALLE-SEC
/LEERINK-SWANN/MAXIM-GROUP/MCGINN-SMITH
/MESIROW-FIN/MORGAN-WILSHIRE/NATL-SEC
/NORTHEAST-SEC/D-A-NOYES/NUTMEG-SEC
/PAULSON/SANDERS-HARRIS/SANDS
/SOURCE-CAPITAL/SOUTHWEST-SEC/SPELMAN
/STERLING-FIN-I/M-L-STERN/STONE-YOUNG
/TORREY-PINES</t>
  </si>
  <si>
    <t>MERRILL/A-G-EDWARDS/LEH</t>
  </si>
  <si>
    <t>MERRILL
(JB)/A-G-EDWARDS(JB)
/LEH(JB)</t>
  </si>
  <si>
    <t>Merrill Lynch &amp; Co Inc
AG Edwards &amp; Sons Inc
Lehman Brothers</t>
  </si>
  <si>
    <t>Nuveen Floating Rate Income</t>
  </si>
  <si>
    <t>JFR</t>
  </si>
  <si>
    <t>67072T108</t>
  </si>
  <si>
    <t>Citigroup
Nuveen Investments LLC
AG Edwards &amp; Sons Inc
Wachovia Securities Inc
Advest Inc
Ferris Baker Watts
JJB Hilliard WL Lyons Inc
Janney Montgomery Scott LLC
McDonald Investments
Oppenheimer &amp; Co Inc
Quick &amp; Reilly Inc
RBC Capital Markets
Ryan Beck &amp; Co
Stifel Nicolaus &amp; Co Inc
SunTrust Capital Markets
Robert W Baird &amp; Co Inc
Crowell Weedon &amp; Co
Deutsche Bank Securities
Piper Jaffray Cos
Smith, Moore
M. L. Stern
TD Waterhouse Securities
Wedbush Securities
DA Davidson &amp; Co Inc
Doft &amp; Co Inc
Harris Investor Services LLC
Hazlett, Burt &amp; Watson
National Securities Corp (US)
Spelman &amp; Co.
Axiom Capital Management Inc
BB&amp;T Capital Markets
City Securities
First Montauk Securities
Howe Barnes Investments Inc
Johnston Lemon &amp; Co Inc
LaSalle Street Securities Inc
Maxim Group LLC
Mesirow Financial Corp
Parker-Hunter Inc
Sanders Morris Harris Inc
Sands Brothers &amp; Co Ltd
Source Capital Group Inc
Southwest Securities Inc
Sterne Agee &amp; Leach Inc
Wunderlich Securities Inc</t>
  </si>
  <si>
    <t>CITIGROUP//NUVEEN-INV/A-G-EDWARDS
/WACHOVIA-SEC/ADVEST/FERRIS-BAKER
/HILLIARD/JANNEY-LLC/MCDONALD
/OPPENHEIMER-CO/Q&amp;R/RBC-CAP-MKTS
/RYAN-BECK/STIFEL/SUNTRUST-CAP//BAIRD
/CROWELL/DBSECU/PIPER-JAFFRAY
/SMITH-MOORE/M-L-STERN/TDWS/WEDBUSH-M
/DAVIDSON/DOFT/HARRIS-INV-SVCS/HAZLETT
/NATL-SEC/SPELMAN/AXIOM-CAP/BB-T-CAP
/CITY-SEC/FIRST-MONTAUK/HOWE-BARNES
/JOHNSTON-LEMON/LASALLE-SEC/MAXIM-GROUP
/MESIROW-FIN/PARKER-HUNTER
/SANDERS-HARRIS/SANDS/SOURCE-CAPITAL
/SWS-SEC/STERNE-AGEE/WUNDERLICH</t>
  </si>
  <si>
    <t>CITIGROUP
NUVEEN-INV
A-G-EDWARDS
WACHOVIA-SEC
ADVEST
FERRIS-BAKER
HILLIARD
JANNEY-LLC
MCDONALD
OPPENHEIMER-CO
Q&amp;R
RBC-CAP-MKTS
RYAN-BECK
STIFEL
SUNTRUST-CAP</t>
  </si>
  <si>
    <t>Citigroup
Nuveen Investments LLC
AG Edwards &amp; Sons Inc
Wachovia Securities Inc
Advest Inc
Ferris Baker Watts Inc
JJB Hilliard WL Lyons Inc
Janney Montgomery Scott LLC
McDonald Investments Inc
Oppenheimer &amp; Co Inc
Quick &amp; Reilly Inc
RBC Capital Markets
Ryan Beck &amp; Co
Stifel Nicolaus &amp; Co Inc
SunTrust Capital Markets</t>
  </si>
  <si>
    <t>Anadys Pharmaceuticals Inc</t>
  </si>
  <si>
    <t>ANDS</t>
  </si>
  <si>
    <t>03252Q408</t>
  </si>
  <si>
    <t>SG Cowen Securities Corp
Piper Jaffray Cos
Legg Mason Wood Walker
Needham &amp; Co LLC
Lehman Brothers</t>
  </si>
  <si>
    <t>SG-COWEN/PIPER-JAFFRAY(JOINT)
//LEGG-MASON-WW/NEEDHAM//LEH</t>
  </si>
  <si>
    <t>SG-COWEN/PIPER-JAFFRAY</t>
  </si>
  <si>
    <t>SG-COWEN
/PIPER-JAFFRAY(JOINT)
LEGG-MASON-WW
NEEDHAM</t>
  </si>
  <si>
    <t>SG Cowen Securities Corp
Piper Jaffray Cos
Legg Mason Wood Walker Inc
Needham &amp; Co LLC</t>
  </si>
  <si>
    <t>Cutera Inc</t>
  </si>
  <si>
    <t>CUTR</t>
  </si>
  <si>
    <t>PIPER-JAFFRAY</t>
  </si>
  <si>
    <t>Piper Jaffray Cos
SG Cowen Securities Corp
RBC Capital Markets
Banc of America Securities LLC
Needham &amp; Co LLC
Wachovia Capital Markets
Thomas Weisel Partners</t>
  </si>
  <si>
    <t>09/26/04
09/26/04</t>
  </si>
  <si>
    <t xml:space="preserve">61.746
</t>
  </si>
  <si>
    <t xml:space="preserve">6556114.00
</t>
  </si>
  <si>
    <t>PIPER-JAFFRAY//SG-COWEN/RBC-CAP-MKTS
//BA-SEC-LLC/NEEDHAM/WACHOVIA-CAP
/THOMAS-WEISEL</t>
  </si>
  <si>
    <t>PIPER-JAFFRAY
SG-COWEN
RBC-CAP-MKTS</t>
  </si>
  <si>
    <t>Piper Jaffray Cos
SG Cowen Securities Corp
RBC Capital Markets</t>
  </si>
  <si>
    <t>Marchex Inc</t>
  </si>
  <si>
    <t>MCHX</t>
  </si>
  <si>
    <t>SANDERS-HARRIS</t>
  </si>
  <si>
    <t>56624R108</t>
  </si>
  <si>
    <t>Sanders Morris Harris Inc
National Securities Corp (US)</t>
  </si>
  <si>
    <t>SANDERS-HARRIS//NATL-SEC</t>
  </si>
  <si>
    <t>SANDERS-HARRIS
NATL-SEC</t>
  </si>
  <si>
    <t>Santarus Inc</t>
  </si>
  <si>
    <t>SNTS</t>
  </si>
  <si>
    <t>SG-COWEN
/UBS-INV-BANK(JB)</t>
  </si>
  <si>
    <t>SG Cowen Securities Corp
UBS Investment Bank
Thomas Weisel Partners
RBC Capital Markets</t>
  </si>
  <si>
    <t>SG-COWEN(JB)/UBS-INV-BANK(JB)
//THOMAS-WEISEL/RBC-CAP-MKTS</t>
  </si>
  <si>
    <t>SG-COWEN/UBS-INV-BANK</t>
  </si>
  <si>
    <t>SG-COWEN
(JB)/UBS-INV-BANK(JB)
THOMAS-WEISEL
RBC-CAP-MKTS</t>
  </si>
  <si>
    <t>Apollo Investment Corp</t>
  </si>
  <si>
    <t>AINV</t>
  </si>
  <si>
    <t>UBS-INV-BANK
/CITIGROUP(JB)/JPM(JB)</t>
  </si>
  <si>
    <t>03761U106</t>
  </si>
  <si>
    <t>UBS Investment Bank
Citigroup
JP Morgan
Wachovia Securities Inc
Banc of America Securities LLC
Legg Mason Wood Walker
RBC Capital Markets</t>
  </si>
  <si>
    <t>UBS-INV-BANK(JB)/CITIGROUP(JB)/JPM(JB)
//WACHOVIA-SEC/BA-SEC-LLC/LEGG-MASON-WW
/RBC-CAP-MKTS</t>
  </si>
  <si>
    <t>UBS-INV-BANK/CITIGROUP/JPM</t>
  </si>
  <si>
    <t>UBS-INV-BANK
(JB)/CITIGROUP(JB)
/JPM(JB)
WACHOVIA-SEC
BA-SEC-LLC
LEGG-MASON-WW
RBC-CAP-MKTS</t>
  </si>
  <si>
    <t>UBS Investment Bank
Citigroup
JP Morgan &amp; Co Inc
Wachovia Securities Inc
Banc of America Securities LLC
Legg Mason Wood Walker Inc
RBC Capital Markets</t>
  </si>
  <si>
    <t>Jed Oil Inc</t>
  </si>
  <si>
    <t>JEDOF</t>
  </si>
  <si>
    <t>Gilford Securities</t>
  </si>
  <si>
    <t>Memory Pharmaceuticals Corp</t>
  </si>
  <si>
    <t>MEMY</t>
  </si>
  <si>
    <t>58606R403</t>
  </si>
  <si>
    <t>UBS Investment Bank
SG Cowen Securities Corp
Banc of America Securities LLC
Fortis Securities Inc
Dominick &amp; Dominick Inc</t>
  </si>
  <si>
    <t>UBS-INV-BANK/SG-COWEN(JOINT)
//BA-SEC-LLC/FORTIS-SEC//DOMINICK</t>
  </si>
  <si>
    <t>UBS-INV-BANK/SG-COWEN</t>
  </si>
  <si>
    <t>UBS-INV-BANK
/SG-COWEN(JOINT)
BA-SEC-LLC
FORTIS-SEC</t>
  </si>
  <si>
    <t>UBS Investment Bank
SG Cowen Securities Corp
Banc of America Securities LLC
Fortis Securities Inc</t>
  </si>
  <si>
    <t>Arbor Realty Trust Inc</t>
  </si>
  <si>
    <t>ABR</t>
  </si>
  <si>
    <t>038923108</t>
  </si>
  <si>
    <t>Wachovia Securities Inc
UBS Investment Bank
JMP Securities LLC
Bear Stearns &amp; Co Inc
Friedman Billings Ramsey &amp; Co
Legg Mason Wood Walker
Lehman Brothers
Northeast Securities Inc.
Piper Jaffray Cos</t>
  </si>
  <si>
    <t>10/03/04
06/05/04</t>
  </si>
  <si>
    <t>180
60</t>
  </si>
  <si>
    <t>WACHOVIA-SEC/UBS-INV-BANK(JOINT)
//JMP-SEC//BEAR/FRIEDMAN-B-CO
/LEGG-MASON-WW/LEH/NORTHEAST-SEC
/PIPER-JAFFRAY</t>
  </si>
  <si>
    <t>WACHOVIA-SEC/UBS-INV-BANK</t>
  </si>
  <si>
    <t>WACHOVIA-SEC
/UBS-INV-BANK(JOINT)
JMP-SEC</t>
  </si>
  <si>
    <t>Wachovia Securities Inc
UBS Investment Bank
JMP Securities LLC</t>
  </si>
  <si>
    <t>Corcept Therapeutics Inc</t>
  </si>
  <si>
    <t>CORT</t>
  </si>
  <si>
    <t>Thomas Weisel Partners
Piper Jaffray Cos
Legg Mason Wood Walker
Fidelity Capital Markets
Punk Ziegel &amp; Co LP
WR Hambrecht &amp; Co LLC</t>
  </si>
  <si>
    <t>THOMAS-WEISEL/PIPER-JAFFRAY(JOINT)
//LEGG-MASON-WW//FIDELITY-CAP/PUNK
/W-R-HAMBRECHT</t>
  </si>
  <si>
    <t>THOMAS-WEISEL/PIPER-JAFFRAY</t>
  </si>
  <si>
    <t>THOMAS-WEISEL
/PIPER-JAFFRAY(JOINT)
LEGG-MASON-WW</t>
  </si>
  <si>
    <t>Thomas Weisel Partners
Piper Jaffray Cos
Legg Mason Wood Walker Inc</t>
  </si>
  <si>
    <t>Immunicon Corp</t>
  </si>
  <si>
    <t>IMMC</t>
  </si>
  <si>
    <t>45260A107</t>
  </si>
  <si>
    <t>UBS Investment Bank
SG Cowen Securities Corp
Legg Mason Wood Walker
Adams Harkness &amp; Hill Inc
First Albany
Leerink Swann &amp; Co
Williams Capital Group LP</t>
  </si>
  <si>
    <t>10/13/04
10/13/04</t>
  </si>
  <si>
    <t xml:space="preserve">69.781
</t>
  </si>
  <si>
    <t xml:space="preserve">15933633.00
</t>
  </si>
  <si>
    <t>UBS-INV-BANK//SG-COWEN/LEGG-MASON-WW
/ADAMS-HARKNESS//FIRST-ALBANY
/LEERINK-SWANN/WILLIAMS-CAP</t>
  </si>
  <si>
    <t>UBS-INV-BANK
SG-COWEN
LEGG-MASON-WW
ADAMS-HARKNESS</t>
  </si>
  <si>
    <t>UBS Investment Bank
SG Cowen Securities Corp
Legg Mason Wood Walker Inc
Adams Harkness &amp; Hill Inc</t>
  </si>
  <si>
    <t>Gander Mountain Co</t>
  </si>
  <si>
    <t>GMTN</t>
  </si>
  <si>
    <t>BA-SEC-LLC/WM-BLAIR(JB)</t>
  </si>
  <si>
    <t>36471P108</t>
  </si>
  <si>
    <t>Banc of America Securities LLC
William Blair &amp; Co
Piper Jaffray Cos</t>
  </si>
  <si>
    <t>BA-SEC-LLC(JB)/WM-BLAIR(JB)
//PIPER-JAFFRAY</t>
  </si>
  <si>
    <t>BA-SEC-LLC/WM-BLAIR</t>
  </si>
  <si>
    <t>BA-SEC-LLC
(JB)/WM-BLAIR(JB)
PIPER-JAFFRAY</t>
  </si>
  <si>
    <t>ProCentury Corp</t>
  </si>
  <si>
    <t>PROS</t>
  </si>
  <si>
    <t>74268T108</t>
  </si>
  <si>
    <t>Friedman Billings Ramsey Group
AG Edwards &amp; Sons Inc
Raymond James &amp; Associates Inc
Advest Inc
Blaylock &amp; Partners LP
Sandler O'Neill Partners
Stifel Nicolaus &amp; Co Inc</t>
  </si>
  <si>
    <t>FRIEDMAN-B//A-G-EDWARDS/RAYMOND//ADVEST
/BLAYLOCK-PTRNS/SANDLER-ONEILL/STIFEL</t>
  </si>
  <si>
    <t>FRIEDMAN-B
A-G-EDWARDS
RAYMOND</t>
  </si>
  <si>
    <t>Friedman Billings Ramsey Group
AG Edwards &amp; Sons Inc
Raymond James &amp; Associates Inc</t>
  </si>
  <si>
    <t>SiRF Technology Holdings Inc</t>
  </si>
  <si>
    <t>SIRF</t>
  </si>
  <si>
    <t>82967H101</t>
  </si>
  <si>
    <t>Morgan Stanley
Credit Suisse First Boston
Deutsche Bank Securities Corp
Thomas Weisel Partners</t>
  </si>
  <si>
    <t>10/18/04
12/17/04</t>
  </si>
  <si>
    <t>49.534
22.795</t>
  </si>
  <si>
    <t>180
240</t>
  </si>
  <si>
    <t>22535570.00
10370638.00</t>
  </si>
  <si>
    <t>MORGAN-STANLEY/CS-FB-CS(JOINT)
//DEUTSCHE-BK-SEC/THOMAS-WEISEL</t>
  </si>
  <si>
    <t>MORGAN-STANLEY
/CS-FB-CS(JOINT)
DEUTSCHE-BK-SEC
THOMAS-WEISEL</t>
  </si>
  <si>
    <t>Morgan Stanley
Credit Suisse First Boston Corp
Deutsche Bank Securities Corp.
Thomas Weisel Partners</t>
  </si>
  <si>
    <t>Assured Guaranty Ltd</t>
  </si>
  <si>
    <t>AGO</t>
  </si>
  <si>
    <t>BA-SEC-LLC/GS(JB)</t>
  </si>
  <si>
    <t>G0585R106</t>
  </si>
  <si>
    <t>Banc of America Securities LLC
Goldman Sachs &amp; Co
Citigroup
Deutsche Bank Securities Corp
JP Morgan
Merrill Lynch
UBS Investment Bank
Wachovia Securities Inc
Keefe Bruyette &amp; Woods Inc
William Blair &amp; Co
ABN AMRO Incorporated
Bear Stearns &amp; Co Inc
Blaylock &amp; Partners LP
Credit Lyonnais Securities USA
Hongkong &amp; Shanghai Bank (HK)
Lazard Freres &amp; Co LLC
Legg Mason Wood Walker
RBC Dominion Securities Corp
Sandler O'Neill Partners</t>
  </si>
  <si>
    <t>BA-SEC-LLC(JB)/GS(JB)//CITIGROUP
/DEUTSCHE-BK-SEC/JPM/MERRILL
/UBS-INV-BANK/WACHOVIA-SEC/KEEFE
/WM-BLAIR//ABN-AMRO-INC/BEAR
/BLAYLOCK-PTRNS/CL-SEC-USA
/HONG-SHANG-BKG/LAZ/LEGG-MASON-WW
/RBC-DOM-US/SANDLER-ONEILL</t>
  </si>
  <si>
    <t>BA-SEC-LLC/GS</t>
  </si>
  <si>
    <t>BA-SEC-LLC
(JB)/GS(JB)
CITIGROUP
DEUTSCHE-BK-SEC
JPM
MERRILL
UBS-INV-BANK
WACHOVIA-SEC
KEEFE
WM-BLAIR</t>
  </si>
  <si>
    <t>Banc of America Securities LLC
Goldman Sachs &amp; Co
Citigroup
Deutsche Bank Securities Corp.
JP Morgan &amp; Co Inc
Merrill Lynch &amp; Co Inc
UBS Investment Bank
Wachovia Securities Inc
Keefe Bruyette &amp; Woods Inc
William Blair &amp; Co</t>
  </si>
  <si>
    <t>Capital &amp; Income Strategies Fn</t>
  </si>
  <si>
    <t>CII</t>
  </si>
  <si>
    <t>13971Y103</t>
  </si>
  <si>
    <t>Merrill Lynch
Advest Inc
Robert W Baird &amp; Co Inc
BNY Capital Markets Inc
Legg Mason Wood Walker
McDonald Investments
Oppenheimer &amp; Co Inc
SunTrust Capital Markets
BB&amp;T Capital Markets
William Blair &amp; Co
Crowell Weedon &amp; Co
DA Davidson &amp; Co Inc
Deutsche Bank Securities
Doft &amp; Co Inc
Gabelli &amp; Co Inc
Morgan Keegan Inc
Needham &amp; Co LLC
Piper Jaffray Cos
Quick &amp; Reilly Inc
Ryan Beck &amp; Co
Stephens Inc
Stifel Nicolaus &amp; Co Inc
TD Waterhouse Securities
Wedbush Securities
Brean Murray &amp; Co Inc
CE Unterberg Towbin
CMG Institutional Trading LLC
Chatsworth Securities LLC
Dominick &amp; Dominick Inc
First Montauk Securities
First Southwest
Hoefer &amp; Arnett Inc
Howe Barnes Investments Inc
Johnston Lemon &amp; Co Inc
LaSalle Street Securities Inc
Maxim Group LLC
Mesirow Financial Corp
Morgan Wilshire Securities
National Securities Corp (US)
David A. Noyes
Peacock Hislop Staley &amp; Given
Sanders Morris Harris Inc
Sands Brothers &amp; Co Ltd
Southwest Securities Inc
STERLING FINANCIAL INVESTMENT
M. L. Stern
Stone &amp; Youngberg
JP Turner &amp; Co
Westminster Securities</t>
  </si>
  <si>
    <t>MERRILL//ADVEST/BAIRD/BNY-CAP
/LEGG-MASON-WW/MCDONALD/OPPENHEIMER-CO
/SUNTRUST-CAP//BB-T-CAP/WM-BLAIR
/CROWELL/DAVIDSON/DBSECU/DOFT/GABELLI
/MORGAN-KEEGAN/NEEDHAM/PIPER-JAFFRAY
/Q&amp;R/RYAN-BECK/STEPHENS/STIFEL/TDWS
/WEDBUSH-M/BREAN/UNTERBERG/CMG-LLC
/CHATSWORTH/DOMINICK/FIRST-MONTAUK
/FIRST-SW/HOEFER-ARNETT/HOWE-BARNES
/JOHNSTON-LEMON/LASALLE-SEC/MAXIM-GROUP
/MESIROW-FIN/MORGAN-WILSHIRE/NATL-SEC
/D-A-NOYES/PEACOCK-HISLOP
/SANDERS-HARRIS/SANDS/SWS-SEC
/STERLING-FIN-I/M-L-STERN/STONE-YOUNG
/J-P-TURNER/WESTMINSTER</t>
  </si>
  <si>
    <t>MERRILL
ADVEST
BAIRD
BNY-CAP
LEGG-MASON-WW
MCDONALD
OPPENHEIMER-CO
SUNTRUST-CAP</t>
  </si>
  <si>
    <t>Merrill Lynch &amp; Co Inc
Advest Inc
Robert W Baird &amp; Co Inc
BNY Capital Markets Inc
Legg Mason Wood Walker Inc
McDonald Investments Inc
Oppenheimer &amp; Co Inc
SunTrust Capital Markets</t>
  </si>
  <si>
    <t>Eaton Vance Tax Adv Global Div</t>
  </si>
  <si>
    <t>ETO</t>
  </si>
  <si>
    <t>UBS-INV-BANK
/MERRILL(JB)
/WACHOVIA-SEC(JB)</t>
  </si>
  <si>
    <t>27828U106</t>
  </si>
  <si>
    <t>UBS Investment Bank
Merrill Lynch
Wachovia Securities Inc
AG Edwards &amp; Sons Inc
Royal Bank of Canada
H&amp;R Block Financial Advisors
Janney Montgomery Scott Inc
Oppenheimer &amp; Co Inc
Quick &amp; Reilly Inc
Wells Fargo Bank NA
Robert W Baird &amp; Co Inc
Deutsche Bank Securities
Ferris Baker Watts
Legg Mason Wood Walker
McDonald Investments
Piper Jaffray Cos
Ryan Beck &amp; Co
SunTrust Capital Markets
TD Waterhouse Securities
Advest Inc
DA Davidson &amp; Co Inc
William Blair &amp; Co
JJB Hilliard WL Lyons Inc
Jesup &amp; Lamont Securities
Morgan Keegan Inc
Parker-Hunter Inc
Royal Alliance Associates
Wedbush Securities
J. B. Hanauer
Boenning &amp; Scattergood
Mesirow Financial Corp
Morgan Wilshire Securities
Fifth Third Securities Inc
M. L. Stern
Arthurs Lestrange
Axiom Capital Management Inc
BB&amp;T Capital Markets
City Securities
Gilford Securities
GunnAllen Financial Inc
Howe Barnes Investments Inc
Wayne Hummer &amp; Co
Johnston Lemon &amp; Co Inc
Kirlin Securities Inc.
LaSalle Street Securities Inc
David A. Noyes
Paulson Investment Co
Smith Hayes Financial Services
SouthTrust Securities
Spelman &amp; Co.
Spencer Clarke LLC
Walnut Street Securities Inc
BC Ziegler &amp; Co
Southwest Securities Inc</t>
  </si>
  <si>
    <t>UBS-INV-BANK(JB)/MERRILL(JB)
/WACHOVIA-SEC(JB)//A-G-EDWARDS/RBC
/HR-BLOCK-FIN/JANNEY/OPPENHEIMER-CO/Q&amp;R
/WELLS-FARGO//BAIRD/DBSECU/FERRIS-BAKER
/LEGG-MASON-WW/MCDONALD/PIPER-JAFFRAY
/RYAN-BECK/SUNTRUST-CAP/TDWS/ADVEST
/DAVIDSON/WM-BLAIR/HILLIARD/JESUP
/MORGAN-KEEGAN/PARKER-HUNTER
/ROYAL-ALLIANCE/WEDBUSH-M/J-B-HANAUER
/BOENNING/MESIROW-FIN/MORGAN-WILSHIRE
/FIFTH-THIRD-SEC/M-L-STERN/ARTHURS-LES
/AXIOM-CAP/BB-T-CAP/CITY-SEC/GILFORD
/GUNNALLEN-FINL/HOWE-BARNES/HUMMER
/JOHNSTON-LEMON/KIRLIN/LASALLE-SEC
/D-A-NOYES/PAULSON/SMITH-HAYES
/SOUTHTRUST-SEC/SPELMAN/SPENCER-CLARKE
/WALNUT-ST-SEC/ZIEGLER/SWS-SEC</t>
  </si>
  <si>
    <t>UBS-INV-BANK/MERRILL/WACHOVIA-SEC</t>
  </si>
  <si>
    <t>UBS-INV-BANK
(JB)/MERRILL(JB)
/WACHOVIA-SEC(JB)
A-G-EDWARDS
RBC
HR-BLOCK-FIN
JANNEY
OPPENHEIMER-CO
Q&amp;R
WELLS-FARGO</t>
  </si>
  <si>
    <t>UBS Investment Bank
Merrill Lynch &amp; Co Inc
Wachovia Securities Inc
AG Edwards &amp; Sons Inc
Royal Bank of Canada
H&amp;R Block Financial Advisors
Janney Montgomery Scott Inc
Oppenheimer &amp; Co Inc
Quick &amp; Reilly Inc
Wells Fargo Bank NA</t>
  </si>
  <si>
    <t>Evergreen Utilities &amp; High</t>
  </si>
  <si>
    <t>ERH</t>
  </si>
  <si>
    <t>30034Q109</t>
  </si>
  <si>
    <t>Citigroup
AG Edwards &amp; Sons Inc
Merrill Lynch
Wachovia Securities Inc
Advest Inc
Baker, Watts
Janney Montgomery Scott LLC
McDonald Investments
Quick &amp; Reilly Inc
Wells Fargo &amp; Co
Morgan Keegan Inc
Piper Jaffray Cos
RBC Capital Markets
Stephens Inc
Stifel Nicolaus &amp; Co Inc
SunTrust Capital Markets
TD Waterhouse Securities
UBS Securities Inc
Wedbush Securities
Robert W Baird &amp; Co Inc
Crowell Weedon &amp; Co
DA Davidson &amp; Co Inc
Doft &amp; Co Inc
Southwest Securities Inc
GunnAllen Financial Inc
Mesirow Financial Corp
National Securities Corp (US)
Stockcross Inc
Wunderlich Securities Inc</t>
  </si>
  <si>
    <t>CITIGROUP//A-G-EDWARDS/MERRILL
/WACHOVIA-SEC/ADVEST/BAKER-WATTS
/JANNEY-LLC/MCDONALD/Q&amp;R/WF
//MORGAN-KEEGAN/PIPER-JAFFRAY
/RBC-CAP-MKTS/STEPHENS/STIFEL
/SUNTRUST-CAP/TDWS/UBS-SEC/WEDBUSH-M
/BAIRD/CROWELL/DAVIDSON/DOFT/SWS-SEC
/GUNNALLEN-FINL/MESIROW-FIN/NATL-SEC
/STOCK-INC/WUNDERLICH</t>
  </si>
  <si>
    <t>CITIGROUP
A-G-EDWARDS
MERRILL
WACHOVIA-SEC
ADVEST
BAKER-WATTS
JANNEY-LLC
MCDONALD
Q&amp;R
WF</t>
  </si>
  <si>
    <t>Citigroup
AG Edwards &amp; Sons Inc
Merrill Lynch &amp; Co Inc
Wachovia Securities Inc
Advest Inc
Baker, Watts &amp; Co.
Janney Montgomery Scott LLC
McDonald Investments Inc
Quick &amp; Reilly Inc
Wells Fargo &amp; Co</t>
  </si>
  <si>
    <t>First Tr Value &amp; Ibbotson Eqty</t>
  </si>
  <si>
    <t>FVI</t>
  </si>
  <si>
    <t>33735H105</t>
  </si>
  <si>
    <t>AG Edwards &amp; Sons Inc
Merrill Lynch
H&amp;R Block Financial Advisors
Dominick &amp; Dominick Inc
Janney Montgomery Scott LLC
McDonald Investments
Legg Mason Wood Walker
Morgan Keegan Inc
Quick &amp; Reilly Inc
RBC Dain Rauscher Corp
Ryan Beck &amp; Co
Stifel Nicolaus &amp; Co Inc
Wells Fargo Securities LLC
Advest Inc
Robert W Baird &amp; Co Inc
BB&amp;T Capital Markets
William Blair &amp; Co
Crowell Weedon &amp; Co
Ferris Baker Watts
JJB Hilliard WL Lyons Inc
David A. Noyes
Oppenheimer &amp; Co Inc
Piper Jaffray Cos
Stephens Inc
SunTrust Capital Markets</t>
  </si>
  <si>
    <t>A-G-EDWARDS//MERRILL/HR-BLOCK-FIN
/DOMINICK/JANNEY-LLC/MCDONALD
/LEGG-MASON-WW/MORGAN-KEEGAN/Q&amp;R
/RBC-DAIN/RYAN-BECK/STIFEL
/WELLS-FARGO-SEC//ADVEST/BAIRD/BB-T-CAP
/WM-BLAIR/CROWELL/FERRIS-BAKER/HILLIARD
/D-A-NOYES/OPPENHEIMER-CO/PIPER-JAFFRAY
/STEPHENS/SUNTRUST-CAP</t>
  </si>
  <si>
    <t>A-G-EDWARDS
MERRILL
HR-BLOCK-FIN
DOMINICK
JANNEY-LLC
MCDONALD
LEGG-MASON-WW
MORGAN-KEEGAN
Q&amp;R
RBC-DAIN
RYAN-BECK
STIFEL
WELLS-FARGO-SEC</t>
  </si>
  <si>
    <t>AG Edwards &amp; Sons Inc
Merrill Lynch &amp; Co Inc
H&amp;R Block Financial Advisors
Dominick &amp; Dominick Inc
Janney Montgomery Scott LLC
McDonald Investments Inc
Legg Mason Wood Walker Inc
Morgan Keegan Inc
Quick &amp; Reilly Inc
RBC Dain Rauscher Corp
Ryan Beck &amp; Co
Stifel Nicolaus &amp; Co Inc
Wells Fargo Securities LLC</t>
  </si>
  <si>
    <t>Lazard Global Tot. Ret. Inc Fn</t>
  </si>
  <si>
    <t>LGI</t>
  </si>
  <si>
    <t>52106W103</t>
  </si>
  <si>
    <t>Citigroup
Merrill Lynch
H&amp;R Block Financial Advisors
Crowell Weedon &amp; Co
Ferris Baker Watts
JJB Hilliard WL Lyons Inc
McDonald Investments
Oppenheimer &amp; Co Inc
Raymond James &amp; Associates Inc
RBC Capital Markets
Stifel Nicolaus &amp; Co Inc
Wedbush Securities
Advest Inc
DA Davidson &amp; Co Inc
Legg Mason Wood Walker
Morgan Keegan Inc
Piper Jaffray Cos
Quick &amp; Reilly Inc
TD Waterhouse Securities
Robert W Baird &amp; Co Inc
Brookstreet Securities
Doft &amp; Co Inc
National Securities Corp (US)
SunTrust Capital Markets
William Blair &amp; Co
David A. Noyes
Ladenburg Thalmann &amp; Co
Mesirow Financial Corp
M. L. Stern
Southwest Securities Inc</t>
  </si>
  <si>
    <t>CITIGROUP//MERRILL/HR-BLOCK-FIN/CROWELL
/FERRIS-BAKER/HILLIARD/MCDONALD
/OPPENHEIMER-CO/RAYMOND/RBC-CAP-MKTS
/STIFEL/WEDBUSH-M//ADVEST/DAVIDSON
/LEGG-MASON-WW/MORGAN-KEEGAN
/PIPER-JAFFRAY/Q&amp;R/TDWS/BAIRD
/BROOKSTREET/DOFT/NATL-SEC/SUNTRUST-CAP
/WM-BLAIR/D-A-NOYES/LADENBURG
/MESIROW-FIN/M-L-STERN/SWS-SEC</t>
  </si>
  <si>
    <t>CITIGROUP
MERRILL
HR-BLOCK-FIN
CROWELL
FERRIS-BAKER
HILLIARD
MCDONALD
OPPENHEIMER-CO
RAYMOND
RBC-CAP-MKTS
STIFEL
WEDBUSH-M</t>
  </si>
  <si>
    <t>Citigroup
Merrill Lynch &amp; Co Inc
H&amp;R Block Financial Advisors
Crowell Weedon &amp; Co
Ferris Baker Watts Inc
JJB Hilliard WL Lyons Inc
McDonald Investments Inc
Oppenheimer &amp; Co Inc
Raymond James &amp; Associates Inc
RBC Capital Markets
Stifel Nicolaus &amp; Co Inc
Wedbush Securities</t>
  </si>
  <si>
    <t>RMR Hosp&amp;Real Estate Fund</t>
  </si>
  <si>
    <t>RHR</t>
  </si>
  <si>
    <t>RBC-CAP-MKTS
/MERRILL(JB)</t>
  </si>
  <si>
    <t>74963J108</t>
  </si>
  <si>
    <t>RBC Capital Markets
Merrill Lynch
BB&amp;T Capital Markets
Harris Investor Services LLC
Legg Mason Wood Walker
Ferris Baker Watts
Stifel Nicolaus &amp; Co Inc
SunTrust Robinson Humphrey
Wachovia Securities Inc
Wedbush Securities
Wells Fargo &amp; Co
Advest Inc
Morgan Keegan Inc
BNY Capital Markets Inc
McDonald Investments
Oppenheimer &amp; Co Inc
Newbridge Securities
Parker-Hunter Inc
Piper Jaffray Cos
Sands Brothers &amp; Co Ltd
TD Waterhouse Securities
First Southwest
Johnston Lemon &amp; Co Inc
Robert W Baird &amp; Co Inc
Crowell Weedon &amp; Co
Howe Barnes Investments Inc
Quick &amp; Reilly Inc</t>
  </si>
  <si>
    <t>RBC-CAP-MKTS(JB)/MERRILL(JB)//BB-T-CAP
/HARRIS-INV-SVCS/LEGG-MASON-WW
/FERRIS-BAKER/STIFEL/SUNTRUST-RH
/WACHOVIA-SEC/WEDBUSH-M/WF/ADVEST
/MORGAN-KEEGAN//BNY-CAP/MCDONALD
/OPPENHEIMER-CO/NEWBRIDGE/PARKER-HUNTER
/PIPER-JAFFRAY/SANDS/TDWS/FIRST-SW
/JOHNSTON-LEMON/BAIRD/CROWELL
/HOWE-BARNES/Q&amp;R</t>
  </si>
  <si>
    <t>RBC-CAP-MKTS/MERRILL</t>
  </si>
  <si>
    <t>RBC-CAP-MKTS
(JB)/MERRILL(JB)
BB-T-CAP
HARRIS-INV-SVCS
LEGG-MASON-WW
FERRIS-BAKER
STIFEL
SUNTRUST-RH
WACHOVIA-SEC
WEDBUSH-M
WF
ADVEST
MORGAN-KEEGAN</t>
  </si>
  <si>
    <t>RBC Capital Markets
Merrill Lynch &amp; Co Inc
BB&amp;T Capital Markets
Harris Investor Services LLC
Legg Mason Wood Walker Inc
Ferris Baker Watts Inc
Stifel Nicolaus &amp; Co Inc
SunTrust Robinson Humphrey
Wachovia Securities Inc
Wedbush Securities
Wells Fargo &amp; Co
Advest Inc
Morgan Keegan Inc</t>
  </si>
  <si>
    <t>TS&amp;W/Claymore Tax-Adv Bal Fund</t>
  </si>
  <si>
    <t>TYW</t>
  </si>
  <si>
    <t>87280R108</t>
  </si>
  <si>
    <t>Merrill Lynch
Advest Inc
BB&amp;T Capital Markets
Robert W Baird &amp; Co Inc
Claymore Capital Pty Ltd
Ferris Baker Watts
JJB Hilliard WL Lyons Inc
Janney Montgomery Scott LLC
McDonald Investments
Legg Mason Wood Walker
Morgan Keegan Inc
RBC Capital Markets
Ryan Beck &amp; Co
Stifel Nicolaus &amp; Co Inc
SunTrust Capital Markets
Wedbush Securities
Quick &amp; Reilly Inc
Deutsche Bank Securities
Harris Nesbitt
Oppenheimer &amp; Co Inc
Piper Jaffray Cos
William Blair &amp; Co
Crowell Weedon &amp; Co
DA Davidson &amp; Co Inc
Doft &amp; Co Inc
Dominick &amp; Dominick Inc
Gabelli &amp; Co Inc
Ladenburg Thalmann &amp; Co
Parker-Hunter Inc
Stephens Inc
TD Waterhouse Securities
Axiom Capital Management Inc
Brean Murray &amp; Co Inc
CE Unterberg Towbin
CMG Institutional Trading LLC
Chatsworth Securities LLC
City Securities
Fidelity Capital Markets
Fifth Third Securities Inc
Hoefer &amp; Arnett Inc
Howe Barnes Investments Inc
Wayne Hummer &amp; Co
Huntleigh Securities Corp
Johnston Lemon &amp; Co Inc
LaSalle Street Securities Inc
Leerink Swann &amp; Co
Maxim Group LLC
Mesirow Financial Corp
Morgan Wilshire Securities
Natcity Investments Inc.
National Securities Corp (US)
Needham &amp; Co LLC
Newbridge Securities
David A. Noyes
Nutmeg Securities Ltd
Ormes Capital Markets Inc
Paulson Investment Co
Sanders Morris Harris Inc
Sands Brothers &amp; Co Ltd
The Seidler Companies Inc
Source Capital Group Inc
Southwest Securities Inc
Spelman &amp; Co.
STERLING FINANCIAL INVESTMENT
M. L. Stern
Sterne Agee &amp; Leach Inc
JP Turner &amp; Co
Westminster Securities
First Southwest</t>
  </si>
  <si>
    <t>MERRILL//ADVEST/BB-T-CAP/BAIRD/CLAY-CAP
/FERRIS-BAKER/HILLIARD/JANNEY-LLC
/MCDONALD/LEGG-MASON-WW/MORGAN-KEEGAN
/RBC-CAP-MKTS/RYAN-BECK/STIFEL
/SUNTRUST-CAP/WEDBUSH-M//Q&amp;R/DBSECU
/HARRN/OPPENHEIMER-CO/PIPER-JAFFRAY
/WM-BLAIR/CROWELL/DAVIDSON/DOFT
/DOMINICK/GABELLI/LADENBURG
/PARKER-HUNTER/STEPHENS/TDWS/AXIOM-CAP
/BREAN/UNTERBERG/CMG-LLC/CHATSWORTH
/CITY-SEC/FIDELITY-CAP/FIFTH-THIRD-SEC
/HOEFER-ARNETT/HOWE-BARNES/HUMMER
/HUNTLEIGH-SEC/JOHNSTON-LEMON
/LASALLE-SEC/LEERINK-SWANN/MAXIM-GROUP
/MESIROW-FIN/MORGAN-WILSHIRE
/NATCITY-INVEST/NATL-SEC/NEEDHAM
/NEWBRIDGE/D-A-NOYES/NUTMEG-SEC/ORMES
/PAULSON/SANDERS-HARRIS/SANDS
/SEIDLER-CO-INC/SOURCE-CAPITAL/SWS-SEC
/SPELMAN/STERLING-FIN-I/M-L-STERN
/STERNE-AGEE/J-P-TURNER/WESTMINSTER
/FIRST-SW</t>
  </si>
  <si>
    <t>MERRILL
ADVEST
BB-T-CAP
BAIRD
CLAY-CAP
FERRIS-BAKER
HILLIARD
JANNEY-LLC
MCDONALD
LEGG-MASON-WW
MORGAN-KEEGAN
RBC-CAP-MKTS
RYAN-BECK
STIFEL
SUNTRUST-CAP
WEDBUSH-M</t>
  </si>
  <si>
    <t>Merrill Lynch &amp; Co Inc
Advest Inc
BB&amp;T Capital Markets
Robert W Baird &amp; Co Inc
Claymore Capital Pty Ltd
Ferris Baker Watts Inc
JJB Hilliard WL Lyons Inc
Janney Montgomery Scott LLC
McDonald Investments Inc
Legg Mason Wood Walker Inc
Morgan Keegan Inc
RBC Capital Markets
Ryan Beck &amp; Co
Stifel Nicolaus &amp; Co Inc
SunTrust Capital Markets
Wedbush Securities</t>
  </si>
  <si>
    <t>Barrier Therapeutics Inc</t>
  </si>
  <si>
    <t>BTRX</t>
  </si>
  <si>
    <t>06850R108</t>
  </si>
  <si>
    <t>Morgan Stanley
Banc of America Securities LLC
JP Morgan</t>
  </si>
  <si>
    <t>MORGAN-STANLEY/BA-SEC-LLC(JOINT)//JPM</t>
  </si>
  <si>
    <t>MORGAN-STANLEY/BA-SEC-LLC</t>
  </si>
  <si>
    <t>MORGAN-STANLEY
/BA-SEC-LLC(JOINT)
JPM</t>
  </si>
  <si>
    <t>Morgan Stanley
Banc of America Securities LLC
JP Morgan &amp; Co Inc</t>
  </si>
  <si>
    <t>Cytokinetics Inc</t>
  </si>
  <si>
    <t>CYTK</t>
  </si>
  <si>
    <t>23282W100</t>
  </si>
  <si>
    <t>Goldman Sachs &amp; Co
Credit Suisse First Boston
Pacific Growth Equities Inc
Lazard Freres &amp; Co LLC</t>
  </si>
  <si>
    <t>GS//CS-FB-CS/PACIFIC-GROWTH/LAZ</t>
  </si>
  <si>
    <t>GS
CS-FB-CS
PACIFIC-GROWTH
LAZ</t>
  </si>
  <si>
    <t>Goldman Sachs &amp; Co
Credit Suisse First Boston Corp
Pacific Growth Equities Inc
Lazard Freres &amp; Co LLC</t>
  </si>
  <si>
    <t>Intersections Inc</t>
  </si>
  <si>
    <t>INTX</t>
  </si>
  <si>
    <t>Deutsche Bank Securities Corp
Lazard
Stephens Inc
SunTrust Robinson Humphrey
Williams Capital Group LP</t>
  </si>
  <si>
    <t>DEUTSCHE-BK-SEC/LAZARD(JOINT)//STEPHENS
/SUNTRUST-RH//WILLIAMS-CAP</t>
  </si>
  <si>
    <t>DEUTSCHE-BK-SEC/LAZARD</t>
  </si>
  <si>
    <t>DEUTSCHE-BK-SEC
/LAZARD(JOINT)
STEPHENS
SUNTRUST-RH</t>
  </si>
  <si>
    <t>Deutsche Bank Securities Corp.
Lazard
Stephens Inc
SunTrust Robinson Humphrey</t>
  </si>
  <si>
    <t>Greenhill &amp; Co Inc</t>
  </si>
  <si>
    <t>GHL</t>
  </si>
  <si>
    <t>Goldman Sachs &amp; Co
Lehman Brothers
UBS Investment Bank
Keefe Bruyette &amp; Woods Inc
Wachovia Securities Inc</t>
  </si>
  <si>
    <t>GS/LEH/UBS-INV-BANK(JOINT)//KEEFE
/WACHOVIA-SEC</t>
  </si>
  <si>
    <t>GS/LEH/UBS-INV-BANK</t>
  </si>
  <si>
    <t>GS
/LEH
/UBS-INV-BANK(JOINT)
KEEFE
WACHOVIA-SEC</t>
  </si>
  <si>
    <t>Origen Financial Inc</t>
  </si>
  <si>
    <t>ORGN</t>
  </si>
  <si>
    <t>68619E208</t>
  </si>
  <si>
    <t>Lehman Brothers
Credit Suisse First Boston
Flagstone Securities Inc
Fidelity Capital Markets
Legg Mason Wood Walker
Wachovia Securities Inc
Chatsworth Securities LLC
JP Morgan Securities Inc
Oppenheimer &amp; Co Inc
Ryan Beck &amp; Co
Stifel Nicolaus &amp; Co Inc</t>
  </si>
  <si>
    <t>07/04/04
08/03/04
11/01/04
04/30/05</t>
  </si>
  <si>
    <t>29.747
2.587
31.339
1.104</t>
  </si>
  <si>
    <t>60
90
180
360</t>
  </si>
  <si>
    <t>7474999.00
650000.00
7875001.00
277500.00</t>
  </si>
  <si>
    <t>LEH//CS-FB-CS/FLAGSTONE//FIDELITY-CAP
/LEGG-MASON-WW/WACHOVIA-SEC/CHATSWORTH
/J-P-MORGAN/OPPENHEIMER-CO/RYAN-BECK
/STIFEL</t>
  </si>
  <si>
    <t>LEH
CS-FB-CS
FLAGSTONE</t>
  </si>
  <si>
    <t>Lehman Brothers
Credit Suisse First Boston Corp
Flagstone Securities Inc</t>
  </si>
  <si>
    <t>InfraSource Services Inc</t>
  </si>
  <si>
    <t>IFS</t>
  </si>
  <si>
    <t>45684P102</t>
  </si>
  <si>
    <t>Lehman Brothers
Merrill Lynch
Bear Stearns &amp; Co Inc
DA Davidson &amp; Co Inc
Stifel Nicolaus &amp; Co Inc
First Albany
Oppenheimer &amp; Co Inc
Barclays
Tri-Artisan Partners</t>
  </si>
  <si>
    <t>LEH/MERRILL(JOINT)//BEAR/DAVIDSON
/STIFEL/FIRST-ALBANY//OPPENHEIMER-CO
/BARCLAYS-CAP/TRI-ARTISAN</t>
  </si>
  <si>
    <t>LEH
/MERRILL(JOINT)
BEAR
DAVIDSON
STIFEL
FIRST-ALBANY</t>
  </si>
  <si>
    <t>Lehman Brothers
Merrill Lynch &amp; Co Inc
Bear Stearns &amp; Co Inc
DA Davidson &amp; Co Inc
Stifel Nicolaus &amp; Co Inc
First Albany Corporation</t>
  </si>
  <si>
    <t>Atlas America Inc</t>
  </si>
  <si>
    <t>ATLS</t>
  </si>
  <si>
    <t>049167109</t>
  </si>
  <si>
    <t>Friedman Billings Ramsey Group
McDonald Investments
Advest Inc
BB&amp;T Capital Markets
Parker-Hunter Inc
Petrie Parkman &amp; Co Inc
Stifel Nicolaus &amp; Co Inc</t>
  </si>
  <si>
    <t>FRIEDMAN-B/MCDONALD(JOINT)//ADVEST
/BB-T-CAP/PARKER-HUNTER/PETRIE-PARKMAN
/STIFEL</t>
  </si>
  <si>
    <t>NuVasive Inc</t>
  </si>
  <si>
    <t>NUVA</t>
  </si>
  <si>
    <t>Banc of America Securities LLC
Lehman Brothers
Thomas Weisel Partners
William Blair &amp; Co</t>
  </si>
  <si>
    <t>BA-SEC-LLC(JB)/LEH(JB)//THOMAS-WEISEL
/WM-BLAIR</t>
  </si>
  <si>
    <t>BA-SEC-LLC
(JB)/LEH(JB)
THOMAS-WEISEL
WM-BLAIR</t>
  </si>
  <si>
    <t>Shanda Interactive Ent Ltd</t>
  </si>
  <si>
    <t>SNDA</t>
  </si>
  <si>
    <t>81941Q203</t>
  </si>
  <si>
    <t>Goldman Sachs &amp; Co
Hongkong &amp; Shanghai Bank (HK)
Bear Stearns Asia Limited
Piper Jaffray Inc
CIBC World Markets Inc
CLSA
Goldman Sachs &amp; Co</t>
  </si>
  <si>
    <t>GS//HONG-SHANG-BKG/BEARAS/PIPER-J
/CIBC-WORLD/CLSA-HK//GS(GC)</t>
  </si>
  <si>
    <t>GS
HONG-SHANG-BKG
BEARAS
PIPER-J
CIBC-WORLD
CLSA-HK</t>
  </si>
  <si>
    <t>Goldman Sachs &amp; Co
Hongkong &amp; Shanghai Banking Corp Ltd
Bear Stearns Asia Limited
Piper Jaffray Inc
CIBC World Markets Inc
CLSA Asia-Pacific Markets Ltd</t>
  </si>
  <si>
    <t>Tremisis Energy Acq Corp</t>
  </si>
  <si>
    <t>TEGYU</t>
  </si>
  <si>
    <t>Earlybirdcapital Inc
Maxim Group LLC
GunnAllen Financial Inc
Brean Murray &amp; Co Inc
Hill Thompson Magid &amp; Co
Legend Merchant Group Inc
Joseph Gunnar &amp; Co., LLC
Perrin Holden &amp; Davenport
Kirlin Securities Inc.</t>
  </si>
  <si>
    <t>EARLYBIRD-CAP//MAXIM-GROUP
/GUNNALLEN-FINL/BREAN/HILL-MAGID
/LEGEND-MERCHANT/GUNNAR/PERRIN-HOLDEN
/KIRLIN</t>
  </si>
  <si>
    <t>Animas Corp</t>
  </si>
  <si>
    <t>PUMP</t>
  </si>
  <si>
    <t>PIPER-JAFFRAY/JPM(JB)</t>
  </si>
  <si>
    <t>03525Y105</t>
  </si>
  <si>
    <t>Piper Jaffray Cos
JP Morgan
Thomas Weisel Partners
Janney Montgomery Scott LLC
Legg Mason Wood Walker
RBC Capital Markets</t>
  </si>
  <si>
    <t>PIPER-JAFFRAY(JB)/JPM(JB)
//THOMAS-WEISEL//JANNEY-LLC
/LEGG-MASON-WW/RBC-CAP-MKTS</t>
  </si>
  <si>
    <t>PIPER-JAFFRAY/JPM</t>
  </si>
  <si>
    <t>PIPER-JAFFRAY
(JB)/JPM(JB)
THOMAS-WEISEL</t>
  </si>
  <si>
    <t>Piper Jaffray Cos
JP Morgan &amp; Co Inc
Thomas Weisel Partners</t>
  </si>
  <si>
    <t>Blue Nile Inc</t>
  </si>
  <si>
    <t>NILE</t>
  </si>
  <si>
    <t>09578R103</t>
  </si>
  <si>
    <t>Merrill Lynch
Bear Stearns &amp; Co Inc
Thomas Weisel Partners
DA Davidson &amp; Co Inc
First Southwest
McAdams Wright Ragen Inc
RBC Capital Markets</t>
  </si>
  <si>
    <t>MERRILL/BEAR(JOINT)//THOMAS-WEISEL
//DAVIDSON/FIRST-SW/MCADAMS-WRIGHT
/RBC-CAP-MKTS</t>
  </si>
  <si>
    <t>MERRILL/BEAR</t>
  </si>
  <si>
    <t>MERRILL
/BEAR(JOINT)
THOMAS-WEISEL</t>
  </si>
  <si>
    <t>Merrill Lynch &amp; Co Inc
Bear Stearns &amp; Co Inc
Thomas Weisel Partners</t>
  </si>
  <si>
    <t>Genworth Financial Inc</t>
  </si>
  <si>
    <t>37247D106</t>
  </si>
  <si>
    <t>Goldman Sachs &amp; Co
Morgan Stanley
Banc of America Securities LLC
Deutsche Bank Securities Corp
Merrill Lynch
Citigroup
JP Morgan
UBS Investment Bank
Credit Suisse First Boston
Lehman Brothers
Blaylock &amp; Partners LP
Edward D Jones &amp; Co LP
McDonald Investments
Stephens Inc
Cochran, Caronia &amp; Co.
Fox-Pitt Kelton
Legg Mason Wood Walker
Dowling &amp; Partners Securities
Keefe Bruyette &amp; Woods Inc
Raymond James &amp; Associates Inc
Williams Capital Group LP
Banca IMI
Barclays
BB&amp;T Capital Markets
Bear Stearns &amp; Co Inc
BNP Paribas SA
CIBC World Markets Inc
CMG Institutional Trading LLC
Daiwa Securities SMBC Europe
Dresdner Kleinwort Wasserstein
Guzman &amp; Co
Harris Nesbitt
Hongkong &amp; Shanghai Bank (HK)
ING FINANCIAL MARKETS LLC
CL King &amp; Associates Inc
Lazard Freres &amp; Co LLC
Loop Capital Markets
Melvin Securities Corporation
Muriel Siebert &amp; Co
Nomura Secs Intl
Ormes Capital Markets Inc
Samuel A. Ramirez &amp; Co.
RBC Capital Markets
Sandler O'Neill Partners
Santander Investment Secs
Scotia Capital Inc
SG Cowen Securities Corp
Sturdivant &amp; Co Inc
Tokyo-Mitsubishi International
TD Securities (USA) Inc
Utendahl Capital Partners</t>
  </si>
  <si>
    <t>GE</t>
  </si>
  <si>
    <t>GS(JB)/MORGAN-STANLEY(JB)//BA-SEC-LLC
/DEUTSCHE-BK-SEC/MERRILL/CITIGROUP/JPM
/UBS-INV-BANK/CS-FB-CS/LEH
/BLAYLOCK-PTRNS/ED-JONES-LP/MCDONALD
/STEPHENS/COCHRAN-CARONIA/FOX-PITT
/LEGG-MASON-WW/DOWL/KEEFE/RAYMOND
/WILLIAMS-CAP//BIMOB/BARCLAYS-CAP
/BB-T-CAP/BEAR/BNP-PARIBAS/CIBC-WORLD
/CMG-LLC/DAIWA-SMBC-EUR/DRES-KLEIN-WASS
/GUZMAN/HARRN/HONG-SHANG-BKG/ING-FINAN
/CL-KING/LAZ/LOOP/MELVIN-SEC/MURIEL
/NOMURA-SEC-INTL/ORMES/RAMIREZ
/RBC-CAP-MKTS/SANDLER-ONEILL/SANTUS
/SCOTIA-CAP-CA/SG-COWEN/STURDIVANT
/BOTMI/TD-SEC-USA/UTENDAHL-CAP</t>
  </si>
  <si>
    <t>GS
(JB)/MORGAN-STANLEY(JB)
BA-SEC-LLC
DEUTSCHE-BK-SEC
MERRILL
CITIGROUP
JPM
UBS-INV-BANK
CS-FB-CS
LEH
BLAYLOCK-PTRNS
ED-JONES-LP
MCDONALD
STEPHENS
COCHRAN-CARONIA
FOX-PITT
LEGG-MASON-WW
DOWL
KEEFE
RAYMOND
WILLIAMS-CAP</t>
  </si>
  <si>
    <t>Goldman Sachs &amp; Co
Morgan Stanley
Banc of America Securities LLC
Deutsche Bank Securities Corp.
Merrill Lynch &amp; Co Inc
Citigroup
JP Morgan &amp; Co Inc
UBS Investment Bank
Credit Suisse First Boston Corp
Lehman Brothers
Blaylock &amp; Partners LP
Edward D Jones &amp; Co LP
McDonald Investments Inc
Stephens Inc
Cochran, Caronia &amp; Co.
Fox-Pitt Kelton
Legg Mason Wood Walker Inc
Dowling &amp; Partners Securities LLC
Keefe Bruyette &amp; Woods Inc
Raymond James &amp; Associates Inc
Williams Capital Group LP</t>
  </si>
  <si>
    <t>First Trust Four Crns Snr Flt</t>
  </si>
  <si>
    <t>FCT</t>
  </si>
  <si>
    <t>Merrill Lynch
Raymond James &amp; Associates Inc
Wachovia Capital Markets
Robert W Baird &amp; Co Inc
Fixed Income Securities Inc
JJB Hilliard WL Lyons Inc
Oppenheimer &amp; Co Inc
Quick &amp; Reilly Inc
RBC Capital Markets
Ryan Beck &amp; Co
Stifel Nicolaus &amp; Co Inc
SunTrust Robinson Humphrey
Advest Inc
BB&amp;T Capital Markets
William Blair &amp; Co
Crowell Weedon &amp; Co
DA Davidson &amp; Co Inc
Deutsche Bank Securities
Doft &amp; Co Inc
Ferris Baker Watts
Morgan Keegan Inc
Needham &amp; Co LLC
Parker-Hunter Inc
Piper Jaffray Cos
Stephens Inc
TD Waterhouse Securities
Wedbush Securities
Wells Fargo Securities LLC
Axiom Capital Management Inc
Brean Murray &amp; Co Inc
CE Unterberg Towbin
CMG Institutional Trading LLC
Chatsworth Securities LLC
Hoefer &amp; Arnett Inc
Howe Barnes Investments Inc
Jesup &amp; Lamont Securities
Johnston Lemon &amp; Co Inc
LaSalle Street Securities Inc
Maxim Group LLC
McGinn, Smith &amp; Co Inc
Mesirow Financial Corp
Morgan Wilshire Securities
National Securities Corp (US)
David A. Noyes
Nutmeg Securities Ltd
Ormes Capital Markets Inc
Peacock Hislop Staley &amp; Given
Sanders Morris Harris Inc
Sands Brothers &amp; Co Ltd
Smith, Moore
Southwest Securities Inc
Spelman &amp; Co.
STERLING FINANCIAL INVESTMENT
Stone &amp; Youngberg
Torrey Pines Securities
JP Turner &amp; Co
Harris Nesbitt
McDonald Investments
First Southwest
Gilford Securities
Huntleigh Securities Corp
Northeast Securities Inc.</t>
  </si>
  <si>
    <t>MERRILL//RAYMOND/WACHOVIA-CAP/BAIRD
/FIXED-INC/HILLIARD/OPPENHEIMER-CO/Q&amp;R
/RBC-CAP-MKTS/RYAN-BECK/STIFEL
/SUNTRUST-RH//ADVEST/BB-T-CAP/WM-BLAIR
/CROWELL/DAVIDSON/DBSECU/DOFT
/FERRIS-BAKER/MORGAN-KEEGAN/NEEDHAM
/PARKER-HUNTER/PIPER-JAFFRAY/STEPHENS
/TDWS/WEDBUSH-M/WELLS-FARGO-SEC
/AXIOM-CAP/BREAN/UNTERBERG/CMG-LLC
/CHATSWORTH/HOEFER-ARNETT/HOWE-BARNES
/JESUP/JOHNSTON-LEMON/LASALLE-SEC
/MAXIM-GROUP/MCGINN-SMITH/MESIROW-FIN
/MORGAN-WILSHIRE/NATL-SEC/D-A-NOYES
/NUTMEG-SEC/ORMES/PEACOCK-HISLOP
/SANDERS-HARRIS/SANDS/SMITH-MOORE
/SWS-SEC/SPELMAN/STERLING-FIN-I
/STONE-YOUNG/TORREY-PINES/J-P-TURNER
/HARRN/MCDONALD/FIRST-SW/GILFORD
/HUNTLEIGH-SEC/NORTHEAST-SEC</t>
  </si>
  <si>
    <t>MERRILL
RAYMOND
WACHOVIA-CAP
BAIRD
FIXED-INC
HILLIARD
OPPENHEIMER-CO
Q&amp;R
RBC-CAP-MKTS
RYAN-BECK
STIFEL
SUNTRUST-RH</t>
  </si>
  <si>
    <t>Merrill Lynch &amp; Co Inc
Raymond James &amp; Associates Inc
Wachovia Capital Markets
Robert W Baird &amp; Co Inc
Fixed Income Securities Inc
JJB Hilliard WL Lyons Inc
Oppenheimer &amp; Co Inc
Quick &amp; Reilly Inc
RBC Capital Markets
Ryan Beck &amp; Co
Stifel Nicolaus &amp; Co Inc
SunTrust Robinson Humphrey</t>
  </si>
  <si>
    <t>Gabelli Glbl Utlty&amp;Inc Trust</t>
  </si>
  <si>
    <t>GLU</t>
  </si>
  <si>
    <t>36242L105</t>
  </si>
  <si>
    <t>Merrill Lynch
Citigroup
AG Edwards &amp; Sons Inc
Gabelli &amp; Co Inc
Advest Inc
Robert W Baird &amp; Co Inc
Janney Montgomery Scott LLC
Ferris Baker Watts
McDonald Investments
Legg Mason Wood Walker
Quick &amp; Reilly Inc
Ryan Beck &amp; Co
Stifel Nicolaus &amp; Co Inc
Wedbush Securities
Hennion &amp; Walsh, Inc
RBC Capital Markets
Deutsche Bank Securities
Harris Nesbitt
Oppenheimer &amp; Co Inc
Piper Jaffray Cos
BB&amp;T Capital Markets
Doft &amp; Co Inc
Parker-Hunter Inc
SunTrust Capital Markets
Brean Murray &amp; Co Inc
Fifth Third Securities Inc
First Southwest
Gilford Securities
Hoefer &amp; Arnett Inc
Johnston Lemon &amp; Co Inc
LaSalle Street Securities Inc
Maxim Group LLC
McGinn, Smith &amp; Co Inc
Mesirow Financial Corp
Morgan Wilshire Securities
National Securities Corp (US)
David A. Noyes
Nutmeg Securities Ltd
Paulson Investment Co
Source Capital Group Inc
Southwest Securities Inc
STERLING FINANCIAL INVESTMENT
Axiom Capital Management Inc</t>
  </si>
  <si>
    <t>MERRILL/CITIGROUP/A-G-EDWARDS(JOINT)
//GABELLI/ADVEST/BAIRD/JANNEY-LLC
/FERRIS-BAKER/MCDONALD/LEGG-MASON-WW
/Q&amp;R/RYAN-BECK/STIFEL/WEDBUSH-M
/HENNION-WALSH/RBC-CAP-MKTS//DBSECU
/HARRN/OPPENHEIMER/PIPER-JAFFRAY
/BB-T-CAP/DOFT/PARKER-HUNTER
/SUNTRUST-CAP/BREAN/FIFTH-THIRD-SEC
/FIRST-SW/GILFORD/HOEFER-ARNETT
/JOHNSTON-LEMON/LASALLE-SEC/MAXIM-GROUP
/MCGINN-SMITH/MESIROW-FIN
/MORGAN-WILSHIRE/NATL-SEC/D-A-NOYES
/NUTMEG-SEC/PAULSON/SOURCE-CAPITAL
/SWS-SEC/STERLING-FIN-I/AXIOM-CAP</t>
  </si>
  <si>
    <t>MERRILL/CITIGROUP/A-G-EDWARDS</t>
  </si>
  <si>
    <t>MERRILL
/CITIGROUP
/A-G-EDWARDS(JOINT)
GABELLI
ADVEST
BAIRD
JANNEY-LLC
FERRIS-BAKER
MCDONALD
LEGG-MASON-WW
Q&amp;R
RYAN-BECK
STIFEL
WEDBUSH-M
HENNION-WALSH
RBC-CAP-MKTS</t>
  </si>
  <si>
    <t>Merrill Lynch &amp; Co Inc
Citigroup
AG Edwards &amp; Sons Inc
Gabelli &amp; Co Inc
Advest Inc
Robert W Baird &amp; Co Inc
Janney Montgomery Scott LLC
Ferris Baker Watts Inc
McDonald Investments Inc
Legg Mason Wood Walker Inc
Quick &amp; Reilly Inc
Ryan Beck &amp; Co
Stifel Nicolaus &amp; Co Inc
Wedbush Securities
Hennion &amp; Walsh, Inc
RBC Capital Markets</t>
  </si>
  <si>
    <t>S&amp;P Quality Rnk Glbl Eq Man Tr</t>
  </si>
  <si>
    <t>BQY</t>
  </si>
  <si>
    <t>Citigroup
AG Edwards &amp; Sons Inc
Merrill Lynch
H&amp;R Block Financial Advisors
JJB Hilliard WL Lyons Inc
Janney Montgomery Scott LLC
PNC Capital Markets
Quick &amp; Reilly Inc
Raymond James &amp; Associates Inc
RBC Capital Markets
Robert W Baird &amp; Co Inc
Wells Fargo Securities LLC
McDonald Investments
Legg Mason Wood Walker
Piper Jaffray Cos
Ryan Beck &amp; Co
SunTrust Capital Markets
TD Waterhouse Securities
Advest Inc
BB&amp;T Capital Markets
Morgan Keegan Inc
Stephens Inc
Doft &amp; Co Inc
GunnAllen Financial Inc
Southwest Securities Inc</t>
  </si>
  <si>
    <t>CITIGROUP//A-G-EDWARDS/MERRILL
/HR-BLOCK-FIN/HILLIARD/JANNEY-LLC
/PNC-CAPITAL/Q&amp;R/RAYMOND/RBC-CAP-MKTS
/BAIRD/WELLS-FARGO-SEC/MCDONALD
//LEGG-MASON-WW/PIPER-JAFFRAY/RYAN-BECK
/SUNTRUST-CAP/TDWS/ADVEST/BB-T-CAP
/MORGAN-KEEGAN/STEPHENS/DOFT
/GUNNALLEN-FINL/SWS-SEC</t>
  </si>
  <si>
    <t>CITIGROUP
A-G-EDWARDS
MERRILL
HR-BLOCK-FIN
HILLIARD
JANNEY-LLC
PNC-CAPITAL
Q&amp;R
RAYMOND
RBC-CAP-MKTS
BAIRD
WELLS-FARGO-SEC
MCDONALD</t>
  </si>
  <si>
    <t>Citigroup
AG Edwards &amp; Sons Inc
Merrill Lynch &amp; Co Inc
H&amp;R Block Financial Advisors
JJB Hilliard WL Lyons Inc
Janney Montgomery Scott LLC
PNC Capital Markets
Quick &amp; Reilly Inc
Raymond James &amp; Associates Inc
RBC Capital Markets
Robert W Baird &amp; Co Inc
Wells Fargo Securities LLC
McDonald Investments Inc</t>
  </si>
  <si>
    <t>Salomon Brothers Inflation Mgm</t>
  </si>
  <si>
    <t>IMF</t>
  </si>
  <si>
    <t>79550V109</t>
  </si>
  <si>
    <t>Citigroup
Merrill Lynch
H&amp;R Block Financial Advisors
Janney Montgomery Scott LLC
Oppenheimer &amp; Co Inc
RBC Capital Markets
SunTrust Capital Markets
Wells Fargo Securities LLC
McDonald Investments
Stifel Nicolaus &amp; Co Inc
Wedbush Securities
AG Edwards &amp; Sons Inc
Piper Jaffray Cos
Ryan Beck &amp; Co
Advest Inc
Crowell Weedon &amp; Co
Doft &amp; Co Inc
Ferris Baker Watts
Morgan Keegan Inc
Quick &amp; Reilly Inc
Robert W Baird &amp; Co Inc
GunnAllen Financial Inc
HARRISdirect LLC
Newbridge Securities
David A. Noyes
Sanders Morris Harris Inc
Southwest Securities Inc
Stockcross Inc</t>
  </si>
  <si>
    <t>CITIGROUP/MERRILL(JOINT)//HR-BLOCK-FIN
/JANNEY-LLC/OPPENHEIMER-CO/RBC-CAP-MKTS
/SUNTRUST-CAP/WELLS-FARGO-SEC/MCDONALD
/STIFEL/WEDBUSH-M//A-G-EDWARDS
/PIPER-JAFFRAY/RYAN-BECK/ADVEST/CROWELL
/DOFT/FERRIS-BAKER/MORGAN-KEEGAN/Q&amp;R
/BAIRD/GUNNALLEN-FINL/HARRISDIRECT
/NEWBRIDGE/D-A-NOYES/SANDERS-HARRIS
/SWS-SEC/STOCK-INC</t>
  </si>
  <si>
    <t>CITIGROUP/MERRILL</t>
  </si>
  <si>
    <t>CITIGROUP
/MERRILL(JOINT)
HR-BLOCK-FIN
JANNEY-LLC
OPPENHEIMER-CO
RBC-CAP-MKTS
SUNTRUST-CAP
WELLS-FARGO-SEC
MCDONALD
STIFEL
WEDBUSH-M</t>
  </si>
  <si>
    <t>Citigroup
Merrill Lynch &amp; Co Inc
H&amp;R Block Financial Advisors
Janney Montgomery Scott LLC
Oppenheimer &amp; Co Inc
RBC Capital Markets
SunTrust Capital Markets
Wells Fargo Securities LLC
McDonald Investments Inc
Stifel Nicolaus &amp; Co Inc
Wedbush Securities</t>
  </si>
  <si>
    <t>Acadia Pharmaceuticals</t>
  </si>
  <si>
    <t>ACAD</t>
  </si>
  <si>
    <t>004225108</t>
  </si>
  <si>
    <t>Banc of America Securities LLC
Piper Jaffray Cos
Adams Harkness &amp; Hill Inc
JMP Securities LLC</t>
  </si>
  <si>
    <t>BA-SEC-LLC/PIPER-JAFFRAY(JOINT)
//ADAMS-HARKNESS/JMP-SEC</t>
  </si>
  <si>
    <t>BA-SEC-LLC/PIPER-JAFFRAY</t>
  </si>
  <si>
    <t>BA-SEC-LLC
/PIPER-JAFFRAY(JOINT)
ADAMS-HARKNESS
JMP-SEC</t>
  </si>
  <si>
    <t>AngioDynamics Inc</t>
  </si>
  <si>
    <t>ANGO</t>
  </si>
  <si>
    <t>03475V101</t>
  </si>
  <si>
    <t>RBC Capital Markets
Adams Harkness &amp; Hill Inc</t>
  </si>
  <si>
    <t>11/22/04
11/22/04
11/22/04</t>
  </si>
  <si>
    <t>180
180
180</t>
  </si>
  <si>
    <t>RBC-CAP-MKTS//ADAMS-HARKNESS</t>
  </si>
  <si>
    <t>RBC-CAP-MKTS
ADAMS-HARKNESS</t>
  </si>
  <si>
    <t>Critical Therapeutics Inc</t>
  </si>
  <si>
    <t>CRTX</t>
  </si>
  <si>
    <t>22674T105</t>
  </si>
  <si>
    <t>SG Cowen Securities Corp
CIBC World Markets Inc
Piper Jaffray Cos
Leerink Swann &amp; Co
Adams Harkness &amp; Hill Inc
Robert W Baird &amp; Co Inc
Fortis Securities Inc
Needham &amp; Co LLC
Sanders Morris Harris Inc
Thomas Weisel Partners</t>
  </si>
  <si>
    <t>SG-COWEN//CIBC-WORLD/PIPER-JAFFRAY
/LEERINK-SWANN//ADAMS-HARKNESS/BAIRD
/FORTIS-SEC/NEEDHAM/SANDERS-HARRIS
/THOMAS-WEISEL</t>
  </si>
  <si>
    <t>SG-COWEN
CIBC-WORLD
PIPER-JAFFRAY
LEERINK-SWANN</t>
  </si>
  <si>
    <t>SG Cowen Securities Corp
CIBC World Markets Inc
Piper Jaffray Cos
Leerink Swann &amp; Co</t>
  </si>
  <si>
    <t>Republic Airways Holdings Inc</t>
  </si>
  <si>
    <t>RJET</t>
  </si>
  <si>
    <t>Merrill Lynch
Raymond James &amp; Associates Inc
UBS Investment Bank</t>
  </si>
  <si>
    <t xml:space="preserve">80.354
</t>
  </si>
  <si>
    <t xml:space="preserve">20450000.00
</t>
  </si>
  <si>
    <t>MERRILL/RAYMOND(JOINT)//UBS-INV-BANK</t>
  </si>
  <si>
    <t>MERRILL/RAYMOND</t>
  </si>
  <si>
    <t>MERRILL
/RAYMOND(JOINT)
UBS-INV-BANK</t>
  </si>
  <si>
    <t>Merrill Lynch &amp; Co Inc
Raymond James &amp; Associates Inc
UBS Investment Bank</t>
  </si>
  <si>
    <t>Alnylam Pharmaceuticals Inc</t>
  </si>
  <si>
    <t>ALNY</t>
  </si>
  <si>
    <t>02043Q107</t>
  </si>
  <si>
    <t>Banc of America Securities LLC
Citigroup
Piper Jaffray Cos
ThinkEquity Partners</t>
  </si>
  <si>
    <t>BA-SEC-LLC//CITIGROUP/PIPER-JAFFRAY
/THINK</t>
  </si>
  <si>
    <t>BA-SEC-LLC
CITIGROUP
PIPER-JAFFRAY
THINK</t>
  </si>
  <si>
    <t>Standard Parking Corp</t>
  </si>
  <si>
    <t>STAN</t>
  </si>
  <si>
    <t>William Blair &amp; Co
Thomas Weisel Partners
LaSalle Capital Markets
JMP Securities LLC
Wells Fargo Securities LLC</t>
  </si>
  <si>
    <t>WM-BLAIR/THOMAS-WEISEL(JOINT)
//LA-SALLE-CAP/JMP-SEC/WELLS-FARGO-SEC</t>
  </si>
  <si>
    <t>WM-BLAIR/THOMAS-WEISEL</t>
  </si>
  <si>
    <t>WM-BLAIR
/THOMAS-WEISEL(JOINT)</t>
  </si>
  <si>
    <t>William Blair &amp; Co
Thomas Weisel Partners</t>
  </si>
  <si>
    <t>Global Signal Inc</t>
  </si>
  <si>
    <t>GSL</t>
  </si>
  <si>
    <t>MORGAN-STANLEY
/BA-SEC-LLC(JB)</t>
  </si>
  <si>
    <t>37944Q103</t>
  </si>
  <si>
    <t>Morgan Stanley
Banc of America Securities LLC
Lehman Brothers
Raymond James &amp; Associates Inc
Blaylock &amp; Partners LP</t>
  </si>
  <si>
    <t>MORGAN-STANLEY(JB)/BA-SEC-LLC(JB)
/LEH(JOINT)//RAYMOND//BLAYLOCK-PTRNS</t>
  </si>
  <si>
    <t>MORGAN-STANLEY/BA-SEC-LLC/LEH</t>
  </si>
  <si>
    <t>MORGAN-STANLEY
(JB)/BA-SEC-LLC(JB)
/LEH(JOINT)
RAYMOND</t>
  </si>
  <si>
    <t>Morgan Stanley
Banc of America Securities LLC
Lehman Brothers
Raymond James &amp; Associates Inc</t>
  </si>
  <si>
    <t>Inhibitex Inc</t>
  </si>
  <si>
    <t>INHX</t>
  </si>
  <si>
    <t>THOMAS-WEISEL/LAZ(JB)</t>
  </si>
  <si>
    <t>45719T103</t>
  </si>
  <si>
    <t>Thomas Weisel Partners
Lazard Freres &amp; Co LLC
Harris Nesbitt
Adams Harkness &amp; Hill Inc
Robert W Baird &amp; Co Inc
AG Edwards &amp; Sons Inc
RBC Capital Markets
Wachovia Capital Markets</t>
  </si>
  <si>
    <t>THOMAS-WEISEL(JB)/LAZ(JB)//HARRN
//ADAMS-HARKNESS/BAIRD/A-G-EDWARDS
/RBC-CAP-MKTS/WACHOVIA-CAP</t>
  </si>
  <si>
    <t>THOMAS-WEISEL/LAZ</t>
  </si>
  <si>
    <t>THOMAS-WEISEL
(JB)/LAZ(JB)
HARRN</t>
  </si>
  <si>
    <t>Thomas Weisel Partners
Lazard Freres &amp; Co LLC
Harris Nesbitt</t>
  </si>
  <si>
    <t>CB Richard Ellis Group Inc</t>
  </si>
  <si>
    <t>CBG</t>
  </si>
  <si>
    <t>CITIGROUP/CS-FB-CS(JB)</t>
  </si>
  <si>
    <t>12497T101</t>
  </si>
  <si>
    <t>Citigroup
Credit Suisse First Boston
JP Morgan
Lehman Brothers
Bear Stearns &amp; Co Inc
Goldman Sachs &amp; Co
Merrill Lynch</t>
  </si>
  <si>
    <t>CITIGROUP(JB)/CS-FB-CS(JB)//JPM/LEH
/BEAR/GS/MERRILL</t>
  </si>
  <si>
    <t>CITIGROUP
(JB)/CS-FB-CS(JB)
JPM
LEH
BEAR
GS
MERRILL</t>
  </si>
  <si>
    <t>Citigroup
Credit Suisse First Boston Corp
JP Morgan &amp; Co Inc
Lehman Brothers
Bear Stearns &amp; Co Inc
Goldman Sachs &amp; Co
Merrill Lynch &amp; Co Inc</t>
  </si>
  <si>
    <t>Digirad Corp</t>
  </si>
  <si>
    <t>DRAD</t>
  </si>
  <si>
    <t>Merrill Lynch
JP Morgan
Banc of America Securities LLC
William Blair &amp; Co</t>
  </si>
  <si>
    <t>09/07/04
12/06/04</t>
  </si>
  <si>
    <t>0.380
67.708</t>
  </si>
  <si>
    <t>68322.00
12186479.00</t>
  </si>
  <si>
    <t>MERRILL(JB)/JPM(JB)//BA-SEC-LLC
/WM-BLAIR</t>
  </si>
  <si>
    <t>MERRILL
(JB)/JPM(JB)
BA-SEC-LLC
WM-BLAIR</t>
  </si>
  <si>
    <t>Merrill Lynch &amp; Co Inc
JP Morgan &amp; Co Inc
Banc of America Securities LLC
William Blair &amp; Co</t>
  </si>
  <si>
    <t>PowerDsine Ltd</t>
  </si>
  <si>
    <t>PDSN</t>
  </si>
  <si>
    <t>M41415106</t>
  </si>
  <si>
    <t>Citigroup
Deutsche Bank Securities Corp
CIBC World Markets Inc
Piper Jaffray Cos
William Blair &amp; Co
Chatsworth Securities LLC
MR Beal &amp; Co</t>
  </si>
  <si>
    <t>CITIGROUP/DEUTSCHE-BK-SEC(JOINT)
//CIBC-WORLD/PIPER-JAFFRAY/WM-BLAIR
/CHATSWORTH/M-R-BEAL</t>
  </si>
  <si>
    <t>CITIGROUP/DEUTSCHE-BK-SEC</t>
  </si>
  <si>
    <t>CITIGROUP
/DEUTSCHE-BK-SEC(JOINT)
CIBC-WORLD
PIPER-JAFFRAY
WM-BLAIR
CHATSWORTH
M-R-BEAL</t>
  </si>
  <si>
    <t>Citigroup
Deutsche Bank Securities Corp.
CIBC World Markets Inc
Piper Jaffray Cos
William Blair &amp; Co
Chatsworth Securities LLC
MR Beal &amp; Co</t>
  </si>
  <si>
    <t>Leadis Technology Inc</t>
  </si>
  <si>
    <t>LDIS</t>
  </si>
  <si>
    <t>52171N103</t>
  </si>
  <si>
    <t>Goldman Sachs &amp; Co
Merrill Lynch
Thomas Weisel Partners
Needham &amp; Co LLC</t>
  </si>
  <si>
    <t>GS/MERRILL(JOINT)//THOMAS-WEISEL
/NEEDHAM</t>
  </si>
  <si>
    <t>GS
/MERRILL(JOINT)
THOMAS-WEISEL
NEEDHAM</t>
  </si>
  <si>
    <t>Goldman Sachs &amp; Co
Merrill Lynch &amp; Co Inc
Thomas Weisel Partners
Needham &amp; Co LLC</t>
  </si>
  <si>
    <t>Metabasis Therapeutics Inc</t>
  </si>
  <si>
    <t>MBRX</t>
  </si>
  <si>
    <t>59101M105</t>
  </si>
  <si>
    <t>SG Cowen Securities Corp
Deutsche Bank Securities Corp
Thomas Weisel Partners
Legg Mason &amp; Co Inc
Harris Nesbitt
Wedbush Securities</t>
  </si>
  <si>
    <t>12/12/04
06/10/05</t>
  </si>
  <si>
    <t>27.613
44.400</t>
  </si>
  <si>
    <t>4933284.00
7932431.00</t>
  </si>
  <si>
    <t>SG-COWEN/DEUTSCHE-BK-SEC(JOINT)
//THOMAS-WEISEL/LEGG-MASON//HARRN
/WEDBUSH-M</t>
  </si>
  <si>
    <t>SG-COWEN/DEUTSCHE-BK-SEC</t>
  </si>
  <si>
    <t>SG-COWEN
/DEUTSCHE-BK-SEC(JOINT)
THOMAS-WEISEL
LEGG-MASON</t>
  </si>
  <si>
    <t>SG Cowen Securities Corp
Deutsche Bank Securities Corp.
Thomas Weisel Partners
Legg Mason &amp; Co Inc</t>
  </si>
  <si>
    <t>ADESA Inc</t>
  </si>
  <si>
    <t>KAR</t>
  </si>
  <si>
    <t>00686U104</t>
  </si>
  <si>
    <t>UBS Investment Bank
Merrill Lynch
Banc of America Securities LLC
Harris Nesbitt
KeyCorp/McDonald Investments
SunTrust Robinson Humphrey
Barrington Research Inc.
Janney Montgomery Scott LLC
Stifel Nicolaus &amp; Co Inc</t>
  </si>
  <si>
    <t>UBS-INV-BANK(JB)/MERRILL(JB)
//BA-SEC-LLC/HARRN/KEY-MCDONALD
/SUNTRUST-RH/BARRINGTON-RES/JANNEY-LLC
/STIFEL</t>
  </si>
  <si>
    <t>UBS-INV-BANK
(JB)/MERRILL(JB)
BA-SEC-LLC
HARRN
KEY-MCDONALD
SUNTRUST-RH
BARRINGTON-RES
JANNEY-LLC
STIFEL</t>
  </si>
  <si>
    <t>UBS Investment Bank
Merrill Lynch &amp; Co Inc
Banc of America Securities LLC
Harris Nesbitt
KeyCorp/McDonald Investments
SunTrust Robinson Humphrey
Barrington Research Inc.
Janney Montgomery Scott LLC
Stifel Nicolaus &amp; Co Inc</t>
  </si>
  <si>
    <t>InfoSonics Corporation</t>
  </si>
  <si>
    <t>IFON</t>
  </si>
  <si>
    <t>Gilford Securities
Source Capital Group Inc
Kaufman Brothers LP
Joseph Gunnar &amp; Co., LLC
Maxim Group LLC</t>
  </si>
  <si>
    <t>GILFORD//SOURCE-CAPITAL/KAUFMAN-BROS
//GUNNAR/MAXIM-GROUP</t>
  </si>
  <si>
    <t>GILFORD
SOURCE-CAPITAL
KAUFMAN-BROS</t>
  </si>
  <si>
    <t>Gilford Securities Incorporated
Source Capital Group Inc
Kaufman Brothers LP</t>
  </si>
  <si>
    <t>Blackboard Inc</t>
  </si>
  <si>
    <t>BBBB</t>
  </si>
  <si>
    <t>091935502</t>
  </si>
  <si>
    <t>Credit Suisse First Boston
Banc of America Securities LLC
Merrill Lynch
Thomas Weisel Partners
William Blair &amp; Co
Deutsche Bank Securities
Wachovia Capital Markets
Invemed Associates Inc
Legg Mason Wood Walker
Morgan Keegan Inc</t>
  </si>
  <si>
    <t>CS-FB-CS//BA-SEC-LLC/MERRILL
/THOMAS-WEISEL//WM-BLAIR/DBSECU
/WACHOVIA-CAP/INVEMED/LEGG-MASON-WW
/MORGAN-KEEGAN</t>
  </si>
  <si>
    <t>CS-FB-CS
BA-SEC-LLC
MERRILL
THOMAS-WEISEL</t>
  </si>
  <si>
    <t>Credit Suisse First Boston Corp
Banc of America Securities LLC
Merrill Lynch &amp; Co Inc
Thomas Weisel Partners</t>
  </si>
  <si>
    <t>Ping An Insurance(Group)Co</t>
  </si>
  <si>
    <t>GS-ASIA/MS-ASIA(JB)
/BOCIA(JB)
/HONG-SHANG-BKG(JB)</t>
  </si>
  <si>
    <t>72341E304</t>
  </si>
  <si>
    <t>Goldman Sachs (Asia)
Morgan Stanley (Asia) Ltd
BOCI Asia
Hongkong &amp; Shanghai Bank (HK)
Cazenove Asia Ltd
Citigroup
Daiwa Capital Markets HK Ltd
Fox-Pitt Kelton
Kelton International
Bank of East Asia Ltd
Goldman Sachs (Asia)
Morgan Stanley (Asia) Ltd
BOCI Asia
Hongkong &amp; Shanghai Bank (HK)</t>
  </si>
  <si>
    <t>GS-ASIA(JB)/MS-ASIA(JB)/BOCIA(JB)
/HONG-SHANG-BKG(JB)//CAZEAS/CITIGROUP
/DAIWACAP-HK/FOX-PITT/KELTON-INTL
//BK-EASIA//GS-ASIA(GC)/MS-ASIA(GC)
/BOCIA(GC)/HONG-SHANG-BKG(GC)</t>
  </si>
  <si>
    <t>GS-ASIA/MS-ASIA/BOCIA/HONG-SHANG-BKG</t>
  </si>
  <si>
    <t>GS-ASIA
(JB)/MS-ASIA(JB)
/BOCIA(JB)
/HONG-SHANG-BKG(JB)
CAZEAS
CITIGROUP
DAIWACAP-HK
FOX-PITT
KELTON-INTL</t>
  </si>
  <si>
    <t>Goldman Sachs (Asia)
Morgan Stanley (Asia) Ltd
BOCI Asia Ltd
Hongkong &amp; Shanghai Banking Corp Ltd
Cazenove Asia Ltd
Citigroup
Daiwa Capital Markets Hong Kong Ltd
Fox-Pitt Kelton
Kelton International</t>
  </si>
  <si>
    <t>Radiation Therapy Services Inc</t>
  </si>
  <si>
    <t>RTSX</t>
  </si>
  <si>
    <t>WACHOVIA-SEC
/BA-SEC-LLC(JB)</t>
  </si>
  <si>
    <t>Wachovia Securities Inc
Banc of America Securities LLC
SG Cowen Securities Corp
SunTrust Robinson Humphrey
Morgan Keegan Inc</t>
  </si>
  <si>
    <t>12/15/04
09/16/04</t>
  </si>
  <si>
    <t>47.838
0.333</t>
  </si>
  <si>
    <t>10664860.00
74142.00</t>
  </si>
  <si>
    <t>WACHOVIA-SEC(JB)/BA-SEC-LLC(JB)
//SG-COWEN/SUNTRUST-RH//MORGAN-KEEGAN</t>
  </si>
  <si>
    <t>WACHOVIA-SEC/BA-SEC-LLC</t>
  </si>
  <si>
    <t>WACHOVIA-SEC
(JB)/BA-SEC-LLC(JB)
SG-COWEN
SUNTRUST-RH</t>
  </si>
  <si>
    <t>Wachovia Securities Inc
Banc of America Securities LLC
SG Cowen Securities Corp
SunTrust Robinson Humphrey</t>
  </si>
  <si>
    <t>Jackson Hewitt Tax Service Inc</t>
  </si>
  <si>
    <t>JTX</t>
  </si>
  <si>
    <t>GS/JPM(JB)</t>
  </si>
  <si>
    <t>Goldman Sachs &amp; Co
JP Morgan
Banc of America Securities LLC
Citigroup
Merrill Lynch
Credit Suisse First Boston
Blaylock &amp; Partners LP
CIBC World Markets Inc
Lehman Brothers
Deutsche Bank Securities
Thomas Weisel Partners
UBS Securities Inc
Wachovia Capital Markets</t>
  </si>
  <si>
    <t>GS(JB)/JPM(JB)//BA-SEC-LLC/CITIGROUP
/MERRILL/CS-FB-CS/BLAYLOCK-PTRNS
/CIBC-WORLD/LEH//DBSECU/THOMAS-WEISEL
/UBS-SEC/WACHOVIA-CAP</t>
  </si>
  <si>
    <t>GS
(JB)/JPM(JB)
BA-SEC-LLC
CITIGROUP
MERRILL
CS-FB-CS
BLAYLOCK-PTRNS
CIBC-WORLD
LEH</t>
  </si>
  <si>
    <t>Goldman Sachs &amp; Co
JP Morgan &amp; Co Inc
Banc of America Securities LLC
Citigroup
Merrill Lynch &amp; Co Inc
Credit Suisse First Boston Corp
Blaylock &amp; Partners LP
CIBC World Markets Inc
Lehman Brothers</t>
  </si>
  <si>
    <t>Momenta Pharmaceuticals Inc</t>
  </si>
  <si>
    <t>MNTA</t>
  </si>
  <si>
    <t>SG-COWEN/BA-SEC-LLC(JB)</t>
  </si>
  <si>
    <t>60877T100</t>
  </si>
  <si>
    <t>SG Cowen Securities Corp
Banc of America Securities LLC
Canadian Imperial Bk Commerce
ThinkEquity Partners</t>
  </si>
  <si>
    <t>SG-COWEN(JB)/BA-SEC-LLC(JB)//CIBC/THINK</t>
  </si>
  <si>
    <t>SG-COWEN/BA-SEC-LLC</t>
  </si>
  <si>
    <t>SG-COWEN
(JB)/BA-SEC-LLC(JB)
CIBC
THINK</t>
  </si>
  <si>
    <t>SG Cowen Securities Corp
Banc of America Securities LLC
Canadian Imperial Bank of Commerce
ThinkEquity Partners</t>
  </si>
  <si>
    <t>Senomyx Inc</t>
  </si>
  <si>
    <t>SNMX</t>
  </si>
  <si>
    <t>81724Q107</t>
  </si>
  <si>
    <t>Citigroup
Deutsche Bank Securities Corp
Needham &amp; Co LLC
First Albany</t>
  </si>
  <si>
    <t>CITIGROUP/DEUTSCHE-BK-SEC(JOINT)
//NEEDHAM/FIRST-ALBANY</t>
  </si>
  <si>
    <t>CITIGROUP
/DEUTSCHE-BK-SEC(JOINT)
NEEDHAM
FIRST-ALBANY</t>
  </si>
  <si>
    <t>Citigroup
Deutsche Bank Securities Corp.
Needham &amp; Co LLC
First Albany Corporation</t>
  </si>
  <si>
    <t>Color Kinetics Inc</t>
  </si>
  <si>
    <t>CLRK</t>
  </si>
  <si>
    <t>19624P100</t>
  </si>
  <si>
    <t>CIBC World Markets Inc
Needham &amp; Co LLC
Friedman Billings Ramsey &amp; Co
ThinkEquity Partners</t>
  </si>
  <si>
    <t>CIBC-WORLD/NEEDHAM(JOINT)
//FRIEDMAN-B-CO/THINK</t>
  </si>
  <si>
    <t>CIBC-WORLD/NEEDHAM</t>
  </si>
  <si>
    <t>CIBC-WORLD
/NEEDHAM(JOINT)
FRIEDMAN-B-CO
THINK</t>
  </si>
  <si>
    <t>CIBC World Markets Inc
Needham &amp; Co LLC
Friedman Billings Ramsey &amp; Co Inc
ThinkEquity Partners</t>
  </si>
  <si>
    <t>Salesforce.com Inc</t>
  </si>
  <si>
    <t>CRM</t>
  </si>
  <si>
    <t>79466L302</t>
  </si>
  <si>
    <t>Morgan Stanley
Deutsche Bank Securities Corp
UBS Investment Bank
Wachovia Securities Inc
William Blair &amp; Co</t>
  </si>
  <si>
    <t>MORGAN-STANLEY//DEUTSCHE-BK-SEC
/UBS-INV-BANK/WACHOVIA-SEC/WM-BLAIR</t>
  </si>
  <si>
    <t>MORGAN-STANLEY
DEUTSCHE-BK-SEC
UBS-INV-BANK
WACHOVIA-SEC
WM-BLAIR</t>
  </si>
  <si>
    <t>Morgan Stanley
Deutsche Bank Securities Corp.
UBS Investment Bank
Wachovia Securities Inc
William Blair &amp; Co</t>
  </si>
  <si>
    <t>WCA Waste Corp</t>
  </si>
  <si>
    <t>WCAA</t>
  </si>
  <si>
    <t>92926K103</t>
  </si>
  <si>
    <t>Friedman Billings Ramsey Group
Stifel Nicolaus &amp; Co Inc
JP Morgan Securities Inc
BB&amp;T Capital Markets
Raymond James &amp; Associates Inc
Wedbush Securities</t>
  </si>
  <si>
    <t>FRIEDMAN-B//STIFEL//J-P-MORGAN/BB-T-CAP
/RAYMOND/WEDBUSH-M</t>
  </si>
  <si>
    <t>Gol Linhas Aereas Inteligentes</t>
  </si>
  <si>
    <t>GOL</t>
  </si>
  <si>
    <t>38045R107</t>
  </si>
  <si>
    <t>Morgan Stanley
Merrill Lynch
JP Morgan
Raymond James &amp; Associates Inc
UBS Investment Bank</t>
  </si>
  <si>
    <t>12/20/04
12/20/04
12/20/04</t>
  </si>
  <si>
    <t>AIG</t>
  </si>
  <si>
    <t>MORGAN-STANLEY//MERRILL/JPM/RAYMOND
/UBS-INV-BANK</t>
  </si>
  <si>
    <t>MORGAN-STANLEY
MERRILL
JPM
RAYMOND
UBS-INV-BANK</t>
  </si>
  <si>
    <t>Morgan Stanley
Merrill Lynch &amp; Co Inc
JP Morgan &amp; Co Inc
Raymond James &amp; Associates Inc
UBS Investment Bank</t>
  </si>
  <si>
    <t>Strategic Hotel Capital Inc</t>
  </si>
  <si>
    <t>SLH</t>
  </si>
  <si>
    <t>86272T106</t>
  </si>
  <si>
    <t>Goldman Sachs &amp; Co
Deutsche Bank Securities Corp
Banc of America Securities LLC
Credit Suisse First Boston
Wachovia Securities Inc
Raymond James &amp; Associates Inc
Chatsworth Securities LLC
Calyon Financial
McDonald Investments
JMP Securities LLC
Utendahl Capital Partners</t>
  </si>
  <si>
    <t>GS/DEUTSCHE-BK-SEC(JOINT)//BA-SEC-LLC
/CS-FB-CS/WACHOVIA-SEC/RAYMOND
//CHATSWORTH/CALYON-FINAN/MCDONALD
/JMP-SEC/UTENDAHL-CAP</t>
  </si>
  <si>
    <t>GS/DEUTSCHE-BK-SEC</t>
  </si>
  <si>
    <t>GS
/DEUTSCHE-BK-SEC(JOINT)
BA-SEC-LLC
CS-FB-CS
WACHOVIA-SEC
RAYMOND</t>
  </si>
  <si>
    <t>Goldman Sachs &amp; Co
Deutsche Bank Securities Corp.
Banc of America Securities LLC
Credit Suisse First Boston Corp
Wachovia Securities Inc
Raymond James &amp; Associates Inc</t>
  </si>
  <si>
    <t>Xyratex Technology Ltd</t>
  </si>
  <si>
    <t>XRTX</t>
  </si>
  <si>
    <t>G98268108</t>
  </si>
  <si>
    <t>Credit Suisse First Boston
Citigroup
Banc of America Securities LLC
RBC Capital Markets
ThinkEquity Partners
Credit Suisse FB (Europe)
Citigroup Global Markets Ltd
Banc of America Secs Ltd
Royal Bank of Canada Europe</t>
  </si>
  <si>
    <t>CS-FB-CS/CITIGROUP(JOINT)//BA-SEC-LLC
/RBC-CAP-MKTS//THINK/CSFB-EUROPE
/CITI-GLOBMKT-UK/BASL/RBCE</t>
  </si>
  <si>
    <t>CS-FB-CS/CITIGROUP</t>
  </si>
  <si>
    <t>CS-FB-CS
/CITIGROUP(JOINT)
BA-SEC-LLC
RBC-CAP-MKTS</t>
  </si>
  <si>
    <t>Credit Suisse First Boston Corp
Citigroup
Banc of America Securities LLC
RBC Capital Markets</t>
  </si>
  <si>
    <t>Arpeggio Acquisition Corp</t>
  </si>
  <si>
    <t>APGOU</t>
  </si>
  <si>
    <t>042689109</t>
  </si>
  <si>
    <t>Earlybirdcapital Inc
Maxim Group LLC
Loewen Ondaatje McCutcheon Inc
GunnAllen Financial Inc
Ladenburg Thalmann &amp; Co
Legend Merchant Group Inc
Hill Thompson Magid &amp; Co
Kirlin Securities Inc.
Joseph Stevens &amp; Company
Perrin Holden &amp; Davenport</t>
  </si>
  <si>
    <t>EARLYBIRD-CAP//MAXIM-GROUP/LOEWEN
/GUNNALLEN-FINL/LADENBURG
/LEGEND-MERCHANT/HILL-MAGID/KIRLIN
/JOSEPH-STEVENS/PERRIN-HOLDEN</t>
  </si>
  <si>
    <t>Cabelas Inc</t>
  </si>
  <si>
    <t>CAB</t>
  </si>
  <si>
    <t>Credit Suisse First Boston
JP Morgan
Wachovia Securities Inc
William Blair &amp; Co
Stephens Inc
AG Edwards &amp; Sons Inc
Edward D Jones &amp; Co LP
Oppenheimer &amp; Co Inc
Piper Jaffray Cos</t>
  </si>
  <si>
    <t>09/22/04
10/22/04</t>
  </si>
  <si>
    <t>3.261
87.162</t>
  </si>
  <si>
    <t>90
120</t>
  </si>
  <si>
    <t>2112342.00
56456685.00</t>
  </si>
  <si>
    <t>CS-FB-CS(JB)/JPM(JB)//WACHOVIA-SEC
/WM-BLAIR/STEPHENS//A-G-EDWARDS
/ED-JONES-LP/OPPENHEIMER-CO
/PIPER-JAFFRAY</t>
  </si>
  <si>
    <t>CS-FB-CS
(JB)/JPM(JB)
WACHOVIA-SEC
WM-BLAIR
STEPHENS</t>
  </si>
  <si>
    <t>Credit Suisse First Boston Corp
JP Morgan &amp; Co Inc
Wachovia Securities Inc
William Blair &amp; Co
Stephens Inc</t>
  </si>
  <si>
    <t>Eaton Vance Fltng-Rt Inc Trst</t>
  </si>
  <si>
    <t>EFT</t>
  </si>
  <si>
    <t>UBS-INV-BANK
/CITIGROUP(JB)
/MERRILL(JB)
/WACHOVIA-SEC(JB)</t>
  </si>
  <si>
    <t>UBS Investment Bank
Citigroup
Merrill Lynch
Wachovia Securities Inc
RBC Capital Markets
H&amp;R Block Financial Advisors
JJB Hilliard WL Lyons Inc
Oppenheimer &amp; Co Inc
Quick &amp; Reilly Inc
Ryan Beck &amp; Co
SunTrust Capital Markets
Robert W Baird &amp; Co Inc
Deutsche Bank Securities
McDonald Investments
Legg Mason Wood Walker
Piper Jaffray Cos
TD Waterhouse Securities
Advest Inc
DA Davidson &amp; Co Inc
Ferris Baker Watts
Mesirow Financial Corp
Morgan Keegan Inc
National Securities Corp (US)
Parker-Hunter Inc
Wedbush Securities
BB&amp;T Capital Markets
City Securities
Jesup &amp; Lamont Securities
JP Turner &amp; Co
Kirlin Securities Inc.
LaSalle Street Securities Inc
David A. Noyes
Paulson Investment Co
Sanders Morris Harris Inc
SouthTrust Securities
Wunderlich Securities Inc
BC Ziegler &amp; Co</t>
  </si>
  <si>
    <t>UBS-INV-BANK(JB)/CITIGROUP(JB)
/MERRILL(JB)/WACHOVIA-SEC(JB)
//RBC-CAP-MKTS/HR-BLOCK-FIN/HILLIARD
/OPPENHEIMER-CO/Q&amp;R/RYAN-BECK
//SUNTRUST-CAP/BAIRD/DBSECU/MCDONALD
/LEGG-MASON-WW/PIPER-JAFFRAY/TDWS
/ADVEST/DAVIDSON/FERRIS-BAKER
/MESIROW-FIN/MORGAN-KEEGAN/NATL-SEC
/PARKER-HUNTER/WEDBUSH-M/BB-T-CAP
/CITY-SEC/JESUP/J-P-TURNER/KIRLIN
/LASALLE-SEC/D-A-NOYES/PAULSON
/SANDERS-HARRIS/SOUTHTRUST-SEC
/WUNDERLICH/ZIEGLER</t>
  </si>
  <si>
    <t>UBS-INV-BANK/CITIGROUP/MERRILL
/WACHOVIA-SEC</t>
  </si>
  <si>
    <t>UBS-INV-BANK
(JB)/CITIGROUP(JB)
/MERRILL(JB)
/WACHOVIA-SEC(JB)
RBC-CAP-MKTS
HR-BLOCK-FIN
HILLIARD
OPPENHEIMER-CO
Q&amp;R
RYAN-BECK</t>
  </si>
  <si>
    <t>UBS Investment Bank
Citigroup
Merrill Lynch &amp; Co Inc
Wachovia Securities Inc
RBC Capital Markets
H&amp;R Block Financial Advisors
JJB Hilliard WL Lyons Inc
Oppenheimer &amp; Co Inc
Quick &amp; Reilly Inc
Ryan Beck &amp; Co</t>
  </si>
  <si>
    <t>Energy Income &amp; Growth Fund</t>
  </si>
  <si>
    <t>FEN</t>
  </si>
  <si>
    <t>AG Edwards &amp; Sons Inc
Advest Inc
Dominick &amp; Dominick Inc
Ferris Baker Watts
Fixed Income Securities Inc
Janney Montgomery Scott LLC
KeyCorp/McDonald Investments
Legg Mason Wood Walker
Morgan Keegan Inc
Parker-Hunter Inc
Petrie Parkman &amp; Co Inc
SunTrust Robinson Humphrey
Wells Fargo &amp; Co
Wunderlich Securities Inc</t>
  </si>
  <si>
    <t>A-G-EDWARDS//ADVEST/DOMINICK
/FERRIS-BAKER/FIXED-INC/JANNEY-LLC
/KEY-MCDONALD/LEGG-MASON-WW
/MORGAN-KEEGAN/PARKER-HUNTER
/PETRIE-PARKMAN/SUNTRUST-RH/WF
/WUNDERLICH</t>
  </si>
  <si>
    <t>A-G-EDWARDS
ADVEST
DOMINICK
FERRIS-BAKER
FIXED-INC
JANNEY-LLC
KEY-MCDONALD
LEGG-MASON-WW
MORGAN-KEEGAN
PARKER-HUNTER
PETRIE-PARKMAN
SUNTRUST-RH
WF
WUNDERLICH</t>
  </si>
  <si>
    <t>AG Edwards &amp; Sons Inc
Advest Inc
Dominick &amp; Dominick Inc
Ferris Baker Watts Inc
Fixed Income Securities Inc
Janney Montgomery Scott LLC
KeyCorp/McDonald Investments
Legg Mason Wood Walker Inc
Morgan Keegan Inc
Parker-Hunter Inc
Petrie Parkman &amp; Co Inc
SunTrust Robinson Humphrey
Wells Fargo &amp; Co
Wunderlich Securities Inc</t>
  </si>
  <si>
    <t>Motive Inc</t>
  </si>
  <si>
    <t>MOTV</t>
  </si>
  <si>
    <t>61980V107</t>
  </si>
  <si>
    <t>JP Morgan
Thomas Weisel Partners
Friedman Billings Ramsey Group
Needham &amp; Co LLC
AGC Partners</t>
  </si>
  <si>
    <t>JPM/THOMAS-WEISEL(JOINT)//FRIEDMAN-B
/NEEDHAM/AMERICA-GROWTH</t>
  </si>
  <si>
    <t>JPM/THOMAS-WEISEL</t>
  </si>
  <si>
    <t>JPM
/THOMAS-WEISEL(JOINT)
FRIEDMAN-B
NEEDHAM
AMERICA-GROWTH</t>
  </si>
  <si>
    <t>JP Morgan &amp; Co Inc
Thomas Weisel Partners
Friedman Billings Ramsey Group
Needham &amp; Co LLC
AGC Partners</t>
  </si>
  <si>
    <t>New York Mortgage Trust</t>
  </si>
  <si>
    <t>NTR</t>
  </si>
  <si>
    <t>Friedman Billings Ramsey Group
JP Morgan
RBC Capital Markets
Advest Inc
Roth Capital Partners Inc
Jefferies &amp; Co Inc
JMP Securities LLC
Piper Jaffray Cos
Stifel Nicolaus &amp; Co Inc</t>
  </si>
  <si>
    <t>FRIEDMAN-B//JPM/RBC-CAP-MKTS//ADVEST
/ROTH-CAPITAL/JEFFERIES/JMP-SEC
/PIPER-JAFFRAY/STIFEL</t>
  </si>
  <si>
    <t>FRIEDMAN-B
JPM
RBC-CAP-MKTS</t>
  </si>
  <si>
    <t>Friedman Billings Ramsey Group
JP Morgan &amp; Co Inc
RBC Capital Markets</t>
  </si>
  <si>
    <t>Multi-Fineline Electronix Inc</t>
  </si>
  <si>
    <t>MFLX</t>
  </si>
  <si>
    <t>62541B101</t>
  </si>
  <si>
    <t>Needham &amp; Co LLC
Robert W Baird &amp; Co Inc
Wells Fargo Securities LLC</t>
  </si>
  <si>
    <t>NEEDHAM//BAIRD/WELLS-FARGO-SEC</t>
  </si>
  <si>
    <t>NEEDHAM
BAIRD
WELLS-FARGO-SEC</t>
  </si>
  <si>
    <t>Desarrolladora Homex SAB de CV</t>
  </si>
  <si>
    <t>HXM</t>
  </si>
  <si>
    <t>CITIGROUP/ML(JB)</t>
  </si>
  <si>
    <t>25030W100</t>
  </si>
  <si>
    <t>Citigroup
Merrill Lynch, Pierce, Fenner
Citigroup
Merrill Lynch</t>
  </si>
  <si>
    <t>12/25/04
12/25/04
12/25/04</t>
  </si>
  <si>
    <t xml:space="preserve">78.159
</t>
  </si>
  <si>
    <t xml:space="preserve">244166490.00
</t>
  </si>
  <si>
    <t>CITIGROUP(JB)/ML(JB)//CITIGROUP(GC)
/MERRILL(GC)</t>
  </si>
  <si>
    <t>CITIGROUP/ML</t>
  </si>
  <si>
    <t>CITIGROUP
(JB)/ML(JB)</t>
  </si>
  <si>
    <t>Citigroup
Merrill Lynch Pierce Fenner &amp; Smith</t>
  </si>
  <si>
    <t>Design Within Reach Inc</t>
  </si>
  <si>
    <t>DWRI</t>
  </si>
  <si>
    <t>CIBC World Markets Inc
William Blair &amp; Co
SG Cowen Securities Corp
AG Edwards &amp; Sons Inc
Legg Mason Wood Walker
Parker-Hunter Inc
Raymond James &amp; Associates Inc
SunTrust Capital Markets
Thomas Weisel Partners
Wedbush Securities</t>
  </si>
  <si>
    <t>CIBC-WORLD//WM-BLAIR/SG-COWEN
//A-G-EDWARDS/LEGG-MASON-WW
/PARKER-HUNTER/RAYMOND/SUNTRUST-CAP
/THOMAS-WEISEL/WEDBUSH-M</t>
  </si>
  <si>
    <t>CIBC-WORLD
WM-BLAIR
SG-COWEN</t>
  </si>
  <si>
    <t>CIBC World Markets Inc
William Blair &amp; Co
SG Cowen Securities Corp</t>
  </si>
  <si>
    <t>GPC Biotech AG</t>
  </si>
  <si>
    <t>GPC</t>
  </si>
  <si>
    <t>38386P108</t>
  </si>
  <si>
    <t>FrankNeuer</t>
  </si>
  <si>
    <t>Goldman Sachs International
Lehman Brothers International
Pacific Growth Equities Inc
WestLB AG
Goldman Sachs International</t>
  </si>
  <si>
    <t>GS-I/LEHMAN-I(JOINT)//PACIFIC-GROWTH
/WEST-LB//GS-I(GC)</t>
  </si>
  <si>
    <t>GS-I/LEHMAN-I</t>
  </si>
  <si>
    <t>GS-I
/LEHMAN-I(JOINT)
PACIFIC-GROWTH
WEST-LB</t>
  </si>
  <si>
    <t>Goldman Sachs International
Lehman Brothers International
Pacific Growth Equities Inc
WestLB AG</t>
  </si>
  <si>
    <t>Life Time Fitness Inc</t>
  </si>
  <si>
    <t>LTM</t>
  </si>
  <si>
    <t>53217R207</t>
  </si>
  <si>
    <t>Credit Suisse First Boston
Merrill Lynch
Banc of America Securities LLC
UBS Investment Bank
Piper Jaffray Cos
William Blair &amp; Co</t>
  </si>
  <si>
    <t>12/27/04
12/27/04</t>
  </si>
  <si>
    <t xml:space="preserve">65.703
</t>
  </si>
  <si>
    <t xml:space="preserve">22795224.00
</t>
  </si>
  <si>
    <t>CS-FB-CS(JB)/MERRILL(JB)//BA-SEC-LLC
/UBS-INV-BANK/PIPER-JAFFRAY/WM-BLAIR</t>
  </si>
  <si>
    <t>CS-FB-CS
(JB)/MERRILL(JB)
BA-SEC-LLC
UBS-INV-BANK
PIPER-JAFFRAY
WM-BLAIR</t>
  </si>
  <si>
    <t>Credit Suisse First Boston Corp
Merrill Lynch &amp; Co Inc
Banc of America Securities LLC
UBS Investment Bank
Piper Jaffray Cos
William Blair &amp; Co</t>
  </si>
  <si>
    <t>Wellcare Group Inc</t>
  </si>
  <si>
    <t>WCG</t>
  </si>
  <si>
    <t>94946T106</t>
  </si>
  <si>
    <t>Morgan Stanley
SG Cowen Securities Corp
UBS Investment Bank
Wachovia Securities Inc
DeMatteo Monness LLC</t>
  </si>
  <si>
    <t>MORGAN-STANLEY//SG-COWEN/UBS-INV-BANK
/WACHOVIA-SEC//DEMATTEO</t>
  </si>
  <si>
    <t>MORGAN-STANLEY
SG-COWEN
UBS-INV-BANK
WACHOVIA-SEC</t>
  </si>
  <si>
    <t>Morgan Stanley
SG Cowen Securities Corp
UBS Investment Bank
Wachovia Securities Inc</t>
  </si>
  <si>
    <t>Holly Energy Partners LP</t>
  </si>
  <si>
    <t>HEP</t>
  </si>
  <si>
    <t>Goldman Sachs &amp; Co
Lehman Brothers
UBS Investment Bank
AG Edwards &amp; Sons Inc
Raymond James &amp; Associates Inc</t>
  </si>
  <si>
    <t>GS//LEH/UBS-INV-BANK/A-G-EDWARDS
/RAYMOND</t>
  </si>
  <si>
    <t>GS
LEH
UBS-INV-BANK
A-G-EDWARDS
RAYMOND</t>
  </si>
  <si>
    <t>KongZhong Corp</t>
  </si>
  <si>
    <t>KONG</t>
  </si>
  <si>
    <t>50047P104</t>
  </si>
  <si>
    <t>UBS Investment Bank
Banc of America Securities LLC
CIBC World Markets Inc</t>
  </si>
  <si>
    <t>UBS-INV-BANK//BA-SEC-LLC/CIBC-WORLD</t>
  </si>
  <si>
    <t>UBS-INV-BANK
BA-SEC-LLC
CIBC-WORLD</t>
  </si>
  <si>
    <t>NetLogic Microsystems</t>
  </si>
  <si>
    <t>NETL</t>
  </si>
  <si>
    <t>64118B100</t>
  </si>
  <si>
    <t>Merrill Lynch
Lehman Brothers
UBS Investment Bank
AG Edwards &amp; Sons Inc</t>
  </si>
  <si>
    <t>MERRILL/LEH(JOINT)//UBS-INV-BANK
/A-G-EDWARDS</t>
  </si>
  <si>
    <t>MERRILL
/LEH(JOINT)
UBS-INV-BANK
A-G-EDWARDS</t>
  </si>
  <si>
    <t>Merrill Lynch &amp; Co Inc
Lehman Brothers
UBS Investment Bank
AG Edwards &amp; Sons Inc</t>
  </si>
  <si>
    <t>Affirmative Insurance Hldg Inc</t>
  </si>
  <si>
    <t>AFMM</t>
  </si>
  <si>
    <t>008272106</t>
  </si>
  <si>
    <t>Piper Jaffray Cos
William Blair &amp; Co
Sandler O'Neill Partners
Raymond James &amp; Associates Inc
Blaylock &amp; Partners LP
Empire Finance Limited
Morgan Keegan Inc</t>
  </si>
  <si>
    <t>PIPER-JAFFRAY//WM-BLAIR/SANDLER-ONEILL
/RAYMOND//BLAYLOCK-PTRNS/EMPIRE-FINANCE
/MORGAN-KEEGAN</t>
  </si>
  <si>
    <t>PIPER-JAFFRAY
WM-BLAIR
SANDLER-ONEILL
RAYMOND</t>
  </si>
  <si>
    <t>Piper Jaffray Cos
William Blair &amp; Co
Sandler O'Neill Partners  L.P.
Raymond James &amp; Associates Inc</t>
  </si>
  <si>
    <t>Domino's Pizza Inc</t>
  </si>
  <si>
    <t>DPZ</t>
  </si>
  <si>
    <t>JPM/CITIGROUP(JB)</t>
  </si>
  <si>
    <t>25754A201</t>
  </si>
  <si>
    <t>JP Morgan
Citigroup
Bear Stearns &amp; Co Inc
Credit Suisse First Boston
Lehman Brothers
Harris Nesbitt
MR Beal &amp; Co
Muriel Siebert &amp; Co</t>
  </si>
  <si>
    <t>JPM(JB)/CITIGROUP(JB)//BEAR/CS-FB-CS
/LEH//HARRN/M-R-BEAL/MURIEL</t>
  </si>
  <si>
    <t>JPM/CITIGROUP</t>
  </si>
  <si>
    <t>JPM
(JB)/CITIGROUP(JB)
BEAR
CS-FB-CS
LEH</t>
  </si>
  <si>
    <t>JP Morgan &amp; Co Inc
Citigroup
Bear Stearns &amp; Co Inc
Credit Suisse First Boston Corp
Lehman Brothers</t>
  </si>
  <si>
    <t>Homebanc Corp</t>
  </si>
  <si>
    <t>HMB</t>
  </si>
  <si>
    <t>43738R109</t>
  </si>
  <si>
    <t>JP Morgan
Friedman Billings Ramsey Group
Lehman Brothers
AG Edwards &amp; Sons Inc
William Blair &amp; Co
KeyCorp/McDonald Investments
Jackson Securities Inc</t>
  </si>
  <si>
    <t>JPM/FRIEDMAN-B(JOINT)//LEH/A-G-EDWARDS
/WM-BLAIR/KEY-MCDONALD/JACKSON-SEC</t>
  </si>
  <si>
    <t>JPM/FRIEDMAN-B</t>
  </si>
  <si>
    <t>JPM
/FRIEDMAN-B(JOINT)
LEH
A-G-EDWARDS
WM-BLAIR
KEY-MCDONALD
JACKSON-SEC</t>
  </si>
  <si>
    <t>JP Morgan &amp; Co Inc
Friedman Billings Ramsey Group
Lehman Brothers
AG Edwards &amp; Sons Inc
William Blair &amp; Co
KeyCorp/McDonald Investments
Jackson Securities Inc</t>
  </si>
  <si>
    <t>Phase Forward Inc</t>
  </si>
  <si>
    <t>PFWD</t>
  </si>
  <si>
    <t>71721R406</t>
  </si>
  <si>
    <t>Thomas Weisel Partners
Piper Jaffray Cos
Raymond James &amp; Associates Inc
AG Edwards &amp; Sons Inc
Adams Harkness &amp; Hill Inc
First Albany
Jefferies &amp; Co Inc
Needham &amp; Co LLC
RBC Capital Markets
SG Cowen Securities Corp</t>
  </si>
  <si>
    <t>THOMAS-WEISEL//PIPER-JAFFRAY/RAYMOND
//A-G-EDWARDS/ADAMS-HARKNESS
/FIRST-ALBANY/JEFFERIES/NEEDHAM
/RBC-CAP-MKTS/SG-COWEN</t>
  </si>
  <si>
    <t>THOMAS-WEISEL
PIPER-JAFFRAY
RAYMOND</t>
  </si>
  <si>
    <t>Thomas Weisel Partners
Piper Jaffray Cos
Raymond James &amp; Associates Inc</t>
  </si>
  <si>
    <t>Collegiate Funding Svcs LLC</t>
  </si>
  <si>
    <t>CFSI</t>
  </si>
  <si>
    <t>JPM/MERRILL(JB)</t>
  </si>
  <si>
    <t>19458M108</t>
  </si>
  <si>
    <t>JP Morgan
Merrill Lynch
Citigroup
Credit Suisse First Boston
Banc of America Securities LLC
Keefe Bruyette &amp; Woods Inc</t>
  </si>
  <si>
    <t>JPM(JB)/MERRILL(JB)//CITIGROUP/CS-FB-CS
/BA-SEC-LLC/KEEFE</t>
  </si>
  <si>
    <t>JPM/MERRILL</t>
  </si>
  <si>
    <t>JPM
(JB)/MERRILL(JB)
CITIGROUP
CS-FB-CS
BA-SEC-LLC
KEEFE</t>
  </si>
  <si>
    <t>JP Morgan &amp; Co Inc
Merrill Lynch &amp; Co Inc
Citigroup
Credit Suisse First Boston Corp
Banc of America Securities LLC
Keefe Bruyette &amp; Woods Inc</t>
  </si>
  <si>
    <t>Greenfield Online Inc</t>
  </si>
  <si>
    <t>SRVY</t>
  </si>
  <si>
    <t>Lehman Brothers
Friedman Billings Ramsey &amp; Co
Piper Jaffray Cos
Fidelity Capital Markets
Oppenheimer &amp; Co Inc
First Albany
CL King &amp; Associates Inc
Needham &amp; Co LLC
Sands Brothers &amp; Co Ltd
Stephens Inc</t>
  </si>
  <si>
    <t>01/11/05
01/11/05</t>
  </si>
  <si>
    <t xml:space="preserve">67.702
</t>
  </si>
  <si>
    <t xml:space="preserve">11146181.00
</t>
  </si>
  <si>
    <t>LEH//FRIEDMAN-B-CO/PIPER-JAFFRAY
//FIDELITY-CAP/OPPENHEIMER-CO
/FIRST-ALBANY/CL-KING/NEEDHAM/SANDS
/STEPHENS</t>
  </si>
  <si>
    <t>LEH
FRIEDMAN-B-CO
PIPER-JAFFRAY</t>
  </si>
  <si>
    <t>Lehman Brothers
Friedman Billings Ramsey &amp; Co Inc
Piper Jaffray Cos</t>
  </si>
  <si>
    <t>QC Holdings Inc</t>
  </si>
  <si>
    <t>QCCO</t>
  </si>
  <si>
    <t>74729T101</t>
  </si>
  <si>
    <t>Ferris Baker Watts
JMP Securities LLC</t>
  </si>
  <si>
    <t>FERRIS-BAKER//JMP-SEC</t>
  </si>
  <si>
    <t>FERRIS-BAKER
JMP-SEC</t>
  </si>
  <si>
    <t>Ferris Baker Watts Inc
JMP Securities LLC</t>
  </si>
  <si>
    <t>Freescale Semiconductor Inc</t>
  </si>
  <si>
    <t>GS/CITIGROUP(JB)
/JPM(JB)</t>
  </si>
  <si>
    <t>35687M107</t>
  </si>
  <si>
    <t>Goldman Sachs &amp; Co
Citigroup
JP Morgan
Banc of America Securities LLC
Deutsche Bank Securities Corp
Merrill Lynch
Bear Stearns &amp; Co Inc
ABN AMRO Rothschild
Hongkong &amp; Shanghai Bank (HK)
UBS Investment Bank
Calyon
Credit Suisse First Boston
Dresdner Kleinwort Wasserstein
Harris Nesbitt
Mizuho Intl PLC
Utendahl Capital Partners
BBVA Securities
Blaylock &amp; Partners LP
Commerzbank Capital Markets
SEB
Loop Capital Markets
Pacific Crest Securities Inc
Samuel A. Ramirez &amp; Co.
Muriel Siebert &amp; Co</t>
  </si>
  <si>
    <t>MOT</t>
  </si>
  <si>
    <t>Motorola Inc</t>
  </si>
  <si>
    <t>007</t>
  </si>
  <si>
    <t>GS(JB)/CITIGROUP(JB)/JPM(JB)/BA-SEC-LLC
/DEUTSCHE-BK-SEC/MERRILL/BEAR(JOINT)
//ABN-ROTHSCHILD/HONG-SHANG-BKG
/UBS-INV-BANK/CALYON/CS-FB-CS
/DRES-KLEIN-WASS/HARRN/MILTD
/UTENDAHL-CAP//BBVA-SEC/BLAYLOCK-PTRNS
/COMMERZBANK-SEC/SEB/LOOP/PACIFIC-CREST
/RAMIREZ/MURIEL</t>
  </si>
  <si>
    <t>GS/CITIGROUP/JPM/BA-SEC-LLC
/DEUTSCHE-BK-SEC/MERRILL/BEAR</t>
  </si>
  <si>
    <t>GS
(JB)/CITIGROUP(JB)
/JPM(JB)
/BA-SEC-LLC
/DEUTSCHE-BK-SEC
/MERRILL
/BEAR(JOINT)
ABN-ROTHSCHILD
HONG-SHANG-BKG
UBS-INV-BANK
CALYON
CS-FB-CS
DRES-KLEIN-WASS
HARRN
MILTD
UTENDAHL-CAP</t>
  </si>
  <si>
    <t>Goldman Sachs &amp; Co
Citigroup
JP Morgan &amp; Co Inc
Banc of America Securities LLC
Deutsche Bank Securities Corp.
Merrill Lynch &amp; Co Inc
Bear Stearns &amp; Co Inc
ABN AMRO Rothschild
Hongkong &amp; Shanghai Banking Corp Ltd
UBS Investment Bank
Calyon Corporate and Investment Bank
Credit Suisse First Boston Corp
Dresdner Kleinwort Wasserstein
Harris Nesbitt
Mizuho International PLC
Utendahl Capital Partners</t>
  </si>
  <si>
    <t>Xenogen Corp</t>
  </si>
  <si>
    <t>XGEN</t>
  </si>
  <si>
    <t>98410R108</t>
  </si>
  <si>
    <t>Thomas Weisel Partners
CIBC World Markets Inc
JMP Securities LLC</t>
  </si>
  <si>
    <t>THOMAS-WEISEL//CIBC-WORLD/JMP-SEC</t>
  </si>
  <si>
    <t>THOMAS-WEISEL
CIBC-WORLD
JMP-SEC</t>
  </si>
  <si>
    <t>McCormick &amp; Schmicks Seafood</t>
  </si>
  <si>
    <t>MSSR</t>
  </si>
  <si>
    <t>Banc of America Securities LLC
RBC Capital Markets
SG Cowen Securities Corp
Wachovia Securities Inc
Avondale Partners
DA Davidson &amp; Co Inc
Rabo Securities NV
ShareBuilder Securities</t>
  </si>
  <si>
    <t>BA-SEC-LLC//RBC-CAP-MKTS/SG-COWEN
/WACHOVIA-SEC//AVONDALE/DAVIDSON
/RABO-SEC/SHAREBUILDER</t>
  </si>
  <si>
    <t>BA-SEC-LLC
RBC-CAP-MKTS
SG-COWEN
WACHOVIA-SEC</t>
  </si>
  <si>
    <t>Banc of America Securities LLC
RBC Capital Markets
SG Cowen Securities Corp
Wachovia Securities Inc</t>
  </si>
  <si>
    <t>Blackbaud Inc</t>
  </si>
  <si>
    <t>BLKB</t>
  </si>
  <si>
    <t>JPM/BA-SEC-LLC(JB)</t>
  </si>
  <si>
    <t>09227Q100</t>
  </si>
  <si>
    <t>JP Morgan
Banc of America Securities LLC
Thomas Weisel Partners
Wachovia Securities Inc</t>
  </si>
  <si>
    <t>01/17/05
01/17/05</t>
  </si>
  <si>
    <t xml:space="preserve">78.104
</t>
  </si>
  <si>
    <t xml:space="preserve">33222073.00
</t>
  </si>
  <si>
    <t>JPM(JB)/BA-SEC-LLC(JB)//THOMAS-WEISEL
/WACHOVIA-SEC</t>
  </si>
  <si>
    <t>JPM/BA-SEC-LLC</t>
  </si>
  <si>
    <t>JPM
(JB)/BA-SEC-LLC(JB)
THOMAS-WEISEL
WACHOVIA-SEC</t>
  </si>
  <si>
    <t>JP Morgan &amp; Co Inc
Banc of America Securities LLC
Thomas Weisel Partners
Wachovia Securities Inc</t>
  </si>
  <si>
    <t>Dex Media Inc</t>
  </si>
  <si>
    <t>DEX</t>
  </si>
  <si>
    <t>MORGAN-STANLEY/LEH(JB)
/MERRILL(JB)</t>
  </si>
  <si>
    <t>25212E100</t>
  </si>
  <si>
    <t>Morgan Stanley
Lehman Brothers
Merrill Lynch
Banc of America Securities LLC
Citigroup
Credit Suisse First Boston
Deutsche Bank Securities Corp
Goldman Sachs &amp; Co
JP Morgan
Wachovia Securities Inc
Robert W Baird &amp; Co Inc
Bear Stearns &amp; Co Inc
AG Edwards &amp; Sons Inc
Harris Nesbitt
Janney Montgomery Scott LLC
Legg Mason Wood Walker
Morgan Keegan Inc
Oppenheimer &amp; Co Inc
RBC Capital Markets
Scotia Capital Inc
Stephens Inc
Stifel Nicolaus &amp; Co Inc
SunTrust Capital Markets
Blaylock &amp; Partners LP
First Southwest
Williams Capital Group LP</t>
  </si>
  <si>
    <t xml:space="preserve">64.692
</t>
  </si>
  <si>
    <t xml:space="preserve">97220438.00
</t>
  </si>
  <si>
    <t>MORGAN-STANLEY(JB)/LEH(JB)/MERRILL(JB)
//BA-SEC-LLC/CITIGROUP/CS-FB-CS
/DEUTSCHE-BK-SEC/GS/JPM/WACHOVIA-SEC
//BAIRD/BEAR/A-G-EDWARDS/HARRN
/JANNEY-LLC/LEGG-MASON-WW/MORGAN-KEEGAN
/OPPENHEIMER-CO/RBC-CAP-MKTS
/SCOTIA-CAP-CA/STEPHENS/STIFEL
/SUNTRUST-CAP/BLAYLOCK-PTRNS/FIRST-SW
/WILLIAMS-CAP</t>
  </si>
  <si>
    <t>MORGAN-STANLEY/LEH/MERRILL</t>
  </si>
  <si>
    <t>MORGAN-STANLEY
(JB)/LEH(JB)
/MERRILL(JB)
BA-SEC-LLC
CITIGROUP
CS-FB-CS
DEUTSCHE-BK-SEC
GS
JPM
WACHOVIA-SEC</t>
  </si>
  <si>
    <t>Morgan Stanley
Lehman Brothers
Merrill Lynch &amp; Co Inc
Banc of America Securities LLC
Citigroup
Credit Suisse First Boston Corp
Deutsche Bank Securities Corp.
Goldman Sachs &amp; Co
JP Morgan &amp; Co Inc
Wachovia Securities Inc</t>
  </si>
  <si>
    <t>Idenix Pharmaceuticals Inc</t>
  </si>
  <si>
    <t>IDIX</t>
  </si>
  <si>
    <t>45166R204</t>
  </si>
  <si>
    <t>Goldman Sachs &amp; Co
Morgan Stanley
Bear Stearns &amp; Co Inc</t>
  </si>
  <si>
    <t>GS/MORGAN-STANLEY(JOINT)//BEAR</t>
  </si>
  <si>
    <t>GS
/MORGAN-STANLEY(JOINT)
BEAR</t>
  </si>
  <si>
    <t>Bucyrus International Inc</t>
  </si>
  <si>
    <t>BUCY</t>
  </si>
  <si>
    <t>Goldman Sachs &amp; Co
Lehman Brothers
Legg Mason &amp; Co Inc</t>
  </si>
  <si>
    <t>American Industrial Partners</t>
  </si>
  <si>
    <t>GS//LEH/LEGG-MASON</t>
  </si>
  <si>
    <t>GS
LEH
LEGG-MASON</t>
  </si>
  <si>
    <t>Kanbay International Inc</t>
  </si>
  <si>
    <t>KBAY</t>
  </si>
  <si>
    <t>48369P207</t>
  </si>
  <si>
    <t>UBS Investment Bank
Robert W Baird &amp; Co Inc
Janney Montgomery Scott Inc</t>
  </si>
  <si>
    <t>01/18/05
07/17/05</t>
  </si>
  <si>
    <t>24.836
53.069</t>
  </si>
  <si>
    <t>8036741.00
17173129.00</t>
  </si>
  <si>
    <t>UBS-INV-BANK//BAIRD/JANNEY</t>
  </si>
  <si>
    <t>UBS-INV-BANK
BAIRD
JANNEY</t>
  </si>
  <si>
    <t>Lumera Corp</t>
  </si>
  <si>
    <t>LMRA</t>
  </si>
  <si>
    <t>55024R106</t>
  </si>
  <si>
    <t>Paulson Investment Co
I-Bankers Securities Inc
JP Turner &amp; Co
Kirlin Securities Inc.
Joseph Gunnar &amp; Co., LLC
vFinance Investments Inc
Capital Growth Financial LLC
Maxim Group LLC
S W Bach &amp; Company
Pali Capital LLC
First Montauk Securities
GunnAllen Financial Inc</t>
  </si>
  <si>
    <t>PAULSON//I-BANKERS-SEC//J-P-TURNER
/KIRLIN/GUNNAR/VFINANCE/CGF-SEC
/MAXIM-GROUP/SW-BACH/PALI-CAPITAL
/FIRST-MONTAUK/GUNNALLEN-FINL</t>
  </si>
  <si>
    <t>NeuroMetrix Inc</t>
  </si>
  <si>
    <t>NURO</t>
  </si>
  <si>
    <t>PUNK</t>
  </si>
  <si>
    <t>Punk Ziegel &amp; Co LP
WR Hambrecht &amp; Co LLC
First Albany
Wells Fargo Securities LLC
Maxim Group LLC</t>
  </si>
  <si>
    <t>PUNK//W-R-HAMBRECHT//FIRST-ALBANY
/WELLS-FARGO-SEC/MAXIM-GROUP</t>
  </si>
  <si>
    <t>PUNK
W-R-HAMBRECHT</t>
  </si>
  <si>
    <t>Punk Ziegel &amp; Co LP
WR Hambrecht &amp; Co LLC</t>
  </si>
  <si>
    <t>Auxilium Pharmaceuticals Inc</t>
  </si>
  <si>
    <t>AUXL</t>
  </si>
  <si>
    <t>05334D107</t>
  </si>
  <si>
    <t>Deutsche Bank Securities Corp
Thomas Weisel Partners
Piper Jaffray Cos</t>
  </si>
  <si>
    <t>DEUTSCHE-BK-SEC//THOMAS-WEISEL
/PIPER-JAFFRAY</t>
  </si>
  <si>
    <t>DEUTSCHE-BK-SEC
THOMAS-WEISEL
PIPER-JAFFRAY</t>
  </si>
  <si>
    <t>Deutsche Bank Securities Corp.
Thomas Weisel Partners
Piper Jaffray Cos</t>
  </si>
  <si>
    <t>Top Tankers Inc</t>
  </si>
  <si>
    <t>TOPT</t>
  </si>
  <si>
    <t>CANTOR</t>
  </si>
  <si>
    <t>Y8897Y107</t>
  </si>
  <si>
    <t>Cantor Fitzgerald Inc
Hibernia Southcoast Capital
HARRISdirect LLC</t>
  </si>
  <si>
    <t>01/19/05
07/18/05</t>
  </si>
  <si>
    <t>93.326
100.000</t>
  </si>
  <si>
    <t>17058570.00
18278570.00</t>
  </si>
  <si>
    <t>CANTOR//HIBERNIA-SOUTH/HARRISDIRECT</t>
  </si>
  <si>
    <t>CANTOR
HIBERNIA-SOUTH
HARRISDIRECT</t>
  </si>
  <si>
    <t>Cantor Fitzgerald Inc
Hibernia Southcoast Capital Inc
HARRISdirect LLC</t>
  </si>
  <si>
    <t>Floating Rate Income Fund II</t>
  </si>
  <si>
    <t>FRB</t>
  </si>
  <si>
    <t>Merrill Lynch
Wachovia Securities Inc
Advest Inc
KeyCorp/McDonald Investments
Robert W Baird &amp; Co Inc
Crowell Weedon &amp; Co
Doft &amp; Co Inc
Harris Nesbitt
Legg Mason Wood Walker
Morgan Keegan Inc
Piper Jaffray Cos
RBC Capital Markets
Ryan Beck &amp; Co
Brean Murray &amp; Co Inc
CMG Institutional Trading LLC
Gilford Securities
Huntleigh Securities Corp
Johnston Lemon &amp; Co Inc
LaSalle Street Securities Inc
Maxim Group LLC
Mesirow Financial Corp
David A. Noyes
Sanders Morris Harris Inc
STERLING FINANCIAL INVESTMENT
Torrey Pines Securities
JP Turner &amp; Co</t>
  </si>
  <si>
    <t>MERRILL//WACHOVIA-SEC/ADVEST
/KEY-MCDONALD//BAIRD/CROWELL/DOFT/HARRN
/LEGG-MASON-WW/MORGAN-KEEGAN
/PIPER-JAFFRAY/RBC-CAP-MKTS/RYAN-BECK
/BREAN/CMG-LLC/GILFORD/HUNTLEIGH-SEC
/JOHNSTON-LEMON/LASALLE-SEC/MAXIM-GROUP
/MESIROW-FIN/D-A-NOYES/SANDERS-HARRIS
/STERLING-FIN-I/TORREY-PINES/J-P-TURNER</t>
  </si>
  <si>
    <t>MERRILL
WACHOVIA-SEC
ADVEST
KEY-MCDONALD</t>
  </si>
  <si>
    <t>Merrill Lynch &amp; Co Inc
Wachovia Securities Inc
Advest Inc
KeyCorp/McDonald Investments</t>
  </si>
  <si>
    <t>Gramercy Capital Corp</t>
  </si>
  <si>
    <t>GKK</t>
  </si>
  <si>
    <t>Wachovia Securities Inc
Merrill Lynch
Banc of America Securities LLC
JMP Securities LLC</t>
  </si>
  <si>
    <t>WACHOVIA-SEC//MERRILL/BA-SEC-LLC
/JMP-SEC</t>
  </si>
  <si>
    <t>WACHOVIA-SEC
MERRILL
BA-SEC-LLC
JMP-SEC</t>
  </si>
  <si>
    <t>Wachovia Securities Inc
Merrill Lynch &amp; Co Inc
Banc of America Securities LLC
JMP Securities LLC</t>
  </si>
  <si>
    <t>Madison/Claymore Covered Call</t>
  </si>
  <si>
    <t>MCN</t>
  </si>
  <si>
    <t>MERRILL/BB-T-CAP(JB)</t>
  </si>
  <si>
    <t>Merrill Lynch
BB&amp;T Capital Markets
RBC Capital Markets
Advest Inc
Robert W Baird &amp; Co Inc
Claymore Securities Inc
Ferris Baker Watts
JJB Hilliard WL Lyons Inc
Janney Montgomery Scott LLC
KeyCorp/McDonald Investments
Legg Mason Wood Walker
Oppenheimer &amp; Co Inc
Raymond James &amp; Associates Inc
Ryan Beck &amp; Co
Stifel Nicolaus &amp; Co Inc
TD Waterhouse Securities
Wedbush Securities
Wells Fargo Securities LLC
DA Davidson &amp; Co Inc
Deutsche Bank Securities
Doft &amp; Co Inc
AG Edwards &amp; Sons Inc
Harris Nesbitt
Morgan Keegan Inc
Parker-Hunter Inc
Piper Jaffray Cos
SunTrust Capital Markets
Arthurs Lestrange
Axiom Capital Management Inc
Brookstreet Securities
Hennion &amp; Walsh, Inc
Hoefer &amp; Arnett Inc
Howe Barnes Investments Inc
Huntleigh Securities Corp
Johnston Lemon &amp; Co Inc
LaSalle Street Securities Inc
Maxim Group LLC
Mesirow Financial Corp
Morgan Wilshire Securities
Natcity Investments Inc.
Newbridge Securities
Northeast Securities Inc.
David A. Noyes
Nutmeg Securities Ltd
Sands Brothers &amp; Co Ltd
Southwest Securities Inc
STERLING FINANCIAL INVESTMENT
M. L. Stern
Torrey Pines Securities
National Securities Corp (US)
William Blair &amp; Co</t>
  </si>
  <si>
    <t>MERRILL(JB)/BB-T-CAP(JB)
/RBC-CAP-MKTS(JOINT)//ADVEST/BAIRD
/CLAYMORE-SEC/FERRIS-BAKER/HILLIARD
/JANNEY-LLC/KEY-MCDONALD/LEGG-MASON-WW
/OPPENHEIMER-CO/RAYMOND/RYAN-BECK
/STIFEL/TDWS/WEDBUSH-M/WELLS-FARGO-SEC
//DAVIDSON/DBSECU/DOFT/A-G-EDWARDS
/HARRN/MORGAN-KEEGAN/PARKER-HUNTER
/PIPER-JAFFRAY/SUNTRUST-CAP/ARTHURS-LES
/AXIOM-CAP/BROOKSTREET/HENNION-WALSH
/HOEFER-ARNETT/HOWE-BARNES
/HUNTLEIGH-SEC/JOHNSTON-LEMON
/LASALLE-SEC/MAXIM-GROUP/MESIROW-FIN
/MORGAN-WILSHIRE/NATCITY-INVEST
/NEWBRIDGE/NORTHEAST-SEC/D-A-NOYES
/NUTMEG-SEC/SANDS/SWS-SEC
/STERLING-FIN-I/M-L-STERN/TORREY-PINES
/NATL-SEC/WM-BLAIR</t>
  </si>
  <si>
    <t>MERRILL/BB-T-CAP/RBC-CAP-MKTS</t>
  </si>
  <si>
    <t>MERRILL
(JB)/BB-T-CAP(JB)
/RBC-CAP-MKTS(JOINT)
ADVEST
BAIRD
CLAYMORE-SEC
FERRIS-BAKER
HILLIARD
JANNEY-LLC
KEY-MCDONALD
LEGG-MASON-WW
OPPENHEIMER-CO
RAYMOND
RYAN-BECK
STIFEL
TDWS
WEDBUSH-M
WELLS-FARGO-SEC</t>
  </si>
  <si>
    <t>Merrill Lynch &amp; Co Inc
BB&amp;T Capital Markets
RBC Capital Markets
Advest Inc
Robert W Baird &amp; Co Inc
Claymore Securities Inc
Ferris Baker Watts Inc
JJB Hilliard WL Lyons Inc
Janney Montgomery Scott LLC
KeyCorp/McDonald Investments
Legg Mason Wood Walker Inc
Oppenheimer &amp; Co Inc
Raymond James &amp; Associates Inc
Ryan Beck &amp; Co
Stifel Nicolaus &amp; Co Inc
TD Waterhouse Securities
Wedbush Securities
Wells Fargo Securities LLC</t>
  </si>
  <si>
    <t>Nuveen Floating Rt Inc Opp Fnd</t>
  </si>
  <si>
    <t>JRO</t>
  </si>
  <si>
    <t>6706EN100</t>
  </si>
  <si>
    <t>Citigroup
Nuveen Investments LLC
Wachovia Securities Inc
Advest Inc
Ferris Baker Watts
JJB Hilliard WL Lyons Inc
KeyCorp/McDonald Investments
Oppenheimer &amp; Co Inc
RBC Capital Markets
Ryan Beck &amp; Co
Stifel Nicolaus &amp; Co Inc
SunTrust Robinson Humphrey
Wedbush Securities
AG Edwards &amp; Sons Inc
Deutsche Bank Securities
Piper Jaffray Cos
Robert W Baird &amp; Co Inc
TD Waterhouse Securities
Crowell Weedon &amp; Co
DA Davidson &amp; Co Inc
Doft &amp; Co Inc
Hazlett, Burt &amp; Watson
Southwest Securities Inc
Smith, Moore
M. L. Stern
Stephens Inc
Axiom Capital Management Inc
CMG Institutional Trading LLC
City Securities
David A. Noyes
First Montauk Securities
Gilford Securities
HARRISdirect LLC
Howe Barnes Investments Inc
Johnston Lemon &amp; Co Inc
LaSalle Street Securities Inc
Maxim Group LLC
Mesirow Financial Corp
National Securities Corp (US)
Parker-Hunter Inc
Sanders Morris Harris Inc
Spelman &amp; Co.
BB&amp;T Capital Markets</t>
  </si>
  <si>
    <t>CITIGROUP//NUVEEN-INV/WACHOVIA-SEC
/ADVEST/FERRIS-BAKER/HILLIARD
/KEY-MCDONALD/OPPENHEIMER-CO
/RBC-CAP-MKTS/RYAN-BECK/STIFEL
/SUNTRUST-RH/WEDBUSH-M//A-G-EDWARDS
/DBSECU/PIPER-JAFFRAY/BAIRD/TDWS
/CROWELL/DAVIDSON/DOFT/HAZLETT/SWS-SEC
/SMITH-MOORE/M-L-STERN/STEPHENS
/AXIOM-CAP/CMG-LLC/CITY-SEC/D-A-NOYES
/FIRST-MONTAUK/GILFORD/HARRISDIRECT
/HOWE-BARNES/JOHNSTON-LEMON/LASALLE-SEC
/MAXIM-GROUP/MESIROW-FIN/NATL-SEC
/PARKER-HUNTER/SANDERS-HARRIS/SPELMAN
/BB-T-CAP</t>
  </si>
  <si>
    <t>CITIGROUP
NUVEEN-INV
WACHOVIA-SEC
ADVEST
FERRIS-BAKER
HILLIARD
KEY-MCDONALD
OPPENHEIMER-CO
RBC-CAP-MKTS
RYAN-BECK
STIFEL
SUNTRUST-RH
WEDBUSH-M</t>
  </si>
  <si>
    <t>Citigroup
Nuveen Investments LLC
Wachovia Securities Inc
Advest Inc
Ferris Baker Watts Inc
JJB Hilliard WL Lyons Inc
KeyCorp/McDonald Investments
Oppenheimer &amp; Co Inc
RBC Capital Markets
Ryan Beck &amp; Co
Stifel Nicolaus &amp; Co Inc
SunTrust Robinson Humphrey
Wedbush Securities</t>
  </si>
  <si>
    <t>Prospect Street Energy Corp</t>
  </si>
  <si>
    <t>PSEC</t>
  </si>
  <si>
    <t>74348T102</t>
  </si>
  <si>
    <t>Ferris Baker Watts
DA Davidson &amp; Co Inc
Sterne Agee &amp; Leach Inc
Wunderlich Securities Inc</t>
  </si>
  <si>
    <t>FERRIS-BAKER//DAVIDSON/STERNE-AGEE
/WUNDERLICH</t>
  </si>
  <si>
    <t>FERRIS-BAKER
DAVIDSON
STERNE-AGEE
WUNDERLICH</t>
  </si>
  <si>
    <t>Ferris Baker Watts Inc
DA Davidson &amp; Co Inc
Sterne Agee &amp; Leach Inc
Wunderlich Securities Inc</t>
  </si>
  <si>
    <t>Sand Hill IT Sec Acq Co</t>
  </si>
  <si>
    <t>SHQC</t>
  </si>
  <si>
    <t>NEWBRIDGE
/I-BANKERS-SEC(JB)</t>
  </si>
  <si>
    <t>Newbridge Securities
I-Bankers Securities Inc
Broadband Capital Management
Maxim Group LLC
Kashner Davidson Securities
VIEWTRADE FINANCIAL
Joseph Gunnar &amp; Co., LLC
Bathgate McColley Capital Grou</t>
  </si>
  <si>
    <t>NEWBRIDGE(JB)/I-BANKERS-SEC(JB)
//BROADBAND/MAXIM-GROUP/KASHNER
/VIEWTRADE-FINAN/GUNNAR/BATHGATE-MCCOLL</t>
  </si>
  <si>
    <t>NEWBRIDGE/I-BANKERS-SEC</t>
  </si>
  <si>
    <t>NEWBRIDGE
(JB)/I-BANKERS-SEC(JB)</t>
  </si>
  <si>
    <t>Newbridge Securities
I-Bankers Securities Inc</t>
  </si>
  <si>
    <t>Clough Global Allocation Fnd</t>
  </si>
  <si>
    <t>GLV</t>
  </si>
  <si>
    <t>18913Y103</t>
  </si>
  <si>
    <t>Merrill Lynch
Raymond James &amp; Associates Inc
BNY Capital Markets Inc
Legg Mason Wood Walker
Oppenheimer &amp; Co Inc
RBC Capital Markets
Stifel Nicolaus &amp; Co Inc
BB&amp;T Capital Markets
Advest Inc
Robert W Baird &amp; Co Inc
Doft &amp; Co Inc
Harris Nesbitt
KeyCorp/McDonald Investments
Morgan Keegan Inc
Parker-Hunter Inc
Stephens Inc
SunTrust Capital Markets
TD Waterhouse Securities
Wedbush Securities
Gilford Securities
Hoefer &amp; Arnett Inc
Huntleigh Securities Corp
Johnston Lemon &amp; Co Inc
LaSalle Street Securities Inc
Maxim Group LLC
David A. Noyes
Source Capital Group Inc
Southwest Securities Inc
Northeast Securities Inc.</t>
  </si>
  <si>
    <t>MERRILL/RAYMOND(JOINT)//BNY-CAP
/LEGG-MASON-WW/OPPENHEIMER-CO
/RBC-CAP-MKTS/STIFEL//BB-T-CAP/ADVEST
/BAIRD/DOFT/HARRN/KEY-MCDONALD
/MORGAN-KEEGAN/PARKER-HUNTER/STEPHENS
/SUNTRUST-CAP/TDWS/WEDBUSH-M/GILFORD
/HOEFER-ARNETT/HUNTLEIGH-SEC
/JOHNSTON-LEMON/LASALLE-SEC/MAXIM-GROUP
/D-A-NOYES/SOURCE-CAPITAL/SWS-SEC
/NORTHEAST-SEC</t>
  </si>
  <si>
    <t>MERRILL
/RAYMOND(JOINT)
BNY-CAP
LEGG-MASON-WW
OPPENHEIMER-CO
RBC-CAP-MKTS
STIFEL</t>
  </si>
  <si>
    <t>Merrill Lynch &amp; Co Inc
Raymond James &amp; Associates Inc
BNY Capital Markets Inc
Legg Mason Wood Walker Inc
Oppenheimer &amp; Co Inc
RBC Capital Markets
Stifel Nicolaus &amp; Co Inc</t>
  </si>
  <si>
    <t>MannKind Corp</t>
  </si>
  <si>
    <t>MNKD</t>
  </si>
  <si>
    <t>56400P201</t>
  </si>
  <si>
    <t>UBS Investment Bank
Piper Jaffray Cos
Wachovia Securities Inc
Jefferies &amp; Co Inc
Harris Nesbitt</t>
  </si>
  <si>
    <t>UBS-INV-BANK//PIPER-JAFFRAY
/WACHOVIA-SEC/JEFFERIES/HARRN</t>
  </si>
  <si>
    <t>UBS-INV-BANK
PIPER-JAFFRAY
WACHOVIA-SEC
JEFFERIES
HARRN</t>
  </si>
  <si>
    <t>Volterra Semiconductor Corp</t>
  </si>
  <si>
    <t>VLTR</t>
  </si>
  <si>
    <t>Goldman Sachs &amp; Co
Piper Jaffray Cos
Thomas Weisel Partners</t>
  </si>
  <si>
    <t>GS//PIPER-JAFFRAY/THOMAS-WEISEL</t>
  </si>
  <si>
    <t>GS
PIPER-JAFFRAY
THOMAS-WEISEL</t>
  </si>
  <si>
    <t>EnerSys Inc</t>
  </si>
  <si>
    <t>ENS</t>
  </si>
  <si>
    <t>MORGAN-STANLEY/LEH(JB)</t>
  </si>
  <si>
    <t>29275Y102</t>
  </si>
  <si>
    <t>Morgan Stanley
Lehman Brothers
Banc of America Securities LLC
William Blair &amp; Co</t>
  </si>
  <si>
    <t>MORGAN-STANLEY(JB)/LEH(JB)//BA-SEC-LLC
/WM-BLAIR</t>
  </si>
  <si>
    <t>MORGAN-STANLEY
(JB)/LEH(JB)
BA-SEC-LLC
WM-BLAIR</t>
  </si>
  <si>
    <t>MortgageIT Holdings Inc</t>
  </si>
  <si>
    <t>MHL</t>
  </si>
  <si>
    <t>61915Q108</t>
  </si>
  <si>
    <t>UBS Investment Bank
Merrill Lynch
Piper Jaffray Cos
Flagstone Securities Inc
JMP Securities LLC
MR Beal &amp; Co
Ryan Beck &amp; Co</t>
  </si>
  <si>
    <t>UBS-INV-BANK(JB)/MERRILL(JB)
//PIPER-JAFFRAY/FLAGSTONE/JMP-SEC
/M-R-BEAL/RYAN-BECK</t>
  </si>
  <si>
    <t>UBS-INV-BANK
(JB)/MERRILL(JB)
PIPER-JAFFRAY
FLAGSTONE
JMP-SEC
M-R-BEAL
RYAN-BECK</t>
  </si>
  <si>
    <t>UBS Investment Bank
Merrill Lynch &amp; Co Inc
Piper Jaffray Cos
Flagstone Securities Inc
JMP Securities LLC
MR Beal &amp; Co
Ryan Beck &amp; Co</t>
  </si>
  <si>
    <t>Commercial Vehicle Group Inc</t>
  </si>
  <si>
    <t>CVGI</t>
  </si>
  <si>
    <t>Credit Suisse First Boston
Robert W Baird &amp; Co Inc
Lehman Brothers
RBC Capital Markets</t>
  </si>
  <si>
    <t>01/31/05
01/31/05</t>
  </si>
  <si>
    <t xml:space="preserve">34.400
</t>
  </si>
  <si>
    <t xml:space="preserve">6200000.00
</t>
  </si>
  <si>
    <t>CS-FB-CS//BAIRD/LEH/RBC-CAP-MKTS</t>
  </si>
  <si>
    <t>CS-FB-CS
BAIRD
LEH
RBC-CAP-MKTS</t>
  </si>
  <si>
    <t>Credit Suisse First Boston Corp
Robert W Baird &amp; Co Inc
Lehman Brothers
RBC Capital Markets</t>
  </si>
  <si>
    <t>BioMed Realty Trust Inc</t>
  </si>
  <si>
    <t>BMR</t>
  </si>
  <si>
    <t>09063H107</t>
  </si>
  <si>
    <t>Raymond James &amp; Associates Inc
Friedman Billings Ramsey Group
KeyCorp/McDonald Investments
Legg Mason Wood Walker
RBC Capital Markets
Allen &amp; Co Inc
Dominick &amp; Dominick Inc
First Albany
Janney Montgomery Scott LLC
Lazard Freres &amp; Co LLC
Needham &amp; Co LLC</t>
  </si>
  <si>
    <t>RAYMOND//FRIEDMAN-B/KEY-MCDONALD
/LEGG-MASON-WW/RBC-CAP-MKTS//ALLEN
/DOMINICK/FIRST-ALBANY/JANNEY-LLC/LAZ
/NEEDHAM</t>
  </si>
  <si>
    <t>RAYMOND
FRIEDMAN-B
KEY-MCDONALD
LEGG-MASON-WW
RBC-CAP-MKTS</t>
  </si>
  <si>
    <t>Raymond James &amp; Associates Inc
Friedman Billings Ramsey Group
KeyCorp/McDonald Investments
Legg Mason Wood Walker Inc
RBC Capital Markets</t>
  </si>
  <si>
    <t>New River Pharmaceuticals Inc</t>
  </si>
  <si>
    <t>NRPH</t>
  </si>
  <si>
    <t>WR Hambrecht &amp; Co LLC
First Albany
Punk Ziegel &amp; Co LP
Wells Fargo Securities LLC</t>
  </si>
  <si>
    <t>W-R-HAMBRECHT//FIRST-ALBANY/PUNK
/WELLS-FARGO-SEC</t>
  </si>
  <si>
    <t>W-R-HAMBRECHT
FIRST-ALBANY
PUNK
WELLS-FARGO-SEC</t>
  </si>
  <si>
    <t>WR Hambrecht &amp; Co LLC
First Albany Corporation
Punk Ziegel &amp; Co LP
Wells Fargo Securities LLC</t>
  </si>
  <si>
    <t>RightNow Technologies Inc</t>
  </si>
  <si>
    <t>RNOW</t>
  </si>
  <si>
    <t>76657R106</t>
  </si>
  <si>
    <t>Morgan Stanley
Thomas Weisel Partners
Adams Harkness &amp; Hill Inc
DA Davidson &amp; Co Inc</t>
  </si>
  <si>
    <t>MORGAN-STANLEY/THOMAS-WEISEL(JOINT)
//ADAMS-HARKNESS/DAVIDSON</t>
  </si>
  <si>
    <t>MORGAN-STANLEY
/THOMAS-WEISEL(JOINT)
ADAMS-HARKNESS
DAVIDSON</t>
  </si>
  <si>
    <t>Syneron Medical Ltd</t>
  </si>
  <si>
    <t>ELOS</t>
  </si>
  <si>
    <t>M87245102</t>
  </si>
  <si>
    <t>Citigroup
CIBC World Markets Inc
Stephens Inc</t>
  </si>
  <si>
    <t>02/01/05
02/01/05
02/01/05</t>
  </si>
  <si>
    <t xml:space="preserve">77.212
</t>
  </si>
  <si>
    <t xml:space="preserve">16941649.00
</t>
  </si>
  <si>
    <t>CITIGROUP//CIBC-WORLD/STEPHENS</t>
  </si>
  <si>
    <t>CITIGROUP
CIBC-WORLD
STEPHENS</t>
  </si>
  <si>
    <t>NAVTEQ Corp</t>
  </si>
  <si>
    <t>NVT</t>
  </si>
  <si>
    <t>63936L100</t>
  </si>
  <si>
    <t>Credit Suisse First Boston
Merrill Lynch
Deutsche Bank Securities Corp
UBS Investment Bank
Dresdner Kleinwort Wasserstein
Piper Jaffray Cos
Stephens Inc</t>
  </si>
  <si>
    <t>Philips Consumer Electronics</t>
  </si>
  <si>
    <t>CS-FB-CS(JB)/MERRILL(JB)
//DEUTSCHE-BK-SEC/UBS-INV-BANK
/DRES-KLEIN-WASS/PIPER-JAFFRAY/STEPHENS</t>
  </si>
  <si>
    <t>CS-FB-CS
(JB)/MERRILL(JB)
DEUTSCHE-BK-SEC
UBS-INV-BANK
DRES-KLEIN-WASS
PIPER-JAFFRAY
STEPHENS</t>
  </si>
  <si>
    <t>Credit Suisse First Boston Corp
Merrill Lynch &amp; Co Inc
Deutsche Bank Securities Corp.
UBS Investment Bank
Dresdner Kleinwort Wasserstein
Piper Jaffray Cos
Stephens Inc</t>
  </si>
  <si>
    <t>WPT Enterprises Inc</t>
  </si>
  <si>
    <t>WPTE</t>
  </si>
  <si>
    <t>FELTL</t>
  </si>
  <si>
    <t>98211W108</t>
  </si>
  <si>
    <t>Feltl &amp; Co
Ladenburg Thalmann &amp; Co
The Seidler Companies Inc
Craig-Hallum, Inc.
Maxim Group LLC
Berthel Fisher &amp; Co Financial
Dougherty &amp; Company LLC
Northland Bank Ltd</t>
  </si>
  <si>
    <t>FELTL//LADENBURG/SEIDLER-CO-INC
/CRAIG-HALLUM/MAXIM-GROUP
/BERTHEL-FISHER/DOUGHERTY/NORTH</t>
  </si>
  <si>
    <t>Feltl &amp; Co</t>
  </si>
  <si>
    <t>Kite Realty Group Trust</t>
  </si>
  <si>
    <t>KRG</t>
  </si>
  <si>
    <t>49803T102</t>
  </si>
  <si>
    <t>Lehman Brothers
Wachovia Securities Inc
Goldman Sachs &amp; Co
UBS Investment Bank
KeyCorp/McDonald Investments
Raymond James &amp; Associates Inc
AG Edwards &amp; Sons Inc
Fidelity Capital Markets
Friedman Billings Ramsey &amp; Co
Edward D Jones &amp; Co LP
Oppenheimer &amp; Co Inc
Stifel Nicolaus &amp; Co Inc
MR Beal &amp; Co
Chatsworth Securities LLC
City Securities</t>
  </si>
  <si>
    <t>LEH/WACHOVIA-SEC(JOINT)//GS
/UBS-INV-BANK/KEY-MCDONALD/RAYMOND
//A-G-EDWARDS/FIDELITY-CAP
/FRIEDMAN-B-CO/ED-JONES-LP
/OPPENHEIMER-CO/STIFEL/M-R-BEAL
/CHATSWORTH/CITY-SEC</t>
  </si>
  <si>
    <t>LEH/WACHOVIA-SEC</t>
  </si>
  <si>
    <t>LEH
/WACHOVIA-SEC(JOINT)
GS
UBS-INV-BANK
KEY-MCDONALD
RAYMOND</t>
  </si>
  <si>
    <t>Lehman Brothers
Wachovia Securities Inc
Goldman Sachs &amp; Co
UBS Investment Bank
KeyCorp/McDonald Investments
Raymond James &amp; Associates Inc</t>
  </si>
  <si>
    <t>Placer Sierra Bancshares,CA</t>
  </si>
  <si>
    <t>PLSB</t>
  </si>
  <si>
    <t>Friedman Billings Ramsey &amp; Co
Keefe Bruyette &amp; Woods Inc
RBC Capital Markets
Advest Inc
DA Davidson &amp; Co Inc
Hoefer &amp; Arnett Inc
Howe Barnes Investments Inc
JMP Securities LLC
Roth Capital Partners Inc
Sandler O'Neill Partners
Stifel Nicolaus &amp; Co Inc</t>
  </si>
  <si>
    <t>02/06/05
02/06/05</t>
  </si>
  <si>
    <t xml:space="preserve">59.691
</t>
  </si>
  <si>
    <t xml:space="preserve">8596152.00
</t>
  </si>
  <si>
    <t>FRIEDMAN-B-CO//KEEFE/RBC-CAP-MKTS
//ADVEST/DAVIDSON/HOEFER-ARNETT
/HOWE-BARNES/JMP-SEC/ROTH-CAPITAL
/SANDLER-ONEILL/STIFEL</t>
  </si>
  <si>
    <t>FRIEDMAN-B-CO
KEEFE
RBC-CAP-MKTS</t>
  </si>
  <si>
    <t>Friedman Billings Ramsey &amp; Co Inc
Keefe Bruyette &amp; Woods Inc
RBC Capital Markets</t>
  </si>
  <si>
    <t>Westlake Chemical Corp</t>
  </si>
  <si>
    <t>WLK</t>
  </si>
  <si>
    <t>CS-FB-CS/JPM(JB)
/DEUTSCHE-BK-SEC(JB)</t>
  </si>
  <si>
    <t>Credit Suisse First Boston
JP Morgan
Deutsche Bank Securities Corp
Banc of America Securities LLC
Goldman Sachs &amp; Co
UBS Investment Bank
CIBC World Markets Inc
Sanders Morris Harris Inc</t>
  </si>
  <si>
    <t>CS-FB-CS(JB)/JPM(JB)
/DEUTSCHE-BK-SEC(JB)//BA-SEC-LLC/GS
/UBS-INV-BANK//CIBC-WORLD
/SANDERS-HARRIS</t>
  </si>
  <si>
    <t>CS-FB-CS/JPM/DEUTSCHE-BK-SEC</t>
  </si>
  <si>
    <t>CS-FB-CS
(JB)/JPM(JB)
/DEUTSCHE-BK-SEC(JB)
BA-SEC-LLC
GS
UBS-INV-BANK</t>
  </si>
  <si>
    <t>Credit Suisse First Boston Corp
JP Morgan &amp; Co Inc
Deutsche Bank Securities Corp.
Banc of America Securities LLC
Goldman Sachs &amp; Co
UBS Investment Bank</t>
  </si>
  <si>
    <t>American Campus Comm Inc</t>
  </si>
  <si>
    <t>ACC</t>
  </si>
  <si>
    <t>CITIGROUP
/DEUTSCHE-BK-SEC(JB)</t>
  </si>
  <si>
    <t>024835100</t>
  </si>
  <si>
    <t>Citigroup
Deutsche Bank Securities Corp
JP Morgan
UBS Investment Bank
ING FINANCIAL MARKETS LLC
KeyCorp/McDonald Investments
Wells Fargo Securities LLC</t>
  </si>
  <si>
    <t>CITIGROUP(JB)/DEUTSCHE-BK-SEC(JB)
/JPM(JOINT)//UBS-INV-BANK/ING-FINAN
/KEY-MCDONALD/WELLS-FARGO-SEC</t>
  </si>
  <si>
    <t>CITIGROUP/DEUTSCHE-BK-SEC/JPM</t>
  </si>
  <si>
    <t>CITIGROUP
(JB)/DEUTSCHE-BK-SEC(JB)
/JPM(JOINT)
UBS-INV-BANK
ING-FINAN
KEY-MCDONALD
WELLS-FARGO-SEC</t>
  </si>
  <si>
    <t>Citigroup
Deutsche Bank Securities Corp.
JP Morgan &amp; Co Inc
UBS Investment Bank
ING FINANCIAL MARKETS LLC
KeyCorp/McDonald Investments
Wells Fargo Securities LLC</t>
  </si>
  <si>
    <t>Eurobancshares Inc</t>
  </si>
  <si>
    <t>Puerto Rico</t>
  </si>
  <si>
    <t>EUBK</t>
  </si>
  <si>
    <t>Keefe Bruyette &amp; Woods Inc
UBS Investment Bank
Brean Murray &amp; Co Inc
Oriental Financial Services
Popular Securities Inc
R&amp;G Financial Corp
Santander Securities PR</t>
  </si>
  <si>
    <t>02/07/05
02/07/05</t>
  </si>
  <si>
    <t xml:space="preserve">52.324
</t>
  </si>
  <si>
    <t xml:space="preserve">9932588.00
</t>
  </si>
  <si>
    <t>KEEFE/UBS-INV-BANK(JOINT)//BREAN
//ORIENTAL-FIN/POPULAR-SEC/RG-FIN-CORP
/SANTANDER-PR</t>
  </si>
  <si>
    <t>KEEFE/UBS-INV-BANK</t>
  </si>
  <si>
    <t>KEEFE
/UBS-INV-BANK(JOINT)
BREAN</t>
  </si>
  <si>
    <t>Keefe Bruyette &amp; Woods Inc
UBS Investment Bank
Brean Murray &amp; Co Inc</t>
  </si>
  <si>
    <t>Extra Space Storage Inc</t>
  </si>
  <si>
    <t>EXR</t>
  </si>
  <si>
    <t>30225T102</t>
  </si>
  <si>
    <t>UBS Investment Bank
Merrill Lynch
AG Edwards Inc
Banc of America Securities LLC
Raymond James &amp; Associates Inc
RBC Capital Markets
Wells Fargo Securities LLC</t>
  </si>
  <si>
    <t>UBS-INV-BANK(JB)/MERRILL(JB)
//AG-EDWARDS-INC/BA-SEC-LLC/RAYMOND
/RBC-CAP-MKTS/WELLS-FARGO-SEC</t>
  </si>
  <si>
    <t>UBS-INV-BANK
(JB)/MERRILL(JB)
AG-EDWARDS-INC
BA-SEC-LLC
RAYMOND
RBC-CAP-MKTS
WELLS-FARGO-SEC</t>
  </si>
  <si>
    <t>UBS Investment Bank
Merrill Lynch &amp; Co Inc
AG Edwards Inc
Banc of America Securities LLC
Raymond James &amp; Associates Inc
RBC Capital Markets
Wells Fargo Securities LLC</t>
  </si>
  <si>
    <t>Stereotaxis Inc</t>
  </si>
  <si>
    <t>STXS</t>
  </si>
  <si>
    <t>85916J102</t>
  </si>
  <si>
    <t>Goldman Sachs &amp; Co
Bear Stearns &amp; Co Inc
Deutsche Bank Securities Corp
AG Edwards &amp; Sons Inc</t>
  </si>
  <si>
    <t>02/07/05
11/09/04</t>
  </si>
  <si>
    <t>75.682
2.314</t>
  </si>
  <si>
    <t>20507048.00
626982.00</t>
  </si>
  <si>
    <t>GS/BEAR(JOINT)//DEUTSCHE-BK-SEC
/A-G-EDWARDS</t>
  </si>
  <si>
    <t>GS/BEAR</t>
  </si>
  <si>
    <t>GS
/BEAR(JOINT)
DEUTSCHE-BK-SEC
A-G-EDWARDS</t>
  </si>
  <si>
    <t>Goldman Sachs &amp; Co
Bear Stearns &amp; Co Inc
Deutsche Bank Securities Corp.
AG Edwards &amp; Sons Inc</t>
  </si>
  <si>
    <t>Archipelago Holdings Inc</t>
  </si>
  <si>
    <t>AX</t>
  </si>
  <si>
    <t>03957A104</t>
  </si>
  <si>
    <t>Pacific</t>
  </si>
  <si>
    <t>Goldman Sachs &amp; Co
JP Morgan
Banc of America Securities LLC
Credit Suisse First Boston
Lehman Brothers
Merrill Lynch
Piper Jaffray Cos
DA Davidson &amp; Co Inc
Jefferies &amp; Co Inc
Merriman Curhan Ford &amp; Co
Raymond James &amp; Associates Inc
Sandler O'Neill Partners
Williams Capital Group LP</t>
  </si>
  <si>
    <t>GS/JPM(JOINT)//BA-SEC-LLC/CS-FB-CS/LEH
/MERRILL/PIPER-JAFFRAY//DAVIDSON
/JEFFERIES/MERR-CUR/RAYMOND
/SANDLER-ONEILL/WILLIAMS-CAP</t>
  </si>
  <si>
    <t>GS
/JPM(JOINT)
BA-SEC-LLC
CS-FB-CS
LEH
MERRILL
PIPER-JAFFRAY</t>
  </si>
  <si>
    <t>Goldman Sachs &amp; Co
JP Morgan &amp; Co Inc
Banc of America Securities LLC
Credit Suisse First Boston Corp
Lehman Brothers
Merrill Lynch &amp; Co Inc
Piper Jaffray Cos</t>
  </si>
  <si>
    <t>Cohen &amp; Steers Inc</t>
  </si>
  <si>
    <t>CNS</t>
  </si>
  <si>
    <t>19247A100</t>
  </si>
  <si>
    <t>Merrill Lynch
UBS Investment Bank
Wachovia Securities Inc
Bear Stearns &amp; Co Inc
Deutsche Bank Securities
AG Edwards &amp; Sons Inc
Legg Mason Wood Walker
Raymond James &amp; Associates Inc</t>
  </si>
  <si>
    <t>02/08/05
02/08/05</t>
  </si>
  <si>
    <t xml:space="preserve">75.584
</t>
  </si>
  <si>
    <t xml:space="preserve">26700000.00
</t>
  </si>
  <si>
    <t>MERRILL//UBS-INV-BANK/WACHOVIA-SEC/BEAR
//DBSECU/A-G-EDWARDS/LEGG-MASON-WW
/RAYMOND</t>
  </si>
  <si>
    <t>MERRILL
UBS-INV-BANK
WACHOVIA-SEC
BEAR</t>
  </si>
  <si>
    <t>Merrill Lynch &amp; Co Inc
UBS Investment Bank
Wachovia Securities Inc
Bear Stearns &amp; Co Inc</t>
  </si>
  <si>
    <t>SNB Bancshares Inc,TX</t>
  </si>
  <si>
    <t>SNBT</t>
  </si>
  <si>
    <t>78460M209</t>
  </si>
  <si>
    <t>Keefe Bruyette &amp; Woods Inc
Hoefer &amp; Arnett Inc
Sanders Morris Harris Inc
DA Davidson &amp; Co Inc
Stifel Nicolaus &amp; Co Inc</t>
  </si>
  <si>
    <t>KEEFE//HOEFER-ARNETT/SANDERS-HARRIS
//DAVIDSON/STIFEL</t>
  </si>
  <si>
    <t>KEEFE
HOEFER-ARNETT
SANDERS-HARRIS</t>
  </si>
  <si>
    <t>Keefe Bruyette &amp; Woods Inc
Hoefer &amp; Arnett Inc
Sanders Morris Harris Inc</t>
  </si>
  <si>
    <t>Google Inc</t>
  </si>
  <si>
    <t>GOOG</t>
  </si>
  <si>
    <t>MORGAN-STANLEY
/CS-FB-CS(JB)</t>
  </si>
  <si>
    <t>38259P508</t>
  </si>
  <si>
    <t>Morgan Stanley
Credit Suisse First Boston
Goldman Sachs &amp; Co
Citigroup
Allen &amp; Co Inc
Lehman Brothers
JP Morgan
UBS Investment Bank
Thomas Weisel Partners
WR Hambrecht &amp; Co LLC
Deutsche Bank Securities Corp
Lazard Freres &amp; Co LLC
Ameritrade Inc
MR Beal &amp; Co
William Blair &amp; Co
Blaylock &amp; Partners LP
Cazenove &amp; Co
E*Trade Securities Inc
Epoch Capital Corp
Fidelity Capital Markets
HARRISdirect LLC
Needham &amp; Co LLC
Piper Jaffray Cos
Samuel A. Ramirez &amp; Co.
Muriel Siebert &amp; Co
Utendahl Capital Partners
Wachovia Capital Markets
Wells Fargo Securities LLC</t>
  </si>
  <si>
    <t>09/02/04
11/16/04
12/16/04
01/15/05
02/14/05</t>
  </si>
  <si>
    <t>1.721
14.406
9.171
9.171
65.185</t>
  </si>
  <si>
    <t>15
90
120
150
180</t>
  </si>
  <si>
    <t>4667483.00
39071376.00
24874091.00
24874091.00
176794161.00</t>
  </si>
  <si>
    <t>MORGAN-STANLEY(JB)/CS-FB-CS(JB)//GS
/CITIGROUP/ALLEN/LEH/JPM/UBS-INV-BANK
/THOMAS-WEISEL/W-R-HAMBRECHT
/DEUTSCHE-BK-SEC/LAZ/AMERITRADE
/M-R-BEAL/WM-BLAIR/BLAYLOCK-PTRNS
/CAZENOVE/E*TRADE-SEC/EPOCH
/FIDELITY-CAP/HARRISDIRECT/NEEDHAM
/PIPER-JAFFRAY/RAMIREZ/MURIEL
/UTENDAHL-CAP/WACHOVIA-CAP
/WELLS-FARGO-SEC</t>
  </si>
  <si>
    <t>MORGAN-STANLEY
(JB)/CS-FB-CS(JB)
GS
CITIGROUP
ALLEN
LEH
JPM
UBS-INV-BANK
THOMAS-WEISEL
W-R-HAMBRECHT
DEUTSCHE-BK-SEC
LAZ
AMERITRADE
M-R-BEAL
WM-BLAIR
BLAYLOCK-PTRNS
CAZENOVE
E*TRADE-SEC
EPOCH
FIDELITY-CAP
HARRISDIRECT
NEEDHAM
PIPER-JAFFRAY
RAMIREZ
MURIEL
UTENDAHL-CAP
WACHOVIA-CAP
WELLS-FARGO-SEC</t>
  </si>
  <si>
    <t>Morgan Stanley
Credit Suisse First Boston Corp
Goldman Sachs &amp; Co
Citigroup
Allen &amp; Co Inc
Lehman Brothers
JP Morgan &amp; Co Inc
UBS Investment Bank
Thomas Weisel Partners
WR Hambrecht &amp; Co LLC
Deutsche Bank Securities Corp.
Lazard Freres &amp; Co LLC
Ameritrade Inc
MR Beal &amp; Co
William Blair &amp; Co
Blaylock &amp; Partners LP
Cazenove &amp; Co
E*Trade Securities Inc
Epoch Capital Corp
Fidelity Capital Markets
HARRISdirect LLC
Needham &amp; Co LLC
Piper Jaffray Cos
Samuel A. Ramirez &amp; Co.
Muriel Siebert &amp; Co
Utendahl Capital Partners
Wachovia Capital Markets
Wells Fargo Securities LLC</t>
  </si>
  <si>
    <t>China Mineral Acquisition Corp</t>
  </si>
  <si>
    <t>CMAQ</t>
  </si>
  <si>
    <t>1694EQ205</t>
  </si>
  <si>
    <t>Broadband Capital Management
Maxim Group LLC
Spencer Clarke LLC
Perrin Holden &amp; Davenport
Joseph Stevens &amp; Company
I-Bankers Securities Inc
Joseph Gunnar &amp; Co., LLC</t>
  </si>
  <si>
    <t>BROADBAND//MAXIM-GROUP/SPENCER-CLARKE
/PERRIN-HOLDEN/JOSEPH-STEVENS
/I-BANKERS-SEC/GUNNAR</t>
  </si>
  <si>
    <t>Blackrock Glbl Flt Rt IT</t>
  </si>
  <si>
    <t>BGT</t>
  </si>
  <si>
    <t>091941104</t>
  </si>
  <si>
    <t>UBS Investment Bank
Merrill Lynch, Pierce, Fenner
Wachovia Capital Markets
RBC Capital Markets
Ryan Beck &amp; Co
JJB Hilliard WL Lyons Inc
Oppenheimer &amp; Co Inc
Advest Inc
Robert W Baird &amp; Co Inc
Deutsche Bank Securities
AG Edwards &amp; Sons Inc
Ferris Baker Watts
KeyCorp/McDonald Investments
Legg Mason Wood Walker
Piper Jaffray Cos
PNC Capital Markets
SunTrust Capital Markets
Morgan Keegan Inc
Sanders Morris Harris Inc
SouthTrust Securities
M. L. Stern
Brookstreet Securities
GunnAllen Financial Inc
Jesup &amp; Lamont Securities
JP Turner &amp; Co
Mesirow Financial Corp
Newbridge Securities
David A. Noyes
TD Waterhouse Investor Svcs</t>
  </si>
  <si>
    <t>UBS-INV-BANK/ML/WACHOVIA-CAP(JOINT)
//RBC-CAP-MKTS/RYAN-BECK/HILLIARD
/OPPENHEIMER-CO//ADVEST/BAIRD/DBSECU
/A-G-EDWARDS/FERRIS-BAKER/KEY-MCDONALD
/LEGG-MASON-WW/PIPER-JAFFRAY
/PNC-CAPITAL/SUNTRUST-CAP/MORGAN-KEEGAN
/SANDERS-HARRIS/SOUTHTRUST-SEC
/M-L-STERN/BROOKSTREET/GUNNALLEN-FINL
/JESUP/J-P-TURNER/MESIROW-FIN/NEWBRIDGE
/D-A-NOYES/TD-WATERHOUSE</t>
  </si>
  <si>
    <t>UBS-INV-BANK/ML/WACHOVIA-CAP</t>
  </si>
  <si>
    <t>UBS-INV-BANK
/ML
/WACHOVIA-CAP(JOINT)
RBC-CAP-MKTS
RYAN-BECK
HILLIARD
OPPENHEIMER-CO</t>
  </si>
  <si>
    <t>UBS Investment Bank
Merrill Lynch Pierce Fenner &amp; Smith
Wachovia Capital Markets
RBC Capital Markets
Ryan Beck &amp; Co
JJB Hilliard WL Lyons Inc
Oppenheimer &amp; Co Inc</t>
  </si>
  <si>
    <t>First Trst/Fid Asset Man Cvd C</t>
  </si>
  <si>
    <t>FFA</t>
  </si>
  <si>
    <t>Merrill Lynch
AG Edwards &amp; Sons Inc
Raymond James &amp; Associates Inc
Wachovia Capital Markets
Advest Inc
Robert W Baird &amp; Co Inc
Ferris Baker Watts
JJB Hilliard WL Lyons Inc
KeyCorp/McDonald Investments
Legg Mason Wood Walker
Oppenheimer &amp; Co Inc
RBC Capital Markets
Ryan Beck &amp; Co
Wedbush Securities
Wells Fargo Securities LLC
BB&amp;T Capital Markets
Crowell Weedon &amp; Co
DA Davidson &amp; Co Inc
Doft &amp; Co Inc
Harris Nesbitt
Morgan Keegan Inc
Needham &amp; Co LLC
Parker-Hunter Inc
Piper Jaffray Cos
Quick &amp; Reilly Inc
Stephens Inc
SunTrust Capital Markets
TD Waterhouse Investor Svcs
Axiom Capital Management Inc
Arthurs Lestrange
William Blair &amp; Co
Brookstreet Securities
CMG Institutional Trading LLC
Chatsworth Securities LLC
Concord Equity Group LLC
Dominick &amp; Dominick Inc
First Montauk Securities
First Southwest
Gilford Securities
GunnAllen Financial Inc
Hoefer &amp; Arnett Inc
Howe Barnes Investments Inc
Huntleigh Securities Corp
Johnston Lemon &amp; Co Inc
LaSalle Street Securities Inc
Maxim Group LLC
Mesirow Financial Corp
Morgan Wilshire Securities
Natcity Investments Inc.
National Securities Corp (US)
Newbridge Securities
Northeast Securities Inc.
David A. Noyes
Nutmeg Securities Ltd
Ormes Capital Markets Inc
Paulson Investment Co
Peacock Hislop Staley &amp; Given
Sanders Morris Harris Inc
Sands Brothers &amp; Co Ltd
Source Capital Group Inc
Southwest Securities Inc
STERLING FINANCIAL INVESTMENT
M. L. Stern
Stone &amp; Youngberg
Torrey Pines Securities</t>
  </si>
  <si>
    <t>MERRILL/A-G-EDWARDS/RAYMOND(JOINT)
//WACHOVIA-CAP/ADVEST/BAIRD
/FERRIS-BAKER/HILLIARD/KEY-MCDONALD
/LEGG-MASON-WW/OPPENHEIMER-CO
/RBC-CAP-MKTS/RYAN-BECK/WEDBUSH-M
/WELLS-FARGO-SEC//BB-T-CAP/CROWELL
/DAVIDSON/DOFT/HARRN/MORGAN-KEEGAN
/NEEDHAM/PARKER-HUNTER/PIPER-JAFFRAY
/Q&amp;R/STEPHENS/SUNTRUST-CAP
/TD-WATERHOUSE/AXIOM-CAP/ARTHURS-LES
/WM-BLAIR/BROOKSTREET/CMG-LLC
/CHATSWORTH/CONCORD-EQUITY/DOMINICK
/FIRST-MONTAUK/FIRST-SW/GILFORD
/GUNNALLEN-FINL/HOEFER-ARNETT
/HOWE-BARNES/HUNTLEIGH-SEC
/JOHNSTON-LEMON/LASALLE-SEC/MAXIM-GROUP
/MESIROW-FIN/MORGAN-WILSHIRE
/NATCITY-INVEST/NATL-SEC/NEWBRIDGE
/NORTHEAST-SEC/D-A-NOYES/NUTMEG-SEC
/ORMES/PAULSON/PEACOCK-HISLOP
/SANDERS-HARRIS/SANDS/SOURCE-CAPITAL
/SWS-SEC/STERLING-FIN-I/M-L-STERN
/STONE-YOUNG/TORREY-PINES</t>
  </si>
  <si>
    <t>MERRILL/A-G-EDWARDS/RAYMOND</t>
  </si>
  <si>
    <t>MERRILL
/A-G-EDWARDS
/RAYMOND(JOINT)
WACHOVIA-CAP
ADVEST
BAIRD
FERRIS-BAKER
HILLIARD
KEY-MCDONALD
LEGG-MASON-WW
OPPENHEIMER-CO
RBC-CAP-MKTS
RYAN-BECK
WEDBUSH-M
WELLS-FARGO-SEC</t>
  </si>
  <si>
    <t>Merrill Lynch &amp; Co Inc
AG Edwards &amp; Sons Inc
Raymond James &amp; Associates Inc
Wachovia Capital Markets
Advest Inc
Robert W Baird &amp; Co Inc
Ferris Baker Watts Inc
JJB Hilliard WL Lyons Inc
KeyCorp/McDonald Investments
Legg Mason Wood Walker Inc
Oppenheimer &amp; Co Inc
RBC Capital Markets
Ryan Beck &amp; Co
Wedbush Securities
Wells Fargo Securities LLC</t>
  </si>
  <si>
    <t>eCOST Com Inc</t>
  </si>
  <si>
    <t>ECST</t>
  </si>
  <si>
    <t>27922W107</t>
  </si>
  <si>
    <t>William Blair &amp; Co
ThinkEquity Partners
Merriman Curhan Ford &amp; Co
Emerging Growth Equities Ltd
Miller Johnson Steichen Kinnar
Roth Capital Partners Inc</t>
  </si>
  <si>
    <t>02/23/05
02/23/05</t>
  </si>
  <si>
    <t xml:space="preserve">80.160
</t>
  </si>
  <si>
    <t xml:space="preserve">14000000.00
</t>
  </si>
  <si>
    <t>WM-BLAIR//THINK/MERR-CUR
//EMERGING-GROWTH/MILLER-STEICHEN
/ROTH-CAPITAL</t>
  </si>
  <si>
    <t>WM-BLAIR
THINK
MERR-CUR</t>
  </si>
  <si>
    <t>William Blair &amp; Co
ThinkEquity Partners
Merriman Curhan Ford &amp; Co</t>
  </si>
  <si>
    <t>StoneMor Partners LP</t>
  </si>
  <si>
    <t>STON</t>
  </si>
  <si>
    <t>86183Q100</t>
  </si>
  <si>
    <t>Lehman Brothers
Merrill Lynch
UBS Investment Bank
Raymond James &amp; Associates Inc</t>
  </si>
  <si>
    <t>LEH//MERRILL/UBS-INV-BANK/RAYMOND</t>
  </si>
  <si>
    <t>LEH
MERRILL
UBS-INV-BANK
RAYMOND</t>
  </si>
  <si>
    <t>Lehman Brothers
Merrill Lynch &amp; Co Inc
UBS Investment Bank
Raymond James &amp; Associates Inc</t>
  </si>
  <si>
    <t>Bimini Mortgage Management</t>
  </si>
  <si>
    <t>BMM</t>
  </si>
  <si>
    <t>FLAGSTONE</t>
  </si>
  <si>
    <t>09031E400</t>
  </si>
  <si>
    <t>Flagstone Securities Inc
BB&amp;T Capital Markets
Fig Partners LLC
Capital West Securities</t>
  </si>
  <si>
    <t>FLAGSTONE/BB-T-CAP(JOINT)//FIG-PARTNERS
/CAPITAL-WEST</t>
  </si>
  <si>
    <t>FLAGSTONE/BB-T-CAP</t>
  </si>
  <si>
    <t>FLAGSTONE
/BB-T-CAP(JOINT)</t>
  </si>
  <si>
    <t>Flagstone Securities Inc
BB&amp;T Capital Markets</t>
  </si>
  <si>
    <t>Nephros Inc</t>
  </si>
  <si>
    <t>NEPH</t>
  </si>
  <si>
    <t>SHEMANO-GRP</t>
  </si>
  <si>
    <t>Alternext</t>
  </si>
  <si>
    <t>Shemano Group
National Securities Corp (US)</t>
  </si>
  <si>
    <t>SHEMANO-GRP//NATL-SEC</t>
  </si>
  <si>
    <t>SHEMANO-GRP
NATL-SEC</t>
  </si>
  <si>
    <t>Saxon REIT Inc</t>
  </si>
  <si>
    <t>SAXN</t>
  </si>
  <si>
    <t>80556T106</t>
  </si>
  <si>
    <t>Friedman Billings Ramsey Group
Credit Suisse First Boston
JP Morgan
Jefferies &amp; Co Inc
BB&amp;T Capital Markets
Piper Jaffray Cos
RBC Capital Markets
Stifel Nicolaus &amp; Co Inc</t>
  </si>
  <si>
    <t>FRIEDMAN-B//CS-FB-CS/JPM/JEFFERIES
//BB-T-CAP/PIPER-JAFFRAY/RBC-CAP-MKTS
/STIFEL</t>
  </si>
  <si>
    <t>FRIEDMAN-B
CS-FB-CS
JPM
JEFFERIES</t>
  </si>
  <si>
    <t>Friedman Billings Ramsey Group
Credit Suisse First Boston Corp
JP Morgan &amp; Co Inc
Jefferies &amp; Co Inc</t>
  </si>
  <si>
    <t>Beacon Roofing Supply Inc</t>
  </si>
  <si>
    <t>BECN</t>
  </si>
  <si>
    <t>073685109</t>
  </si>
  <si>
    <t>JP Morgan
William Blair &amp; Co
Robert W Baird &amp; Co Inc
BB&amp;T Capital Markets
Morgan Keegan Inc</t>
  </si>
  <si>
    <t>JPM/WM-BLAIR(JOINT)//BAIRD/BB-T-CAP
/MORGAN-KEEGAN</t>
  </si>
  <si>
    <t>JPM/WM-BLAIR</t>
  </si>
  <si>
    <t>JPM
/WM-BLAIR(JOINT)
BAIRD
BB-T-CAP
MORGAN-KEEGAN</t>
  </si>
  <si>
    <t>JP Morgan &amp; Co Inc
William Blair &amp; Co
Robert W Baird &amp; Co Inc
BB&amp;T Capital Markets
Morgan Keegan Inc</t>
  </si>
  <si>
    <t>Educate Inc</t>
  </si>
  <si>
    <t>28138P100</t>
  </si>
  <si>
    <t>Goldman Sachs &amp; Co
Merrill Lynch
JP Morgan
Banc of America Securities LLC
Legg Mason Wood Walker
ThinkEquity Partners</t>
  </si>
  <si>
    <t>03/21/05
03/21/05</t>
  </si>
  <si>
    <t xml:space="preserve">63.327
</t>
  </si>
  <si>
    <t xml:space="preserve">26961140.00
</t>
  </si>
  <si>
    <t>GS(JB)/MERRILL(JB)//JPM/BA-SEC-LLC
/LEGG-MASON-WW/THINK</t>
  </si>
  <si>
    <t>GS
(JB)/MERRILL(JB)
JPM
BA-SEC-LLC
LEGG-MASON-WW
THINK</t>
  </si>
  <si>
    <t>Goldman Sachs &amp; Co
Merrill Lynch &amp; Co Inc
JP Morgan &amp; Co Inc
Banc of America Securities LLC
Legg Mason Wood Walker Inc
ThinkEquity Partners</t>
  </si>
  <si>
    <t>Cogent Inc</t>
  </si>
  <si>
    <t>COGT</t>
  </si>
  <si>
    <t>19239Y108</t>
  </si>
  <si>
    <t>Morgan Stanley
JP Morgan
Bear Stearns &amp; Co Inc
SG Cowen Securities Corp
Needham &amp; Co LLC
Janney Montgomery Scott LLC
Thomas Weisel Partners</t>
  </si>
  <si>
    <t>MORGAN-STANLEY//JPM/BEAR/SG-COWEN
/NEEDHAM//JANNEY-LLC/THOMAS-WEISEL</t>
  </si>
  <si>
    <t>MORGAN-STANLEY
JPM
BEAR
SG-COWEN
NEEDHAM</t>
  </si>
  <si>
    <t>Morgan Stanley
JP Morgan &amp; Co Inc
Bear Stearns &amp; Co Inc
SG Cowen Securities Corp
Needham &amp; Co LLC</t>
  </si>
  <si>
    <t>Scudder Glbl Comm Stock Fnd</t>
  </si>
  <si>
    <t>GCS</t>
  </si>
  <si>
    <t>81114Y108</t>
  </si>
  <si>
    <t>Merrill Lynch
UBS Investment Bank
AG Edwards &amp; Sons Inc
Deutsche Bank Securities Corp
Advest Inc
BB&amp;T Capital Markets
Robert W Baird &amp; Co Inc
Ferris Baker Watts
H&amp;R Block Financial Advisors
KeyCorp/McDonald Investments
Legg Mason Wood Walker
Oppenheimer &amp; Co Inc
RBC Capital Markets
Stifel Nicolaus &amp; Co Inc
William Blair &amp; Co
Crowell Weedon &amp; Co
DA Davidson &amp; Co Inc
Doft &amp; Co Inc
Harris Nesbitt
Morgan Keegan Inc
Needham &amp; Co LLC
Parker-Hunter Inc
Ryan Beck &amp; Co
SunTrust Capital Markets
Wedbush Securities
Axiom Capital Management Inc
Brookstreet Securities
CE Unterberg Towbin
Cadaret Grant &amp; Co
Chatsworth Securities LLC
Fifth Third Securities Inc
First Southwest
Gilford Securities
Hoefer &amp; Arnett Inc
Howe Barnes Investments Inc
Huntleigh Securities Corp
Johnston Lemon &amp; Co Inc
LaSalle Street Securities Inc
Maxim Group LLC
Mesirow Financial Corp
Morgan Wilshire Securities
National Securities Corp (US)
Newbridge Securities
Northeast Securities Inc.
David A. Noyes
Ormes Capital Markets Inc
Pacific Crest Securities Inc
Peacock Hislop Staley &amp; Given
Sanders Morris Harris Inc
Sands Brothers &amp; Co Ltd
The Seidler Companies Inc
Source Capital Group Inc
Southwest Securities Inc
Stanford Group Company
STERLING FINANCIAL INVESTMENT
M. L. Stern
Torrey Pines Securities
JP Turner &amp; Co</t>
  </si>
  <si>
    <t>MERRILL/UBS-INV-BANK/A-G-EDWARDS
/DEUTSCHE-BK-SEC(JOINT)//ADVEST
/BB-T-CAP/BAIRD/FERRIS-BAKER
/HR-BLOCK-FIN/KEY-MCDONALD
/LEGG-MASON-WW/OPPENHEIMER-CO
/RBC-CAP-MKTS/STIFEL//WM-BLAIR/CROWELL
/DAVIDSON/DOFT/HARRN/MORGAN-KEEGAN
/NEEDHAM/PARKER-HUNTER/RYAN-BECK
/SUNTRUST-CAP/WEDBUSH-M/AXIOM-CAP
/BROOKSTREET/UNTERBERG/CADARET-GRANT
/CHATSWORTH/FIFTH-THIRD-SEC/FIRST-SW
/GILFORD/HOEFER-ARNETT/HOWE-BARNES
/HUNTLEIGH-SEC/JOHNSTON-LEMON
/LASALLE-SEC/MAXIM-GROUP/MESIROW-FIN
/MORGAN-WILSHIRE/NATL-SEC/NEWBRIDGE
/NORTHEAST-SEC/D-A-NOYES/ORMES
/PACIFIC-CREST/PEACOCK-HISLOP
/SANDERS-HARRIS/SANDS/SEIDLER-CO-INC
/SOURCE-CAPITAL/SWS-SEC/STANFORD-GROUP
/STERLING-FIN-I/M-L-STERN/TORREY-PINES
/J-P-TURNER</t>
  </si>
  <si>
    <t>MERRILL/UBS-INV-BANK/A-G-EDWARDS
/DEUTSCHE-BK-SEC</t>
  </si>
  <si>
    <t>MERRILL
/UBS-INV-BANK
/A-G-EDWARDS
/DEUTSCHE-BK-SEC(JOINT)
ADVEST
BB-T-CAP
BAIRD
FERRIS-BAKER
HR-BLOCK-FIN
KEY-MCDONALD
LEGG-MASON-WW
OPPENHEIMER-CO
RBC-CAP-MKTS
STIFEL</t>
  </si>
  <si>
    <t>Merrill Lynch &amp; Co Inc
UBS Investment Bank
AG Edwards &amp; Sons Inc
Deutsche Bank Securities Corp.
Advest Inc
BB&amp;T Capital Markets
Robert W Baird &amp; Co Inc
Ferris Baker Watts Inc
H&amp;R Block Financial Advisors
KeyCorp/McDonald Investments
Legg Mason Wood Walker Inc
Oppenheimer &amp; Co Inc
RBC Capital Markets
Stifel Nicolaus &amp; Co Inc</t>
  </si>
  <si>
    <t>Valley Bancorp</t>
  </si>
  <si>
    <t>VLLY</t>
  </si>
  <si>
    <t>91929R107</t>
  </si>
  <si>
    <t>Sandler O'Neill Partners</t>
  </si>
  <si>
    <t>Kayne Anderson MLP Inv Co</t>
  </si>
  <si>
    <t>KYN</t>
  </si>
  <si>
    <t>Citigroup
UBS Investment Bank
RBC Capital Markets
Deutsche Bank Securities Corp
Sanders Morris Harris Inc
AG Edwards &amp; Sons Inc
Advest Inc
Legg Mason Wood Walker
Oppenheimer &amp; Co Inc
Ferris Baker Watts
Morgan Keegan Inc
Robert W Baird &amp; Co Inc
Wedbush Securities</t>
  </si>
  <si>
    <t>CITIGROUP(JB)/UBS-INV-BANK(JB)
//RBC-CAP-MKTS/DEUTSCHE-BK-SEC
/SANDERS-HARRIS//A-G-EDWARDS/ADVEST
/LEGG-MASON-WW/OPPENHEIMER-CO
/FERRIS-BAKER/MORGAN-KEEGAN/BAIRD
/WEDBUSH-M</t>
  </si>
  <si>
    <t>CITIGROUP
(JB)/UBS-INV-BANK(JB)
RBC-CAP-MKTS
DEUTSCHE-BK-SEC
SANDERS-HARRIS</t>
  </si>
  <si>
    <t>Citigroup
UBS Investment Bank
RBC Capital Markets
Deutsche Bank Securities Corp.
Sanders Morris Harris Inc</t>
  </si>
  <si>
    <t>WebSideStory Inc</t>
  </si>
  <si>
    <t>WSSI</t>
  </si>
  <si>
    <t>FRIEDMAN-B
/RBC-CAP-MKTS(JB)</t>
  </si>
  <si>
    <t>Friedman Billings Ramsey Group
RBC Capital Markets
William Blair &amp; Co
Roth Capital Partners Inc</t>
  </si>
  <si>
    <t>FRIEDMAN-B(JB)/RBC-CAP-MKTS(JB)
//WM-BLAIR/ROTH-CAPITAL</t>
  </si>
  <si>
    <t>FRIEDMAN-B/RBC-CAP-MKTS</t>
  </si>
  <si>
    <t>FRIEDMAN-B
(JB)/RBC-CAP-MKTS(JB)
WM-BLAIR
ROTH-CAPITAL</t>
  </si>
  <si>
    <t>51Job Inc</t>
  </si>
  <si>
    <t>JOBS</t>
  </si>
  <si>
    <t>Morgan Stanley
UBS Investment Bank
Piper Jaffray Cos
CLSA</t>
  </si>
  <si>
    <t>03/27/05
03/27/05</t>
  </si>
  <si>
    <t xml:space="preserve">53.758
</t>
  </si>
  <si>
    <t xml:space="preserve">29657694.00
</t>
  </si>
  <si>
    <t>MORGAN-STANLEY//UBS-INV-BANK
/PIPER-JAFFRAY/CLSA-HK</t>
  </si>
  <si>
    <t>MORGAN-STANLEY
UBS-INV-BANK
PIPER-JAFFRAY
CLSA-HK</t>
  </si>
  <si>
    <t>Morgan Stanley
UBS Investment Bank
Piper Jaffray Cos
CLSA Asia-Pacific Markets Ltd</t>
  </si>
  <si>
    <t>JAMDAT Mobile Inc</t>
  </si>
  <si>
    <t>JMDT</t>
  </si>
  <si>
    <t>47023T100</t>
  </si>
  <si>
    <t>Lehman Brothers
Merrill Lynch
UBS Investment Bank
Harris Nesbitt
Pacific Crest Securities Inc
RBC Capital Markets
Thomas Weisel Partners
Wedbush Securities</t>
  </si>
  <si>
    <t xml:space="preserve">69.887
</t>
  </si>
  <si>
    <t xml:space="preserve">14199942.00
</t>
  </si>
  <si>
    <t>LEH(JB)/MERRILL(JB)//UBS-INV-BANK
//HARRN/PACIFIC-CREST/RBC-CAP-MKTS
/THOMAS-WEISEL/WEDBUSH-M</t>
  </si>
  <si>
    <t>LEH
(JB)/MERRILL(JB)
UBS-INV-BANK</t>
  </si>
  <si>
    <t>Lehman Brothers
Merrill Lynch &amp; Co Inc
UBS Investment Bank</t>
  </si>
  <si>
    <t>CPFL Energia SA</t>
  </si>
  <si>
    <t>CPFE3</t>
  </si>
  <si>
    <t>MERRILL/PACCC(JB)</t>
  </si>
  <si>
    <t>P3179C105</t>
  </si>
  <si>
    <t>BMFBOVESPA</t>
  </si>
  <si>
    <t>Merrill Lynch
Pactual Capital Corporation
Credit Suisse First Boston
Morgan Stanley
UBS Investment Bank
Blaylock &amp; Partners LP
Harris Nesbitt
Johnson Rice &amp; Co
KeyCorp/McDonald Investments
Lazard Freres &amp; Co LLC
Oppenheimer &amp; Co Inc
Petrie Parkman &amp; Co Inc</t>
  </si>
  <si>
    <t>MERRILL(JB)/PACCC(JB)//CS-FB-CS
/MORGAN-STANLEY/UBS-INV-BANK
//BLAYLOCK-PTRNS/HARRN/JOHNSON-RICE
/KEY-MCDONALD/LAZ/OPPENHEIMER-CO
/PETRIE-PARKMAN</t>
  </si>
  <si>
    <t>MERRILL/PACCC</t>
  </si>
  <si>
    <t>MERRILL
(JB)/PACCC(JB)
CS-FB-CS
MORGAN-STANLEY
UBS-INV-BANK</t>
  </si>
  <si>
    <t>Merrill Lynch &amp; Co Inc
Pactual Capital Corporation
Credit Suisse First Boston Corp
Morgan Stanley
UBS Investment Bank</t>
  </si>
  <si>
    <t>Callwave Inc</t>
  </si>
  <si>
    <t>CALL</t>
  </si>
  <si>
    <t>13126N200</t>
  </si>
  <si>
    <t>Deutsche Bank Securities Corp
Piper Jaffray Cos
First Albany
WR Hambrecht &amp; Co LLC</t>
  </si>
  <si>
    <t>51.255
28.003</t>
  </si>
  <si>
    <t>9689870.00
5293962.00</t>
  </si>
  <si>
    <t>DEUTSCHE-BK-SEC//PIPER-JAFFRAY
/FIRST-ALBANY/W-R-HAMBRECHT</t>
  </si>
  <si>
    <t>DEUTSCHE-BK-SEC
PIPER-JAFFRAY
FIRST-ALBANY
W-R-HAMBRECHT</t>
  </si>
  <si>
    <t>Deutsche Bank Securities Corp.
Piper Jaffray Cos
First Albany Corporation
WR Hambrecht &amp; Co LLC</t>
  </si>
  <si>
    <t>Ness Technologies Inc</t>
  </si>
  <si>
    <t>NSTC</t>
  </si>
  <si>
    <t>64104X108</t>
  </si>
  <si>
    <t>Lehman Brothers
Merrill Lynch
Friedman Billings Ramsey Group
Piper Jaffray Cos
Adams Harkness &amp; Hill Inc
Blaylock &amp; Partners LP
Chatsworth Securities LLC
Doft &amp; Co Inc
Fidelity Capital Markets</t>
  </si>
  <si>
    <t>03/28/05
03/28/05</t>
  </si>
  <si>
    <t xml:space="preserve">52.409
</t>
  </si>
  <si>
    <t xml:space="preserve">17175868.00
</t>
  </si>
  <si>
    <t>LEH(JB)/MERRILL(JB)//FRIEDMAN-B
/PIPER-JAFFRAY//ADAMS-HARKNESS
/BLAYLOCK-PTRNS/CHATSWORTH/DOFT
/FIDELITY-CAP</t>
  </si>
  <si>
    <t>LEH
(JB)/MERRILL(JB)
FRIEDMAN-B
PIPER-JAFFRAY</t>
  </si>
  <si>
    <t>Lehman Brothers
Merrill Lynch &amp; Co Inc
Friedman Billings Ramsey Group
Piper Jaffray Cos</t>
  </si>
  <si>
    <t>Primus Guaranty Ltd</t>
  </si>
  <si>
    <t>PRS</t>
  </si>
  <si>
    <t>G72457107</t>
  </si>
  <si>
    <t>Lehman Brothers
Morgan Stanley
Credit Suisse First Boston
UBS Investment Bank
William Blair &amp; Co
Keefe Bruyette &amp; Woods Inc</t>
  </si>
  <si>
    <t>12/28/04
03/28/05
03/28/05
03/28/05</t>
  </si>
  <si>
    <t xml:space="preserve">0.035
77.124
</t>
  </si>
  <si>
    <t>90
180
180
180</t>
  </si>
  <si>
    <t xml:space="preserve">15104.00
32999596.00
</t>
  </si>
  <si>
    <t>LEH/MORGAN-STANLEY(JOINT)//CS-FB-CS
/UBS-INV-BANK/WM-BLAIR/KEEFE</t>
  </si>
  <si>
    <t>LEH/MORGAN-STANLEY</t>
  </si>
  <si>
    <t>LEH
/MORGAN-STANLEY(JOINT)
CS-FB-CS
UBS-INV-BANK
WM-BLAIR
KEEFE</t>
  </si>
  <si>
    <t>Lehman Brothers
Morgan Stanley
Credit Suisse First Boston Corp
UBS Investment Bank
William Blair &amp; Co
Keefe Bruyette &amp; Woods Inc</t>
  </si>
  <si>
    <t>HyperSpace Communications Inc</t>
  </si>
  <si>
    <t>HCO</t>
  </si>
  <si>
    <t>CGF-SEC</t>
  </si>
  <si>
    <t>Trust Units</t>
  </si>
  <si>
    <t>44915D202</t>
  </si>
  <si>
    <t>Capital Growth Financial LLC
Pali Capital LLC
Jesup &amp; Lamont Securities
Maxim Group LLC
Joseph Gunnar &amp; Co., LLC
S W Bach &amp; Company
GunnAllen Financial Inc</t>
  </si>
  <si>
    <t>12/29/04
03/29/05</t>
  </si>
  <si>
    <t>12.303
20.806</t>
  </si>
  <si>
    <t>450000.00
761000.00</t>
  </si>
  <si>
    <t>CGF-SEC//PALI-CAPITAL//JESUP
/MAXIM-GROUP/GUNNAR/SW-BACH
/GUNNALLEN-FINL</t>
  </si>
  <si>
    <t>CGF-SEC
PALI-CAPITAL</t>
  </si>
  <si>
    <t>Capital Growth Financial LLC
Pali Capital LLC</t>
  </si>
  <si>
    <t>New Century Financial Corp</t>
  </si>
  <si>
    <t>NEW</t>
  </si>
  <si>
    <t>UBS-INV-BANK
/FRIEDMAN-B-CO(JB)</t>
  </si>
  <si>
    <t>6435EV108</t>
  </si>
  <si>
    <t>UBS Investment Bank
Friedman Billings Ramsey &amp; Co
Merrill Lynch, Pierce, Fenner
Morgan Stanley
Flagstone Securities Inc
Jefferies &amp; Co Inc
JMP Securities LLC
Piper Jaffray Inc</t>
  </si>
  <si>
    <t>UBS-INV-BANK(JB)/FRIEDMAN-B-CO(JB)//ML
/MORGAN-STANLEY/FLAGSTONE/JEFFERIES
/JMP-SEC/PIPER-J</t>
  </si>
  <si>
    <t>UBS-INV-BANK/FRIEDMAN-B-CO</t>
  </si>
  <si>
    <t>UBS-INV-BANK
(JB)/FRIEDMAN-B-CO(JB)
ML
MORGAN-STANLEY
FLAGSTONE
JEFFERIES
JMP-SEC
PIPER-J</t>
  </si>
  <si>
    <t>UBS Investment Bank
Friedman Billings Ramsey &amp; Co Inc
Merrill Lynch Pierce Fenner &amp; Smith
Morgan Stanley
Flagstone Securities Inc
Jefferies &amp; Co Inc
JMP Securities LLC
Piper Jaffray Inc</t>
  </si>
  <si>
    <t>PeopleSupport Inc</t>
  </si>
  <si>
    <t>PSPT</t>
  </si>
  <si>
    <t>SG Cowen Securities Corp
Piper Jaffray Cos
AG Edwards &amp; Sons Inc
JMP Securities LLC
Maxim Group LLC
Ryan Beck &amp; Co</t>
  </si>
  <si>
    <t>03/29/05
03/29/05</t>
  </si>
  <si>
    <t xml:space="preserve">3.917
54.725
</t>
  </si>
  <si>
    <t>180
180</t>
  </si>
  <si>
    <t xml:space="preserve">702920.00
9819831.00
</t>
  </si>
  <si>
    <t>SG-COWEN//PIPER-JAFFRAY/A-G-EDWARDS
/JMP-SEC//MAXIM-GROUP/RYAN-BECK</t>
  </si>
  <si>
    <t>SG-COWEN
PIPER-JAFFRAY
A-G-EDWARDS
JMP-SEC</t>
  </si>
  <si>
    <t>SG Cowen Securities Corp
Piper Jaffray Cos
AG Edwards &amp; Sons Inc
JMP Securities LLC</t>
  </si>
  <si>
    <t>Eagle Hosp Prop Trust Inc</t>
  </si>
  <si>
    <t>EHP</t>
  </si>
  <si>
    <t>A-G-EDWARDS
/WACHOVIA-SEC(JB)</t>
  </si>
  <si>
    <t>26959T102</t>
  </si>
  <si>
    <t>AG Edwards &amp; Sons Inc
Wachovia Securities Inc
Legg Mason Wood Walker
Calyon
RBC Capital Markets
BB&amp;T Capital Markets
Robert W Baird &amp; Co Inc
Friedman Billings Ramsey &amp; Co
Harris Nesbitt
JP Morgan Securities Inc
KeyCorp/McDonald Investments
Morgan Keegan Inc
Stifel Nicolaus &amp; Co Inc</t>
  </si>
  <si>
    <t>A-G-EDWARDS(JB)/WACHOVIA-SEC(JB)
//LEGG-MASON-WW/CALYON/RBC-CAP-MKTS
//BB-T-CAP/BAIRD/FRIEDMAN-B-CO/HARRN
/J-P-MORGAN/KEY-MCDONALD/MORGAN-KEEGAN
/STIFEL</t>
  </si>
  <si>
    <t>A-G-EDWARDS/WACHOVIA-SEC</t>
  </si>
  <si>
    <t>A-G-EDWARDS
(JB)/WACHOVIA-SEC(JB)
LEGG-MASON-WW
CALYON
RBC-CAP-MKTS</t>
  </si>
  <si>
    <t>AG Edwards &amp; Sons Inc
Wachovia Securities Inc
Legg Mason Wood Walker Inc
Calyon Corporate and Investment Bank
RBC Capital Markets</t>
  </si>
  <si>
    <t>Texas Roadhouse Inc</t>
  </si>
  <si>
    <t>TXRH</t>
  </si>
  <si>
    <t>BA-SEC-LLC
/WACHOVIA-SEC(JB)</t>
  </si>
  <si>
    <t>Banc of America Securities LLC
Wachovia Securities Inc
RBC Capital Markets
SG Cowen Securities Corp
JJB Hilliard WL Lyons Inc
Johnson Rice &amp; Co
AG Edwards &amp; Sons Inc</t>
  </si>
  <si>
    <t>04/02/05
04/02/05
04/02/05</t>
  </si>
  <si>
    <t xml:space="preserve">71.810
</t>
  </si>
  <si>
    <t xml:space="preserve">24047149.00
</t>
  </si>
  <si>
    <t>BA-SEC-LLC(JB)/WACHOVIA-SEC(JB)
//RBC-CAP-MKTS/SG-COWEN//HILLIARD
/JOHNSON-RICE/A-G-EDWARDS</t>
  </si>
  <si>
    <t>BA-SEC-LLC/WACHOVIA-SEC</t>
  </si>
  <si>
    <t>BA-SEC-LLC
(JB)/WACHOVIA-SEC(JB)
RBC-CAP-MKTS
SG-COWEN</t>
  </si>
  <si>
    <t>Banc of America Securities LLC
Wachovia Securities Inc
RBC Capital Markets
SG Cowen Securities Corp</t>
  </si>
  <si>
    <t>Ares Capital Corp</t>
  </si>
  <si>
    <t>ARCC</t>
  </si>
  <si>
    <t>04010L103</t>
  </si>
  <si>
    <t>Merrill Lynch
Wachovia Securities Inc
Jefferies &amp; Co Inc</t>
  </si>
  <si>
    <t>Ares Management LLC</t>
  </si>
  <si>
    <t>MERRILL(JB)/WACHOVIA-SEC(JB)//JEFFERIES</t>
  </si>
  <si>
    <t>MERRILL
(JB)/WACHOVIA-SEC(JB)
JEFFERIES</t>
  </si>
  <si>
    <t>Merrill Lynch &amp; Co Inc
Wachovia Securities Inc
Jefferies &amp; Co Inc</t>
  </si>
  <si>
    <t>Theravance Inc</t>
  </si>
  <si>
    <t>THRX</t>
  </si>
  <si>
    <t>88338T104</t>
  </si>
  <si>
    <t>Merrill Lynch
Lehman Brothers
Credit Suisse First Boston
Thomas Weisel Partners
Allen &amp; Company of Florida</t>
  </si>
  <si>
    <t>MERRILL/LEH(JOINT)//CS-FB-CS
/THOMAS-WEISEL//ALLEN-FL</t>
  </si>
  <si>
    <t>MERRILL
/LEH(JOINT)
CS-FB-CS
THOMAS-WEISEL</t>
  </si>
  <si>
    <t>Merrill Lynch &amp; Co Inc
Lehman Brothers
Credit Suisse First Boston Corp
Thomas Weisel Partners</t>
  </si>
  <si>
    <t>Gold Kist Holdings Inc</t>
  </si>
  <si>
    <t>GKIS</t>
  </si>
  <si>
    <t>Merrill Lynch
JP Morgan
SunTrust Capital Markets
Piper Jaffray Cos
Harris Nesbitt
Blaylock &amp; Partners LP
Edward D Jones &amp; Co LP
Morgan Keegan Inc</t>
  </si>
  <si>
    <t>04/04/05
07/03/05
10/01/05</t>
  </si>
  <si>
    <t>180
270
360</t>
  </si>
  <si>
    <t>MERRILL//JPM/SUNTRUST-CAP/PIPER-JAFFRAY
/HARRN//BLAYLOCK-PTRNS/ED-JONES-LP
/MORGAN-KEEGAN</t>
  </si>
  <si>
    <t>MERRILL
JPM
SUNTRUST-CAP
PIPER-JAFFRAY
HARRN</t>
  </si>
  <si>
    <t>Merrill Lynch &amp; Co Inc
JP Morgan &amp; Co Inc
SunTrust Capital Markets
Piper Jaffray Cos
Harris Nesbitt</t>
  </si>
  <si>
    <t>IntraLase Corp</t>
  </si>
  <si>
    <t>ILSE</t>
  </si>
  <si>
    <t>Banc of America Securities LLC
Wachovia Securities Inc
First Albany
ThinkEquity Partners
B Riley &amp; Company</t>
  </si>
  <si>
    <t>01/04/05
04/04/05
04/04/05
04/04/05</t>
  </si>
  <si>
    <t xml:space="preserve">70.741
69.057
</t>
  </si>
  <si>
    <t xml:space="preserve">18693728.00
18248539.00
</t>
  </si>
  <si>
    <t>BA-SEC-LLC//WACHOVIA-SEC/FIRST-ALBANY
/THINK//B-RILEY</t>
  </si>
  <si>
    <t>BA-SEC-LLC
WACHOVIA-SEC
FIRST-ALBANY
THINK</t>
  </si>
  <si>
    <t>Banc of America Securities LLC
Wachovia Securities Inc
First Albany Corporation
ThinkEquity Partners</t>
  </si>
  <si>
    <t>New York &amp; Co Inc</t>
  </si>
  <si>
    <t>NWY</t>
  </si>
  <si>
    <t>BEAR/JPM(JB)</t>
  </si>
  <si>
    <t>Bear Stearns &amp; Co Inc
JP Morgan
Wachovia Securities Inc
Banc of America Securities LLC
Piper Jaffray Cos</t>
  </si>
  <si>
    <t>04/04/05
04/04/05
01/04/05
04/04/05</t>
  </si>
  <si>
    <t xml:space="preserve">80.810
0.136
</t>
  </si>
  <si>
    <t>180
180
90
180</t>
  </si>
  <si>
    <t xml:space="preserve">42409635.00
71248.00
</t>
  </si>
  <si>
    <t>BEAR(JB)/JPM(JB)//WACHOVIA-SEC
/BA-SEC-LLC/PIPER-JAFFRAY</t>
  </si>
  <si>
    <t>BEAR/JPM</t>
  </si>
  <si>
    <t>BEAR
(JB)/JPM(JB)
WACHOVIA-SEC
BA-SEC-LLC
PIPER-JAFFRAY</t>
  </si>
  <si>
    <t>Bear Stearns &amp; Co Inc
JP Morgan &amp; Co Inc
Wachovia Securities Inc
Banc of America Securities LLC
Piper Jaffray Cos</t>
  </si>
  <si>
    <t>Thomas Properties Group Inc</t>
  </si>
  <si>
    <t>TPGI</t>
  </si>
  <si>
    <t>FRIEDMAN-B
/UBS-INV-BANK(JB)</t>
  </si>
  <si>
    <t>Friedman Billings Ramsey Group
UBS Investment Bank
RBC Capital Markets
Wells Fargo Securities LLC
Advest Inc
BB&amp;T Capital Markets
Blaylock &amp; Partners LP
Crowell Weedon &amp; Co
Roth Capital Partners Inc
Stifel Nicolaus &amp; Co Inc
Wedbush Securities</t>
  </si>
  <si>
    <t>FRIEDMAN-B(JB)/UBS-INV-BANK(JB)
//RBC-CAP-MKTS/WELLS-FARGO-SEC//ADVEST
/BB-T-CAP/BLAYLOCK-PTRNS/CROWELL
/ROTH-CAPITAL/STIFEL/WEDBUSH-M</t>
  </si>
  <si>
    <t>FRIEDMAN-B/UBS-INV-BANK</t>
  </si>
  <si>
    <t>FRIEDMAN-B
(JB)/UBS-INV-BANK(JB)
RBC-CAP-MKTS
WELLS-FARGO-SEC</t>
  </si>
  <si>
    <t>Friedman Billings Ramsey Group
UBS Investment Bank
RBC Capital Markets
Wells Fargo Securities LLC</t>
  </si>
  <si>
    <t>B&amp;G Foods Holdings Corp</t>
  </si>
  <si>
    <t>BGF</t>
  </si>
  <si>
    <t>RBC-CAP-MKTS
/CS-FB-CS(JB)
/MERRILL(JB)</t>
  </si>
  <si>
    <t>Enhnce Incm Sec</t>
  </si>
  <si>
    <t>05508R205</t>
  </si>
  <si>
    <t>RBC Capital Markets
Credit Suisse First Boston
Merrill Lynch
Lehman Brothers
Piper Jaffray Cos</t>
  </si>
  <si>
    <t>RBC-CAP-MKTS(JB)/CS-FB-CS(JB)
/MERRILL(JB)//LEH/PIPER-JAFFRAY</t>
  </si>
  <si>
    <t>RBC-CAP-MKTS/CS-FB-CS/MERRILL</t>
  </si>
  <si>
    <t>RBC-CAP-MKTS
(JB)/CS-FB-CS(JB)
/MERRILL(JB)
LEH
PIPER-JAFFRAY</t>
  </si>
  <si>
    <t>RBC Capital Markets
Credit Suisse First Boston Corp
Merrill Lynch &amp; Co Inc
Lehman Brothers
Piper Jaffray Cos</t>
  </si>
  <si>
    <t>Huron Consulting Group Inc</t>
  </si>
  <si>
    <t>HURN</t>
  </si>
  <si>
    <t>UBS-INV-BANK
/DEUTSCHE-BK-SEC(JB)</t>
  </si>
  <si>
    <t>UBS Investment Bank
Deutsche Bank Securities Corp
William Blair &amp; Co
Mesirow Financial Corp</t>
  </si>
  <si>
    <t xml:space="preserve">68.663
</t>
  </si>
  <si>
    <t xml:space="preserve">11182442.00
</t>
  </si>
  <si>
    <t>UBS-INV-BANK(JB)/DEUTSCHE-BK-SEC(JB)
//WM-BLAIR//MESIROW-FIN</t>
  </si>
  <si>
    <t>UBS-INV-BANK/DEUTSCHE-BK-SEC</t>
  </si>
  <si>
    <t>UBS-INV-BANK
(JB)/DEUTSCHE-BK-SEC(JB)
WM-BLAIR</t>
  </si>
  <si>
    <t>UBS Investment Bank
Deutsche Bank Securities Corp.
William Blair &amp; Co</t>
  </si>
  <si>
    <t>Gigabeam Corp</t>
  </si>
  <si>
    <t>GGBM</t>
  </si>
  <si>
    <t>HCFP-BRENNER</t>
  </si>
  <si>
    <t>37517W107</t>
  </si>
  <si>
    <t>HCFP Brenner Securities LLC</t>
  </si>
  <si>
    <t>Gurunet Corp</t>
  </si>
  <si>
    <t>GRU</t>
  </si>
  <si>
    <t>MAXIM-GROUP
/EARLYBIRD-CAP(JB)</t>
  </si>
  <si>
    <t>Maxim Group LLC
Earlybirdcapital Inc</t>
  </si>
  <si>
    <t>MAXIM-GROUP(JB)/EARLYBIRD-CAP(JB)</t>
  </si>
  <si>
    <t>MAXIM-GROUP/EARLYBIRD-CAP</t>
  </si>
  <si>
    <t>MAXIM-GROUP
(JB)/EARLYBIRD-CAP(JB)</t>
  </si>
  <si>
    <t>PlanetOut Inc</t>
  </si>
  <si>
    <t>LGBT</t>
  </si>
  <si>
    <t>SG Cowen Securities Corp
RBC Capital Markets
WR Hambrecht &amp; Co LLC
Allen &amp; Co Inc</t>
  </si>
  <si>
    <t>SG-COWEN/RBC-CAP-MKTS(JOINT)
//W-R-HAMBRECHT//ALLEN</t>
  </si>
  <si>
    <t>SG-COWEN/RBC-CAP-MKTS</t>
  </si>
  <si>
    <t>SG-COWEN
/RBC-CAP-MKTS(JOINT)
W-R-HAMBRECHT</t>
  </si>
  <si>
    <t>SG Cowen Securities Corp
RBC Capital Markets
WR Hambrecht &amp; Co LLC</t>
  </si>
  <si>
    <t>Gerdau Ameristeel Corp</t>
  </si>
  <si>
    <t>GNA</t>
  </si>
  <si>
    <t>MERRILL/BMO-NES-INC(JB)</t>
  </si>
  <si>
    <t>37373P105</t>
  </si>
  <si>
    <t>Merrill Lynch
BMO Nesbitt Burns Inc
CIBC World Markets Inc
JP Morgan
Morgan Stanley</t>
  </si>
  <si>
    <t>MERRILL(JB)/BMO-NES-INC(JB)//CIBC-WORLD
/JPM/MORGAN-STANLEY</t>
  </si>
  <si>
    <t>MERRILL/BMO-NES-INC</t>
  </si>
  <si>
    <t>MERRILL
(JB)/BMO-NES-INC(JB)
CIBC-WORLD
JPM
MORGAN-STANLEY</t>
  </si>
  <si>
    <t>Merrill Lynch &amp; Co Inc
BMO Nesbitt Burns Inc
CIBC World Markets Inc
JP Morgan &amp; Co Inc
Morgan Stanley</t>
  </si>
  <si>
    <t>China Finance Online Co Ltd</t>
  </si>
  <si>
    <t>JRJC</t>
  </si>
  <si>
    <t>JP Morgan
Jefferies Broadview
WR Hambrecht &amp; Co LLC</t>
  </si>
  <si>
    <t>04/13/05
04/13/05
04/13/05</t>
  </si>
  <si>
    <t>JPM//JEFFERIES-BROAD/W-R-HAMBRECHT</t>
  </si>
  <si>
    <t>JPM
JEFFERIES-BROAD
W-R-HAMBRECHT</t>
  </si>
  <si>
    <t>JP Morgan &amp; Co Inc
Jefferies Broadview
WR Hambrecht &amp; Co LLC</t>
  </si>
  <si>
    <t>CoTherix Inc</t>
  </si>
  <si>
    <t>CTRX</t>
  </si>
  <si>
    <t>CIBC-WORLD
/PIPER-JAFFRAY(JB)</t>
  </si>
  <si>
    <t>22163T103</t>
  </si>
  <si>
    <t>CIBC World Markets Inc
Piper Jaffray Cos
Needham &amp; Co LLC
Thomas Weisel Partners
First Albany
Leerink Swann &amp; Co
Punk Ziegel &amp; Co LP</t>
  </si>
  <si>
    <t>01/13/05
04/13/05</t>
  </si>
  <si>
    <t>8.933
74.115</t>
  </si>
  <si>
    <t>1750000.00
14518557.00</t>
  </si>
  <si>
    <t>CIBC-WORLD(JB)/PIPER-JAFFRAY(JB)
//NEEDHAM/THOMAS-WEISEL//FIRST-ALBANY
/LEERINK-SWANN/PUNK</t>
  </si>
  <si>
    <t>CIBC-WORLD/PIPER-JAFFRAY</t>
  </si>
  <si>
    <t>CIBC-WORLD
(JB)/PIPER-JAFFRAY(JB)
NEEDHAM
THOMAS-WEISEL</t>
  </si>
  <si>
    <t>CIBC World Markets Inc
Piper Jaffray Cos
Needham &amp; Co LLC
Thomas Weisel Partners</t>
  </si>
  <si>
    <t>Interchange Corp</t>
  </si>
  <si>
    <t>INCX</t>
  </si>
  <si>
    <t>53954R105</t>
  </si>
  <si>
    <t>Roth Capital Partners Inc
Merriman Curhan Ford &amp; Co
Maxim Group LLC
GunnAllen Financial Inc</t>
  </si>
  <si>
    <t>ROTH-CAPITAL//MERR-CUR/MAXIM-GROUP
//GUNNALLEN-FINL</t>
  </si>
  <si>
    <t>ROTH-CAPITAL
MERR-CUR
MAXIM-GROUP</t>
  </si>
  <si>
    <t>Roth Capital Partners Inc
Merriman Curhan Ford &amp; Co
Maxim Group LLC</t>
  </si>
  <si>
    <t>Celebrate Express Inc</t>
  </si>
  <si>
    <t>BDAY</t>
  </si>
  <si>
    <t>15100A104</t>
  </si>
  <si>
    <t>SG Cowen Securities Corp
CIBC World Markets Inc
Pacific Crest Securities Inc
Delafield Hambrecht Inc
ShareBuilder Securities</t>
  </si>
  <si>
    <t xml:space="preserve">54.210
</t>
  </si>
  <si>
    <t xml:space="preserve">180
</t>
  </si>
  <si>
    <t xml:space="preserve">3788392.00
</t>
  </si>
  <si>
    <t>SG-COWEN//CIBC-WORLD/PACIFIC-CREST
//DELAFIELD/SHAREBUILDER</t>
  </si>
  <si>
    <t>SG-COWEN
CIBC-WORLD
PACIFIC-CREST</t>
  </si>
  <si>
    <t>SG Cowen Securities Corp
CIBC World Markets Inc
Pacific Crest Securities Inc</t>
  </si>
  <si>
    <t>SmartPros Ltd</t>
  </si>
  <si>
    <t>PED</t>
  </si>
  <si>
    <t>83171G103</t>
  </si>
  <si>
    <t>Paulson Investment Co
Newbridge Securities
Joseph Gunnar &amp; Co., LLC</t>
  </si>
  <si>
    <t>PAULSON//NEWBRIDGE/GUNNAR</t>
  </si>
  <si>
    <t>PAULSON
NEWBRIDGE
GUNNAR</t>
  </si>
  <si>
    <t>Sunstone Hotel Investors Inc</t>
  </si>
  <si>
    <t>SHO</t>
  </si>
  <si>
    <t>CITIGROUP/MERRILL(JB)
/MORGAN-STANLEY(JB)</t>
  </si>
  <si>
    <t>Citigroup
Merrill Lynch
Morgan Stanley
Deutsche Bank Securities Corp
Bear Stearns &amp; Co Inc
UBS Investment Bank
AG Edwards &amp; Sons Inc
Calyon Financial
JMP Securities LLC</t>
  </si>
  <si>
    <t>CITIGROUP(JB)/MERRILL(JB)
/MORGAN-STANLEY(JB)//DEUTSCHE-BK-SEC
/BEAR/UBS-INV-BANK/A-G-EDWARDS
/CALYON-FINAN//JMP-SEC</t>
  </si>
  <si>
    <t>CITIGROUP/MERRILL/MORGAN-STANLEY</t>
  </si>
  <si>
    <t>CITIGROUP
(JB)/MERRILL(JB)
/MORGAN-STANLEY(JB)
DEUTSCHE-BK-SEC
BEAR
UBS-INV-BANK
A-G-EDWARDS
CALYON-FINAN</t>
  </si>
  <si>
    <t>Citigroup
Merrill Lynch &amp; Co Inc
Morgan Stanley
Deutsche Bank Securities Corp.
Bear Stearns &amp; Co Inc
UBS Investment Bank
AG Edwards &amp; Sons Inc
Calyon Financial</t>
  </si>
  <si>
    <t>Tower Group Inc</t>
  </si>
  <si>
    <t>Friedman Billings Ramsey Group
Keefe Bruyette &amp; Woods Inc
Cochran, Caronia &amp; Co.
Advest Inc
BB&amp;T Capital Markets
Flagstone Securities Inc
Sandler O'Neill Partners
Stifel Nicolaus &amp; Co Inc</t>
  </si>
  <si>
    <t>FRIEDMAN-B//KEEFE/COCHRAN-CARONIA
//ADVEST/BB-T-CAP/FLAGSTONE
/SANDLER-ONEILL/STIFEL</t>
  </si>
  <si>
    <t>FRIEDMAN-B
KEEFE
COCHRAN-CARONIA</t>
  </si>
  <si>
    <t>Friedman Billings Ramsey Group
Keefe Bruyette &amp; Woods Inc
Cochran, Caronia &amp; Co.</t>
  </si>
  <si>
    <t>VNUS Medical Technologies Inc</t>
  </si>
  <si>
    <t>VNUS</t>
  </si>
  <si>
    <t>BA-SEC-LLC
/PIPER-JAFFRAY(JB)</t>
  </si>
  <si>
    <t>Banc of America Securities LLC
Piper Jaffray Cos
William Blair &amp; Co</t>
  </si>
  <si>
    <t>BA-SEC-LLC(JB)/PIPER-JAFFRAY(JB)
//WM-BLAIR</t>
  </si>
  <si>
    <t>BA-SEC-LLC
(JB)/PIPER-JAFFRAY(JB)
WM-BLAIR</t>
  </si>
  <si>
    <t>U-Store-It Trust</t>
  </si>
  <si>
    <t>YSI</t>
  </si>
  <si>
    <t>91274F104</t>
  </si>
  <si>
    <t>Lehman Brothers
Wachovia Capital Markets
Citigroup
AG Edwards &amp; Sons Inc
Legg Mason Wood Walker
Raymond James &amp; Associates Inc</t>
  </si>
  <si>
    <t>LEH/WACHOVIA-CAP/CITIGROUP(JOINT)
//A-G-EDWARDS/LEGG-MASON-WW/RAYMOND</t>
  </si>
  <si>
    <t>LEH/WACHOVIA-CAP/CITIGROUP</t>
  </si>
  <si>
    <t>LEH
/WACHOVIA-CAP
/CITIGROUP(JOINT)
A-G-EDWARDS
LEGG-MASON-WW
RAYMOND</t>
  </si>
  <si>
    <t>Lehman Brothers
Wachovia Capital Markets
Citigroup
AG Edwards &amp; Sons Inc
Legg Mason Wood Walker Inc
Raymond James &amp; Associates Inc</t>
  </si>
  <si>
    <t>Telvent GIT SA</t>
  </si>
  <si>
    <t>Spain</t>
  </si>
  <si>
    <t>TLVT</t>
  </si>
  <si>
    <t>E90215109</t>
  </si>
  <si>
    <t>Merrill Lynch
Lehman Brothers International
SG Cowen Securities Corp</t>
  </si>
  <si>
    <t>MERRILL/LEHMAN-I(JOINT)//SG-COWEN</t>
  </si>
  <si>
    <t>MERRILL/LEHMAN-I</t>
  </si>
  <si>
    <t>MERRILL
/LEHMAN-I(JOINT)
SG-COWEN</t>
  </si>
  <si>
    <t>Merrill Lynch &amp; Co Inc
Lehman Brothers International
SG Cowen Securities Corp</t>
  </si>
  <si>
    <t>NorthStar Realty Finance Corp</t>
  </si>
  <si>
    <t>NRF</t>
  </si>
  <si>
    <t>66704R100</t>
  </si>
  <si>
    <t>Friedman Billings Ramsey &amp; Co
Deutsche Bank Securities Corp
Credit Suisse First Boston
JMP Securities LLC
JP Morgan Securities Inc</t>
  </si>
  <si>
    <t>FRIEDMAN-B-CO//DEUTSCHE-BK-SEC/CS-FB-CS
/JMP-SEC//J-P-MORGAN</t>
  </si>
  <si>
    <t>FRIEDMAN-B-CO
DEUTSCHE-BK-SEC
CS-FB-CS
JMP-SEC</t>
  </si>
  <si>
    <t>Friedman Billings Ramsey &amp; Co Inc
Deutsche Bank Securities Corp.
Credit Suisse First Boston Corp
JMP Securities LLC</t>
  </si>
  <si>
    <t>Shopping com Ltd</t>
  </si>
  <si>
    <t>SHOP</t>
  </si>
  <si>
    <t>M8405Q102</t>
  </si>
  <si>
    <t>Goldman Sachs &amp; Co
Credit Suisse First Boston
Deutsche Bank Securities Corp
Piper Jaffray Cos</t>
  </si>
  <si>
    <t>11/09/04
01/23/05
04/23/05
04/23/05</t>
  </si>
  <si>
    <t xml:space="preserve">1.734
0.217
1.905
64.220
</t>
  </si>
  <si>
    <t>15
90
180
180</t>
  </si>
  <si>
    <t xml:space="preserve">500041.00
62644.00
549339.00
18523628.00
</t>
  </si>
  <si>
    <t>GS/CS-FB-CS(JOINT)//DEUTSCHE-BK-SEC
/PIPER-JAFFRAY</t>
  </si>
  <si>
    <t>GS
/CS-FB-CS(JOINT)
DEUTSCHE-BK-SEC
PIPER-JAFFRAY</t>
  </si>
  <si>
    <t>Goldman Sachs &amp; Co
Credit Suisse First Boston Corp
Deutsche Bank Securities Corp.
Piper Jaffray Cos</t>
  </si>
  <si>
    <t>Eaton Vance Enhanced Eq Inc Fd</t>
  </si>
  <si>
    <t>EOI</t>
  </si>
  <si>
    <t>UBS Investment Bank
Merrill Lynch
Wachovia Securities Inc
AG Edwards &amp; Sons Inc
H&amp;R Block Financial Advisors
JJB Hilliard WL Lyons Inc
Raymond James &amp; Associates Inc
RBC Capital Markets
Wells Fargo Bank NA
Robert W Baird &amp; Co Inc
Legg Mason Wood Walker
Oppenheimer &amp; Co Inc
SunTrust Capital Markets
TD Waterhouse Investor Svcs
Advest Inc
Brookstreet Securities
Crowell Weedon &amp; Co
Key Capital Markets Inc
Mesirow Financial Corp
Morgan Keegan Inc
Royal Alliance Associates
Ryan Beck &amp; Co
Wedbush Securities
FBT Investments Inc
Ferris Baker Watts
First Southwest
J. B. Hanauer
Peacock Hislop Staley &amp; Given
Anderson &amp; Strudwick
Arthurs Lestrange
Axiom Capital Management Inc
Cadaret Grant &amp; Co
Concord Equity Group LLC
DA Davidson &amp; Co Inc
National Securities Corp (US)
David A. Noyes
Parker-Hunter Inc
SouthTrust Securities
Spelman &amp; Co.
Stanford Group Company
STERLING FINANCIAL INVESTMENT
M. L. Stern
Strand,Atkinson,Williams&amp;Yerl
Wunderlich Securities Inc
BC Ziegler &amp; Co</t>
  </si>
  <si>
    <t>UBS-INV-BANK/MERRILL
/WACHOVIA-SEC(JOINT)//A-G-EDWARDS
/HR-BLOCK-FIN/HILLIARD/RAYMOND
/RBC-CAP-MKTS/WELLS-FARGO//BAIRD
/LEGG-MASON-WW/OPPENHEIMER-CO
/SUNTRUST-CAP/TD-WATERHOUSE/ADVEST
/BROOKSTREET/CROWELL/KEY-CM/MESIROW-FIN
/MORGAN-KEEGAN/ROYAL-ALLIANCE/RYAN-BECK
/WEDBUSH-M/FBT-INVESTMENTS/FERRIS-BAKER
/FIRST-SW/J-B-HANAUER/PEACOCK-HISLOP
/ANDERSON/ARTHURS-LES/AXIOM-CAP
/CADARET-GRANT/CONCORD-EQUITY/DAVIDSON
/NATL-SEC/D-A-NOYES/PARKER-HUNTER
/SOUTHTRUST-SEC/SPELMAN/STANFORD-GROUP
/STERLING-FIN-I/M-L-STERN/STRAND-ATKIN
/WUNDERLICH/ZIEGLER</t>
  </si>
  <si>
    <t>UBS-INV-BANK
/MERRILL
/WACHOVIA-SEC(JOINT)
A-G-EDWARDS
HR-BLOCK-FIN
HILLIARD
RAYMOND
RBC-CAP-MKTS
WELLS-FARGO</t>
  </si>
  <si>
    <t>UBS Investment Bank
Merrill Lynch &amp; Co Inc
Wachovia Securities Inc
AG Edwards &amp; Sons Inc
H&amp;R Block Financial Advisors
JJB Hilliard WL Lyons Inc
Raymond James &amp; Associates Inc
RBC Capital Markets
Wells Fargo Bank NA</t>
  </si>
  <si>
    <t>Nuveen Premium Income Fund</t>
  </si>
  <si>
    <t>JPZ</t>
  </si>
  <si>
    <t>6706ER101</t>
  </si>
  <si>
    <t>Citigroup
Wachovia Securities Inc
RBC Capital Markets
Nuveen Investments LLC
AG Edwards &amp; Sons Inc
Deutsche Bank Securities Corp
Advest Inc
H&amp;R Block Financial Advisors
Ferris Baker Watts
JJB Hilliard WL Lyons Inc
Janney Montgomery Scott LLC
KeyCorp/McDonald Investments
Legg Mason Wood Walker
Oppenheimer &amp; Co Inc
Ryan Beck &amp; Co
Stifel Nicolaus &amp; Co Inc
Wedbush Securities
Robert W Baird &amp; Co Inc
Crowell Weedon &amp; Co
Piper Jaffray Cos
SunTrust Capital Markets
TD Waterhouse Investor Svcs
BB&amp;T Capital Markets
Brookstreet Securities
Doft &amp; Co Inc
First Montauk Securities
Hazlett, Burt &amp; Watson
M. L. Stern
Sanders Morris Harris Inc
Smith, Moore
Southwest Securities Inc
Spelman &amp; Co.
Stephens Inc
Axiom Capital Management Inc
DA Davidson &amp; Co Inc
David A. Noyes
HARRISdirect LLC
LaSalle Street Securities Inc
Maxim Group LLC
Mesirow Financial Corp
National Securities Corp (US)
Parker-Hunter Inc
Strand,Atkinson,Williams&amp;Yerl</t>
  </si>
  <si>
    <t>CITIGROUP//WACHOVIA-SEC/RBC-CAP-MKTS
/NUVEEN-INV/A-G-EDWARDS/DEUTSCHE-BK-SEC
/ADVEST/HR-BLOCK-FIN/FERRIS-BAKER
/HILLIARD/JANNEY-LLC/KEY-MCDONALD
/LEGG-MASON-WW/OPPENHEIMER-CO/RYAN-BECK
/STIFEL/WEDBUSH-M//BAIRD/CROWELL
/PIPER-JAFFRAY/SUNTRUST-CAP
/TD-WATERHOUSE/BB-T-CAP/BROOKSTREET
/DOFT/FIRST-MONTAUK/HAZLETT/M-L-STERN
/SANDERS-HARRIS/SMITH-MOORE/SWS-SEC
/SPELMAN/STEPHENS/AXIOM-CAP/DAVIDSON
/D-A-NOYES/HARRISDIRECT/LASALLE-SEC
/MAXIM-GROUP/MESIROW-FIN/NATL-SEC
/PARKER-HUNTER/STRAND-ATKIN</t>
  </si>
  <si>
    <t>CITIGROUP
WACHOVIA-SEC
RBC-CAP-MKTS
NUVEEN-INV
A-G-EDWARDS
DEUTSCHE-BK-SEC
ADVEST
HR-BLOCK-FIN
FERRIS-BAKER
HILLIARD
JANNEY-LLC
KEY-MCDONALD
LEGG-MASON-WW
OPPENHEIMER-CO
RYAN-BECK
STIFEL
WEDBUSH-M</t>
  </si>
  <si>
    <t>Citigroup
Wachovia Securities Inc
RBC Capital Markets
Nuveen Investments LLC
AG Edwards &amp; Sons Inc
Deutsche Bank Securities Corp.
Advest Inc
H&amp;R Block Financial Advisors
Ferris Baker Watts Inc
JJB Hilliard WL Lyons Inc
Janney Montgomery Scott LLC
KeyCorp/McDonald Investments
Legg Mason Wood Walker Inc
Oppenheimer &amp; Co Inc
Ryan Beck &amp; Co
Stifel Nicolaus &amp; Co Inc
Wedbush Securities</t>
  </si>
  <si>
    <t>PIMCO Fltg Rt Strat Fnd</t>
  </si>
  <si>
    <t>PFN</t>
  </si>
  <si>
    <t>72201J104</t>
  </si>
  <si>
    <t>Merrill Lynch
UBS Investment Bank
AG Edwards &amp; Sons Inc
Wachovia Securities Inc
Advest Inc
Robert W Baird &amp; Co Inc
Ferris Baker Watts
H&amp;R Block Financial Advisors
JJB Hilliard WL Lyons Inc
KeyCorp/McDonald Investments
Legg Mason Wood Walker
Oppenheimer &amp; Co Inc
RBC Capital Markets
Ryan Beck &amp; Co
Stifel Nicolaus &amp; Co Inc
SunTrust Capital Markets
Wedbush Securities
Wells Fargo Bank NA
William Blair &amp; Co
Crowell Weedon &amp; Co
DA Davidson &amp; Co Inc
Doft &amp; Co Inc
Dominick &amp; Dominick Inc
Harris Nesbitt
Jefferies &amp; Co Inc
Morgan Keegan Inc
Needham &amp; Co LLC
Parker-Hunter Inc
Piper Jaffray Cos
Stephens Inc
Arthurs Lestrange
Axiom Capital Management Inc
BB&amp;T Capital Markets
Brean Murray &amp; Co Inc
CMG Institutional Trading LLC
CE Unterberg Towbin
Chatsworth Securities LLC
City Securities
Deutsche Bank Securities
First Montauk Securities
First Southwest
Gilford Securities
Hoefer &amp; Arnett Inc
Howe Barnes Investments Inc
Huntleigh Securities Corp
Johnston Lemon &amp; Co Inc
LaSalle Street Securities Inc
Maxim Group LLC
Mesirow Financial Corp
Morgan Wilshire Securities
National Securities Corp (US)
Newbridge Securities
Northeast Securities Inc.
David A. Noyes
Nutmeg Securities Ltd
Ormes Capital Markets Inc
Paulson Investment Co
Peacock Hislop Staley &amp; Given
Sanders Morris Harris Inc
The Seidler Companies Inc
Smith, Moore
Source Capital Group Inc
Southwest Securities Inc
Spelman &amp; Co.
STERLING FINANCIAL INVESTMENT
M. L. Stern
Stone &amp; Youngberg
Strand,Atkinson,Williams&amp;Yerl
TD Waterhouse Investor Svcs
Torrey Pines Securities
JP Turner &amp; Co
Wunderlich Securities Inc</t>
  </si>
  <si>
    <t>MERRILL//UBS-INV-BANK/A-G-EDWARDS
/WACHOVIA-SEC/ADVEST/BAIRD/FERRIS-BAKER
/HR-BLOCK-FIN/HILLIARD/KEY-MCDONALD
/LEGG-MASON-WW/OPPENHEIMER-CO
/RBC-CAP-MKTS/RYAN-BECK/STIFEL
/SUNTRUST-CAP/WEDBUSH-M/WELLS-FARGO
//WM-BLAIR/CROWELL/DAVIDSON/DOFT
/DOMINICK/HARRN/JEFFERIES/MORGAN-KEEGAN
/NEEDHAM/PARKER-HUNTER/PIPER-JAFFRAY
/STEPHENS/ARTHURS-LES/AXIOM-CAP
/BB-T-CAP/BREAN/CMG-LLC/UNTERBERG
/CHATSWORTH/CITY-SEC/DBSECU
/FIRST-MONTAUK/FIRST-SW/GILFORD
/HOEFER-ARNETT/HOWE-BARNES
/HUNTLEIGH-SEC/JOHNSTON-LEMON
/LASALLE-SEC/MAXIM-GROUP/MESIROW-FIN
/MORGAN-WILSHIRE/NATL-SEC/NEWBRIDGE
/NORTHEAST-SEC/D-A-NOYES/NUTMEG-SEC
/ORMES/PAULSON/PEACOCK-HISLOP
/SANDERS-HARRIS/SEIDLER-CO-INC
/SMITH-MOORE/SOURCE-CAPITAL/SWS-SEC
/SPELMAN/STERLING-FIN-I/M-L-STERN
/STONE-YOUNG/STRAND-ATKIN/TD-WATERHOUSE
/TORREY-PINES/J-P-TURNER/WUNDERLICH</t>
  </si>
  <si>
    <t>MERRILL
UBS-INV-BANK
A-G-EDWARDS
WACHOVIA-SEC
ADVEST
BAIRD
FERRIS-BAKER
HR-BLOCK-FIN
HILLIARD
KEY-MCDONALD
LEGG-MASON-WW
OPPENHEIMER-CO
RBC-CAP-MKTS
RYAN-BECK
STIFEL
SUNTRUST-CAP
WEDBUSH-M
WELLS-FARGO</t>
  </si>
  <si>
    <t>Merrill Lynch &amp; Co Inc
UBS Investment Bank
AG Edwards &amp; Sons Inc
Wachovia Securities Inc
Advest Inc
Robert W Baird &amp; Co Inc
Ferris Baker Watts Inc
H&amp;R Block Financial Advisors
JJB Hilliard WL Lyons Inc
KeyCorp/McDonald Investments
Legg Mason Wood Walker Inc
Oppenheimer &amp; Co Inc
RBC Capital Markets
Ryan Beck &amp; Co
Stifel Nicolaus &amp; Co Inc
SunTrust Capital Markets
Wedbush Securities
Wells Fargo Bank NA</t>
  </si>
  <si>
    <t>Sal Bros Var Rate Stg Fnd Inc</t>
  </si>
  <si>
    <t>GFY</t>
  </si>
  <si>
    <t>79550X105</t>
  </si>
  <si>
    <t>Citigroup
Ferris Baker Watts
Stifel Nicolaus &amp; Co Inc
Advest Inc
KeyCorp/McDonald Investments
Legg Mason Wood Walker
Oppenheimer &amp; Co Inc
Robert W Baird &amp; Co Inc
Crowell Weedon &amp; Co
Doft &amp; Co Inc
Morgan Keegan Inc
SunTrust Capital Markets
TD Waterhouse Investor Svcs
Wedbush Securities</t>
  </si>
  <si>
    <t>CITIGROUP//FERRIS-BAKER/STIFEL//ADVEST
/KEY-MCDONALD/LEGG-MASON-WW
/OPPENHEIMER-CO/BAIRD/CROWELL/DOFT
/MORGAN-KEEGAN/SUNTRUST-CAP
/TD-WATERHOUSE/WEDBUSH-M</t>
  </si>
  <si>
    <t>CITIGROUP
FERRIS-BAKER
STIFEL</t>
  </si>
  <si>
    <t>Citigroup
Ferris Baker Watts Inc
Stifel Nicolaus &amp; Co Inc</t>
  </si>
  <si>
    <t>Calamos Asset Management Inc</t>
  </si>
  <si>
    <t>CLMS</t>
  </si>
  <si>
    <t>CITIGROUP/MERRILL(JB)</t>
  </si>
  <si>
    <t>12811R104</t>
  </si>
  <si>
    <t>Citigroup
Merrill Lynch
Goldman Sachs &amp; Co
UBS Investment Bank
Keefe Bruyette &amp; Woods Inc
Morgan Stanley &amp; Co
RBC Capital Markets
Stanford Group Company
Wachovia Securities Inc
Bank of New York</t>
  </si>
  <si>
    <t>CITIGROUP(JB)/MERRILL(JB)//GS
/UBS-INV-BANK//KEEFE/MS/RBC-CAP-MKTS
/STANFORD-GROUP/WACHOVIA-SEC
/BK-NEW-YORK</t>
  </si>
  <si>
    <t>CITIGROUP
(JB)/MERRILL(JB)
GS
UBS-INV-BANK</t>
  </si>
  <si>
    <t>Citigroup
Merrill Lynch &amp; Co Inc
Goldman Sachs &amp; Co
UBS Investment Bank</t>
  </si>
  <si>
    <t>Dreamworks Animation Inc</t>
  </si>
  <si>
    <t>DWA</t>
  </si>
  <si>
    <t>26153C103</t>
  </si>
  <si>
    <t>Goldman Sachs &amp; Co
JP Morgan
Banc of America Securities LLC
Bear Stearns &amp; Co Inc
Merrill Lynch
SG Cowen Securities Corp
Hongkong &amp; Shanghai Bank (HK)
Allen &amp; Co Inc
ING FINANCIAL MARKETS LLC
Muriel Siebert &amp; Co
Samuel A. Ramirez &amp; Co.
Utendahl Capital Partners</t>
  </si>
  <si>
    <t>04/25/05
10/27/05</t>
  </si>
  <si>
    <t>180
365</t>
  </si>
  <si>
    <t>GS(JB)/JPM(JB)//BA-SEC-LLC/BEAR/MERRILL
/SG-COWEN/HONG-SHANG-BKG/ALLEN
/ING-FINAN/MURIEL/RAMIREZ/UTENDAHL-CAP</t>
  </si>
  <si>
    <t>GS
(JB)/JPM(JB)
BA-SEC-LLC
BEAR
MERRILL
SG-COWEN
HONG-SHANG-BKG
ALLEN
ING-FINAN
MURIEL
RAMIREZ
UTENDAHL-CAP</t>
  </si>
  <si>
    <t>Goldman Sachs &amp; Co
JP Morgan &amp; Co Inc
Banc of America Securities LLC
Bear Stearns &amp; Co Inc
Merrill Lynch &amp; Co Inc
SG Cowen Securities Corp
Hongkong &amp; Shanghai Banking Corp Ltd
Allen &amp; Co Inc
ING FINANCIAL MARKETS LLC
Muriel Siebert &amp; Co
Samuel A. Ramirez &amp; Co.
Utendahl Capital Partners</t>
  </si>
  <si>
    <t>eLong.com</t>
  </si>
  <si>
    <t>LONG</t>
  </si>
  <si>
    <t>Deutsche Bank Securities Corp
WR Hambrecht &amp; Co LLC
Allen &amp; Co Inc</t>
  </si>
  <si>
    <t>04/25/05
04/25/05</t>
  </si>
  <si>
    <t xml:space="preserve">67.477
</t>
  </si>
  <si>
    <t xml:space="preserve">19333806.00
</t>
  </si>
  <si>
    <t>DEUTSCHE-BK-SEC//W-R-HAMBRECHT/ALLEN</t>
  </si>
  <si>
    <t>DEUTSCHE-BK-SEC
W-R-HAMBRECHT
ALLEN</t>
  </si>
  <si>
    <t>Deutsche Bank Securities Corp.
WR Hambrecht &amp; Co LLC
Allen &amp; Co Inc</t>
  </si>
  <si>
    <t>FoxHollow Technologies Inc</t>
  </si>
  <si>
    <t>FOXH</t>
  </si>
  <si>
    <t>JPM/PIPER-JAFFRAY(JB)</t>
  </si>
  <si>
    <t>35166A103</t>
  </si>
  <si>
    <t>JP Morgan
Piper Jaffray Cos
Thomas Weisel Partners
William Blair &amp; Co
The Shemano Group, Inc.</t>
  </si>
  <si>
    <t>JPM(JB)/PIPER-JAFFRAY(JB)
//THOMAS-WEISEL/WM-BLAIR//SHEMANO</t>
  </si>
  <si>
    <t>JPM/PIPER-JAFFRAY</t>
  </si>
  <si>
    <t>JPM
(JB)/PIPER-JAFFRAY(JB)
THOMAS-WEISEL
WM-BLAIR</t>
  </si>
  <si>
    <t>JP Morgan &amp; Co Inc
Piper Jaffray Cos
Thomas Weisel Partners
William Blair &amp; Co</t>
  </si>
  <si>
    <t>S&amp;P 500 GEARED FUND</t>
  </si>
  <si>
    <t>GRE</t>
  </si>
  <si>
    <t>78381R105</t>
  </si>
  <si>
    <t>Merrill Lynch
Advest Inc
Robert W Baird &amp; Co Inc
KeyCorp/McDonald Investments
Fixed Income Securities Inc
BB&amp;T Capital Markets
William Blair &amp; Co
DA Davidson &amp; Co Inc
Doft &amp; Co Inc
Ferris Baker Watts
Wedbush Securities
Brookstreet Securities
Dominick &amp; Dominick Inc
First Montauk Securities
First Southwest
Hoefer &amp; Arnett Inc
Johnston Lemon &amp; Co Inc
LaSalle Street Securities Inc
Maxim Group LLC
David A. Noyes
Peacock Hislop Staley &amp; Given
Sanders Morris Harris Inc
STERLING FINANCIAL INVESTMENT
Torrey Pines Securities</t>
  </si>
  <si>
    <t>MERRILL//ADVEST/BAIRD/KEY-MCDONALD
//FIXED-INC/BB-T-CAP/WM-BLAIR/DAVIDSON
/DOFT/FERRIS-BAKER/WEDBUSH-M
/BROOKSTREET/DOMINICK/FIRST-MONTAUK
/FIRST-SW/HOEFER-ARNETT/JOHNSTON-LEMON
/LASALLE-SEC/MAXIM-GROUP/D-A-NOYES
/PEACOCK-HISLOP/SANDERS-HARRIS
/STERLING-FIN-I/TORREY-PINES</t>
  </si>
  <si>
    <t>MERRILL
ADVEST
BAIRD
KEY-MCDONALD</t>
  </si>
  <si>
    <t>Merrill Lynch &amp; Co Inc
Advest Inc
Robert W Baird &amp; Co Inc
KeyCorp/McDonald Investments</t>
  </si>
  <si>
    <t>Build-A-Bear Workshop Inc</t>
  </si>
  <si>
    <t>BBW</t>
  </si>
  <si>
    <t>CS-FB-CS/CITIGROUP(JB)</t>
  </si>
  <si>
    <t>Credit Suisse First Boston
Citigroup
JP Morgan
AG Edwards &amp; Sons Inc
Thomas Weisel Partners</t>
  </si>
  <si>
    <t>01/26/05
04/26/05
04/26/05</t>
  </si>
  <si>
    <t xml:space="preserve">0.143
59.862
</t>
  </si>
  <si>
    <t>90
180
180</t>
  </si>
  <si>
    <t xml:space="preserve">27991.00
11703961.00
</t>
  </si>
  <si>
    <t>CS-FB-CS(JB)/CITIGROUP(JB)/JPM(JOINT)
//A-G-EDWARDS/THOMAS-WEISEL</t>
  </si>
  <si>
    <t>CS-FB-CS/CITIGROUP/JPM</t>
  </si>
  <si>
    <t>CS-FB-CS
(JB)/CITIGROUP(JB)
/JPM(JOINT)
A-G-EDWARDS
THOMAS-WEISEL</t>
  </si>
  <si>
    <t>Credit Suisse First Boston Corp
Citigroup
JP Morgan &amp; Co Inc
AG Edwards &amp; Sons Inc
Thomas Weisel Partners</t>
  </si>
  <si>
    <t>Digital Realty Trust Inc</t>
  </si>
  <si>
    <t>DLR</t>
  </si>
  <si>
    <t>Citigroup
Merrill Lynch
Credit Suisse First Boston
UBS Investment Bank
RBC Capital Markets
KeyCorp/McDonald Investments
JMP Securities LLC</t>
  </si>
  <si>
    <t>04/26/05
10/23/05</t>
  </si>
  <si>
    <t>CITIGROUP(JB)/MERRILL(JB)//CS-FB-CS
/UBS-INV-BANK/RBC-CAP-MKTS/KEY-MCDONALD
/JMP-SEC</t>
  </si>
  <si>
    <t>CITIGROUP
(JB)/MERRILL(JB)
CS-FB-CS
UBS-INV-BANK
RBC-CAP-MKTS
KEY-MCDONALD
JMP-SEC</t>
  </si>
  <si>
    <t>Citigroup
Merrill Lynch &amp; Co Inc
Credit Suisse First Boston Corp
UBS Investment Bank
RBC Capital Markets
KeyCorp/McDonald Investments
JMP Securities LLC</t>
  </si>
  <si>
    <t>GMH Communities Trust</t>
  </si>
  <si>
    <t>GCT</t>
  </si>
  <si>
    <t>BA-SEC-LLC/MERRILL(JB)</t>
  </si>
  <si>
    <t>36188G102</t>
  </si>
  <si>
    <t>Banc of America Securities LLC
Merrill Lynch
Deutsche Bank Securities Corp
JP Morgan
Morgan Stanley
Raymond James &amp; Associates Inc
Legg Mason Wood Walker
RBC Capital Markets
KeyCorp/McDonald Investments
Oppenheimer &amp; Co Inc
Morgan Keegan Inc
AG Edwards &amp; Sons Inc
Stifel Nicolaus &amp; Co Inc
Wachovia Capital Markets</t>
  </si>
  <si>
    <t>BA-SEC-LLC(JB)/MERRILL(JB)
//DEUTSCHE-BK-SEC/JPM/MORGAN-STANLEY
/RAYMOND//LEGG-MASON-WW/RBC-CAP-MKTS
/KEY-MCDONALD/OPPENHEIMER-CO
/MORGAN-KEEGAN/A-G-EDWARDS/STIFEL
/WACHOVIA-CAP</t>
  </si>
  <si>
    <t>BA-SEC-LLC/MERRILL</t>
  </si>
  <si>
    <t>BA-SEC-LLC
(JB)/MERRILL(JB)
DEUTSCHE-BK-SEC
JPM
MORGAN-STANLEY
RAYMOND</t>
  </si>
  <si>
    <t>Banc of America Securities LLC
Merrill Lynch &amp; Co Inc
Deutsche Bank Securities Corp.
JP Morgan &amp; Co Inc
Morgan Stanley
Raymond James &amp; Associates Inc</t>
  </si>
  <si>
    <t>Mechel Steel Group OAO</t>
  </si>
  <si>
    <t>MTL</t>
  </si>
  <si>
    <t>UBS Investment Bank
JP Morgan
Morgan Stanley
Troika Dialog
UBS Investment Bank</t>
  </si>
  <si>
    <t>04/26/05
04/26/05</t>
  </si>
  <si>
    <t xml:space="preserve">859.470
</t>
  </si>
  <si>
    <t xml:space="preserve">357772401.00
</t>
  </si>
  <si>
    <t>UBS-INV-BANK//JPM/MORGAN-STANLEY/TROIKA
//UBS-INV-BANK(GC)</t>
  </si>
  <si>
    <t>UBS-INV-BANK
JPM
MORGAN-STANLEY
TROIKA</t>
  </si>
  <si>
    <t>UBS Investment Bank
JP Morgan &amp; Co Inc
Morgan Stanley
Troika Dialog</t>
  </si>
  <si>
    <t>US Shipping Partners LP</t>
  </si>
  <si>
    <t>USS</t>
  </si>
  <si>
    <t>LEH/CITIGROUP(JB)</t>
  </si>
  <si>
    <t>Lehman Brothers
Citigroup
UBS Investment Bank
KeyCorp/McDonald Investments
Raymond James &amp; Associates Inc</t>
  </si>
  <si>
    <t>LEH(JB)/CITIGROUP(JB)
/UBS-INV-BANK(JOINT)//KEY-MCDONALD
/RAYMOND</t>
  </si>
  <si>
    <t>LEH/CITIGROUP/UBS-INV-BANK</t>
  </si>
  <si>
    <t>LEH
(JB)/CITIGROUP(JB)
/UBS-INV-BANK(JOINT)
KEY-MCDONALD
RAYMOND</t>
  </si>
  <si>
    <t>Aames Investment Corp</t>
  </si>
  <si>
    <t>AIC</t>
  </si>
  <si>
    <t>00253G108</t>
  </si>
  <si>
    <t>Friedman Billings Ramsey Group
Credit Suisse First Boston
Flagstone Securities Inc
Dominick &amp; Dominick Inc
Jefferies &amp; Co Inc
Roth Capital Partners Inc
Stifel Nicolaus &amp; Co Inc
Tri-Artisan Partners
Wedbush Securities</t>
  </si>
  <si>
    <t>FRIEDMAN-B//CS-FB-CS/FLAGSTONE
//DOMINICK/JEFFERIES/ROTH-CAPITAL
/STIFEL/TRI-ARTISAN/WEDBUSH-M</t>
  </si>
  <si>
    <t>FRIEDMAN-B
CS-FB-CS
FLAGSTONE</t>
  </si>
  <si>
    <t>Friedman Billings Ramsey Group
Credit Suisse First Boston Corp
Flagstone Securities Inc</t>
  </si>
  <si>
    <t>MarketAxess Holdings Inc</t>
  </si>
  <si>
    <t>MKTX</t>
  </si>
  <si>
    <t>57060D108</t>
  </si>
  <si>
    <t>Credit Suisse First Boston
JP Morgan
Banc of America Securities LLC
Bear Stearns &amp; Co Inc
UBS Investment Bank</t>
  </si>
  <si>
    <t>02/02/05
05/03/05</t>
  </si>
  <si>
    <t>0.081
74.642</t>
  </si>
  <si>
    <t>18519.00
17030083.00</t>
  </si>
  <si>
    <t>CS-FB-CS(JB)/JPM(JB)//BA-SEC-LLC/BEAR
/UBS-INV-BANK</t>
  </si>
  <si>
    <t>CS-FB-CS
(JB)/JPM(JB)
BA-SEC-LLC
BEAR
UBS-INV-BANK</t>
  </si>
  <si>
    <t>Credit Suisse First Boston Corp
JP Morgan &amp; Co Inc
Banc of America Securities LLC
Bear Stearns &amp; Co Inc
UBS Investment Bank</t>
  </si>
  <si>
    <t>Arlington Tankers Ltd</t>
  </si>
  <si>
    <t>ATB</t>
  </si>
  <si>
    <t>UBS-INV-BANK
/JEFFERIES(JB)</t>
  </si>
  <si>
    <t>G04899103</t>
  </si>
  <si>
    <t>UBS Investment Bank
Jefferies &amp; Co Inc
Bear Stearns &amp; Co Inc
Fortis Securities Inc
Hongkong &amp; Shanghai Bank (HK)</t>
  </si>
  <si>
    <t>UBS-INV-BANK(JB)/JEFFERIES(JB)//BEAR
/FORTIS-SEC/HONG-SHANG-BKG</t>
  </si>
  <si>
    <t>UBS-INV-BANK/JEFFERIES</t>
  </si>
  <si>
    <t>UBS-INV-BANK
(JB)/JEFFERIES(JB)
BEAR
FORTIS-SEC
HONG-SHANG-BKG</t>
  </si>
  <si>
    <t>UBS Investment Bank
Jefferies &amp; Co Inc
Bear Stearns &amp; Co Inc
Fortis Securities Inc
Hongkong &amp; Shanghai Banking Corp Ltd</t>
  </si>
  <si>
    <t>RMK Advantage Income Fund Inc</t>
  </si>
  <si>
    <t>RMA</t>
  </si>
  <si>
    <t>74963L103</t>
  </si>
  <si>
    <t>Morgan Keegan Inc
Legg Mason Wood Walker
Oppenheimer &amp; Co Inc
RBC Capital Markets
Stifel Nicolaus &amp; Co Inc
SunTrust Capital Markets
Advest Inc
BB&amp;T Capital Markets
Stephens Inc
Wedbush Securities</t>
  </si>
  <si>
    <t>MORGAN-KEEGAN//LEGG-MASON-WW
/OPPENHEIMER-CO/RBC-CAP-MKTS/STIFEL
/SUNTRUST-CAP/ADVEST/BB-T-CAP/STEPHENS
/WEDBUSH-M</t>
  </si>
  <si>
    <t>MORGAN-KEEGAN
LEGG-MASON-WW
OPPENHEIMER-CO
RBC-CAP-MKTS
STIFEL
SUNTRUST-CAP
ADVEST
BB-T-CAP
STEPHENS
WEDBUSH-M</t>
  </si>
  <si>
    <t>Morgan Keegan Inc
Legg Mason Wood Walker Inc
Oppenheimer &amp; Co Inc
RBC Capital Markets
Stifel Nicolaus &amp; Co Inc
SunTrust Capital Markets
Advest Inc
BB&amp;T Capital Markets
Stephens Inc
Wedbush Securities</t>
  </si>
  <si>
    <t>Copano Energy LLC</t>
  </si>
  <si>
    <t>CPNO</t>
  </si>
  <si>
    <t>RBC Capital Markets
KeyCorp/McDonald Investments
Sanders Morris Harris Inc</t>
  </si>
  <si>
    <t>RBC-CAP-MKTS//KEY-MCDONALD
/SANDERS-HARRIS</t>
  </si>
  <si>
    <t>RBC-CAP-MKTS
KEY-MCDONALD
SANDERS-HARRIS</t>
  </si>
  <si>
    <t>NGP Capital Resources Co</t>
  </si>
  <si>
    <t>NGPC</t>
  </si>
  <si>
    <t>62912R107</t>
  </si>
  <si>
    <t>Raymond James &amp; Associates Inc
Friedman Billings Ramsey Group
Advest Inc
BB&amp;T Capital Markets
DA Davidson &amp; Co Inc
Ferris Baker Watts
Morgan Keegan Inc
Oppenheimer &amp; Co Inc
RBC Capital Markets
Southwest Securities Inc
Stifel Nicolaus &amp; Co Inc
Wunderlich Securities Inc</t>
  </si>
  <si>
    <t>RAYMOND//FRIEDMAN-B/ADVEST/BB-T-CAP
/DAVIDSON/FERRIS-BAKER/MORGAN-KEEGAN
/OPPENHEIMER-CO/RBC-CAP-MKTS/SWS-SEC
/STIFEL/WUNDERLICH</t>
  </si>
  <si>
    <t>RAYMOND
FRIEDMAN-B
ADVEST
BB-T-CAP
DAVIDSON
FERRIS-BAKER
MORGAN-KEEGAN
OPPENHEIMER-CO
RBC-CAP-MKTS
SWS-SEC
STIFEL
WUNDERLICH</t>
  </si>
  <si>
    <t>Raymond James &amp; Associates Inc
Friedman Billings Ramsey Group
Advest Inc
BB&amp;T Capital Markets
DA Davidson &amp; Co Inc
Ferris Baker Watts Inc
Morgan Keegan Inc
Oppenheimer &amp; Co Inc
RBC Capital Markets
Southwest Securities Inc
Stifel Nicolaus &amp; Co Inc
Wunderlich Securities Inc</t>
  </si>
  <si>
    <t>ZipRealty Inc</t>
  </si>
  <si>
    <t>ZIPR</t>
  </si>
  <si>
    <t>98974V107</t>
  </si>
  <si>
    <t>UBS Investment Bank
Deutsche Bank Securities Corp
Thomas Weisel Partners
Pacific Growth Equities Inc</t>
  </si>
  <si>
    <t>UBS-INV-BANK(JB)/DEUTSCHE-BK-SEC(JB)
//THOMAS-WEISEL/PACIFIC-GROWTH</t>
  </si>
  <si>
    <t>UBS-INV-BANK
(JB)/DEUTSCHE-BK-SEC(JB)
THOMAS-WEISEL
PACIFIC-GROWTH</t>
  </si>
  <si>
    <t>UBS Investment Bank
Deutsche Bank Securities Corp.
Thomas Weisel Partners
Pacific Growth Equities Inc</t>
  </si>
  <si>
    <t>China Netcom Grp(HK)Corp Ltd</t>
  </si>
  <si>
    <t>CN</t>
  </si>
  <si>
    <t>CHINA-CAPITAL
/CITIGROUP(JB)
/GS-ASIA(JB)</t>
  </si>
  <si>
    <t>16940Q101</t>
  </si>
  <si>
    <t>China International Capital Co
Citigroup
Goldman Sachs (Asia)
Credit Lyonnais SA
Deutsche Bank Securities
Morgan Stanley &amp; Co
Bear Stearns &amp; Co Inc
Cazenove Inc
CIBC World Markets Inc
Macquarie Securities Ltd
China International Capital Co
Citigroup
Goldman Sachs (Asia)</t>
  </si>
  <si>
    <t>05/09/05
10/31/06</t>
  </si>
  <si>
    <t>China Network Commun Grp Corp</t>
  </si>
  <si>
    <t>CHINA-CAPITAL(JB)/CITIGROUP(JB)
/GS-ASIA(JB)//CRED-LYONNAIS/DBSECU/MS
/BEAR/CAZENOVE-INC/CIBC-WORLD
/MACQUARIE-SECUR//CHINA-CAPITAL(GC)
/CITIGROUP(GC)/GS-ASIA(GC)</t>
  </si>
  <si>
    <t>CHINA-CAPITAL/CITIGROUP/GS-ASIA</t>
  </si>
  <si>
    <t>CHINA-CAPITAL
(JB)/CITIGROUP(JB)
/GS-ASIA(JB)
CRED-LYONNAIS
DBSECU
MS
BEAR
CAZENOVE-INC
CIBC-WORLD
MACQUARIE-SECUR</t>
  </si>
  <si>
    <t>China International Capital Corp
Citigroup
Goldman Sachs (Asia)
Credit Lyonnais SA
Deutsche Bank Securities Inc
Morgan Stanley &amp; Co
Bear Stearns &amp; Co Inc
Cazenove Inc
CIBC World Markets Inc
Macquarie Securities Ltd</t>
  </si>
  <si>
    <t>China International Capital Co
Citigroup
Goldman Sachs (Asia)
Credit Lyonnais SA
Daiwa Securities SMBC Co Ltd
Deutsche Bank AG (Hong Kong)
Morgan Stanley International
Nomura International (HK) Ltd
Bear Stearns Asia Limited
Cazenove Asia Ltd
CIBC World Markets Inc
Macquarie Securities Ltd
Citigroup
Goldman Sachs (Asia)
China International Capital Co</t>
  </si>
  <si>
    <t>CHINA-CAPITAL(JB)/CITIGROUP(JB)
/GS-ASIA(JB)//CRED-LYONNAIS/DAIWA-SMBC
/DBHK/MS-I/NOMURA-HK-INT//BEARAS/CAZEAS
/CIBC-WORLD/MACQUARIE-SECUR
//CITIGROUP(GC)/GS-ASIA(GC)
/CHINA-CAPITAL(GC)</t>
  </si>
  <si>
    <t>CHINA-CAPITAL
(JB)/CITIGROUP(JB)
/GS-ASIA(JB)
CRED-LYONNAIS
DAIWA-SMBC
DBHK
MS-I
NOMURA-HK-INT</t>
  </si>
  <si>
    <t>China International Capital Corp
Citigroup
Goldman Sachs (Asia)
Credit Lyonnais SA
Daiwa Securities SMBC Co Ltd
Deutsche Bank AG (Hong Kong)
Morgan Stanley International Ltd
Nomura International (Hong Kong) Limited</t>
  </si>
  <si>
    <t>Nalco Holding Co</t>
  </si>
  <si>
    <t>NLC</t>
  </si>
  <si>
    <t>GS/CITIGROUP(JB)
/JPM(JB)
/UBS-INV-BANK(JB)</t>
  </si>
  <si>
    <t>62985Q101</t>
  </si>
  <si>
    <t>Goldman Sachs &amp; Co
Citigroup
JP Morgan
UBS Investment Bank
Banc of America Securities LLC
Bear Stearns &amp; Co Inc
Credit Suisse First Boston
Deutsche Bank Securities Corp
Lehman Brothers
William Blair &amp; Co
Robert W Baird &amp; Co Inc
Blaylock &amp; Partners LP
CMG Institutional Trading LLC
Edward D Jones &amp; Co LP
Utendahl Capital Partners
Goldman Sachs &amp; Co
Citigroup</t>
  </si>
  <si>
    <t>GS(JB)/CITIGROUP(JB)/JPM(JB)
/UBS-INV-BANK(JB)//BA-SEC-LLC/BEAR
/CS-FB-CS/DEUTSCHE-BK-SEC/LEH/WM-BLAIR
//BAIRD/BLAYLOCK-PTRNS/CMG-LLC
/ED-JONES-LP/UTENDAHL-CAP//GS(GC)
/CITIGROUP(GC)</t>
  </si>
  <si>
    <t>GS/CITIGROUP/JPM/UBS-INV-BANK</t>
  </si>
  <si>
    <t>GS
(JB)/CITIGROUP(JB)
/JPM(JB)
/UBS-INV-BANK(JB)
BA-SEC-LLC
BEAR
CS-FB-CS
DEUTSCHE-BK-SEC
LEH
WM-BLAIR</t>
  </si>
  <si>
    <t>Goldman Sachs &amp; Co
Citigroup
JP Morgan &amp; Co Inc
UBS Investment Bank
Banc of America Securities LLC
Bear Stearns &amp; Co Inc
Credit Suisse First Boston Corp
Deutsche Bank Securities Corp.
Lehman Brothers
William Blair &amp; Co</t>
  </si>
  <si>
    <t>Ormat Technologies Inc</t>
  </si>
  <si>
    <t>499A</t>
  </si>
  <si>
    <t>ORA</t>
  </si>
  <si>
    <t>Lehman Brothers
Deutsche Bank Securities Corp
RBC Capital Markets
Wells Fargo Bank NA
Fidelity Capital Markets
Oppenheimer &amp; Co Inc
Natexis Bleichroeder Inc
Chatsworth Securities LLC
Marathon Capital LLC</t>
  </si>
  <si>
    <t>ORMT</t>
  </si>
  <si>
    <t>Ormat Industries Ltd</t>
  </si>
  <si>
    <t>LEH/DEUTSCHE-BK-SEC(JOINT)
//RBC-CAP-MKTS/WELLS-FARGO
//FIDELITY-CAP/OPPENHEIMER-CO/NATEXIS
/CHATSWORTH/MARATHON-CAP</t>
  </si>
  <si>
    <t>LEH
/DEUTSCHE-BK-SEC(JOINT)
RBC-CAP-MKTS
WELLS-FARGO</t>
  </si>
  <si>
    <t>Lehman Brothers
Deutsche Bank Securities Corp.
RBC Capital Markets
Wells Fargo Bank NA</t>
  </si>
  <si>
    <t>InPhonic Inc</t>
  </si>
  <si>
    <t>INPC</t>
  </si>
  <si>
    <t>45772G105</t>
  </si>
  <si>
    <t>Deutsche Bank Securities Corp
JP Morgan
Thomas Weisel Partners
Friedman Billings Ramsey Group
Allen &amp; Co Inc
Pacific Crest Securities Inc</t>
  </si>
  <si>
    <t>DEUTSCHE-BK-SEC(JB)/JPM(JB)
//THOMAS-WEISEL/FRIEDMAN-B/ALLEN
/PACIFIC-CREST</t>
  </si>
  <si>
    <t>DEUTSCHE-BK-SEC
(JB)/JPM(JB)
THOMAS-WEISEL
FRIEDMAN-B
ALLEN
PACIFIC-CREST</t>
  </si>
  <si>
    <t>Deutsche Bank Securities Corp.
JP Morgan &amp; Co Inc
Thomas Weisel Partners
Friedman Billings Ramsey Group
Allen &amp; Co Inc
Pacific Crest Securities Inc</t>
  </si>
  <si>
    <t>Iowa Telecom Services Inc</t>
  </si>
  <si>
    <t>IWA</t>
  </si>
  <si>
    <t>MORGAN-STANLEY
/MERRILL(JB)</t>
  </si>
  <si>
    <t>Morgan Stanley
Merrill Lynch
CIBC World Markets Inc
Lehman Brothers
Jefferies &amp; Co Inc
Legg Mason Wood Walker
Raymond James &amp; Associates Inc
RBC Capital Markets</t>
  </si>
  <si>
    <t>05/16/05
05/16/05</t>
  </si>
  <si>
    <t>MORGAN-STANLEY(JB)/MERRILL(JB)
/CIBC-WORLD/LEH(JOINT)//JEFFERIES
/LEGG-MASON-WW/RAYMOND/RBC-CAP-MKTS</t>
  </si>
  <si>
    <t>MORGAN-STANLEY/MERRILL/CIBC-WORLD/LEH</t>
  </si>
  <si>
    <t>MORGAN-STANLEY
(JB)/MERRILL(JB)
/CIBC-WORLD
/LEH(JOINT)
JEFFERIES
LEGG-MASON-WW
RAYMOND
RBC-CAP-MKTS</t>
  </si>
  <si>
    <t>Morgan Stanley
Merrill Lynch &amp; Co Inc
CIBC World Markets Inc
Lehman Brothers
Jefferies &amp; Co Inc
Legg Mason Wood Walker Inc
Raymond James &amp; Associates Inc
RBC Capital Markets</t>
  </si>
  <si>
    <t>PRA International</t>
  </si>
  <si>
    <t>PRAI</t>
  </si>
  <si>
    <t>69353C101</t>
  </si>
  <si>
    <t>Credit Suisse First Boston
Bear Stearns &amp; Co Inc
William Blair &amp; Co
Jefferies &amp; Co Inc</t>
  </si>
  <si>
    <t>05/16/05
05/16/05
05/16/05</t>
  </si>
  <si>
    <t xml:space="preserve">56.561
</t>
  </si>
  <si>
    <t xml:space="preserve">12512362.00
</t>
  </si>
  <si>
    <t>CS-FB-CS(JB)/BEAR(JB)//WM-BLAIR
/JEFFERIES</t>
  </si>
  <si>
    <t>CS-FB-CS
(JB)/BEAR(JB)
WM-BLAIR
JEFFERIES</t>
  </si>
  <si>
    <t>Credit Suisse First Boston Corp
Bear Stearns &amp; Co Inc
William Blair &amp; Co
Jefferies &amp; Co Inc</t>
  </si>
  <si>
    <t>Specialty Underwriters Inc</t>
  </si>
  <si>
    <t>SUAI</t>
  </si>
  <si>
    <t>84751T309</t>
  </si>
  <si>
    <t>Friedman Billings Ramsey Group
William Blair &amp; Co
Cochran, Caronia &amp; Co.
Advest Inc
Piper Jaffray Cos
Sandler O'Neill Partners
Stifel Nicolaus &amp; Co Inc
Williams Capital Group LP</t>
  </si>
  <si>
    <t>FRIEDMAN-B//WM-BLAIR/COCHRAN-CARONIA
//ADVEST/PIPER-JAFFRAY/SANDLER-ONEILL
/STIFEL/WILLIAMS-CAP</t>
  </si>
  <si>
    <t>FRIEDMAN-B
WM-BLAIR
COCHRAN-CARONIA</t>
  </si>
  <si>
    <t>Friedman Billings Ramsey Group
William Blair &amp; Co
Cochran, Caronia &amp; Co.</t>
  </si>
  <si>
    <t>streetTRACKS Gold Trust</t>
  </si>
  <si>
    <t>GLD</t>
  </si>
  <si>
    <t>UBS Investment Bank</t>
  </si>
  <si>
    <t>Monolithic Power Systems Inc</t>
  </si>
  <si>
    <t>MPWR</t>
  </si>
  <si>
    <t>Goldman Sachs &amp; Co
Merrill Lynch
Deutsche Bank Securities Corp
Piper Jaffray Cos</t>
  </si>
  <si>
    <t>GS/MERRILL(JOINT)//DEUTSCHE-BK-SEC
/PIPER-JAFFRAY</t>
  </si>
  <si>
    <t>GS
/MERRILL(JOINT)
DEUTSCHE-BK-SEC
PIPER-JAFFRAY</t>
  </si>
  <si>
    <t>Goldman Sachs &amp; Co
Merrill Lynch &amp; Co Inc
Deutsche Bank Securities Corp.
Piper Jaffray Cos</t>
  </si>
  <si>
    <t>PortalPlayer Inc</t>
  </si>
  <si>
    <t>PLAY</t>
  </si>
  <si>
    <t>Citigroup
Credit Suisse First Boston
Needham &amp; Co LLC
SG Cowen Securities Corp
AG Edwards &amp; Sons Inc
JMP Securities LLC
Pacific Crest Securities Inc
Williams Capital Group LP</t>
  </si>
  <si>
    <t>CITIGROUP(JB)/CS-FB-CS(JB)//NEEDHAM
/SG-COWEN//A-G-EDWARDS/JMP-SEC
/PACIFIC-CREST/WILLIAMS-CAP</t>
  </si>
  <si>
    <t>CITIGROUP
(JB)/CS-FB-CS(JB)
NEEDHAM
SG-COWEN</t>
  </si>
  <si>
    <t>Citigroup
Credit Suisse First Boston Corp
Needham &amp; Co LLC
SG Cowen Securities Corp</t>
  </si>
  <si>
    <t>Coinmach Service Corp</t>
  </si>
  <si>
    <t>DRY</t>
  </si>
  <si>
    <t>19259W206</t>
  </si>
  <si>
    <t>Merrill Lynch
Citigroup
Jefferies &amp; Co Inc
Deutsche Bank Securities Corp
RBC Capital Markets
SunTrust Robinson Humphrey
Robert W Baird &amp; Co Inc
Doft &amp; Co Inc
Oppenheimer &amp; Co Inc
Williams Capital Group LP</t>
  </si>
  <si>
    <t>MERRILL/CITIGROUP/JEFFERIES(JOINT)
//DEUTSCHE-BK-SEC/RBC-CAP-MKTS
/SUNTRUST-RH//BAIRD/DOFT/OPPENHEIMER-CO
/WILLIAMS-CAP</t>
  </si>
  <si>
    <t>MERRILL/CITIGROUP/JEFFERIES</t>
  </si>
  <si>
    <t>MERRILL
/CITIGROUP
/JEFFERIES(JOINT)
DEUTSCHE-BK-SEC
RBC-CAP-MKTS
SUNTRUST-RH</t>
  </si>
  <si>
    <t>Merrill Lynch &amp; Co Inc
Citigroup
Jefferies &amp; Co Inc
Deutsche Bank Securities Corp.
RBC Capital Markets
SunTrust Robinson Humphrey</t>
  </si>
  <si>
    <t>RMR FIRE Fund</t>
  </si>
  <si>
    <t>RFR</t>
  </si>
  <si>
    <t>74963M101</t>
  </si>
  <si>
    <t>RBC Capital Markets
AG Edwards &amp; Sons Inc
Legg Mason Wood Walker
Advest Inc
BB&amp;T Capital Markets
Ferris Baker Watts
KeyCorp/McDonald Investments
Stifel Nicolaus &amp; Co Inc
SunTrust Capital Markets
Ladenburg Thalmann &amp; Co
BNY Capital Markets Inc
Crowell Weedon &amp; Co
DA Davidson &amp; Co Inc
Dominick &amp; Dominick Inc
First Southwest
Huntleigh Securities Corp
Johnston Lemon &amp; Co Inc
Maxim Group LLC
Mesirow Financial Corp
Morgan Keegan Inc
Natcity Investments Inc.
Newbridge Securities
Parker-Hunter Inc
Robert W Baird &amp; Co Inc
Southwest Securities Inc
Stephens Inc
TD Waterhouse Investor Svcs
Wedbush Securities</t>
  </si>
  <si>
    <t>RBC-CAP-MKTS//A-G-EDWARDS/LEGG-MASON-WW
/ADVEST/BB-T-CAP/FERRIS-BAKER
/KEY-MCDONALD/STIFEL/SUNTRUST-CAP
/LADENBURG/BNY-CAP/CROWELL/DAVIDSON
/DOMINICK/FIRST-SW/HUNTLEIGH-SEC
/JOHNSTON-LEMON/MAXIM-GROUP/MESIROW-FIN
/MORGAN-KEEGAN/NATCITY-INVEST/NEWBRIDGE
/PARKER-HUNTER/BAIRD/SWS-SEC/STEPHENS
/TD-WATERHOUSE/WEDBUSH-M</t>
  </si>
  <si>
    <t>RBC-CAP-MKTS
A-G-EDWARDS
LEGG-MASON-WW
ADVEST
BB-T-CAP
FERRIS-BAKER
KEY-MCDONALD
STIFEL
SUNTRUST-CAP
LADENBURG
BNY-CAP
CROWELL
DAVIDSON
DOMINICK
FIRST-SW
HUNTLEIGH-SEC
JOHNSTON-LEMON
MAXIM-GROUP
MESIROW-FIN
MORGAN-KEEGAN
NATCITY-INVEST
NEWBRIDGE
PARKER-HUNTER
BAIRD
SWS-SEC
STEPHENS
TD-WATERHOUSE
WEDBUSH-M</t>
  </si>
  <si>
    <t>RBC Capital Markets
AG Edwards &amp; Sons Inc
Legg Mason Wood Walker Inc
Advest Inc
BB&amp;T Capital Markets
Ferris Baker Watts Inc
KeyCorp/McDonald Investments
Stifel Nicolaus &amp; Co Inc
SunTrust Capital Markets
Ladenburg Thalmann &amp; Co
BNY Capital Markets Inc
Crowell Weedon &amp; Co
DA Davidson &amp; Co Inc
Dominick &amp; Dominick Inc
First Southwest Company
Huntleigh Securities Corporation
Johnston Lemon &amp; Co Inc
Maxim Group LLC
Mesirow Financial Corp
Morgan Keegan Inc
Natcity Investments Inc.
Newbridge Securities
Parker-Hunter Inc
Robert W Baird &amp; Co Inc
Southwest Securities Inc
Stephens Inc
TD Waterhouse Investor Services(Canada)Inc
Wedbush Securities</t>
  </si>
  <si>
    <t>UAP Holding Corp</t>
  </si>
  <si>
    <t>UAPH</t>
  </si>
  <si>
    <t>GS/CS-FB-CS(JB)
/UBS-INV-BANK(JB)</t>
  </si>
  <si>
    <t>Goldman Sachs &amp; Co
Credit Suisse First Boston
UBS Investment Bank
Merrill Lynch
William Blair &amp; Co
CIBC World Markets Inc</t>
  </si>
  <si>
    <t>05/21/05
05/21/05</t>
  </si>
  <si>
    <t xml:space="preserve">45.532
</t>
  </si>
  <si>
    <t xml:space="preserve">22935744.00
</t>
  </si>
  <si>
    <t>GS(JB)/CS-FB-CS(JB)/UBS-INV-BANK(JB)
//MERRILL/WM-BLAIR/CIBC-WORLD</t>
  </si>
  <si>
    <t>GS/CS-FB-CS/UBS-INV-BANK</t>
  </si>
  <si>
    <t>GS
(JB)/CS-FB-CS(JB)
/UBS-INV-BANK(JB)
MERRILL
WM-BLAIR
CIBC-WORLD</t>
  </si>
  <si>
    <t>Goldman Sachs &amp; Co
Credit Suisse First Boston Corp
UBS Investment Bank
Merrill Lynch &amp; Co Inc
William Blair &amp; Co
CIBC World Markets Inc</t>
  </si>
  <si>
    <t>First Trust/Aberdeen Global</t>
  </si>
  <si>
    <t>FAM</t>
  </si>
  <si>
    <t>Merrill Lynch
AG Edwards &amp; Sons Inc
Wachovia Securities Inc
Advest Inc
Robert W Baird &amp; Co Inc
Ferris Baker Watts
Fixed Income Securities Inc
RBC Capital Markets
SunTrust Capital Markets
Wedbush Securities
Wells Fargo Bank NA
BB&amp;T Capital Markets
William Blair &amp; Co
Chatsworth Securities LLC
Crowell Weedon &amp; Co
DA Davidson &amp; Co Inc
Deutsche Bank Securities
Doft &amp; Co Inc
Dominick &amp; Dominick Inc
KeyCorp/McDonald Investments
Legg Mason Wood Walker
Morgan Keegan Inc
Needham &amp; Co LLC
Oppenheimer &amp; Co Inc
Parker-Hunter Inc
Ryan Beck &amp; Co
Stephens Inc
TD Waterhouse Investor Svcs
Axiom Capital Management Inc
Bishop, Rosen &amp; Co
Brean Murray &amp; Co Inc
Brookstreet Securities
E*Trade Securities Inc
First Montauk Securities
First Southwest
Gilford Securities
HARRISdirect LLC
Hoefer &amp; Arnett Inc
Howe Barnes Investments Inc
Wayne Hummer &amp; Co
Huntleigh Securities Corp
Johnston Lemon &amp; Co Inc
LaSalle Street Securities Inc
Maxim Group LLC
McGinn, Smith &amp; Co Inc
Mesirow Financial Corp
National Securities Corp (US)
Newbridge Securities
Northeast Securities Inc.
David A. Noyes
Pacific Crest Securities Inc
Paulson Investment Co
Sanders Morris Harris Inc
The Seidler Companies Inc
Smith, Moore
Source Capital Group Inc
Southwest Securities Inc
Stanford Group Company
STERLING FINANCIAL INVESTMENT
M. L. Stern
Sterne Agee &amp; Leach Inc
Strand,Atkinson,Williams&amp;Yerl
Torrey Pines Securities
JP Turner &amp; Co
Wunderlich Securities Inc</t>
  </si>
  <si>
    <t>MERRILL/A-G-EDWARDS/WACHOVIA-SEC(JOINT)
//ADVEST/BAIRD/FERRIS-BAKER/FIXED-INC
/RBC-CAP-MKTS/SUNTRUST-CAP/WEDBUSH-M
/WELLS-FARGO//BB-T-CAP/WM-BLAIR
/CHATSWORTH/CROWELL/DAVIDSON/DBSECU
/DOFT/DOMINICK/KEY-MCDONALD
/LEGG-MASON-WW/MORGAN-KEEGAN/NEEDHAM
/OPPENHEIMER-CO/PARKER-HUNTER/RYAN-BECK
/STEPHENS/TD-WATERHOUSE/AXIOM-CAP
/BISHOP-ROSEN/BREAN/BROOKSTREET
/E*TRADE-SEC/FIRST-MONTAUK/FIRST-SW
/GILFORD/HARRISDIRECT/HOEFER-ARNETT
/HOWE-BARNES/HUMMER/HUNTLEIGH-SEC
/JOHNSTON-LEMON/LASALLE-SEC/MAXIM-GROUP
/MCGINN-SMITH/MESIROW-FIN/NATL-SEC
/NEWBRIDGE/NORTHEAST-SEC/D-A-NOYES
/PACIFIC-CREST/PAULSON/SANDERS-HARRIS
/SEIDLER-CO-INC/SMITH-MOORE
/SOURCE-CAPITAL/SWS-SEC/STANFORD-GROUP
/STERLING-FIN-I/M-L-STERN/STERNE-AGEE
/STRAND-ATKIN/TORREY-PINES/J-P-TURNER
/WUNDERLICH</t>
  </si>
  <si>
    <t>MERRILL/A-G-EDWARDS/WACHOVIA-SEC</t>
  </si>
  <si>
    <t>MERRILL
/A-G-EDWARDS
/WACHOVIA-SEC(JOINT)
ADVEST
BAIRD
FERRIS-BAKER
FIXED-INC
RBC-CAP-MKTS
SUNTRUST-CAP
WEDBUSH-M
WELLS-FARGO</t>
  </si>
  <si>
    <t>Merrill Lynch &amp; Co Inc
AG Edwards &amp; Sons Inc
Wachovia Securities Inc
Advest Inc
Robert W Baird &amp; Co Inc
Ferris Baker Watts Inc
Fixed Income Securities Inc
RBC Capital Markets
SunTrust Capital Markets
Wedbush Securities
Wells Fargo Bank NA</t>
  </si>
  <si>
    <t>Ninetowns</t>
  </si>
  <si>
    <t>JP Morgan
Citigroup
Lehman Brothers Asia
Jefferies &amp; Co Inc
JP Morgan</t>
  </si>
  <si>
    <t>JPM/CITIGROUP(JOINT)//LEH-ASIA
/JEFFERIES//JPM(GC)</t>
  </si>
  <si>
    <t>JPM
/CITIGROUP(JOINT)
LEH-ASIA
JEFFERIES</t>
  </si>
  <si>
    <t>JP Morgan &amp; Co Inc
Citigroup
Lehman Brothers Asia
Jefferies &amp; Co Inc</t>
  </si>
  <si>
    <t>CABG Medical Inc</t>
  </si>
  <si>
    <t>CABG</t>
  </si>
  <si>
    <t>LADENBURG/FELTL(JB)</t>
  </si>
  <si>
    <t>Ladenburg Thalmann &amp; Co
Feltl &amp; Co</t>
  </si>
  <si>
    <t>06/05/05
12/07/05</t>
  </si>
  <si>
    <t>21.205
44.035</t>
  </si>
  <si>
    <t>3355293.00
6967682.00</t>
  </si>
  <si>
    <t>LADENBURG(JB)/FELTL(JB)</t>
  </si>
  <si>
    <t>LADENBURG/FELTL</t>
  </si>
  <si>
    <t>LADENBURG
(JB)/FELTL(JB)</t>
  </si>
  <si>
    <t>Foundation Coal Holdings Inc</t>
  </si>
  <si>
    <t>FCL</t>
  </si>
  <si>
    <t>MORGAN-STANLEY
/CITIGROUP(JB)</t>
  </si>
  <si>
    <t>35039W100</t>
  </si>
  <si>
    <t>Morgan Stanley
Citigroup
UBS Investment Bank
Bear Stearns &amp; Co Inc
Credit Suisse First Boston
Lehman Brothers
ABN AMRO Incorporated
Natexis Bleichroeder Inc</t>
  </si>
  <si>
    <t>07/31/05
06/06/05</t>
  </si>
  <si>
    <t xml:space="preserve">46.282
</t>
  </si>
  <si>
    <t>235
180</t>
  </si>
  <si>
    <t xml:space="preserve">20782434.00
</t>
  </si>
  <si>
    <t>MORGAN-STANLEY(JB)/CITIGROUP(JB)
/UBS-INV-BANK(JOINT)//BEAR/CS-FB-CS/LEH
/ABN-AMRO-INC/NATEXIS</t>
  </si>
  <si>
    <t>MORGAN-STANLEY/CITIGROUP/UBS-INV-BANK</t>
  </si>
  <si>
    <t>MORGAN-STANLEY
(JB)/CITIGROUP(JB)
/UBS-INV-BANK(JOINT)
BEAR
CS-FB-CS
LEH
ABN-AMRO-INC
NATEXIS</t>
  </si>
  <si>
    <t>Morgan Stanley
Citigroup
UBS Investment Bank
Bear Stearns &amp; Co Inc
Credit Suisse First Boston Corp
Lehman Brothers
ABN AMRO Incorporated
Natexis Bleichroeder Inc</t>
  </si>
  <si>
    <t>OccuLogix Inc</t>
  </si>
  <si>
    <t>RHE</t>
  </si>
  <si>
    <t>67461T107</t>
  </si>
  <si>
    <t>Citigroup
SG Cowen Securities Corp
ThinkEquity Partners
Orion Securities
DeMatteo Monness LLC
Clarus Securities Inc.
Octagon Capital Corp</t>
  </si>
  <si>
    <t>03/08/05
06/06/05
03/08/05
06/06/05</t>
  </si>
  <si>
    <t xml:space="preserve">1.257
71.736
</t>
  </si>
  <si>
    <t>90
180
90
180</t>
  </si>
  <si>
    <t xml:space="preserve">524979.00
29956626.00
</t>
  </si>
  <si>
    <t>CITIGROUP//SG-COWEN/THINK//ORION-SEC
/DEMATTEO/CLARUS/OCTAGON</t>
  </si>
  <si>
    <t>CITIGROUP
SG-COWEN
THINK</t>
  </si>
  <si>
    <t>Citigroup
SG Cowen Securities Corp
ThinkEquity Partners</t>
  </si>
  <si>
    <t>Symmetry Medical Inc</t>
  </si>
  <si>
    <t>SMA</t>
  </si>
  <si>
    <t>BA-SEC-LLC/CS-FB-CS(JB)</t>
  </si>
  <si>
    <t>Banc of America Securities LLC
Credit Suisse First Boston
Piper Jaffray Cos
Wachovia Securities Inc</t>
  </si>
  <si>
    <t>BA-SEC-LLC(JB)/CS-FB-CS(JB)
//PIPER-JAFFRAY/WACHOVIA-SEC</t>
  </si>
  <si>
    <t>BA-SEC-LLC/CS-FB-CS</t>
  </si>
  <si>
    <t>BA-SEC-LLC
(JB)/CS-FB-CS(JB)
PIPER-JAFFRAY
WACHOVIA-SEC</t>
  </si>
  <si>
    <t>Banc of America Securities LLC
Credit Suisse First Boston Corp
Piper Jaffray Cos
Wachovia Securities Inc</t>
  </si>
  <si>
    <t>Bill Barrett Corp</t>
  </si>
  <si>
    <t>BBG</t>
  </si>
  <si>
    <t>06846N104</t>
  </si>
  <si>
    <t>Goldman Sachs &amp; Co
JP Morgan
Lehman Brothers
Credit Suisse First Boston
Morgan Stanley
Petrie Parkman &amp; Co Inc
First Albany</t>
  </si>
  <si>
    <t>GS//JPM/LEH/CS-FB-CS/MORGAN-STANLEY
/PETRIE-PARKMAN/FIRST-ALBANY</t>
  </si>
  <si>
    <t>GS
JPM
LEH
CS-FB-CS
MORGAN-STANLEY
PETRIE-PARKMAN
FIRST-ALBANY</t>
  </si>
  <si>
    <t>Goldman Sachs &amp; Co
JP Morgan &amp; Co Inc
Lehman Brothers
Credit Suisse First Boston Corp
Morgan Stanley
Petrie Parkman &amp; Co Inc
First Albany Corporation</t>
  </si>
  <si>
    <t>Community Bancorp NV</t>
  </si>
  <si>
    <t>CBON</t>
  </si>
  <si>
    <t>20343T100</t>
  </si>
  <si>
    <t>Keefe Bruyette &amp; Woods Inc
DA Davidson &amp; Co Inc</t>
  </si>
  <si>
    <t>06/07/05
06/07/05
06/07/05</t>
  </si>
  <si>
    <t>KEEFE//DAVIDSON</t>
  </si>
  <si>
    <t>KEEFE
DAVIDSON</t>
  </si>
  <si>
    <t>First State Financial Corp</t>
  </si>
  <si>
    <t>FSTF</t>
  </si>
  <si>
    <t>33708M206</t>
  </si>
  <si>
    <t>HouseValues Inc</t>
  </si>
  <si>
    <t>SOLD</t>
  </si>
  <si>
    <t>44183Y102</t>
  </si>
  <si>
    <t>Credit Suisse First Boston
JP Morgan
Piper Jaffray Cos
Thomas Weisel Partners
Pacific Crest Securities Inc
Delafield Hambrecht Inc</t>
  </si>
  <si>
    <t>06/07/05
06/07/05
06/07/05
12/09/05</t>
  </si>
  <si>
    <t>72.684
2.430</t>
  </si>
  <si>
    <t>180
180
180
365</t>
  </si>
  <si>
    <t>18035774.00
603026.00</t>
  </si>
  <si>
    <t>CS-FB-CS(JB)/JPM(JB)//PIPER-JAFFRAY
/THOMAS-WEISEL/PACIFIC-CREST//DELAFIELD</t>
  </si>
  <si>
    <t>CS-FB-CS
(JB)/JPM(JB)
PIPER-JAFFRAY
THOMAS-WEISEL
PACIFIC-CREST</t>
  </si>
  <si>
    <t>Credit Suisse First Boston Corp
JP Morgan &amp; Co Inc
Piper Jaffray Cos
Thomas Weisel Partners
Pacific Crest Securities Inc</t>
  </si>
  <si>
    <t>Adeza Biomedical Corp</t>
  </si>
  <si>
    <t>ADZA</t>
  </si>
  <si>
    <t>006864102</t>
  </si>
  <si>
    <t>UBS Investment Bank
SG Cowen Securities Corp
Thomas Weisel Partners
William Blair &amp; Co</t>
  </si>
  <si>
    <t>UBS-INV-BANK//SG-COWEN/THOMAS-WEISEL
/WM-BLAIR</t>
  </si>
  <si>
    <t>UBS-INV-BANK
SG-COWEN
THOMAS-WEISEL
WM-BLAIR</t>
  </si>
  <si>
    <t>International Shipping</t>
  </si>
  <si>
    <t>ISHPU</t>
  </si>
  <si>
    <t>SSEC</t>
  </si>
  <si>
    <t>46032U207</t>
  </si>
  <si>
    <t>Sunrise Securities
Ramius Capital Corp
Maxim Group LLC
Dahlman Rose Weiss LLC
I-Bankers Securities Inc
Broadband Capital Management</t>
  </si>
  <si>
    <t>SSEC//RAMIUS/MAXIM-GROUP/DAHLMAN-ROSE
/I-BANKERS-SEC/BROADBAND</t>
  </si>
  <si>
    <t>Sunrise Securities</t>
  </si>
  <si>
    <t>Bluelinx Holdings Inc</t>
  </si>
  <si>
    <t>BXC</t>
  </si>
  <si>
    <t>09624H109</t>
  </si>
  <si>
    <t>Goldman Sachs &amp; Co
Morgan Stanley
Credit Suisse First Boston
Lehman Brothers</t>
  </si>
  <si>
    <t>06/11/05
12/03/06</t>
  </si>
  <si>
    <t xml:space="preserve">66.258
</t>
  </si>
  <si>
    <t xml:space="preserve">20000000.00
</t>
  </si>
  <si>
    <t>GS/MORGAN-STANLEY(JOINT)//CS-FB-CS/LEH</t>
  </si>
  <si>
    <t>GS
/MORGAN-STANLEY(JOINT)
CS-FB-CS
LEH</t>
  </si>
  <si>
    <t>Goldman Sachs &amp; Co
Morgan Stanley
Credit Suisse First Boston Corp
Lehman Brothers</t>
  </si>
  <si>
    <t>Knoll Inc</t>
  </si>
  <si>
    <t>KNL</t>
  </si>
  <si>
    <t>Goldman Sachs &amp; Co
UBS Investment Bank
Banc of America Securities LLC
JP Morgan
Merrill Lynch</t>
  </si>
  <si>
    <t>06/11/05
06/11/05</t>
  </si>
  <si>
    <t xml:space="preserve">71.033
</t>
  </si>
  <si>
    <t xml:space="preserve">34020328.00
</t>
  </si>
  <si>
    <t>Warburg Pincus Ventures Inc</t>
  </si>
  <si>
    <t>GS(JB)/UBS-INV-BANK(JB)//BA-SEC-LLC/JPM
/MERRILL</t>
  </si>
  <si>
    <t>GS
(JB)/UBS-INV-BANK(JB)
BA-SEC-LLC
JPM
MERRILL</t>
  </si>
  <si>
    <t>Goldman Sachs &amp; Co
UBS Investment Bank
Banc of America Securities LLC
JP Morgan &amp; Co Inc
Merrill Lynch &amp; Co Inc</t>
  </si>
  <si>
    <t>Orange 21 Inc</t>
  </si>
  <si>
    <t>ORNG</t>
  </si>
  <si>
    <t>Roth Capital Partners Inc
First Albany</t>
  </si>
  <si>
    <t>06/11/05
06/11/05
06/11/05</t>
  </si>
  <si>
    <t xml:space="preserve">3.695
</t>
  </si>
  <si>
    <t xml:space="preserve">295255.00
</t>
  </si>
  <si>
    <t>ROTH-CAPITAL//FIRST-ALBANY</t>
  </si>
  <si>
    <t>ROTH-CAPITAL
FIRST-ALBANY</t>
  </si>
  <si>
    <t>Roth Capital Partners Inc
First Albany Corporation</t>
  </si>
  <si>
    <t>Cascade Microtech Inc</t>
  </si>
  <si>
    <t>CSCD</t>
  </si>
  <si>
    <t>Lehman Brothers
JP Morgan
UBS Investment Bank
Adams Harkness &amp; Hill Inc
Fidelity Capital Markets
Blaylock &amp; Partners LP
Chatsworth Securities LLC
Oppenheimer &amp; Co Inc
Wedbush Securities</t>
  </si>
  <si>
    <t>06/12/05
06/12/05</t>
  </si>
  <si>
    <t xml:space="preserve">51.078
</t>
  </si>
  <si>
    <t xml:space="preserve">5533611.00
</t>
  </si>
  <si>
    <t>LEH/JPM(JOINT)//UBS-INV-BANK
/ADAMS-HARKNESS//FIDELITY-CAP
/BLAYLOCK-PTRNS/CHATSWORTH
/OPPENHEIMER-CO/WEDBUSH-M</t>
  </si>
  <si>
    <t>LEH
/JPM(JOINT)
UBS-INV-BANK
ADAMS-HARKNESS</t>
  </si>
  <si>
    <t>Lehman Brothers
JP Morgan &amp; Co Inc
UBS Investment Bank
Adams Harkness &amp; Hill Inc</t>
  </si>
  <si>
    <t>Comstock Homebuilding Cos Inc</t>
  </si>
  <si>
    <t>CHCI</t>
  </si>
  <si>
    <t>BB-T-CAP</t>
  </si>
  <si>
    <t>BB&amp;T Capital Markets
Robert W Baird &amp; Co Inc
Ferris Baker Watts</t>
  </si>
  <si>
    <t>06/12/05
12/09/05</t>
  </si>
  <si>
    <t xml:space="preserve">
64.087</t>
  </si>
  <si>
    <t xml:space="preserve">
7066667.00</t>
  </si>
  <si>
    <t>BB-T-CAP//BAIRD/FERRIS-BAKER</t>
  </si>
  <si>
    <t>BB-T-CAP
BAIRD
FERRIS-BAKER</t>
  </si>
  <si>
    <t>BB&amp;T Capital Markets
Robert W Baird &amp; Co Inc
Ferris Baker Watts Inc</t>
  </si>
  <si>
    <t>Conor Medsystems Inc</t>
  </si>
  <si>
    <t>CONR</t>
  </si>
  <si>
    <t>Citigroup
CIBC World Markets Inc
SG Cowen Securities Corp
AG Edwards &amp; Sons Inc</t>
  </si>
  <si>
    <t>03/14/05
06/12/05</t>
  </si>
  <si>
    <t xml:space="preserve">51.686
23.317
</t>
  </si>
  <si>
    <t>90
180</t>
  </si>
  <si>
    <t xml:space="preserve">16710220.00
7538262.00
</t>
  </si>
  <si>
    <t>CITIGROUP//CIBC-WORLD/SG-COWEN
/A-G-EDWARDS</t>
  </si>
  <si>
    <t>CITIGROUP
CIBC-WORLD
SG-COWEN
A-G-EDWARDS</t>
  </si>
  <si>
    <t>Great Wolf Resorts Inc</t>
  </si>
  <si>
    <t>WOLF</t>
  </si>
  <si>
    <t>Citigroup
AG Edwards &amp; Sons Inc
Raymond James &amp; Associates Inc
Calyon Financial
Societe Generale
ThinkEquity Partners</t>
  </si>
  <si>
    <t>CITIGROUP//A-G-EDWARDS/RAYMOND
/CALYON-FINAN/SOC-GEN/THINK</t>
  </si>
  <si>
    <t>CITIGROUP
A-G-EDWARDS
RAYMOND
CALYON-FINAN
SOC-GEN
THINK</t>
  </si>
  <si>
    <t>Citigroup
AG Edwards &amp; Sons Inc
Raymond James &amp; Associates Inc
Calyon Financial
Societe Generale SA
ThinkEquity Partners</t>
  </si>
  <si>
    <t>Las Vegas Sands Corp</t>
  </si>
  <si>
    <t>LVS</t>
  </si>
  <si>
    <t>Goldman Sachs &amp; Co
Citigroup
JP Morgan
Lehman Brothers
Merrill Lynch, Pierce, Fenner
UBS Investment Bank
Jefferies &amp; Co Inc
ABN AMRO Rothschild
CIBC World Markets Inc
Commerzbank Capital Markets
Samuel A. Ramirez &amp; Co.
Scotia Capital Inc
Utendahl Capital Partners</t>
  </si>
  <si>
    <t>70.670
21.599</t>
  </si>
  <si>
    <t>250283616.00
76496123.00</t>
  </si>
  <si>
    <t>GS//CITIGROUP/JPM/LEH/ML/UBS-INV-BANK
/JEFFERIES//ABN-ROTHSCHILD/CIBC-WORLD
/COMMERZBANK-SEC/RAMIREZ/SCOTIA-CAP-CA
/UTENDAHL-CAP</t>
  </si>
  <si>
    <t>GS
CITIGROUP
JPM
LEH
ML
UBS-INV-BANK
JEFFERIES</t>
  </si>
  <si>
    <t>Goldman Sachs &amp; Co
Citigroup
JP Morgan &amp; Co Inc
Lehman Brothers
Merrill Lynch Pierce Fenner &amp; Smith
UBS Investment Bank
Jefferies &amp; Co Inc</t>
  </si>
  <si>
    <t>The9 Ltd</t>
  </si>
  <si>
    <t>NCTY</t>
  </si>
  <si>
    <t>88337K104</t>
  </si>
  <si>
    <t>Bear Stearns &amp; Co Inc
CLSA ECM
CIBC World Markets Inc</t>
  </si>
  <si>
    <t>06/12/05
06/12/05
06/12/05</t>
  </si>
  <si>
    <t>BEAR//CLSA-EQUITY-CAP/CIBC-WORLD</t>
  </si>
  <si>
    <t>BEAR
CLSA-EQUITY-CAP
CIBC-WORLD</t>
  </si>
  <si>
    <t>Bear Stearns &amp; Co Inc
CLSA Equity Capital Markets Ltd
CIBC World Markets Inc</t>
  </si>
  <si>
    <t>Advance America Cash Advance</t>
  </si>
  <si>
    <t>AEA</t>
  </si>
  <si>
    <t>00739W107</t>
  </si>
  <si>
    <t>Morgan Stanley
Banc of America Securities LLC
Wachovia Securities Inc
Allen &amp; Co Inc
Stephens Inc
Wells Fargo Securities LLC
Ferris Baker Watts
JMP Securities LLC
Thomas Weisel Partners
Morgan Keegan Inc
Utendahl Capital Partners</t>
  </si>
  <si>
    <t>06/13/05
06/13/05
06/13/05</t>
  </si>
  <si>
    <t xml:space="preserve">0.863
</t>
  </si>
  <si>
    <t xml:space="preserve">724947.00
</t>
  </si>
  <si>
    <t>MORGAN-STANLEY/BA-SEC-LLC
/WACHOVIA-SEC(JOINT)//ALLEN/STEPHENS
/WELLS-FARGO-SEC/FERRIS-BAKER/JMP-SEC
/THOMAS-WEISEL//MORGAN-KEEGAN
/UTENDAHL-CAP</t>
  </si>
  <si>
    <t>MORGAN-STANLEY/BA-SEC-LLC/WACHOVIA-SEC</t>
  </si>
  <si>
    <t>MORGAN-STANLEY
/BA-SEC-LLC
/WACHOVIA-SEC(JOINT)
ALLEN
STEPHENS
WELLS-FARGO-SEC
FERRIS-BAKER
JMP-SEC
THOMAS-WEISEL</t>
  </si>
  <si>
    <t>Morgan Stanley
Banc of America Securities LLC
Wachovia Securities Inc
Allen &amp; Co Inc
Stephens Inc
Wells Fargo Securities LLC
Ferris Baker Watts Inc
JMP Securities LLC
Thomas Weisel Partners</t>
  </si>
  <si>
    <t>Cambridge Display Technology</t>
  </si>
  <si>
    <t>OLED</t>
  </si>
  <si>
    <t>SG Cowen Securities Corp
CIBC World Markets Inc
Adams Harkness &amp; Hill Inc
Janney Montgomery Scott LLC
Maxim Group LLC
Pacific Growth Equities Inc
Sanders Morris Harris Inc
ThinkEquity Partners
CE Unterberg Towbin</t>
  </si>
  <si>
    <t>SG-COWEN//CIBC-WORLD/ADAMS-HARKNESS
//JANNEY-LLC/MAXIM-GROUP/PACIFIC-GROWTH
/SANDERS-HARRIS/THINK/UNTERBERG</t>
  </si>
  <si>
    <t>SG-COWEN
CIBC-WORLD
ADAMS-HARKNESS</t>
  </si>
  <si>
    <t>SG Cowen Securities Corp
CIBC World Markets Inc
Adams Harkness &amp; Hill Inc</t>
  </si>
  <si>
    <t>Feldman Mall Properties Inc</t>
  </si>
  <si>
    <t>FMP</t>
  </si>
  <si>
    <t>Friedman Billings Ramsey Group
RBC Capital Markets
BB&amp;T Capital Markets
Legg Mason Wood Walker
Robert W Baird &amp; Co Inc
Stifel Nicolaus &amp; Co Inc
Wells Fargo Securities LLC</t>
  </si>
  <si>
    <t>FRIEDMAN-B//RBC-CAP-MKTS/BB-T-CAP
//LEGG-MASON-WW/BAIRD/STIFEL
/WELLS-FARGO-SEC</t>
  </si>
  <si>
    <t>FRIEDMAN-B
RBC-CAP-MKTS
BB-T-CAP</t>
  </si>
  <si>
    <t>Friedman Billings Ramsey Group
RBC Capital Markets
BB&amp;T Capital Markets</t>
  </si>
  <si>
    <t>Interline Brands Inc</t>
  </si>
  <si>
    <t>IBI</t>
  </si>
  <si>
    <t>Credit Suisse First Boston
Lehman Brothers
JP Morgan
Robert W Baird &amp; Co Inc
William Blair &amp; Co
SunTrust Robinson Humphrey</t>
  </si>
  <si>
    <t>CS-FB-CS(JB)/LEH(JB)//JPM/BAIRD
/WM-BLAIR/SUNTRUST-RH</t>
  </si>
  <si>
    <t>CS-FB-CS
(JB)/LEH(JB)
JPM
BAIRD
WM-BLAIR
SUNTRUST-RH</t>
  </si>
  <si>
    <t>Credit Suisse First Boston Corp
Lehman Brothers
JP Morgan &amp; Co Inc
Robert W Baird &amp; Co Inc
William Blair &amp; Co
SunTrust Robinson Humphrey</t>
  </si>
  <si>
    <t>KMG America Corp</t>
  </si>
  <si>
    <t>KMA</t>
  </si>
  <si>
    <t>Friedman Billings Ramsey Group
Credit Suisse First Boston
SunTrust Capital Markets
Dominick &amp; Dominick Inc
Oppenheimer &amp; Co Inc
Piper Jaffray Cos
RBC Capital Markets
Sandler O'Neill Partners
Stifel Nicolaus &amp; Co Inc</t>
  </si>
  <si>
    <t>FRIEDMAN-B//CS-FB-CS/SUNTRUST-CAP
//DOMINICK/OPPENHEIMER-CO/PIPER-JAFFRAY
/RBC-CAP-MKTS/SANDLER-ONEILL/STIFEL</t>
  </si>
  <si>
    <t>FRIEDMAN-B
CS-FB-CS
SUNTRUST-CAP</t>
  </si>
  <si>
    <t>Friedman Billings Ramsey Group
Credit Suisse First Boston Corp
SunTrust Capital Markets</t>
  </si>
  <si>
    <t>Macquarie Infrastructure Co Tr</t>
  </si>
  <si>
    <t>MIC</t>
  </si>
  <si>
    <t>55607X108</t>
  </si>
  <si>
    <t>Merrill Lynch
Citigroup
Jefferies &amp; Co Inc
Legg Mason Wood Walker
Macquarie Securities Ltd
RBC Capital Markets
Raymond James &amp; Associates Inc</t>
  </si>
  <si>
    <t>MERRILL(JB)/CITIGROUP(JB)//JEFFERIES
/LEGG-MASON-WW/MACQUARIE-SECUR
/RBC-CAP-MKTS/RAYMOND</t>
  </si>
  <si>
    <t>MERRILL
(JB)/CITIGROUP(JB)
JEFFERIES
LEGG-MASON-WW
MACQUARIE-SECUR
RBC-CAP-MKTS
RAYMOND</t>
  </si>
  <si>
    <t>Merrill Lynch &amp; Co Inc
Citigroup
Jefferies &amp; Co Inc
Legg Mason Wood Walker Inc
Macquarie Securities Ltd
RBC Capital Markets
Raymond James &amp; Associates Inc</t>
  </si>
  <si>
    <t>Spirit Finance Corp</t>
  </si>
  <si>
    <t>SFC</t>
  </si>
  <si>
    <t>BA-SEC-LLC
/CITIGROUP(JB)</t>
  </si>
  <si>
    <t>Banc of America Securities LLC
Citigroup
Credit Suisse First Boston
AG Edwards &amp; Sons Inc
Robert W Baird &amp; Co Inc
Legg Mason Wood Walker
Raymond James &amp; Associates Inc
Flagstone Securities Inc
Blaylock &amp; Partners LP
CAPITAL MANAGEMENT GROUP
JMP Securities LLC</t>
  </si>
  <si>
    <t>BA-SEC-LLC(JB)/CITIGROUP(JB)
/CS-FB-CS(JOINT)//A-G-EDWARDS/BAIRD
/LEGG-MASON-WW/RAYMOND/FLAGSTONE
//BLAYLOCK-PTRNS/CAPITAL-MGT/JMP-SEC</t>
  </si>
  <si>
    <t>BA-SEC-LLC/CITIGROUP/CS-FB-CS</t>
  </si>
  <si>
    <t>BA-SEC-LLC
(JB)/CITIGROUP(JB)
/CS-FB-CS(JOINT)
A-G-EDWARDS
BAIRD
LEGG-MASON-WW
RAYMOND
FLAGSTONE</t>
  </si>
  <si>
    <t>Banc of America Securities LLC
Citigroup
Credit Suisse First Boston Corp
AG Edwards &amp; Sons Inc
Robert W Baird &amp; Co Inc
Legg Mason Wood Walker Inc
Raymond James &amp; Associates Inc
Flagstone Securities Inc</t>
  </si>
  <si>
    <t>Herbalife Ltd</t>
  </si>
  <si>
    <t>HLF</t>
  </si>
  <si>
    <t>G4412G101</t>
  </si>
  <si>
    <t>Merrill Lynch
Morgan Stanley
Banc of America Securities LLC
Credit Suisse First Boston
Citigroup
Adams Harkness &amp; Hill Inc
RBC Dain Rauscher Corp
The Seidler Companies Inc
Thomas Weisel Partners</t>
  </si>
  <si>
    <t xml:space="preserve">75.456
</t>
  </si>
  <si>
    <t xml:space="preserve">51400000.00
</t>
  </si>
  <si>
    <t>MERRILL(JB)/MORGAN-STANLEY(JB)
//BA-SEC-LLC/CS-FB-CS/CITIGROUP
//ADAMS-HARKNESS/RBC-DAIN
/SEIDLER-CO-INC/THOMAS-WEISEL</t>
  </si>
  <si>
    <t>MERRILL
(JB)/MORGAN-STANLEY(JB)
BA-SEC-LLC
CS-FB-CS
CITIGROUP</t>
  </si>
  <si>
    <t>Merrill Lynch &amp; Co Inc
Morgan Stanley
Banc of America Securities LLC
Credit Suisse First Boston Corp
Citigroup</t>
  </si>
  <si>
    <t>Arbinet-thexchange Inc</t>
  </si>
  <si>
    <t>ARBX</t>
  </si>
  <si>
    <t>03875P100</t>
  </si>
  <si>
    <t>Merrill Lynch
Lehman Brothers
SG Cowen Securities Corp
William Blair &amp; Co
Advanced Equities Inc</t>
  </si>
  <si>
    <t xml:space="preserve">65.140
</t>
  </si>
  <si>
    <t xml:space="preserve">15751704.00
</t>
  </si>
  <si>
    <t>MERRILL/LEH(JOINT)//SG-COWEN/WM-BLAIR
/ADVANCED-EQ</t>
  </si>
  <si>
    <t>MERRILL
/LEH(JOINT)
SG-COWEN
WM-BLAIR
ADVANCED-EQ</t>
  </si>
  <si>
    <t>Merrill Lynch &amp; Co Inc
Lehman Brothers
SG Cowen Securities Corp
William Blair &amp; Co
Advanced Equities Inc</t>
  </si>
  <si>
    <t>MHI Hospitality Corp</t>
  </si>
  <si>
    <t>MDH</t>
  </si>
  <si>
    <t>55302L102</t>
  </si>
  <si>
    <t>BB&amp;T Capital Markets
Ferris Baker Watts
JJB Hilliard WL Lyons Inc
Flagstone Securities Inc</t>
  </si>
  <si>
    <t>BB-T-CAP//FERRIS-BAKER/HILLIARD
/FLAGSTONE</t>
  </si>
  <si>
    <t>BB-T-CAP
FERRIS-BAKER
HILLIARD
FLAGSTONE</t>
  </si>
  <si>
    <t>BB&amp;T Capital Markets
Ferris Baker Watts Inc
JJB Hilliard WL Lyons Inc
Flagstone Securities Inc</t>
  </si>
  <si>
    <t>Otelco Inc</t>
  </si>
  <si>
    <t>OTT</t>
  </si>
  <si>
    <t>CIBC-WORLD
/RBC-CAP-MKTS(JB)
/UBS-INV-BANK(JB)</t>
  </si>
  <si>
    <t>CIBC World Markets Inc
RBC Capital Markets
UBS Investment Bank
Harris Nesbitt
Deutsche Bank Securities Corp
KeyCorp/McDonald Investments
Raymond James &amp; Associates Inc
Robert W Baird &amp; Co Inc
Piper Jaffray Cos
Wells Fargo Bank NA
Advest Inc
BB&amp;T Capital Markets
William Blair &amp; Co
Blaylock &amp; Partners LP
DA Davidson &amp; Co Inc
Dominick &amp; Dominick Inc
Janney Montgomery Scott LLC
Morgan Keegan Inc
National Securities Corp (US)</t>
  </si>
  <si>
    <t>CIBC-WORLD(JB)/RBC-CAP-MKTS(JB)
/UBS-INV-BANK(JB)//HARRN
/DEUTSCHE-BK-SEC/KEY-MCDONALD/RAYMOND
/BAIRD/PIPER-JAFFRAY/WELLS-FARGO/ADVEST
/BB-T-CAP/WM-BLAIR/BLAYLOCK-PTRNS
/DAVIDSON/DOMINICK/JANNEY-LLC
/MORGAN-KEEGAN/NATL-SEC</t>
  </si>
  <si>
    <t>CIBC-WORLD/RBC-CAP-MKTS/UBS-INV-BANK</t>
  </si>
  <si>
    <t>CIBC-WORLD
(JB)/RBC-CAP-MKTS(JB)
/UBS-INV-BANK(JB)</t>
  </si>
  <si>
    <t>CIBC World Markets Inc
RBC Capital Markets
UBS Investment Bank</t>
  </si>
  <si>
    <t>Warren Resources Inc</t>
  </si>
  <si>
    <t>WRES</t>
  </si>
  <si>
    <t>KEY-MCDONALD</t>
  </si>
  <si>
    <t>93564A100</t>
  </si>
  <si>
    <t>KeyCorp/McDonald Investments
Jefferies &amp; Co Inc
Sanders Morris Harris Inc
AG Edwards &amp; Sons Inc
Legg Mason Wood Walker</t>
  </si>
  <si>
    <t>KEY-MCDONALD//JEFFERIES/SANDERS-HARRIS
//A-G-EDWARDS/LEGG-MASON-WW</t>
  </si>
  <si>
    <t>KEY-MCDONALD
JEFFERIES
SANDERS-HARRIS</t>
  </si>
  <si>
    <t>KeyCorp/McDonald Investments
Jefferies &amp; Co Inc
Sanders Morris Harris Inc</t>
  </si>
  <si>
    <t>Millstream II Acquisition Corp</t>
  </si>
  <si>
    <t>MSMA</t>
  </si>
  <si>
    <t>Earlybirdcapital Inc
GunnAllen Financial Inc
Maxim Group LLC</t>
  </si>
  <si>
    <t>EARLYBIRD-CAP//GUNNALLEN-FINL
/MAXIM-GROUP</t>
  </si>
  <si>
    <t>EARLYBIRD-CAP
GUNNALLEN-FINL
MAXIM-GROUP</t>
  </si>
  <si>
    <t>Earlybirdcapital Inc
GunnAllen Financial, Inc.
Maxim Group LLC</t>
  </si>
  <si>
    <t>BlackRock Global Energy</t>
  </si>
  <si>
    <t>BGR</t>
  </si>
  <si>
    <t>09250U101</t>
  </si>
  <si>
    <t>Citigroup
Merrill Lynch
UBS Investment Bank
Wachovia Securities Inc
Advest Inc
H&amp;R Block Financial Advisors
JJB Hilliard WL Lyons Inc
Janney Montgomery Scott LLC
KeyCorp/McDonald Investments
Legg Mason Wood Walker
Oppenheimer &amp; Co Inc
Raymond James &amp; Associates Inc
RBC Capital Markets
Ryan Beck &amp; Co
Wedbush Securities
Wells Fargo Bank NA
Robert W Baird &amp; Co Inc
Crowell Weedon &amp; Co
Doft &amp; Co Inc
DA Davidson &amp; Co Inc
Deutsche Bank Securities
Ferris Baker Watts
Fixed Income Securities Inc
Piper Jaffray Cos
SunTrust Capital Markets
BB&amp;T Capital Markets
Brookstreet Securities
Hazlett, Burt &amp; Watson
Mesirow Financial Corp
Morgan Keegan Inc
Southwest Securities Inc
TD Waterhouse Securities
Axiom Capital Management Inc
David A. Noyes
Fifth Third Securities Inc
First Southwest
GunnAllen Financial Inc
LaSalle Street Securities Inc
Maxim Group LLC
National Securities Corp (US)
Newbridge Securities
Parker-Hunter Inc
Sanders Morris Harris Inc
Strand,Atkinson,Williams&amp;Yerl
GMS Group</t>
  </si>
  <si>
    <t>CITIGROUP//MERRILL/UBS-INV-BANK
/WACHOVIA-SEC/ADVEST/HR-BLOCK-FIN
/HILLIARD/JANNEY-LLC/KEY-MCDONALD
/LEGG-MASON-WW/OPPENHEIMER-CO/RAYMOND
/RBC-CAP-MKTS/RYAN-BECK/WEDBUSH-M
/WELLS-FARGO//BAIRD/CROWELL/DOFT
/DAVIDSON/DBSECU/FERRIS-BAKER/FIXED-INC
/PIPER-JAFFRAY/SUNTRUST-CAP/BB-T-CAP
/BROOKSTREET/HAZLETT/MESIROW-FIN
/MORGAN-KEEGAN/SWS-SEC/TDWS/AXIOM-CAP
/D-A-NOYES/FIFTH-THIRD-SEC/FIRST-SW
/GUNNALLEN-FINL/LASALLE-SEC/MAXIM-GROUP
/NATL-SEC/NEWBRIDGE/PARKER-HUNTER
/SANDERS-HARRIS/STRAND-ATKIN/GMS-GROUP</t>
  </si>
  <si>
    <t>CITIGROUP
MERRILL
UBS-INV-BANK
WACHOVIA-SEC
ADVEST
HR-BLOCK-FIN
HILLIARD
JANNEY-LLC
KEY-MCDONALD
LEGG-MASON-WW
OPPENHEIMER-CO
RAYMOND
RBC-CAP-MKTS
RYAN-BECK
WEDBUSH-M
WELLS-FARGO</t>
  </si>
  <si>
    <t>Citigroup
Merrill Lynch &amp; Co Inc
UBS Investment Bank
Wachovia Securities Inc
Advest Inc
H&amp;R Block Financial Advisors
JJB Hilliard WL Lyons Inc
Janney Montgomery Scott LLC
KeyCorp/McDonald Investments
Legg Mason Wood Walker Inc
Oppenheimer &amp; Co Inc
Raymond James &amp; Associates Inc
RBC Capital Markets
Ryan Beck &amp; Co
Wedbush Securities
Wells Fargo Bank NA</t>
  </si>
  <si>
    <t>Defined Strategy Fund Inc</t>
  </si>
  <si>
    <t>DSF</t>
  </si>
  <si>
    <t>24476Y100</t>
  </si>
  <si>
    <t>Merrill Lynch
Nuveen Investments LLC
Advest Inc
Ferris Baker Watts
KeyCorp/McDonald Investments
Legg Mason Wood Walker
RBC Capital Markets
Stifel Nicolaus &amp; Co Inc
BB&amp;T Capital Markets
Robert W Baird &amp; Co Inc
William Blair &amp; Co
Crowell Weedon &amp; Co
Chatsworth Securities LLC
DA Davidson &amp; Co Inc
Doft &amp; Co Inc
Dominick &amp; Dominick Inc
Harris Nesbitt
JJB Hilliard WL Lyons Inc
Needham &amp; Co LLC
Oppenheimer &amp; Co Inc
Ryan Beck &amp; Co
SunTrust Capital Markets
TD Waterhouse Securities
Wedbush Securities
Brean Murray &amp; Co Inc
City Securities
First Southwest
Hoefer &amp; Arnett Inc
Howe Barnes Investments Inc
Johnston Lemon &amp; Co Inc
LaSalle Street Securities Inc
McGinn, Smith &amp; Co Inc
Natcity Investments Inc.
National Securities Corp (US)
Northeast Securities Inc.
David A. Noyes
Peacock Hislop Staley &amp; Given
Sanders Morris Harris Inc
Southwest Securities Inc
STERLING FINANCIAL INVESTMENT
Torrey Pines Securities
JP Turner &amp; Co
Wunderlich Securities Inc</t>
  </si>
  <si>
    <t>MERRILL/NUVEEN-INV(JOINT)//ADVEST
/FERRIS-BAKER/KEY-MCDONALD
/LEGG-MASON-WW/RBC-CAP-MKTS/STIFEL
//BB-T-CAP/BAIRD/WM-BLAIR/CROWELL
/CHATSWORTH/DAVIDSON/DOFT/DOMINICK
/HARRN/HILLIARD/NEEDHAM/OPPENHEIMER-CO
/RYAN-BECK/SUNTRUST-CAP/TDWS/WEDBUSH-M
/BREAN/CITY-SEC/FIRST-SW/HOEFER-ARNETT
/HOWE-BARNES/JOHNSTON-LEMON/LASALLE-SEC
/MCGINN-SMITH/NATCITY-INVEST/NATL-SEC
/NORTHEAST-SEC/D-A-NOYES/PEACOCK-HISLOP
/SANDERS-HARRIS/SWS-SEC/STERLING-FIN-I
/TORREY-PINES/J-P-TURNER/WUNDERLICH</t>
  </si>
  <si>
    <t>MERRILL/NUVEEN-INV</t>
  </si>
  <si>
    <t>MERRILL
/NUVEEN-INV(JOINT)
ADVEST
FERRIS-BAKER
KEY-MCDONALD
LEGG-MASON-WW
RBC-CAP-MKTS
STIFEL</t>
  </si>
  <si>
    <t>Merrill Lynch &amp; Co Inc
Nuveen Investments LLC
Advest Inc
Ferris Baker Watts Inc
KeyCorp/McDonald Investments
Legg Mason Wood Walker Inc
RBC Capital Markets
Stifel Nicolaus &amp; Co Inc</t>
  </si>
  <si>
    <t>Fiduciary/Claymore MLP</t>
  </si>
  <si>
    <t>FMO</t>
  </si>
  <si>
    <t>31647Q106</t>
  </si>
  <si>
    <t>AG Edwards &amp; Sons Inc
Wachovia Securities Inc
Advest Inc
BB&amp;T Capital Markets
Claymore Securities Inc
Ferris Baker Watts
Fixed Income Securities Inc
JJB Hilliard WL Lyons Inc
KeyCorp/McDonald Investments
Legg Mason Wood Walker
Morgan Keegan Inc
RBC Capital Markets
Wedbush Securities
Wells Fargo Securities LLC
Axiom Capital Management Inc
Robert W Baird &amp; Co Inc
Crowell Weedon &amp; Co
Deutsche Bank Securities
Mesirow Financial Corp
Oppenheimer &amp; Co Inc
Piper Jaffray Cos
Ryan Beck &amp; Co
Smith, Moore
SunTrust Capital Markets
TD Waterhouse Securities
Wunderlich Securities Inc</t>
  </si>
  <si>
    <t>A-G-EDWARDS/WACHOVIA-SEC(JOINT)//ADVEST
/BB-T-CAP/CLAYMORE-SEC/FERRIS-BAKER
/FIXED-INC/HILLIARD/KEY-MCDONALD
/LEGG-MASON-WW/MORGAN-KEEGAN
/RBC-CAP-MKTS/WEDBUSH-M/WELLS-FARGO-SEC
//AXIOM-CAP/BAIRD/CROWELL/DBSECU
/MESIROW-FIN/OPPENHEIMER-CO
/PIPER-JAFFRAY/RYAN-BECK/SMITH-MOORE
/SUNTRUST-CAP/TDWS/WUNDERLICH</t>
  </si>
  <si>
    <t>A-G-EDWARDS
/WACHOVIA-SEC(JOINT)
ADVEST
BB-T-CAP
CLAYMORE-SEC
FERRIS-BAKER
FIXED-INC
HILLIARD
KEY-MCDONALD
LEGG-MASON-WW
MORGAN-KEEGAN
RBC-CAP-MKTS
WEDBUSH-M
WELLS-FARGO-SEC</t>
  </si>
  <si>
    <t>AG Edwards &amp; Sons Inc
Wachovia Securities Inc
Advest Inc
BB&amp;T Capital Markets
Claymore Securities Inc
Ferris Baker Watts Inc
Fixed Income Securities Inc
JJB Hilliard WL Lyons Inc
KeyCorp/McDonald Investments
Legg Mason Wood Walker Inc
Morgan Keegan Inc
RBC Capital Markets
Wedbush Securities
Wells Fargo Securities LLC</t>
  </si>
  <si>
    <t>Pioneer Floating Rate Trust</t>
  </si>
  <si>
    <t>PHD</t>
  </si>
  <si>
    <t>72369J102</t>
  </si>
  <si>
    <t>Merrill Lynch
UBS Investment Bank
AG Edwards &amp; Sons Inc
Advest Inc
Robert W Baird &amp; Co Inc
Ferris Baker Watts
JJB Hilliard WL Lyons Inc
KeyCorp/McDonald Investments
Morgan Keegan Inc
Oppenheimer &amp; Co Inc
RBC Capital Markets
Ryan Beck &amp; Co
Stifel Nicolaus &amp; Co Inc
SunTrust Robinson Humphrey
Wedbush Securities
Wells Fargo Securities LLC
BB&amp;T Capital Markets
William Blair &amp; Co
Chatsworth Securities LLC
Crowell Weedon &amp; Co
DA Davidson &amp; Co Inc
Deutsche Bank Securities
Doft &amp; Co Inc
Dominick &amp; Dominick Inc
Harris Nesbitt
Legg Mason Wood Walker
Needham &amp; Co LLC
Parker-Hunter Inc
Piper Jaffray Inc
Stephens Inc
TD Waterhouse Securities
Arthurs Lestrange
Axiom Capital Management Inc
Bishop, Rosen &amp; Co
Brean Murray &amp; Co Inc
Brookstreet Securities
First Montauk Securities
First Southwest
Gilford Securities
Hoefer &amp; Arnett Inc
Howe Barnes Investments Inc
Huntleigh Securities Corp
Johnston Lemon &amp; Co Inc
LaSalle Street Securities Inc
Maxim Group LLC
McGinn, Smith &amp; Co Inc
Mesirow Financial Corp
Morgan Wilshire Securities
National Securities Corp (US)
Newbridge Securities
Northeast Securities Inc.
David A. Noyes
Ormes Capital Markets Inc
Paulson Investment Co
Peacock Hislop Staley &amp; Given
Sanders Morris Harris Inc
The Seidler Companies Inc
Source Capital Group Inc
Southwest Securities Inc
Spelman &amp; Co.
Stanford Group Company
M. L. Stern
STERLING FINANCIAL INVESTMENT
Sterne Agee &amp; Leach Inc
Stone &amp; Youngberg
Strand,Atkinson,Williams&amp;Yerl
Torrey Pines Securities
JP Turner &amp; Co
Westminster Financial Mgmt
Wunderlich Securities Inc</t>
  </si>
  <si>
    <t>MERRILL/UBS-INV-BANK/A-G-EDWARDS(JOINT)
//ADVEST/BAIRD/FERRIS-BAKER/HILLIARD
/KEY-MCDONALD/MORGAN-KEEGAN
/OPPENHEIMER-CO/RBC-CAP-MKTS/RYAN-BECK
/STIFEL/SUNTRUST-RH/WEDBUSH-M
/WELLS-FARGO-SEC//BB-T-CAP/WM-BLAIR
/CHATSWORTH/CROWELL/DAVIDSON/DBSECU
/DOFT/DOMINICK/HARRN/LEGG-MASON-WW
/NEEDHAM/PARKER-HUNTER/PIPER-J/STEPHENS
/TDWS/ARTHURS-LES/AXIOM-CAP
/BISHOP-ROSEN/BREAN/BROOKSTREET
/FIRST-MONTAUK/FIRST-SW/GILFORD
/HOEFER-ARNETT/HOWE-BARNES
/HUNTLEIGH-SEC/JOHNSTON-LEMON
/LASALLE-SEC/MAXIM-GROUP/MCGINN-SMITH
/MESIROW-FIN/MORGAN-WILSHIRE/NATL-SEC
/NEWBRIDGE/NORTHEAST-SEC/D-A-NOYES
/ORMES/PAULSON/PEACOCK-HISLOP
/SANDERS-HARRIS/SEIDLER-CO-INC
/SOURCE-CAPITAL/SWS-SEC/SPELMAN
/STANFORD-GROUP/M-L-STERN
/STERLING-FIN-I/STERNE-AGEE/STONE-YOUNG
/STRAND-ATKIN/TORREY-PINES/J-P-TURNER
/WESTMINSTER-FIN/WUNDERLICH</t>
  </si>
  <si>
    <t>MERRILL/UBS-INV-BANK/A-G-EDWARDS</t>
  </si>
  <si>
    <t>MERRILL
/UBS-INV-BANK
/A-G-EDWARDS(JOINT)
ADVEST
BAIRD
FERRIS-BAKER
HILLIARD
KEY-MCDONALD
MORGAN-KEEGAN
OPPENHEIMER-CO
RBC-CAP-MKTS
RYAN-BECK
STIFEL
SUNTRUST-RH
WEDBUSH-M
WELLS-FARGO-SEC</t>
  </si>
  <si>
    <t>Merrill Lynch &amp; Co Inc
UBS Investment Bank
AG Edwards &amp; Sons Inc
Advest Inc
Robert W Baird &amp; Co Inc
Ferris Baker Watts Inc
JJB Hilliard WL Lyons Inc
KeyCorp/McDonald Investments
Morgan Keegan Inc
Oppenheimer &amp; Co Inc
RBC Capital Markets
Ryan Beck &amp; Co
Stifel Nicolaus &amp; Co Inc
SunTrust Robinson Humphrey
Wedbush Securities
Wells Fargo Securities LLC</t>
  </si>
  <si>
    <t>Celanese Corp</t>
  </si>
  <si>
    <t>CE</t>
  </si>
  <si>
    <t>MORGAN-STANLEY/LEH(JB)
/GS(JB)/BA-SEC-LLC(JB)
/UBS-INV-BANK(JB)</t>
  </si>
  <si>
    <t>Morgan Stanley
Lehman Brothers
Goldman Sachs &amp; Co
Banc of America Securities LLC
UBS Investment Bank
Deutsche Bank Securities Corp
Credit Suisse First Boston
Bear Stearns &amp; Co Inc
Friedman Billings Ramsey Group
Stephens Inc</t>
  </si>
  <si>
    <t>07/19/05
07/19/05</t>
  </si>
  <si>
    <t xml:space="preserve">68.489
</t>
  </si>
  <si>
    <t xml:space="preserve">108675271.00
</t>
  </si>
  <si>
    <t>MORGAN-STANLEY(JB)/LEH(JB)/GS(JB)
/BA-SEC-LLC(JB)/UBS-INV-BANK(JB)
//DEUTSCHE-BK-SEC/CS-FB-CS/BEAR
/FRIEDMAN-B/STEPHENS</t>
  </si>
  <si>
    <t>MORGAN-STANLEY/LEH/GS/BA-SEC-LLC
/UBS-INV-BANK</t>
  </si>
  <si>
    <t>MORGAN-STANLEY
(JB)/LEH(JB)
/GS(JB)
/BA-SEC-LLC(JB)
/UBS-INV-BANK(JB)
DEUTSCHE-BK-SEC
CS-FB-CS
BEAR
FRIEDMAN-B
STEPHENS</t>
  </si>
  <si>
    <t>Morgan Stanley
Lehman Brothers
Goldman Sachs &amp; Co
Banc of America Securities LLC
UBS Investment Bank
Deutsche Bank Securities Corp.
Credit Suisse First Boston Corp
Bear Stearns &amp; Co Inc
Friedman Billings Ramsey Group
Stephens Inc</t>
  </si>
  <si>
    <t>SeaBright Insurance Hldgs Inc</t>
  </si>
  <si>
    <t>SEAB</t>
  </si>
  <si>
    <t>Friedman Billings Ramsey Group
Piper Jaffray Cos
Cochran, Caronia &amp; Co.
Advest Inc
BB&amp;T Capital Markets
Cohen Bros &amp; Co
McAdams Wright Ragen Inc
Sandler O'Neill Partners
Stifel Nicolaus &amp; Co Inc</t>
  </si>
  <si>
    <t>FRIEDMAN-B//PIPER-JAFFRAY
/COCHRAN-CARONIA//ADVEST/BB-T-CAP
/COHEN-BROS/MCADAMS-WRIGHT
/SANDLER-ONEILL/STIFEL</t>
  </si>
  <si>
    <t>FRIEDMAN-B
PIPER-JAFFRAY
COCHRAN-CARONIA</t>
  </si>
  <si>
    <t>Friedman Billings Ramsey Group
Piper Jaffray Cos
Cochran, Caronia &amp; Co.</t>
  </si>
  <si>
    <t>ViaCell Inc</t>
  </si>
  <si>
    <t>VIAC</t>
  </si>
  <si>
    <t>CS-FB-CS
/UBS-INV-BANK(JB)</t>
  </si>
  <si>
    <t>92554J105</t>
  </si>
  <si>
    <t>Credit Suisse First Boston
UBS Investment Bank
Lazard
Leerink Swann &amp; Co</t>
  </si>
  <si>
    <t>07/19/05
04/20/05</t>
  </si>
  <si>
    <t>73.930
2.420</t>
  </si>
  <si>
    <t>27500000.00
900000.00</t>
  </si>
  <si>
    <t>CS-FB-CS(JB)/UBS-INV-BANK(JB)//LAZARD
/LEERINK-SWANN</t>
  </si>
  <si>
    <t>CS-FB-CS/UBS-INV-BANK</t>
  </si>
  <si>
    <t>CS-FB-CS
(JB)/UBS-INV-BANK(JB)
LAZARD
LEERINK-SWANN</t>
  </si>
  <si>
    <t>Credit Suisse First Boston Corp
UBS Investment Bank
Lazard
Leerink Swann &amp; Co</t>
  </si>
  <si>
    <t>Education Realty Trust Inc</t>
  </si>
  <si>
    <t>EDR</t>
  </si>
  <si>
    <t>JPM/UBS-INV-BANK(JB)</t>
  </si>
  <si>
    <t>28140H104</t>
  </si>
  <si>
    <t>JP Morgan
UBS Investment Bank
Morgan Keegan Inc
KeyCorp/McDonald Investments
Legg Mason Wood Walker
Robert W Baird &amp; Co Inc</t>
  </si>
  <si>
    <t>JPM(JB)/UBS-INV-BANK(JB)//MORGAN-KEEGAN
/KEY-MCDONALD/LEGG-MASON-WW/BAIRD</t>
  </si>
  <si>
    <t>JPM/UBS-INV-BANK</t>
  </si>
  <si>
    <t>JPM
(JB)/UBS-INV-BANK(JB)
MORGAN-KEEGAN
KEY-MCDONALD
LEGG-MASON-WW
BAIRD</t>
  </si>
  <si>
    <t>JP Morgan &amp; Co Inc
UBS Investment Bank
Morgan Keegan Inc
KeyCorp/McDonald Investments
Legg Mason Wood Walker Inc
Robert W Baird &amp; Co Inc</t>
  </si>
  <si>
    <t>GFI Group Inc</t>
  </si>
  <si>
    <t>GFIG</t>
  </si>
  <si>
    <t>Citigroup
Merrill Lynch
Banc of America Securities LLC
JP Morgan
Jefferies &amp; Co Inc</t>
  </si>
  <si>
    <t>CITIGROUP(JB)/MERRILL(JB)//BA-SEC-LLC
/JPM/JEFFERIES</t>
  </si>
  <si>
    <t>CITIGROUP
(JB)/MERRILL(JB)
BA-SEC-LLC
JPM
JEFFERIES</t>
  </si>
  <si>
    <t>Citigroup
Merrill Lynch &amp; Co Inc
Banc of America Securities LLC
JP Morgan &amp; Co Inc
Jefferies &amp; Co Inc</t>
  </si>
  <si>
    <t>Advent/Claymore Enh G&amp;I Fnd</t>
  </si>
  <si>
    <t>LCM</t>
  </si>
  <si>
    <t>00765E104</t>
  </si>
  <si>
    <t>Merrill Lynch
Advest Inc
Robert W Baird &amp; Co Inc
Claymore Securities Inc
Ferris Baker Watts
Fixed Income Securities Inc
JJB Hilliard WL Lyons Inc
KeyCorp/McDonald Investments
Legg Mason Wood Walker
RBC Capital Markets
Wedbush Securities
Wells Fargo Securities LLC
BB&amp;T Capital Markets
William Blair &amp; Co
Chatsworth Securities LLC
Crowell Weedon &amp; Co
DA Davidson &amp; Co Inc
Deutsche Bank Securities
Doft &amp; Co Inc
Dominick &amp; Dominick Inc
Morgan Keegan Inc
Oppenheimer &amp; Co Inc
Piper Jaffray Cos
Ryan Beck &amp; Co
SunTrust Capital Markets
TD Waterhouse Investor Svcs
Arthurs Lestrange
Axiom Capital Management Inc
Brean Murray &amp; Co Inc
City Securities
First Montauk Securities
First Southwest
Gilford Securities
Hoefer &amp; Arnett Inc
Howe Barnes Investments Inc
Huntleigh Securities Corp
Johnston Lemon &amp; Co Inc
Maxim Group LLC
Mesirow Financial Corp
Morgan Wilshire Securities
National Securities Corp (US)
Northeast Securities Inc.
David A. Noyes
Nutmeg Securities Ltd
Peacock Hislop Staley &amp; Given
Sanders Morris Harris Inc
Southwest Securities Inc
Spelman &amp; Co.
Stanford Group Company
STERLING FINANCIAL INVESTMENT
M. L. Stern
Strand,Atkinson,Williams&amp;Yerl
Torrey Pines Securities
JP Turner &amp; Co
Wunderlich Securities Inc</t>
  </si>
  <si>
    <t>MERRILL//ADVEST/BAIRD/CLAYMORE-SEC
/FERRIS-BAKER/FIXED-INC/HILLIARD
/KEY-MCDONALD/LEGG-MASON-WW
/RBC-CAP-MKTS/WEDBUSH-M/WELLS-FARGO-SEC
//BB-T-CAP/WM-BLAIR/CHATSWORTH/CROWELL
/DAVIDSON/DBSECU/DOFT/DOMINICK
/MORGAN-KEEGAN/OPPENHEIMER-CO
/PIPER-JAFFRAY/RYAN-BECK/SUNTRUST-CAP
/TD-WATERHOUSE/ARTHURS-LES/AXIOM-CAP
/BREAN/CITY-SEC/FIRST-MONTAUK/FIRST-SW
/GILFORD/HOEFER-ARNETT/HOWE-BARNES
/HUNTLEIGH-SEC/JOHNSTON-LEMON
/MAXIM-GROUP/MESIROW-FIN
/MORGAN-WILSHIRE/NATL-SEC/NORTHEAST-SEC
/D-A-NOYES/NUTMEG-SEC/PEACOCK-HISLOP
/SANDERS-HARRIS/SWS-SEC/SPELMAN
/STANFORD-GROUP/STERLING-FIN-I
/M-L-STERN/STRAND-ATKIN/TORREY-PINES
/J-P-TURNER/WUNDERLICH</t>
  </si>
  <si>
    <t>MERRILL
ADVEST
BAIRD
CLAYMORE-SEC
FERRIS-BAKER
FIXED-INC
HILLIARD
KEY-MCDONALD
LEGG-MASON-WW
RBC-CAP-MKTS
WEDBUSH-M
WELLS-FARGO-SEC</t>
  </si>
  <si>
    <t>Merrill Lynch &amp; Co Inc
Advest Inc
Robert W Baird &amp; Co Inc
Claymore Securities Inc
Ferris Baker Watts Inc
Fixed Income Securities Inc
JJB Hilliard WL Lyons Inc
KeyCorp/McDonald Investments
Legg Mason Wood Walker Inc
RBC Capital Markets
Wedbush Securities
Wells Fargo Securities LLC</t>
  </si>
  <si>
    <t>Cohen &amp; Steers Dividend Majors</t>
  </si>
  <si>
    <t>DVM</t>
  </si>
  <si>
    <t>19248G106</t>
  </si>
  <si>
    <t>Merrill Lynch
AG Edwards &amp; Sons Inc
Deutsche Bank Securities Corp
Legg Mason Wood Walker
Raymond James &amp; Associates Inc
RBC Capital Markets
Oppenheimer &amp; Co Inc
Advest Inc
BB&amp;T Capital Markets
Robert W Baird &amp; Co Inc
Banc of America Securities LLC
Crowell Weedon &amp; Co
Ferris Baker Watts
H&amp;R Block Financial Advisors
JJB Hilliard WL Lyons Inc
Janney Montgomery Scott LLC
KeyCorp/McDonald Investments
Stifel Nicolaus &amp; Co Inc
SunTrust Robinson Humphrey
TD Waterhouse Investor Svcs
William Blair &amp; Co
Chatsworth Securities LLC
DA Davidson &amp; Co Inc
Doft &amp; Co Inc
Dominick &amp; Dominick Inc
Harris Nesbitt
Morgan Keegan Inc
Needham &amp; Co LLC
Piper Jaffray Cos
Stephens Inc
Wedbush Securities
Arthurs Lestrange
Axiom Capital Management Inc
Brean Murray &amp; Co Inc
Bishop, Rosen &amp; Co
City Securities
First Montauk Securities
First Southwest
Gilford Securities
Hoefer &amp; Arnett Inc
Howe Barnes Investments Inc
Huntleigh Securities Corp
Johnston Lemon &amp; Co Inc
LaSalle Street Securities Inc
Maxim Group LLC
Mesirow Financial Corp
Morgan Wilshire Securities
National Securities Corp (US)
David A. Noyes
Redwine &amp; Company Inc
Sanders Morris Harris Inc
The Seidler Companies Inc
Source Capital Group Inc
Southwest Securities Inc
Spelman &amp; Co.
Stanford Group Company
STERLING FINANCIAL INVESTMENT
Sterne Agee &amp; Leach Inc
Stone &amp; Youngberg
Strand,Atkinson,Williams&amp;Yerl
Torrey Pines Securities
Wunderlich Securities Inc</t>
  </si>
  <si>
    <t>MERRILL/A-G-EDWARDS(JOINT)
//DEUTSCHE-BK-SEC/LEGG-MASON-WW/RAYMOND
/RBC-CAP-MKTS/OPPENHEIMER-CO/ADVEST
/BB-T-CAP/BAIRD/BA-SEC-LLC/CROWELL
/FERRIS-BAKER/HR-BLOCK-FIN/HILLIARD
/JANNEY-LLC/KEY-MCDONALD/STIFEL
/SUNTRUST-RH/TD-WATERHOUSE//WM-BLAIR
/CHATSWORTH/DAVIDSON/DOFT/DOMINICK
/HARRN/MORGAN-KEEGAN/NEEDHAM
/PIPER-JAFFRAY/STEPHENS/WEDBUSH-M
/ARTHURS-LES/AXIOM-CAP/BREAN
/BISHOP-ROSEN/CITY-SEC/FIRST-MONTAUK
/FIRST-SW/GILFORD/HOEFER-ARNETT
/HOWE-BARNES/HUNTLEIGH-SEC
/JOHNSTON-LEMON/LASALLE-SEC/MAXIM-GROUP
/MESIROW-FIN/MORGAN-WILSHIRE/NATL-SEC
/D-A-NOYES/REDWINE-CO/SANDERS-HARRIS
/SEIDLER-CO-INC/SOURCE-CAPITAL/SWS-SEC
/SPELMAN/STANFORD-GROUP/STERLING-FIN-I
/STERNE-AGEE/STONE-YOUNG/STRAND-ATKIN
/TORREY-PINES/WUNDERLICH</t>
  </si>
  <si>
    <t>MERRILL
/A-G-EDWARDS(JOINT)
DEUTSCHE-BK-SEC
LEGG-MASON-WW
RAYMOND
RBC-CAP-MKTS
OPPENHEIMER-CO
ADVEST
BB-T-CAP
BAIRD
BA-SEC-LLC
CROWELL
FERRIS-BAKER
HR-BLOCK-FIN
HILLIARD
JANNEY-LLC
KEY-MCDONALD
STIFEL
SUNTRUST-RH
TD-WATERHOUSE</t>
  </si>
  <si>
    <t>Merrill Lynch &amp; Co Inc
AG Edwards &amp; Sons Inc
Deutsche Bank Securities Corp.
Legg Mason Wood Walker Inc
Raymond James &amp; Associates Inc
RBC Capital Markets
Oppenheimer &amp; Co Inc
Advest Inc
BB&amp;T Capital Markets
Robert W Baird &amp; Co Inc
Banc of America Securities LLC
Crowell Weedon &amp; Co
Ferris Baker Watts Inc
H&amp;R Block Financial Advisors
JJB Hilliard WL Lyons Inc
Janney Montgomery Scott LLC
KeyCorp/McDonald Investments
Stifel Nicolaus &amp; Co Inc
SunTrust Robinson Humphrey
TD Waterhouse Investor Services(Canada)Inc</t>
  </si>
  <si>
    <t>Diversified Income Strategies</t>
  </si>
  <si>
    <t>DVF</t>
  </si>
  <si>
    <t>Merrill Lynch
Citigroup
Advest Inc
Ferris Baker Watts
Fixed Income Securities Inc
RBC Capital Markets
Stifel Nicolaus &amp; Co Inc
Wells Fargo Bank NA
BB&amp;T Capital Markets
Robert W Baird &amp; Co Inc
William Blair &amp; Co
Crowell Weedon &amp; Co
DA Davidson &amp; Co Inc
Deutsche Bank Securities
Doft &amp; Co Inc
Dominick &amp; Dominick Inc
Howe Barnes Investments Inc
KeyCorp/McDonald Investments
Legg Mason Wood Walker
Morgan Keegan Inc
Oppenheimer &amp; Co Inc
Parker-Hunter Inc
Piper Jaffray Cos
Ryan Beck &amp; Co
Stephens Inc
SunTrust Capital Markets
Wedbush Securities
Arthurs Lestrange
Axiom Capital Management Inc
Brean Murray &amp; Co Inc
First Montauk Securities
First Southwest
Gilford Securities
Hoefer &amp; Arnett Inc
Huntleigh Securities Corp
Johnston Lemon &amp; Co Inc
LaSalle Street Securities Inc
Maxim Group LLC
McGinn, Smith &amp; Co Inc
Mesirow Financial Corp
Morgan Wilshire Securities
Newbridge Securities
David A. Noyes
Peacock Hislop Staley &amp; Given
Sanders Morris Harris Inc
Source Capital Group Inc
Southwest Securities Inc
Stanford Group Company
STERLING FINANCIAL INVESTMENT
Strand,Atkinson,Williams&amp;Yerl
Torrey Pines Securities
JP Turner &amp; Co
Wunderlich Securities Inc</t>
  </si>
  <si>
    <t>MERRILL/CITIGROUP(JOINT)//ADVEST
/FERRIS-BAKER/FIXED-INC/RBC-CAP-MKTS
/STIFEL/WELLS-FARGO//BB-T-CAP/BAIRD
/WM-BLAIR/CROWELL/DAVIDSON/DBSECU/DOFT
/DOMINICK/HOWE-BARNES/KEY-MCDONALD
/LEGG-MASON-WW/MORGAN-KEEGAN
/OPPENHEIMER-CO/PARKER-HUNTER
/PIPER-JAFFRAY/RYAN-BECK/STEPHENS
/SUNTRUST-CAP/WEDBUSH-M/ARTHURS-LES
/AXIOM-CAP/BREAN/FIRST-MONTAUK/FIRST-SW
/GILFORD/HOEFER-ARNETT/HUNTLEIGH-SEC
/JOHNSTON-LEMON/LASALLE-SEC/MAXIM-GROUP
/MCGINN-SMITH/MESIROW-FIN
/MORGAN-WILSHIRE/NEWBRIDGE/D-A-NOYES
/PEACOCK-HISLOP/SANDERS-HARRIS
/SOURCE-CAPITAL/SWS-SEC/STANFORD-GROUP
/STERLING-FIN-I/STRAND-ATKIN
/TORREY-PINES/J-P-TURNER/WUNDERLICH</t>
  </si>
  <si>
    <t>MERRILL
/CITIGROUP(JOINT)
ADVEST
FERRIS-BAKER
FIXED-INC
RBC-CAP-MKTS
STIFEL
WELLS-FARGO</t>
  </si>
  <si>
    <t>Merrill Lynch &amp; Co Inc
Citigroup
Advest Inc
Ferris Baker Watts Inc
Fixed Income Securities Inc
RBC Capital Markets
Stifel Nicolaus &amp; Co Inc
Wells Fargo Bank NA</t>
  </si>
  <si>
    <t>Eaton Vance Enhanced Eq Inc II</t>
  </si>
  <si>
    <t>EOS</t>
  </si>
  <si>
    <t>UBS Investment Bank
Merrill Lynch
Wachovia Securities Inc
AG Edwards Inc
H&amp;R Block Financial Advisors
JJB Hilliard WL Lyons Inc
Oppenheimer &amp; Co Inc
Raymond James &amp; Associates Inc
RBC Capital Markets
Wells Fargo Bank NA
Piper Jaffray Cos
Advest Inc
Robert W Baird &amp; Co Inc
Legg Mason Wood Walker
Brookstreet Securities
KeyCorp/McDonald Investments
Morgan Keegan Inc
SunTrust Capital Markets
Crowell Weedon &amp; Co
FBT Investments Inc
Ferris Baker Watts
J. B. Hanauer
Royal Alliance Associates
Ryan Beck &amp; Co
SouthTrust Securities
Stone &amp; Youngberg
TD Waterhouse Investor Svcs
Wedbush Securities
BC Ziegler &amp; Co
Axiom Capital Management Inc
BB&amp;T Capital Markets
Cadaret Grant &amp; Co
DA Davidson &amp; Co Inc
Finance 500 Inc
First Southwest
GunnAllen Financial Inc
JP Turner &amp; Co
Mesirow Financial Corp
David A. Noyes
Parker-Hunter Inc
Paulson Investment Co
Peacock Hislop Staley &amp; Given
Sanders Morris Harris Inc
Smith Hayes Financial Services
Southwest Securities Inc
Spelman &amp; Co.
Stanford Group Company
Stephens Inc
M. L. Stern
Sterne Agee &amp; Leach Inc
Strand,Atkinson,Williams&amp;Yerl
Trubee, Collins
Wunderlich Securities Inc</t>
  </si>
  <si>
    <t>UBS-INV-BANK//MERRILL/WACHOVIA-SEC
/AG-EDWARDS-INC/HR-BLOCK-FIN/HILLIARD
/OPPENHEIMER-CO/RAYMOND/RBC-CAP-MKTS
/WELLS-FARGO//PIPER-JAFFRAY/ADVEST
/BAIRD/LEGG-MASON-WW/BROOKSTREET
/KEY-MCDONALD/MORGAN-KEEGAN
/SUNTRUST-CAP/CROWELL/FBT-INVESTMENTS
/FERRIS-BAKER/J-B-HANAUER
/ROYAL-ALLIANCE/RYAN-BECK
/SOUTHTRUST-SEC/STONE-YOUNG
/TD-WATERHOUSE/WEDBUSH-M/ZIEGLER
/AXIOM-CAP/BB-T-CAP/CADARET-GRANT
/DAVIDSON/FINANCE-INC/FIRST-SW
/GUNNALLEN-FINL/J-P-TURNER/MESIROW-FIN
/D-A-NOYES/PARKER-HUNTER/PAULSON
/PEACOCK-HISLOP/SANDERS-HARRIS
/SMITH-HAYES/SWS-SEC/SPELMAN
/STANFORD-GROUP/STEPHENS/M-L-STERN
/STERNE-AGEE/STRAND-ATKIN
/TRUBEE-COLLINS/WUNDERLICH</t>
  </si>
  <si>
    <t>UBS-INV-BANK
MERRILL
WACHOVIA-SEC
AG-EDWARDS-INC
HR-BLOCK-FIN
HILLIARD
OPPENHEIMER-CO
RAYMOND
RBC-CAP-MKTS
WELLS-FARGO</t>
  </si>
  <si>
    <t>UBS Investment Bank
Merrill Lynch &amp; Co Inc
Wachovia Securities Inc
AG Edwards Inc
H&amp;R Block Financial Advisors
JJB Hilliard WL Lyons Inc
Oppenheimer &amp; Co Inc
Raymond James &amp; Associates Inc
RBC Capital Markets
Wells Fargo Bank NA</t>
  </si>
  <si>
    <t>Nuveen Premium Opportunity</t>
  </si>
  <si>
    <t>JSN</t>
  </si>
  <si>
    <t>6706EM102</t>
  </si>
  <si>
    <t>Citigroup
Wachovia Securities Inc
RBC Capital Markets
Nuveen Investments LLC
AG Edwards &amp; Sons Inc
Deutsche Bank Securities Corp
Advest Inc
H&amp;R Block Financial Advisors
Ferris Baker Watts
JJB Hilliard WL Lyons Inc
Janney Montgomery Scott LLC
KeyCorp/McDonald Investments
Legg Mason Wood Walker
Oppenheimer &amp; Co Inc
Ryan Beck &amp; Co
Stifel Nicolaus &amp; Co Inc
SunTrust Capital Markets
Wedbush Securities
Robert W Baird &amp; Co Inc
Doft &amp; Co Inc
J. B. Hanauer
Piper Jaffray Cos
TD Waterhouse Investor Svcs
Axiom Capital Management Inc
BB&amp;T Capital Markets
Brookstreet Securities
Crowell Weedon &amp; Co
Hazlett, Burt &amp; Watson
M. L. Stern
Mesirow Financial Corp
Southwest Securities Inc
DA Davidson &amp; Co Inc
First Montauk Securities
GMS Group
GunnAllen Financial Inc
HARRISdirect LLC
Maxim Group LLC
National Securities Corp (US)
Newbridge Securities
Parker-Hunter Inc
Sanders Morris Harris Inc
Sterne Agee &amp; Leach Inc
Stockcross Inc
Strand,Atkinson,Williams&amp;Yerl</t>
  </si>
  <si>
    <t>CITIGROUP//WACHOVIA-SEC/RBC-CAP-MKTS
/NUVEEN-INV/A-G-EDWARDS/DEUTSCHE-BK-SEC
/ADVEST/HR-BLOCK-FIN/FERRIS-BAKER
/HILLIARD/JANNEY-LLC/KEY-MCDONALD
/LEGG-MASON-WW/OPPENHEIMER-CO/RYAN-BECK
/STIFEL/SUNTRUST-CAP/WEDBUSH-M//BAIRD
/DOFT/J-B-HANAUER/PIPER-JAFFRAY
/TD-WATERHOUSE/AXIOM-CAP/BB-T-CAP
/BROOKSTREET/CROWELL/HAZLETT/M-L-STERN
/MESIROW-FIN/SWS-SEC/DAVIDSON
/FIRST-MONTAUK/GMS-GROUP/GUNNALLEN-FINL
/HARRISDIRECT/MAXIM-GROUP/NATL-SEC
/NEWBRIDGE/PARKER-HUNTER/SANDERS-HARRIS
/STERNE-AGEE/STOCK-INC/STRAND-ATKIN</t>
  </si>
  <si>
    <t>CITIGROUP
WACHOVIA-SEC
RBC-CAP-MKTS
NUVEEN-INV
A-G-EDWARDS
DEUTSCHE-BK-SEC
ADVEST
HR-BLOCK-FIN
FERRIS-BAKER
HILLIARD
JANNEY-LLC
KEY-MCDONALD
LEGG-MASON-WW
OPPENHEIMER-CO
RYAN-BECK
STIFEL
SUNTRUST-CAP
WEDBUSH-M</t>
  </si>
  <si>
    <t>Citigroup
Wachovia Securities Inc
RBC Capital Markets
Nuveen Investments LLC
AG Edwards &amp; Sons Inc
Deutsche Bank Securities Corp.
Advest Inc
H&amp;R Block Financial Advisors
Ferris Baker Watts Inc
JJB Hilliard WL Lyons Inc
Janney Montgomery Scott LLC
KeyCorp/McDonald Investments
Legg Mason Wood Walker Inc
Oppenheimer &amp; Co Inc
Ryan Beck &amp; Co
Stifel Nicolaus &amp; Co Inc
SunTrust Capital Markets
Wedbush Securities</t>
  </si>
  <si>
    <t>optionsXpress Holdings Inc</t>
  </si>
  <si>
    <t>OXPS</t>
  </si>
  <si>
    <t>Goldman Sachs &amp; Co
Merrill Lynch
Raymond James &amp; Associates Inc
William Blair &amp; Co
Sandler O'Neill Partners</t>
  </si>
  <si>
    <t>07/25/05
04/26/05
07/25/05</t>
  </si>
  <si>
    <t xml:space="preserve">3.940
62.682
</t>
  </si>
  <si>
    <t>180
90
180</t>
  </si>
  <si>
    <t xml:space="preserve">2422571.00
38546055.00
</t>
  </si>
  <si>
    <t>GS/MERRILL(JOINT)//RAYMOND/WM-BLAIR
/SANDLER-ONEILL</t>
  </si>
  <si>
    <t>GS
/MERRILL(JOINT)
RAYMOND
WM-BLAIR
SANDLER-ONEILL</t>
  </si>
  <si>
    <t>Goldman Sachs &amp; Co
Merrill Lynch &amp; Co Inc
Raymond James &amp; Associates Inc
William Blair &amp; Co
Sandler O'Neill Partners  L.P.</t>
  </si>
  <si>
    <t>Dollar Financial Corp</t>
  </si>
  <si>
    <t>DLLR</t>
  </si>
  <si>
    <t>PIPER-JAFFRAY
/JEFFERIES(JB)</t>
  </si>
  <si>
    <t>Piper Jaffray Cos
Jefferies &amp; Co Inc
Ferris Baker Watts
Keefe Bruyette &amp; Woods Inc
JMP Securities LLC
Roth Capital Partners Inc
ABN AMRO Rothschild</t>
  </si>
  <si>
    <t>07/26/05
07/26/05
07/26/05</t>
  </si>
  <si>
    <t xml:space="preserve">59.114
</t>
  </si>
  <si>
    <t xml:space="preserve">10843903.00
</t>
  </si>
  <si>
    <t>PIPER-JAFFRAY(JB)/JEFFERIES(JB)
//FERRIS-BAKER/KEEFE/JMP-SEC
/ROTH-CAPITAL/ABN-ROTHSCHILD</t>
  </si>
  <si>
    <t>PIPER-JAFFRAY/JEFFERIES</t>
  </si>
  <si>
    <t>PIPER-JAFFRAY
(JB)/JEFFERIES(JB)
FERRIS-BAKER
KEEFE
JMP-SEC
ROTH-CAPITAL
ABN-ROTHSCHILD</t>
  </si>
  <si>
    <t>Piper Jaffray Cos
Jefferies &amp; Co Inc
Ferris Baker Watts Inc
Keefe Bruyette &amp; Woods Inc
JMP Securities LLC
Roth Capital Partners Inc
ABN AMRO Rothschild</t>
  </si>
  <si>
    <t>National Interstate Corp</t>
  </si>
  <si>
    <t>NATL</t>
  </si>
  <si>
    <t>63654U100</t>
  </si>
  <si>
    <t>Merrill Lynch
KeyCorp/McDonald Investments
Morgan Keegan Inc
Wachovia Capital Markets
Natcity Investments Inc.</t>
  </si>
  <si>
    <t>07/26/05
07/26/05</t>
  </si>
  <si>
    <t xml:space="preserve">73.179
</t>
  </si>
  <si>
    <t xml:space="preserve">13878600.00
</t>
  </si>
  <si>
    <t>AFG</t>
  </si>
  <si>
    <t>American Financial Group Inc</t>
  </si>
  <si>
    <t>MERRILL//KEY-MCDONALD/MORGAN-KEEGAN
//WACHOVIA-CAP/NATCITY-INVEST</t>
  </si>
  <si>
    <t>MERRILL
KEY-MCDONALD
MORGAN-KEEGAN</t>
  </si>
  <si>
    <t>Merrill Lynch &amp; Co Inc
KeyCorp/McDonald Investments
Morgan Keegan Inc</t>
  </si>
  <si>
    <t>W&amp;T Offshore Inc</t>
  </si>
  <si>
    <t>WTI</t>
  </si>
  <si>
    <t>LEH/JEFFERIES(JB)</t>
  </si>
  <si>
    <t>92922P106</t>
  </si>
  <si>
    <t>Lehman Brothers
Jefferies &amp; Co Inc
JP Morgan
Raymond James &amp; Associates Inc
RBC Capital Markets
Harris Nesbitt</t>
  </si>
  <si>
    <t xml:space="preserve">76.985
</t>
  </si>
  <si>
    <t xml:space="preserve">50786513.00
</t>
  </si>
  <si>
    <t>LEH(JB)/JEFFERIES(JB)//JPM/RAYMOND
/RBC-CAP-MKTS/HARRN</t>
  </si>
  <si>
    <t>LEH/JEFFERIES</t>
  </si>
  <si>
    <t>LEH
(JB)/JEFFERIES(JB)
JPM
RAYMOND
RBC-CAP-MKTS
HARRN</t>
  </si>
  <si>
    <t>Lehman Brothers
Jefferies &amp; Co Inc
JP Morgan &amp; Co Inc
Raymond James &amp; Associates Inc
RBC Capital Markets
Harris Nesbitt</t>
  </si>
  <si>
    <t>Favrille Inc</t>
  </si>
  <si>
    <t>FVRL</t>
  </si>
  <si>
    <t>Bear Stearns &amp; Co Inc
CIBC World Markets Inc
Needham &amp; Co LLC
AG Edwards &amp; Sons Inc</t>
  </si>
  <si>
    <t>08/01/05
02/02/06
08/01/05
02/02/06</t>
  </si>
  <si>
    <t xml:space="preserve">28.112
41.912
</t>
  </si>
  <si>
    <t>180
365
180
365</t>
  </si>
  <si>
    <t xml:space="preserve">5626949.00
8389081.00
</t>
  </si>
  <si>
    <t>BEAR//CIBC-WORLD/NEEDHAM/A-G-EDWARDS</t>
  </si>
  <si>
    <t>BEAR
CIBC-WORLD
NEEDHAM
A-G-EDWARDS</t>
  </si>
  <si>
    <t>American Reprographics Co</t>
  </si>
  <si>
    <t>ARP</t>
  </si>
  <si>
    <t>029263100</t>
  </si>
  <si>
    <t>Goldman Sachs &amp; Co
JP Morgan
Credit Suisse First Boston
Robert W Baird &amp; Co Inc
CIBC World Markets Inc</t>
  </si>
  <si>
    <t>08/02/05
08/02/05
08/02/05</t>
  </si>
  <si>
    <t xml:space="preserve">69.773
</t>
  </si>
  <si>
    <t xml:space="preserve">30636296.00
</t>
  </si>
  <si>
    <t>GS(JB)/JPM(JB)//CS-FB-CS/BAIRD
/CIBC-WORLD</t>
  </si>
  <si>
    <t>GS
(JB)/JPM(JB)
CS-FB-CS
BAIRD
CIBC-WORLD</t>
  </si>
  <si>
    <t>Goldman Sachs &amp; Co
JP Morgan &amp; Co Inc
Credit Suisse First Boston Corp
Robert W Baird &amp; Co Inc
CIBC World Markets Inc</t>
  </si>
  <si>
    <t>FairPoint Communications Inc</t>
  </si>
  <si>
    <t>FRP</t>
  </si>
  <si>
    <t>MORGAN-STANLEY/GS(JB)
/BA-SEC-LLC(JB)
/DEUTSCHE-BK-SEC(JB)</t>
  </si>
  <si>
    <t>Morgan Stanley
Goldman Sachs &amp; Co
Banc of America Securities LLC
Deutsche Bank Securities Corp
Credit Suisse First Boston
Wachovia Securities Inc</t>
  </si>
  <si>
    <t>05/04/05
08/02/05
08/02/05</t>
  </si>
  <si>
    <t xml:space="preserve">27.063
</t>
  </si>
  <si>
    <t xml:space="preserve">9451716.00
</t>
  </si>
  <si>
    <t>MORGAN-STANLEY(JB)/GS(JB)
/BA-SEC-LLC(JB)/DEUTSCHE-BK-SEC(JB)
//CS-FB-CS/WACHOVIA-SEC</t>
  </si>
  <si>
    <t>MORGAN-STANLEY/GS/BA-SEC-LLC
/DEUTSCHE-BK-SEC</t>
  </si>
  <si>
    <t>MORGAN-STANLEY
(JB)/GS(JB)
/BA-SEC-LLC(JB)
/DEUTSCHE-BK-SEC(JB)
CS-FB-CS
WACHOVIA-SEC</t>
  </si>
  <si>
    <t>Morgan Stanley
Goldman Sachs &amp; Co
Banc of America Securities LLC
Deutsche Bank Securities Corp.
Credit Suisse First Boston Corp
Wachovia Securities Inc</t>
  </si>
  <si>
    <t>Hurray! Holding Co Ltd</t>
  </si>
  <si>
    <t>HRAY</t>
  </si>
  <si>
    <t>Citigroup
Piper Jaffray Cos
ThinkEquity Partners</t>
  </si>
  <si>
    <t>08/02/05
08/02/05</t>
  </si>
  <si>
    <t xml:space="preserve">68.550
</t>
  </si>
  <si>
    <t xml:space="preserve">1499595840.0
</t>
  </si>
  <si>
    <t>CITIGROUP//PIPER-JAFFRAY/THINK</t>
  </si>
  <si>
    <t>CITIGROUP
PIPER-JAFFRAY
THINK</t>
  </si>
  <si>
    <t>Icagen Inc</t>
  </si>
  <si>
    <t>ICGN</t>
  </si>
  <si>
    <t>45104P500</t>
  </si>
  <si>
    <t>JP Morgan
UBS Investment Bank
CIBC World Markets Inc</t>
  </si>
  <si>
    <t xml:space="preserve">76.683
</t>
  </si>
  <si>
    <t xml:space="preserve">16443706.00
</t>
  </si>
  <si>
    <t>JPM(JB)/UBS-INV-BANK(JB)//CIBC-WORLD</t>
  </si>
  <si>
    <t>JPM
(JB)/UBS-INV-BANK(JB)
CIBC-WORLD</t>
  </si>
  <si>
    <t>JP Morgan &amp; Co Inc
UBS Investment Bank
CIBC World Markets Inc</t>
  </si>
  <si>
    <t>Threshold Pharmaceuticals Inc</t>
  </si>
  <si>
    <t>THLD</t>
  </si>
  <si>
    <t>Banc of America Securities LLC
CIBC World Markets Inc
Lazard Freres &amp; Co LLC
William Blair &amp; Co</t>
  </si>
  <si>
    <t>BA-SEC-LLC(JB)/CIBC-WORLD(JB)//LAZ
/WM-BLAIR</t>
  </si>
  <si>
    <t>BA-SEC-LLC
(JB)/CIBC-WORLD(JB)
LAZ
WM-BLAIR</t>
  </si>
  <si>
    <t>DryShips Inc</t>
  </si>
  <si>
    <t>DRYS</t>
  </si>
  <si>
    <t>Y2109Q101</t>
  </si>
  <si>
    <t>Cantor Fitzgerald Inc
Hibernia Southcoast Capital
Oppenheimer &amp; Co Inc
Dahlman Rose Weiss LLC
HARRISdirect LLC</t>
  </si>
  <si>
    <t xml:space="preserve">56.196
</t>
  </si>
  <si>
    <t xml:space="preserve">16677778.00
</t>
  </si>
  <si>
    <t>CANTOR//HIBERNIA-SOUTH/OPPENHEIMER-CO
/DAHLMAN-ROSE/HARRISDIRECT</t>
  </si>
  <si>
    <t>CANTOR
HIBERNIA-SOUTH
OPPENHEIMER-CO
DAHLMAN-ROSE
HARRISDIRECT</t>
  </si>
  <si>
    <t>Cantor Fitzgerald Inc
Hibernia Southcoast Capital Inc
Oppenheimer &amp; Co Inc
Dahlman Rose Weiss LLC
HARRISdirect LLC</t>
  </si>
  <si>
    <t>Gravity Co Ltd</t>
  </si>
  <si>
    <t>GRVY</t>
  </si>
  <si>
    <t>38911N107</t>
  </si>
  <si>
    <t>Credit Suisse First Boston
Daewoo Securities Co Ltd
CIBC World Markets Inc
CLSA</t>
  </si>
  <si>
    <t>08/06/05
08/06/05
08/06/05</t>
  </si>
  <si>
    <t xml:space="preserve">15.521
</t>
  </si>
  <si>
    <t xml:space="preserve">4455400.00
</t>
  </si>
  <si>
    <t>CS-FB-CS//DAEWOO/CIBC-WORLD/CLSA-HK</t>
  </si>
  <si>
    <t>CS-FB-CS
DAEWOO
CIBC-WORLD
CLSA-HK</t>
  </si>
  <si>
    <t>Credit Suisse First Boston Corp
Daewoo Securities Co Ltd
CIBC World Markets Inc
CLSA Asia-Pacific Markets Ltd</t>
  </si>
  <si>
    <t>FTD Group Inc</t>
  </si>
  <si>
    <t>FTD</t>
  </si>
  <si>
    <t>GS/CITIGROUP(JB)</t>
  </si>
  <si>
    <t>30267U108</t>
  </si>
  <si>
    <t>Goldman Sachs &amp; Co
Citigroup
Merrill Lynch
William Blair &amp; Co
Piper Jaffray Cos</t>
  </si>
  <si>
    <t>GS(JB)/CITIGROUP(JB)/MERRILL(JOINT)
//WM-BLAIR/PIPER-JAFFRAY</t>
  </si>
  <si>
    <t>GS/CITIGROUP/MERRILL</t>
  </si>
  <si>
    <t>GS
(JB)/CITIGROUP(JB)
/MERRILL(JOINT)
WM-BLAIR
PIPER-JAFFRAY</t>
  </si>
  <si>
    <t>Goldman Sachs &amp; Co
Citigroup
Merrill Lynch &amp; Co Inc
William Blair &amp; Co
Piper Jaffray Cos</t>
  </si>
  <si>
    <t>Tri-S Security Corp</t>
  </si>
  <si>
    <t>TRIS</t>
  </si>
  <si>
    <t>CGF-SEC
/BATHGATE-MCCOLL(JB)</t>
  </si>
  <si>
    <t>Capital Growth Financial LLC
Bathgate McColley Capital Grou
Maxim Capital Inc
Pali Capital LLC
Paulson Investment Co
Newbridge Securities
Chicago Investment Group LLC
S W Bach &amp; Company</t>
  </si>
  <si>
    <t>CGF-SEC(JB)/BATHGATE-MCCOLL(JB)
//MAXIM-CAPITAL/PALI-CAPITAL/PAULSON
/NEWBRIDGE/CHICAGO-INV/SW-BACH</t>
  </si>
  <si>
    <t>CGF-SEC/BATHGATE-MCCOLL</t>
  </si>
  <si>
    <t>CGF-SEC
(JB)/BATHGATE-MCCOLL(JB)</t>
  </si>
  <si>
    <t>Capital Growth Financial LLC
Bathgate McColley Capital Group LLC</t>
  </si>
  <si>
    <t>Valor Communications Group Inc</t>
  </si>
  <si>
    <t>VCG</t>
  </si>
  <si>
    <t>MERRILL/BA-SEC-LLC(JB)
/JPM(JB)</t>
  </si>
  <si>
    <t>Merrill Lynch
Banc of America Securities LLC
JP Morgan
Lehman Brothers
Morgan Stanley
Wachovia Securities Inc
Bear Stearns &amp; Co Inc
CIBC World Markets Inc
Legg Mason Wood Walker
Raymond James &amp; Associates Inc
Calyon Securities USA Inc
First Southwest
Gabelli &amp; Co Inc
KeyCorp/McDonald Investments
Maxim Group LLC
Morgan Keegan Inc
Oppenheimer &amp; Co Inc
Sanders Morris Harris Inc
Scotia Capital Markets
Muriel Siebert &amp; Co
SunTrust Capital Markets
Williams Capital Group LP</t>
  </si>
  <si>
    <t>08/13/05
08/13/05</t>
  </si>
  <si>
    <t xml:space="preserve">58.529
</t>
  </si>
  <si>
    <t>186
186</t>
  </si>
  <si>
    <t xml:space="preserve">41458333.00
</t>
  </si>
  <si>
    <t>MERRILL(JB)/BA-SEC-LLC(JB)/JPM(JB)//LEH
/MORGAN-STANLEY/WACHOVIA-SEC/BEAR
/CIBC-WORLD/LEGG-MASON-WW/RAYMOND
//CALYON-SEC/FIRST-SW/GABELLI
/KEY-MCDONALD/MAXIM-GROUP/MORGAN-KEEGAN
/OPPENHEIMER-CO/SANDERS-HARRIS
/SCOTIA-CAP-USA/MURIEL/SUNTRUST-CAP
/WILLIAMS-CAP</t>
  </si>
  <si>
    <t>MERRILL/BA-SEC-LLC/JPM</t>
  </si>
  <si>
    <t>MERRILL
(JB)/BA-SEC-LLC(JB)
/JPM(JB)
LEH
MORGAN-STANLEY
WACHOVIA-SEC
BEAR
CIBC-WORLD
LEGG-MASON-WW
RAYMOND</t>
  </si>
  <si>
    <t>Merrill Lynch &amp; Co Inc
Banc of America Securities LLC
JP Morgan &amp; Co Inc
Lehman Brothers
Morgan Stanley
Wachovia Securities Inc
Bear Stearns &amp; Co Inc
CIBC World Markets Inc
Legg Mason Wood Walker Inc
Raymond James &amp; Associates Inc</t>
  </si>
  <si>
    <t>Emageon Inc</t>
  </si>
  <si>
    <t>EMAG</t>
  </si>
  <si>
    <t>WACHOVIA-SEC
/PIPER-JAFFRAY(JB)</t>
  </si>
  <si>
    <t>29076V109</t>
  </si>
  <si>
    <t>Wachovia Securities Inc
Piper Jaffray Cos
Raymond James &amp; Associates Inc
Friedman Billings Ramsey Group</t>
  </si>
  <si>
    <t>05/10/05
08/08/05
08/08/05</t>
  </si>
  <si>
    <t>1.329
63.021
4.416</t>
  </si>
  <si>
    <t xml:space="preserve">90
180
180
</t>
  </si>
  <si>
    <t>270984.00
12845509.00
900041.00</t>
  </si>
  <si>
    <t>WACHOVIA-SEC(JB)/PIPER-JAFFRAY(JB)
//RAYMOND/FRIEDMAN-B</t>
  </si>
  <si>
    <t>WACHOVIA-SEC/PIPER-JAFFRAY</t>
  </si>
  <si>
    <t>WACHOVIA-SEC
(JB)/PIPER-JAFFRAY(JB)
RAYMOND
FRIEDMAN-B</t>
  </si>
  <si>
    <t>Nasdaq Stock Market Inc</t>
  </si>
  <si>
    <t>NDAQ</t>
  </si>
  <si>
    <t>Merrill Lynch
Credit Suisse First Boston
Citigroup
Morgan Stanley
Thomas Weisel Partners
Sandler O'Neill Partners</t>
  </si>
  <si>
    <t>05/10/05
05/10/05</t>
  </si>
  <si>
    <t>90
90</t>
  </si>
  <si>
    <t>MERRILL(JB)/CS-FB-CS(JB)//CITIGROUP
/MORGAN-STANLEY/THOMAS-WEISEL
/SANDLER-ONEILL</t>
  </si>
  <si>
    <t>MERRILL
(JB)/CS-FB-CS(JB)
CITIGROUP
MORGAN-STANLEY
THOMAS-WEISEL
SANDLER-ONEILL</t>
  </si>
  <si>
    <t>Merrill Lynch &amp; Co Inc
Credit Suisse First Boston Corp
Citigroup
Morgan Stanley
Thomas Weisel Partners
Sandler O'Neill Partners  L.P.</t>
  </si>
  <si>
    <t>Prestige Brands Holdings Inc</t>
  </si>
  <si>
    <t>PBH</t>
  </si>
  <si>
    <t>MERRILL/GS(JB)/JPM(JB)</t>
  </si>
  <si>
    <t>74112D101</t>
  </si>
  <si>
    <t>Merrill Lynch
Goldman Sachs &amp; Co
JP Morgan
William Blair &amp; Co
Piper Jaffray Cos
SunTrust Robinson Humphrey
Avondale Partners
Robert W Baird &amp; Co Inc
Oppenheimer &amp; Co Inc
Muriel Siebert &amp; Co</t>
  </si>
  <si>
    <t>08/08/05
11/06/05
02/09/06</t>
  </si>
  <si>
    <t>43.723
0.277
44.000</t>
  </si>
  <si>
    <t>180
270
365</t>
  </si>
  <si>
    <t>21861453.00
138547.00
22000000.00</t>
  </si>
  <si>
    <t>MERRILL(JB)/GS(JB)/JPM(JB)//WM-BLAIR
/PIPER-JAFFRAY/SUNTRUST-RH//AVONDALE
/BAIRD/OPPENHEIMER-CO/MURIEL</t>
  </si>
  <si>
    <t>MERRILL/GS/JPM</t>
  </si>
  <si>
    <t>MERRILL
(JB)/GS(JB)
/JPM(JB)
WM-BLAIR
PIPER-JAFFRAY
SUNTRUST-RH</t>
  </si>
  <si>
    <t>Merrill Lynch &amp; Co Inc
Goldman Sachs &amp; Co
JP Morgan &amp; Co Inc
William Blair &amp; Co
Piper Jaffray Cos
SunTrust Robinson Humphrey</t>
  </si>
  <si>
    <t>Syniverse Holdings Inc</t>
  </si>
  <si>
    <t>SVR</t>
  </si>
  <si>
    <t>87163F106</t>
  </si>
  <si>
    <t>Lehman Brothers
Goldman Sachs &amp; Co
Bear Stearns &amp; Co Inc
Deutsche Bank Securities Corp
Robert W Baird &amp; Co Inc
Friedman Billings Ramsey Group
Raymond James &amp; Associates Inc</t>
  </si>
  <si>
    <t>05/10/05
08/08/05</t>
  </si>
  <si>
    <t xml:space="preserve">73.961
</t>
  </si>
  <si>
    <t xml:space="preserve">50047226.00
</t>
  </si>
  <si>
    <t>LEH(JB)/GS(JB)/BEAR(JOINT)
//DEUTSCHE-BK-SEC/BAIRD/FRIEDMAN-B
/RAYMOND</t>
  </si>
  <si>
    <t>LEH/GS/BEAR</t>
  </si>
  <si>
    <t>LEH
(JB)/GS(JB)
/BEAR(JOINT)
DEUTSCHE-BK-SEC
BAIRD
FRIEDMAN-B
RAYMOND</t>
  </si>
  <si>
    <t>Lehman Brothers
Goldman Sachs &amp; Co
Bear Stearns &amp; Co Inc
Deutsche Bank Securities Corp.
Robert W Baird &amp; Co Inc
Friedman Billings Ramsey Group
Raymond James &amp; Associates Inc</t>
  </si>
  <si>
    <t>Hiland Partners LP</t>
  </si>
  <si>
    <t>HLND</t>
  </si>
  <si>
    <t>A-G-EDWARDS/RAYMOND/RBC-CAP-MKTS(JOINT)</t>
  </si>
  <si>
    <t>A-G-EDWARDS/RAYMOND/RBC-CAP-MKTS</t>
  </si>
  <si>
    <t>A-G-EDWARDS
/RAYMOND
/RBC-CAP-MKTS(JOINT)</t>
  </si>
  <si>
    <t>Huntsman Corp</t>
  </si>
  <si>
    <t>HUN</t>
  </si>
  <si>
    <t>CITIGROUP/CS-FB-CS(JB)
/MERRILL(JB)
/DEUTSCHE-BK-SEC(JB)</t>
  </si>
  <si>
    <t>Citigroup
Credit Suisse First Boston
Merrill Lynch
Deutsche Bank Securities Corp
JP Morgan
Lehman Brothers
UBS Investment Bank
CIBC World Markets Inc
Jefferies &amp; Co Inc
Natexis Bleichroeder Inc
Scotia Capital (USA) Inc.
WR Hambrecht &amp; Co LLC
Blaylock &amp; Partners LP
CMG Institutional Trading LLC
Samuel A. Ramirez &amp; Co.
Muriel Siebert &amp; Co
Williams Capital Group LP</t>
  </si>
  <si>
    <t>08/09/05
08/09/05
08/09/05</t>
  </si>
  <si>
    <t xml:space="preserve">72.447
</t>
  </si>
  <si>
    <t xml:space="preserve">159711891.00
</t>
  </si>
  <si>
    <t>HMP Equity Trust</t>
  </si>
  <si>
    <t>CITIGROUP(JB)/CS-FB-CS(JB)/MERRILL(JB)
/DEUTSCHE-BK-SEC(JB)//JPM/LEH
/UBS-INV-BANK/CIBC-WORLD/JEFFERIES
/NATEXIS/SCOTIA-CAP/W-R-HAMBRECHT
//BLAYLOCK-PTRNS/CMG-LLC/RAMIREZ/MURIEL
/WILLIAMS-CAP</t>
  </si>
  <si>
    <t>CITIGROUP/CS-FB-CS/MERRILL
/DEUTSCHE-BK-SEC</t>
  </si>
  <si>
    <t>CITIGROUP
(JB)/CS-FB-CS(JB)
/MERRILL(JB)
/DEUTSCHE-BK-SEC(JB)
JPM
LEH
UBS-INV-BANK
CIBC-WORLD
JEFFERIES
NATEXIS
SCOTIA-CAP
W-R-HAMBRECHT</t>
  </si>
  <si>
    <t>Citigroup
Credit Suisse First Boston Corp
Merrill Lynch &amp; Co Inc
Deutsche Bank Securities Corp.
JP Morgan &amp; Co Inc
Lehman Brothers
UBS Investment Bank
CIBC World Markets Inc
Jefferies &amp; Co Inc
Natexis Bleichroeder Inc
Scotia Capital (USA) Inc.
WR Hambrecht &amp; Co LLC</t>
  </si>
  <si>
    <t>Universal Truckload Svcs Inc</t>
  </si>
  <si>
    <t>UACL</t>
  </si>
  <si>
    <t>91388P105</t>
  </si>
  <si>
    <t>Stephens Inc
BB&amp;T Capital Markets
Legg Mason Wood Walker
AG Edwards &amp; Sons Inc
Merrill Lynch
UBS Securities Inc
Avondale Partners
Morgan Keegan Inc
Raymond James &amp; Associates Inc
SunTrust Capital Markets</t>
  </si>
  <si>
    <t>STEPHENS//BB-T-CAP/LEGG-MASON-WW
//A-G-EDWARDS/MERRILL/UBS-SEC/AVONDALE
/MORGAN-KEEGAN/RAYMOND/SUNTRUST-CAP</t>
  </si>
  <si>
    <t>STEPHENS
BB-T-CAP
LEGG-MASON-WW</t>
  </si>
  <si>
    <t>Stephens Inc
BB&amp;T Capital Markets
Legg Mason Wood Walker Inc</t>
  </si>
  <si>
    <t>Cardiovascular Biotherapeutics</t>
  </si>
  <si>
    <t>CVBT</t>
  </si>
  <si>
    <t>FIRST-DUN</t>
  </si>
  <si>
    <t>First Dunbar Securities Corp</t>
  </si>
  <si>
    <t>02/06/06
08/05/06</t>
  </si>
  <si>
    <t>56.324
24.980</t>
  </si>
  <si>
    <t>360
540</t>
  </si>
  <si>
    <t>69063300.00
30630000.00</t>
  </si>
  <si>
    <t>Fusion Telecommun Intl Inc</t>
  </si>
  <si>
    <t>FSN</t>
  </si>
  <si>
    <t>36113B301</t>
  </si>
  <si>
    <t>Kirlin Securities Inc.
Maxim Group LLC
Joseph Stevens &amp; Company
GunnAllen Financial Inc</t>
  </si>
  <si>
    <t>02/06/06
02/06/06</t>
  </si>
  <si>
    <t xml:space="preserve">86.319
</t>
  </si>
  <si>
    <t xml:space="preserve">22713558.00
</t>
  </si>
  <si>
    <t>KIRLIN//MAXIM-GROUP/JOSEPH-STEVENS
/GUNNALLEN-FINL</t>
  </si>
  <si>
    <t>Alpha Natural Resources Inc</t>
  </si>
  <si>
    <t>ANR</t>
  </si>
  <si>
    <t>02076X102</t>
  </si>
  <si>
    <t>Morgan Stanley
Citigroup
UBS Investment Bank
Bear Stearns &amp; Co Inc
Lehman Brothers
ABN AMRO Rothschild
Natexis Bleichroeder Inc</t>
  </si>
  <si>
    <t>MORGAN-STANLEY(JB)/CITIGROUP(JB)
//UBS-INV-BANK/BEAR/LEH/ABN-ROTHSCHILD
/NATEXIS</t>
  </si>
  <si>
    <t>MORGAN-STANLEY/CITIGROUP</t>
  </si>
  <si>
    <t>MORGAN-STANLEY
(JB)/CITIGROUP(JB)
UBS-INV-BANK
BEAR
LEH
ABN-ROTHSCHILD
NATEXIS</t>
  </si>
  <si>
    <t>Coastal Bancshares Acq Corp</t>
  </si>
  <si>
    <t>CBAS</t>
  </si>
  <si>
    <t>I-BANKERS-SEC
/NEWBRIDGE(JB)</t>
  </si>
  <si>
    <t>I-Bankers Securities Inc
Newbridge Securities
Maxim Group LLC
Broadband Capital Management
Legend Merchant Group Inc
Westminster Securities
Capital Growth Financial LLC
Bathgate Capital Partners LLC</t>
  </si>
  <si>
    <t>I-BANKERS-SEC(JB)/NEWBRIDGE(JB)
//MAXIM-GROUP/BROADBAND/LEGEND-MERCHANT
/WESTMINSTER/CGF-SEC/BATHGATE-CAP</t>
  </si>
  <si>
    <t>I-BANKERS-SEC/NEWBRIDGE</t>
  </si>
  <si>
    <t>I-BANKERS-SEC
(JB)/NEWBRIDGE(JB)</t>
  </si>
  <si>
    <t>I-Bankers Securities Inc
Newbridge Securities</t>
  </si>
  <si>
    <t>ECC Capital Corp</t>
  </si>
  <si>
    <t>ECR</t>
  </si>
  <si>
    <t>26826M108</t>
  </si>
  <si>
    <t>Friedman Billings Ramsey Group
Stifel Nicolaus &amp; Co Inc
Flagstone Securities Inc
JMP Securities LLC
Roth Capital Partners Inc</t>
  </si>
  <si>
    <t>08/13/05
08/13/05
08/13/05</t>
  </si>
  <si>
    <t xml:space="preserve">41.462
</t>
  </si>
  <si>
    <t xml:space="preserve">40406108.00
</t>
  </si>
  <si>
    <t>FRIEDMAN-B//STIFEL/FLAGSTONE/JMP-SEC
/ROTH-CAPITAL</t>
  </si>
  <si>
    <t>FRIEDMAN-B
STIFEL
FLAGSTONE
JMP-SEC
ROTH-CAPITAL</t>
  </si>
  <si>
    <t>Odimo Inc</t>
  </si>
  <si>
    <t>ODMO</t>
  </si>
  <si>
    <t>67606R107</t>
  </si>
  <si>
    <t>CIBC World Markets Inc
Oppenheimer &amp; Co Inc
Merriman Curhan Ford &amp; Co
William Blair &amp; Co
WR Hambrecht &amp; Co LLC
Piper Jaffray Cos
Wedbush Securities
Williams Capital Group LP</t>
  </si>
  <si>
    <t>CIBC-WORLD//OPPENHEIMER-CO/MERR-CUR
//WM-BLAIR/W-R-HAMBRECHT/PIPER-JAFFRAY
/WEDBUSH-M/WILLIAMS-CAP</t>
  </si>
  <si>
    <t>CIBC-WORLD
OPPENHEIMER-CO
MERR-CUR</t>
  </si>
  <si>
    <t>CIBC World Markets Inc
Oppenheimer &amp; Co Inc
Merriman Curhan Ford &amp; Co</t>
  </si>
  <si>
    <t>Preferred Bank,Los Angeles,CA</t>
  </si>
  <si>
    <t>PFBC</t>
  </si>
  <si>
    <t>Sandler O'Neill Partners
Keefe Bruyette &amp; Woods Inc
RBC Capital Markets</t>
  </si>
  <si>
    <t>SANDLER-ONEILL//KEEFE/RBC-CAP-MKTS</t>
  </si>
  <si>
    <t>SANDLER-ONEILL
KEEFE
RBC-CAP-MKTS</t>
  </si>
  <si>
    <t>Sandler O'Neill Partners  L.P.
Keefe Bruyette &amp; Woods Inc
RBC Capital Markets</t>
  </si>
  <si>
    <t>Veri-Tek International Corp</t>
  </si>
  <si>
    <t>VCC</t>
  </si>
  <si>
    <t>ANDERSON</t>
  </si>
  <si>
    <t>92342X101</t>
  </si>
  <si>
    <t>Anderson &amp; Strudwick</t>
  </si>
  <si>
    <t>Wright Express Corp</t>
  </si>
  <si>
    <t>WXS</t>
  </si>
  <si>
    <t>JPM/CS-FB-CS(JB)
/MERRILL(JB)</t>
  </si>
  <si>
    <t>98233Q105</t>
  </si>
  <si>
    <t>JP Morgan
Credit Suisse First Boston
Merrill Lynch
Banc of America Securities LLC
Citigroup
Deutsche Bank Securities Corp
Goldman Sachs &amp; Co
Lehman Brothers
UBS Investment Bank
Wachovia Securities Inc
Harris Nesbitt Thomson Secs
Lazard Freres &amp; Co LLC
SunTrust Capital Markets
Wells Fargo Securities LLC
Williams Capital Group LP</t>
  </si>
  <si>
    <t>08/14/05
08/14/05
08/14/05</t>
  </si>
  <si>
    <t xml:space="preserve">0.561
</t>
  </si>
  <si>
    <t xml:space="preserve">226000.00
</t>
  </si>
  <si>
    <t>CD</t>
  </si>
  <si>
    <t>Cendant Corp</t>
  </si>
  <si>
    <t>JPM(JB)/CS-FB-CS(JB)/MERRILL(JB)
//BA-SEC-LLC/CITIGROUP/DEUTSCHE-BK-SEC
/GS/LEH/UBS-INV-BANK/WACHOVIA-SEC
//HARRIS-NESBITT/LAZ/SUNTRUST-CAP
/WELLS-FARGO-SEC/WILLIAMS-CAP</t>
  </si>
  <si>
    <t>JPM/CS-FB-CS/MERRILL</t>
  </si>
  <si>
    <t>JPM
(JB)/CS-FB-CS(JB)
/MERRILL(JB)
BA-SEC-LLC
CITIGROUP
DEUTSCHE-BK-SEC
GS
LEH
UBS-INV-BANK
WACHOVIA-SEC</t>
  </si>
  <si>
    <t>JP Morgan &amp; Co Inc
Credit Suisse First Boston Corp
Merrill Lynch &amp; Co Inc
Banc of America Securities LLC
Citigroup
Deutsche Bank Securities Corp.
Goldman Sachs &amp; Co
Lehman Brothers
UBS Investment Bank
Wachovia Securities Inc</t>
  </si>
  <si>
    <t>Dolby Laboratories Inc</t>
  </si>
  <si>
    <t>DLB</t>
  </si>
  <si>
    <t>25659T107</t>
  </si>
  <si>
    <t>Morgan Stanley
Goldman Sachs &amp; Co
JP Morgan
Adams Harkness &amp; Hill Inc
William Blair &amp; Co</t>
  </si>
  <si>
    <t>08/15/05
08/15/05
08/15/05</t>
  </si>
  <si>
    <t xml:space="preserve">68.838
</t>
  </si>
  <si>
    <t xml:space="preserve">69862135.00
</t>
  </si>
  <si>
    <t>MORGAN-STANLEY/GS(JOINT)//JPM
/ADAMS-HARKNESS/WM-BLAIR</t>
  </si>
  <si>
    <t>MORGAN-STANLEY
/GS(JOINT)
JPM
ADAMS-HARKNESS
WM-BLAIR</t>
  </si>
  <si>
    <t>Morgan Stanley
Goldman Sachs &amp; Co
JP Morgan &amp; Co Inc
Adams Harkness &amp; Hill Inc
William Blair &amp; Co</t>
  </si>
  <si>
    <t>Aldabra Acquisition Corp</t>
  </si>
  <si>
    <t>ALBAU</t>
  </si>
  <si>
    <t>MORGAN-JOSEPH</t>
  </si>
  <si>
    <t>Morgan Joseph &amp; Co Inc
Earlybirdcapital Inc</t>
  </si>
  <si>
    <t>MORGAN-JOSEPH//EARLYBIRD-CAP</t>
  </si>
  <si>
    <t>MORGAN-JOSEPH
EARLYBIRD-CAP</t>
  </si>
  <si>
    <t>Dividend Capital Realty Income</t>
  </si>
  <si>
    <t>DCA</t>
  </si>
  <si>
    <t>25537T105</t>
  </si>
  <si>
    <t>Morgan Keegan Inc
Advest Inc
BB&amp;T Capital Markets
Ferris Baker Watts
KeyCorp/McDonald Investments
RBC Capital Markets
Stephens Inc
Stifel Nicolaus &amp; Co Inc
Wedbush Securities
Wells Fargo Securities LLC
AG Edwards &amp; Sons Inc
Robert W Baird &amp; Co Inc
Oppenheimer &amp; Co Inc
SunTrust Capital Markets
Brean Murray &amp; Co Inc
JJB Hilliard WL Lyons Inc
Natcity Investments Inc.
BC Ziegler &amp; Co
Brookstreet Securities
Leerink Swann &amp; Co
Mesirow Financial Corp
David A. Noyes</t>
  </si>
  <si>
    <t>MORGAN-KEEGAN//ADVEST/BB-T-CAP
/FERRIS-BAKER/KEY-MCDONALD/RBC-CAP-MKTS
/STEPHENS/STIFEL/WEDBUSH-M
/WELLS-FARGO-SEC//A-G-EDWARDS/BAIRD
/OPPENHEIMER-CO/SUNTRUST-CAP/BREAN
/HILLIARD/NATCITY-INVEST/ZIEGLER
/BROOKSTREET/LEERINK-SWANN/MESIROW-FIN
/D-A-NOYES</t>
  </si>
  <si>
    <t>MORGAN-KEEGAN
ADVEST
BB-T-CAP
FERRIS-BAKER
KEY-MCDONALD
RBC-CAP-MKTS
STEPHENS
STIFEL
WEDBUSH-M
WELLS-FARGO-SEC</t>
  </si>
  <si>
    <t>Morgan Keegan Inc
Advest Inc
BB&amp;T Capital Markets
Ferris Baker Watts Inc
KeyCorp/McDonald Investments
RBC Capital Markets
Stephens Inc
Stifel Nicolaus &amp; Co Inc
Wedbush Securities
Wells Fargo Securities LLC</t>
  </si>
  <si>
    <t>Eaton Vance Shrt Dur Div IF</t>
  </si>
  <si>
    <t>EVG</t>
  </si>
  <si>
    <t>27828V104</t>
  </si>
  <si>
    <t>Merrill Lynch
UBS Investment Bank
AG Edwards &amp; Sons Inc
Advest Inc
BB&amp;T Capital Markets
Robert W Baird &amp; Co Inc
H&amp;R Block Financial Advisors
Ferris Baker Watts
Fixed Income Securities Inc
JJB Hilliard WL Lyons Inc
KeyCorp/McDonald Investments
Oppenheimer &amp; Co Inc
RBC Capital Markets
SunTrust Capital Markets
Wells Fargo Securities LLC
William Blair &amp; Co
CE Unterberg Towbin
Chatsworth Securities LLC
Crowell Weedon &amp; Co
DA Davidson &amp; Co Inc
Deutsche Bank Securities
Doft &amp; Co Inc
Dominick &amp; Dominick Inc
Harris Nesbitt
Ladenburg Thalmann &amp; Co
Legg Mason Wood Walker
Morgan Keegan Inc
Needham &amp; Co LLC
Parker-Hunter Inc
Piper Jaffray Cos
Ryan Beck &amp; Co
Source Capital Group Inc
TD Waterhouse Investor Svcs
Wedbush Securities
Axiom Capital Management Inc
Bishop, Rosen &amp; Co
Brean Murray &amp; Co Inc
Brookstreet Securities
Commonwealth Securities Inv
First Montauk Securities
First Southwest
Gilford Securities
Hazlett, Burt &amp; Watson
Hoefer &amp; Arnett Inc
Howe Barnes Investments Inc
Wayne Hummer &amp; Co
Huntleigh Securities Corp
Jesup &amp; Lamont Securities
Johnston Lemon &amp; Co Inc
Maxim Group LLC
McGinn, Smith &amp; Co Inc
Mesirow Financial Corp
Morgan Wilshire Securities
National Securities Corp (US)
Newbridge Securities
Northeast Securities Inc.
David A. Noyes
Peacock Hislop Staley &amp; Given
Sanders Morris Harris Inc
The Seidler Companies Inc
Smith, Moore
Southwest Securities Inc
Spelman &amp; Co.
Stanford Group Company
STERLING FINANCIAL INVESTMENT
M. L. Stern
Stone &amp; Youngberg
Strand,Atkinson,Williams&amp;Yerl
Torrey Pines Securities
JP Turner &amp; Co
Westminster Financial Mgmt
Wunderlich Securities Inc</t>
  </si>
  <si>
    <t>MERRILL/UBS-INV-BANK(JOINT)
//A-G-EDWARDS/ADVEST/BB-T-CAP/BAIRD
/HR-BLOCK-FIN/FERRIS-BAKER/FIXED-INC
/HILLIARD/KEY-MCDONALD/OPPENHEIMER-CO
/RBC-CAP-MKTS/SUNTRUST-CAP
/WELLS-FARGO-SEC//WM-BLAIR/UNTERBERG
/CHATSWORTH/CROWELL/DAVIDSON/DBSECU
/DOFT/DOMINICK/HARRN/LADENBURG
/LEGG-MASON-WW/MORGAN-KEEGAN/NEEDHAM
/PARKER-HUNTER/PIPER-JAFFRAY/RYAN-BECK
/SOURCE-CAPITAL/TD-WATERHOUSE/WEDBUSH-M
/AXIOM-CAP/BISHOP-ROSEN/BREAN
/BROOKSTREET/COM-SEC-INV/FIRST-MONTAUK
/FIRST-SW/GILFORD/HAZLETT/HOEFER-ARNETT
/HOWE-BARNES/HUMMER/HUNTLEIGH-SEC/JESUP
/JOHNSTON-LEMON/MAXIM-GROUP
/MCGINN-SMITH/MESIROW-FIN
/MORGAN-WILSHIRE/NATL-SEC/NEWBRIDGE
/NORTHEAST-SEC/D-A-NOYES/PEACOCK-HISLOP
/SANDERS-HARRIS/SEIDLER-CO-INC
/SMITH-MOORE/SWS-SEC/SPELMAN
/STANFORD-GROUP/STERLING-FIN-I
/M-L-STERN/STONE-YOUNG/STRAND-ATKIN
/TORREY-PINES/J-P-TURNER
/WESTMINSTER-FIN/WUNDERLICH</t>
  </si>
  <si>
    <t>MERRILL/UBS-INV-BANK</t>
  </si>
  <si>
    <t>MERRILL
/UBS-INV-BANK(JOINT)
A-G-EDWARDS
ADVEST
BB-T-CAP
BAIRD
HR-BLOCK-FIN
FERRIS-BAKER
FIXED-INC
HILLIARD
KEY-MCDONALD
OPPENHEIMER-CO
RBC-CAP-MKTS
SUNTRUST-CAP
WELLS-FARGO-SEC</t>
  </si>
  <si>
    <t>Merrill Lynch &amp; Co Inc
UBS Investment Bank
AG Edwards &amp; Sons Inc
Advest Inc
BB&amp;T Capital Markets
Robert W Baird &amp; Co Inc
H&amp;R Block Financial Advisors
Ferris Baker Watts Inc
Fixed Income Securities Inc
JJB Hilliard WL Lyons Inc
KeyCorp/McDonald Investments
Oppenheimer &amp; Co Inc
RBC Capital Markets
SunTrust Capital Markets
Wells Fargo Securities LLC</t>
  </si>
  <si>
    <t>NFJ Div Int Prem Strat Fnd</t>
  </si>
  <si>
    <t>NFJ</t>
  </si>
  <si>
    <t>65337H109</t>
  </si>
  <si>
    <t>Citigroup
Merrill Lynch
UBS Investment Bank
AG Edwards &amp; Sons Inc
Wachovia Securities Inc
Deutsche Bank Securities Corp
Advest Inc
Robert W Baird &amp; Co Inc
Banc of America Securities LLC
H&amp;R Block Financial Advisors
Crowell Weedon &amp; Co
Ferris Baker Watts
JJB Hilliard WL Lyons Inc
Janney Montgomery Scott LLC
KeyCorp/McDonald Investments
Legg Mason Wood Walker
Oppenheimer &amp; Co Inc
Raymond James &amp; Associates Inc
RBC Capital Markets
Ryan Beck &amp; Co
Stifel Nicolaus &amp; Co Inc
SunTrust Robinson Humphrey
Wedbush Securities
Wells Fargo Securities LLC
Fixed Income Securities Inc
Piper Jaffray Cos
TD Waterhouse Investor Svcs
Brookstreet Securities
The Seidler Companies Inc
M. L. Stern
BB&amp;T Capital Markets
DA Davidson &amp; Co Inc
David A. Noyes
Doft &amp; Co Inc
Mesirow Financial Corp
Southwest Securities Inc
Axiom Capital Management Inc
First Montauk Securities
First Southwest
Gilford Securities
Hazlett, Burt &amp; Watson
Hennion &amp; Walsh, Inc
Howe Barnes Investments Inc
Huntleigh Securities Corp
J. B. Hanauer
JP Turner &amp; Co
Johnston Lemon &amp; Co Inc
Maxim Group LLC
National Securities Corp (US)
Newbridge Securities
Parker-Hunter Inc
Paulson Investment Co
Peacock Hislop Staley &amp; Given
Sanders Morris Harris Inc
Sterne Agee &amp; Leach Inc
Strand,Atkinson,Williams&amp;Yerl
Wunderlich Securities Inc</t>
  </si>
  <si>
    <t>CITIGROUP//MERRILL/UBS-INV-BANK
/A-G-EDWARDS/WACHOVIA-SEC
/DEUTSCHE-BK-SEC/ADVEST/BAIRD
/BA-SEC-LLC/HR-BLOCK-FIN/CROWELL
/FERRIS-BAKER/HILLIARD/JANNEY-LLC
/KEY-MCDONALD/LEGG-MASON-WW
/OPPENHEIMER-CO/RAYMOND/RBC-CAP-MKTS
/RYAN-BECK/STIFEL/SUNTRUST-RH/WEDBUSH-M
/WELLS-FARGO-SEC//FIXED-INC
/PIPER-JAFFRAY/TD-WATERHOUSE
/BROOKSTREET/SEIDLER-CO-INC/M-L-STERN
/BB-T-CAP/DAVIDSON/D-A-NOYES/DOFT
/MESIROW-FIN/SWS-SEC/AXIOM-CAP
/FIRST-MONTAUK/FIRST-SW/GILFORD/HAZLETT
/HENNION-WALSH/HOWE-BARNES
/HUNTLEIGH-SEC/J-B-HANAUER/J-P-TURNER
/JOHNSTON-LEMON/MAXIM-GROUP/NATL-SEC
/NEWBRIDGE/PARKER-HUNTER/PAULSON
/PEACOCK-HISLOP/SANDERS-HARRIS
/STERNE-AGEE/STRAND-ATKIN/WUNDERLICH</t>
  </si>
  <si>
    <t>CITIGROUP
MERRILL
UBS-INV-BANK
A-G-EDWARDS
WACHOVIA-SEC
DEUTSCHE-BK-SEC
ADVEST
BAIRD
BA-SEC-LLC
HR-BLOCK-FIN
CROWELL
FERRIS-BAKER
HILLIARD
JANNEY-LLC
KEY-MCDONALD
LEGG-MASON-WW
OPPENHEIMER-CO
RAYMOND
RBC-CAP-MKTS
RYAN-BECK
STIFEL
SUNTRUST-RH
WEDBUSH-M
WELLS-FARGO-SEC</t>
  </si>
  <si>
    <t>Citigroup
Merrill Lynch &amp; Co Inc
UBS Investment Bank
AG Edwards &amp; Sons Inc
Wachovia Securities Inc
Deutsche Bank Securities Corp.
Advest Inc
Robert W Baird &amp; Co Inc
Banc of America Securities LLC
H&amp;R Block Financial Advisors
Crowell Weedon &amp; Co
Ferris Baker Watts Inc
JJB Hilliard WL Lyons Inc
Janney Montgomery Scott LLC
KeyCorp/McDonald Investments
Legg Mason Wood Walker Inc
Oppenheimer &amp; Co Inc
Raymond James &amp; Associates Inc
RBC Capital Markets
Ryan Beck &amp; Co
Stifel Nicolaus &amp; Co Inc
SunTrust Robinson Humphrey
Wedbush Securities
Wells Fargo Securities LLC</t>
  </si>
  <si>
    <t>Aspreva Pharmaceuticals Corp</t>
  </si>
  <si>
    <t>ASPV</t>
  </si>
  <si>
    <t>04538T109</t>
  </si>
  <si>
    <t>Merrill Lynch
Banc of America Securities LLC
Pacific Growth Equities Inc
BMO Nesbitt Burns Inc</t>
  </si>
  <si>
    <t>MERRILL//BA-SEC-LLC/PACIFIC-GROWTH
/BMO-NES-INC</t>
  </si>
  <si>
    <t>MERRILL
BA-SEC-LLC
PACIFIC-GROWTH
BMO-NES-INC</t>
  </si>
  <si>
    <t>Merrill Lynch &amp; Co Inc
Banc of America Securities LLC
Pacific Growth Equities Inc
BMO Nesbitt Burns Inc</t>
  </si>
  <si>
    <t>International Sec Exchange Inc</t>
  </si>
  <si>
    <t>ISE</t>
  </si>
  <si>
    <t>BEAR/MORGAN-STANLEY(JB)</t>
  </si>
  <si>
    <t>46031W204</t>
  </si>
  <si>
    <t>Bear Stearns &amp; Co Inc
Morgan Stanley
Goldman Sachs &amp; Co
Banc of America Securities LLC
Deutsche Bank Securities Corp
Merrill Lynch
UBS Investment Bank
Raymond James &amp; Associates Inc
Keefe Bruyette &amp; Woods Inc
Sandler O'Neill Partners
E*Trade Securities Inc</t>
  </si>
  <si>
    <t>09/04/05
09/04/05
09/04/05</t>
  </si>
  <si>
    <t xml:space="preserve">71.010
</t>
  </si>
  <si>
    <t xml:space="preserve">26089692.00
</t>
  </si>
  <si>
    <t>BEAR(JB)/MORGAN-STANLEY(JB)//GS
/BA-SEC-LLC/DEUTSCHE-BK-SEC/MERRILL
/UBS-INV-BANK//RAYMOND/KEEFE
/SANDLER-ONEILL/E*TRADE-SEC</t>
  </si>
  <si>
    <t>BEAR/MORGAN-STANLEY</t>
  </si>
  <si>
    <t>BEAR
(JB)/MORGAN-STANLEY(JB)
GS
BA-SEC-LLC
DEUTSCHE-BK-SEC
MERRILL
UBS-INV-BANK</t>
  </si>
  <si>
    <t>Bear Stearns &amp; Co Inc
Morgan Stanley
Goldman Sachs &amp; Co
Banc of America Securities LLC
Deutsche Bank Securities Corp.
Merrill Lynch &amp; Co Inc
UBS Investment Bank</t>
  </si>
  <si>
    <t>Shamir Optical Industry Ltd</t>
  </si>
  <si>
    <t>SHMR</t>
  </si>
  <si>
    <t>William Blair &amp; Co
CIBC World Markets Inc
CE Unterberg Towbin</t>
  </si>
  <si>
    <t>09/06/05
09/06/05
09/06/05</t>
  </si>
  <si>
    <t xml:space="preserve">71.449
</t>
  </si>
  <si>
    <t xml:space="preserve">11511332.00
</t>
  </si>
  <si>
    <t>WM-BLAIR/CIBC-WORLD(JOINT)//UNTERBERG</t>
  </si>
  <si>
    <t>WM-BLAIR/CIBC-WORLD</t>
  </si>
  <si>
    <t>WM-BLAIR
/CIBC-WORLD(JOINT)
UNTERBERG</t>
  </si>
  <si>
    <t>BofI Holding Inc</t>
  </si>
  <si>
    <t>BOFI</t>
  </si>
  <si>
    <t>W-R-HAMBRECHT
/SEIDLER-CO-INC(JB)</t>
  </si>
  <si>
    <t>05566U108</t>
  </si>
  <si>
    <t>WR Hambrecht &amp; Co LLC
The Seidler Companies Inc</t>
  </si>
  <si>
    <t>06/12/05
09/10/05</t>
  </si>
  <si>
    <t>30.187
19.554</t>
  </si>
  <si>
    <t>2505457.00
1622967.00</t>
  </si>
  <si>
    <t>W-R-HAMBRECHT(JB)/SEIDLER-CO-INC(JB)</t>
  </si>
  <si>
    <t>W-R-HAMBRECHT/SEIDLER-CO-INC</t>
  </si>
  <si>
    <t>W-R-HAMBRECHT
(JB)/SEIDLER-CO-INC(JB)</t>
  </si>
  <si>
    <t>WR Hambrecht &amp; Co LLC
The Seidler Companies Incorporated</t>
  </si>
  <si>
    <t>PanAmSat Holding Corp</t>
  </si>
  <si>
    <t>PA</t>
  </si>
  <si>
    <t>MORGAN-STANLEY
/CITIGROUP(JB)
/MERRILL(JB)</t>
  </si>
  <si>
    <t>69831Y105</t>
  </si>
  <si>
    <t>Morgan Stanley
Citigroup
Merrill Lynch
Credit Suisse First Boston
Bear Stearns &amp; Co Inc
Banc of America Securities LLC
Deutsche Bank Securities Corp
UBS Investment Bank
RBC Capital Markets
Wachovia Securities Inc
E*Trade Securities Inc
Harris Nesbitt
Oppenheimer &amp; Co Inc
Samuel A. Ramirez &amp; Co.
Sanders Morris Harris Inc</t>
  </si>
  <si>
    <t>09/12/05
09/12/05</t>
  </si>
  <si>
    <t xml:space="preserve">59.211
</t>
  </si>
  <si>
    <t xml:space="preserve">72580623.00
</t>
  </si>
  <si>
    <t>MORGAN-STANLEY(JB)/CITIGROUP(JB)
/MERRILL(JB)/CS-FB-CS/BEAR(JOINT)
//BA-SEC-LLC/DEUTSCHE-BK-SEC
/UBS-INV-BANK/RBC-CAP-MKTS/WACHOVIA-SEC
//E*TRADE-SEC/HARRN/OPPENHEIMER-CO
/RAMIREZ/SANDERS-HARRIS</t>
  </si>
  <si>
    <t>MORGAN-STANLEY/CITIGROUP/MERRILL
/CS-FB-CS/BEAR</t>
  </si>
  <si>
    <t>MORGAN-STANLEY
(JB)/CITIGROUP(JB)
/MERRILL(JB)
/CS-FB-CS
/BEAR(JOINT)
BA-SEC-LLC
DEUTSCHE-BK-SEC
UBS-INV-BANK
RBC-CAP-MKTS
WACHOVIA-SEC</t>
  </si>
  <si>
    <t>Morgan Stanley
Citigroup
Merrill Lynch &amp; Co Inc
Credit Suisse First Boston Corp
Bear Stearns &amp; Co Inc
Banc of America Securities LLC
Deutsche Bank Securities Corp.
UBS Investment Bank
RBC Capital Markets
Wachovia Securities Inc</t>
  </si>
  <si>
    <t>Diana Shipping Inc</t>
  </si>
  <si>
    <t>DSX</t>
  </si>
  <si>
    <t>Y2066G104</t>
  </si>
  <si>
    <t>Bear Stearns &amp; Co Inc
Jefferies &amp; Co Inc
UBS Investment Bank
Fortis Securities Inc</t>
  </si>
  <si>
    <t>BEAR//JEFFERIES/UBS-INV-BANK/FORTIS-SEC</t>
  </si>
  <si>
    <t>BEAR
JEFFERIES
UBS-INV-BANK
FORTIS-SEC</t>
  </si>
  <si>
    <t>BlackRock Health Scnc Trust</t>
  </si>
  <si>
    <t>BME</t>
  </si>
  <si>
    <t>09250W107</t>
  </si>
  <si>
    <t>Merrill Lynch
AG Edwards &amp; Sons Inc
Wachovia Securities Inc
Advest Inc
Robert W Baird &amp; Co Inc
H&amp;R Block Financial Advisors
Ferris Baker Watts
Fixed Income Securities Inc
JJB Hilliard WL Lyons Inc
Janney Montgomery Scott LLC
Oppenheimer &amp; Co Inc
PNC Capital Markets
RBC Capital Markets
Raymond James &amp; Associates Inc
Stifel Nicolaus &amp; Co Inc
William Blair &amp; Co
Chatsworth Securities LLC
Crowell Weedon &amp; Co
DA Davidson &amp; Co Inc
Deutsche Bank Securities
Doft &amp; Co Inc
Dominick &amp; Dominick Inc
KeyCorp/McDonald Investments
Ladenburg Thalmann &amp; Co
Legg Mason Wood Walker
Morgan Keegan Inc
Ryan Beck &amp; Co
Stephens Inc
SunTrust Capital Markets
TD Waterhouse Investor Svcs
Wedbush Securities
Axiom Capital Management Inc
Brean Murray &amp; Co Inc
Brookstreet Securities
Fifth Third Securities Inc
First Montauk Securities
First Southwest
Gilford Securities
Hoefer &amp; Arnett Inc
Howe Barnes Investments Inc
Huntleigh Securities Corp
Jesup &amp; Lamont Securities
Johnston Lemon &amp; Co Inc
Leerink Swann &amp; Co
Maxim Group LLC
McGinn, Smith &amp; Co Inc
Mesirow Financial Corp
Morgan Wilshire Securities
National Securities Corp (US)
Northeast Securities Inc.
David A. Noyes
Pacific Crest Securities Inc
Peacock Hislop Staley &amp; Given
Sanders Morris Harris Inc
The Seidler Companies Inc
Source Capital Group Inc
Southwest Securities Inc
Spelman &amp; Co.
Stanford Group Company
STERLING FINANCIAL INVESTMENT
M. L. Stern
Sterne Agee &amp; Leach Inc
Strand,Atkinson,Williams&amp;Yerl
Torrey Pines Securities
JP Turner &amp; Co
Westminster Finl Sec Inc
Wunderlich Securities Inc
BC Ziegler &amp; Co</t>
  </si>
  <si>
    <t>MERRILL//A-G-EDWARDS/WACHOVIA-SEC
/ADVEST/BAIRD/HR-BLOCK-FIN/FERRIS-BAKER
/FIXED-INC/HILLIARD/JANNEY-LLC
/OPPENHEIMER-CO/PNC-CAPITAL
/RBC-CAP-MKTS/RAYMOND/STIFEL//WM-BLAIR
/CHATSWORTH/CROWELL/DAVIDSON/DBSECU
/DOFT/DOMINICK/KEY-MCDONALD/LADENBURG
/LEGG-MASON-WW/MORGAN-KEEGAN/RYAN-BECK
/STEPHENS/SUNTRUST-CAP/TD-WATERHOUSE
/WEDBUSH-M/AXIOM-CAP/BREAN/BROOKSTREET
/FIFTH-THIRD-SEC/FIRST-MONTAUK/FIRST-SW
/GILFORD/HOEFER-ARNETT/HOWE-BARNES
/HUNTLEIGH-SEC/JESUP/JOHNSTON-LEMON
/LEERINK-SWANN/MAXIM-GROUP/MCGINN-SMITH
/MESIROW-FIN/MORGAN-WILSHIRE/NATL-SEC
/NORTHEAST-SEC/D-A-NOYES/PACIFIC-CREST
/PEACOCK-HISLOP/SANDERS-HARRIS
/SEIDLER-CO-INC/SOURCE-CAPITAL/SWS-SEC
/SPELMAN/STANFORD-GROUP/STERLING-FIN-I
/M-L-STERN/STERNE-AGEE/STRAND-ATKIN
/TORREY-PINES/J-P-TURNER/WEST-FIN-SEC
/WUNDERLICH/ZIEGLER</t>
  </si>
  <si>
    <t>MERRILL
A-G-EDWARDS
WACHOVIA-SEC
ADVEST
BAIRD
HR-BLOCK-FIN
FERRIS-BAKER
FIXED-INC
HILLIARD
JANNEY-LLC
OPPENHEIMER-CO
PNC-CAPITAL
RBC-CAP-MKTS
RAYMOND
STIFEL</t>
  </si>
  <si>
    <t>Merrill Lynch &amp; Co Inc
AG Edwards &amp; Sons Inc
Wachovia Securities Inc
Advest Inc
Robert W Baird &amp; Co Inc
H&amp;R Block Financial Advisors
Ferris Baker Watts Inc
Fixed Income Securities Inc
JJB Hilliard WL Lyons Inc
Janney Montgomery Scott LLC
Oppenheimer &amp; Co Inc
PNC Capital Markets
RBC Capital Markets
Raymond James &amp; Associates Inc
Stifel Nicolaus &amp; Co Inc</t>
  </si>
  <si>
    <t>Cohen &amp; Steers WW Realty Inc F</t>
  </si>
  <si>
    <t>RWF</t>
  </si>
  <si>
    <t>19248J100</t>
  </si>
  <si>
    <t>UBS Investment Bank
Merrill Lynch
Deutsche Bank Securities Corp
Legg Mason Wood Walker
RBC Capital Markets
Advest Inc
BB&amp;T Capital Markets
H&amp;R Block Financial Advisors
Ferris Baker Watts
JJB Hilliard WL Lyons Inc
KeyCorp/McDonald Investments
Stifel Nicolaus &amp; Co Inc
Robert W Baird &amp; Co Inc
AG Edwards &amp; Sons Inc
Morgan Keegan Inc
Oppenheimer &amp; Co Inc
Piper Jaffray Cos
The Seidler Companies Inc
SunTrust Capital Markets
TD Waterhouse Investor Svcs
Brean Murray &amp; Co Inc
Brookstreet Securities
First Southwest
Gilford Securities
J. B. Hanauer
Huntleigh Securities Corp
Jesup &amp; Lamont Securities
Mesirow Financial Corp
National Securities Corp (US)
David A. Noyes
Peacock Hislop Staley &amp; Given
Southwest Securities Inc
Stanford Group Company
STERLING FINANCIAL INVESTMENT
Sterne Agee &amp; Leach Inc
Wunderlich Securities Inc</t>
  </si>
  <si>
    <t>UBS-INV-BANK//MERRILL/DEUTSCHE-BK-SEC
/LEGG-MASON-WW/RBC-CAP-MKTS/ADVEST
/BB-T-CAP/HR-BLOCK-FIN/FERRIS-BAKER
/HILLIARD/KEY-MCDONALD/STIFEL//BAIRD
/A-G-EDWARDS/MORGAN-KEEGAN
/OPPENHEIMER-CO/PIPER-JAFFRAY
/SEIDLER-CO-INC/SUNTRUST-CAP
/TD-WATERHOUSE/BREAN/BROOKSTREET
/FIRST-SW/GILFORD/J-B-HANAUER
/HUNTLEIGH-SEC/JESUP/MESIROW-FIN
/NATL-SEC/D-A-NOYES/PEACOCK-HISLOP
/SWS-SEC/STANFORD-GROUP/STERLING-FIN-I
/STERNE-AGEE/WUNDERLICH</t>
  </si>
  <si>
    <t>UBS-INV-BANK
MERRILL
DEUTSCHE-BK-SEC
LEGG-MASON-WW
RBC-CAP-MKTS
ADVEST
BB-T-CAP
HR-BLOCK-FIN
FERRIS-BAKER
HILLIARD
KEY-MCDONALD
STIFEL</t>
  </si>
  <si>
    <t>UBS Investment Bank
Merrill Lynch &amp; Co Inc
Deutsche Bank Securities Corp.
Legg Mason Wood Walker Inc
RBC Capital Markets
Advest Inc
BB&amp;T Capital Markets
H&amp;R Block Financial Advisors
Ferris Baker Watts Inc
JJB Hilliard WL Lyons Inc
KeyCorp/McDonald Investments
Stifel Nicolaus &amp; Co Inc</t>
  </si>
  <si>
    <t>ING Global Div&amp;Inc Fund</t>
  </si>
  <si>
    <t>IGD</t>
  </si>
  <si>
    <t>45684E107</t>
  </si>
  <si>
    <t>Citigroup
UBS Investment Bank
Wachovia Capital Markets
Advest Inc
Banc of America Securities LLC
H&amp;R Block Financial Advisors
Ferris Baker Watts
JJB Hilliard WL Lyons Inc
Janney Montgomery Scott LLC
KeyCorp/McDonald Investments
Legg Mason Wood Walker
Oppenheimer &amp; Co Inc
Raymond James &amp; Associates Inc
RBC Capital Markets
Ryan Beck &amp; Co
Stifel Nicolaus &amp; Co Inc
SunTrust Capital Markets
TD Waterhouse Securities
Wedbush Securities
Wells Fargo Bank NA
Deutsche Bank Securities Corp
Piper Jaffray Cos
Crowell Weedon &amp; Co
Morgan Keegan Inc
Robert W Baird &amp; Co Inc
BB&amp;T Capital Markets
DA Davidson &amp; Co Inc
David A. Noyes
Doft &amp; Co Inc
Mesirow Financial Corp
Newbridge Securities
Sanders Morris Harris Inc
Southwest Securities Inc
Strand,Atkinson,Williams&amp;Yerl
Wunderlich Securities Inc
Axiom Capital Management Inc
Brookstreet Securities
Cadaret Grant &amp; Co
First Montauk Securities
First Southwest
Gilford Securities
Hazlett, Burt &amp; Watson
Huntleigh Securities Corp
J. B. Hanauer
Johnston Lemon &amp; Co Inc
Joseph Gunnar &amp; Co., LLC
M. L. Stern
Maxim Group LLC
National Securities Corp (US)
Parker-Hunter Inc
Spelman &amp; Co.
Sterne Agee &amp; Leach Inc
The Seidler Companies Inc</t>
  </si>
  <si>
    <t>CITIGROUP//UBS-INV-BANK/WACHOVIA-CAP
/ADVEST/BA-SEC-LLC/HR-BLOCK-FIN
/FERRIS-BAKER/HILLIARD/JANNEY-LLC
/KEY-MCDONALD/LEGG-MASON-WW
/OPPENHEIMER-CO/RAYMOND/RBC-CAP-MKTS
/RYAN-BECK/STIFEL/SUNTRUST-CAP/TDWS
/WEDBUSH-M/WELLS-FARGO//DEUTSCHE-BK-SEC
/PIPER-JAFFRAY/CROWELL/MORGAN-KEEGAN
/BAIRD/BB-T-CAP/DAVIDSON/D-A-NOYES/DOFT
/MESIROW-FIN/NEWBRIDGE/SANDERS-HARRIS
/SWS-SEC/STRAND-ATKIN/WUNDERLICH
/AXIOM-CAP/BROOKSTREET/CADARET-GRANT
/FIRST-MONTAUK/FIRST-SW/GILFORD/HAZLETT
/HUNTLEIGH-SEC/J-B-HANAUER
/JOHNSTON-LEMON/GUNNAR/M-L-STERN
/MAXIM-GROUP/NATL-SEC/PARKER-HUNTER
/SPELMAN/STERNE-AGEE/SEIDLER-CO-INC</t>
  </si>
  <si>
    <t>CITIGROUP
UBS-INV-BANK
WACHOVIA-CAP
ADVEST
BA-SEC-LLC
HR-BLOCK-FIN
FERRIS-BAKER
HILLIARD
JANNEY-LLC
KEY-MCDONALD
LEGG-MASON-WW
OPPENHEIMER-CO
RAYMOND
RBC-CAP-MKTS
RYAN-BECK
STIFEL
SUNTRUST-CAP
TDWS
WEDBUSH-M
WELLS-FARGO</t>
  </si>
  <si>
    <t>Citigroup
UBS Investment Bank
Wachovia Capital Markets
Advest Inc
Banc of America Securities LLC
H&amp;R Block Financial Advisors
Ferris Baker Watts Inc
JJB Hilliard WL Lyons Inc
Janney Montgomery Scott LLC
KeyCorp/McDonald Investments
Legg Mason Wood Walker Inc
Oppenheimer &amp; Co Inc
Raymond James &amp; Associates Inc
RBC Capital Markets
Ryan Beck &amp; Co
Stifel Nicolaus &amp; Co Inc
SunTrust Capital Markets
TD Waterhouse Securities
Wedbush Securities
Wells Fargo Bank NA</t>
  </si>
  <si>
    <t>Nuveen Tax Advtgd Flt Rate Fd</t>
  </si>
  <si>
    <t>JFP</t>
  </si>
  <si>
    <t>6706EV102</t>
  </si>
  <si>
    <t>AG Edwards &amp; Sons Inc
Wachovia Securities Inc
Nuveen Investments LLC
Deutsche Bank Securities Corp
Advest Inc
H&amp;R Block Financial Advisors
Ferris Baker Watts
KeyCorp/McDonald Investments
Legg Mason Wood Walker
JJB Hilliard WL Lyons Inc
Oppenheimer &amp; Co Inc
RBC Capital Markets
Stifel Nicolaus &amp; Co Inc
SunTrust Capital Markets
Wedbush Securities
Wells Fargo Bank NA</t>
  </si>
  <si>
    <t>A-G-EDWARDS//WACHOVIA-SEC/NUVEEN-INV
/DEUTSCHE-BK-SEC/ADVEST/HR-BLOCK-FIN
/FERRIS-BAKER/KEY-MCDONALD
/LEGG-MASON-WW/HILLIARD/OPPENHEIMER-CO
/RBC-CAP-MKTS/STIFEL/SUNTRUST-CAP
/WEDBUSH-M/WELLS-FARGO</t>
  </si>
  <si>
    <t>A-G-EDWARDS
WACHOVIA-SEC
NUVEEN-INV
DEUTSCHE-BK-SEC
ADVEST
HR-BLOCK-FIN
FERRIS-BAKER
KEY-MCDONALD
LEGG-MASON-WW
HILLIARD
OPPENHEIMER-CO
RBC-CAP-MKTS
STIFEL
SUNTRUST-CAP
WEDBUSH-M
WELLS-FARGO</t>
  </si>
  <si>
    <t>AG Edwards &amp; Sons Inc
Wachovia Securities Inc
Nuveen Investments LLC
Deutsche Bank Securities Corp.
Advest Inc
H&amp;R Block Financial Advisors
Ferris Baker Watts Inc
KeyCorp/McDonald Investments
Legg Mason Wood Walker Inc
JJB Hilliard WL Lyons Inc
Oppenheimer &amp; Co Inc
RBC Capital Markets
Stifel Nicolaus &amp; Co Inc
SunTrust Capital Markets
Wedbush Securities
Wells Fargo Bank NA</t>
  </si>
  <si>
    <t>S&amp;P 500 Covered Call Fund Inc</t>
  </si>
  <si>
    <t>BEP</t>
  </si>
  <si>
    <t>78381P109</t>
  </si>
  <si>
    <t>Merrill Lynch
Robert W Baird &amp; Co Inc
Crowell Weedon &amp; Co
Ferris Baker Watts
KeyCorp/McDonald Investments
RBC Capital Markets
SunTrust Robinson Humphrey
Wells Fargo Securities LLC
BB&amp;T Capital Markets
William Blair &amp; Co
Chatsworth Securities LLC
DA Davidson &amp; Co Inc
Deutsche Bank Securities
Doft &amp; Co Inc
Dominick &amp; Dominick Inc
Fixed Income Securities Inc
Harris Nesbitt
Ladenburg Thalmann &amp; Co
Morgan Keegan Inc
Piper Jaffray Cos
TD Waterhouse Investor Svcs
Wedbush Securities
Axiom Capital Management Inc
Brookstreet Securities
Finance 500 Inc
First Montauk Securities
First Southwest
Hoefer &amp; Arnett Inc
Howe Barnes Investments Inc
Wayne Hummer &amp; Co
Huntleigh Securities Corp
Jesup &amp; Lamont Securities
Johnston Lemon &amp; Co Inc
Maxim Group LLC
McGinn, Smith &amp; Co Inc
Mesirow Financial Corp
Morgan Wilshire Securities
National Securities Corp (US)
Northeast Securities Inc.
David A. Noyes
Peacock Hislop Staley &amp; Given
Sanders Morris Harris Inc
Charles Schwab &amp; Co Inc
Source Capital Group Inc
Southwest Securities Inc
Spelman &amp; Co.
Stanford Group Company
STERLING FINANCIAL INVESTMENT
Stone &amp; Youngberg
Strand,Atkinson,Williams&amp;Yerl
Torrey Pines Securities
JP Turner &amp; Co
Westminster Finl Sec Inc
Wunderlich Securities Inc</t>
  </si>
  <si>
    <t>MERRILL//BAIRD/CROWELL/FERRIS-BAKER
/KEY-MCDONALD/RBC-CAP-MKTS/SUNTRUST-RH
/WELLS-FARGO-SEC//BB-T-CAP/WM-BLAIR
/CHATSWORTH/DAVIDSON/DBSECU/DOFT
/DOMINICK/FIXED-INC/HARRN/LADENBURG
/MORGAN-KEEGAN/PIPER-JAFFRAY
/TD-WATERHOUSE/WEDBUSH-M/AXIOM-CAP
/BROOKSTREET/FINANCE-INC/FIRST-MONTAUK
/FIRST-SW/HOEFER-ARNETT/HOWE-BARNES
/HUMMER/HUNTLEIGH-SEC/JESUP
/JOHNSTON-LEMON/MAXIM-GROUP
/MCGINN-SMITH/MESIROW-FIN
/MORGAN-WILSHIRE/NATL-SEC/NORTHEAST-SEC
/D-A-NOYES/PEACOCK-HISLOP
/SANDERS-HARRIS/CHARLES-SCHWAB
/SOURCE-CAPITAL/SWS-SEC/SPELMAN
/STANFORD-GROUP/STERLING-FIN-I
/STONE-YOUNG/STRAND-ATKIN/TORREY-PINES
/J-P-TURNER/WEST-FIN-SEC/WUNDERLICH</t>
  </si>
  <si>
    <t>MERRILL
BAIRD
CROWELL
FERRIS-BAKER
KEY-MCDONALD
RBC-CAP-MKTS
SUNTRUST-RH
WELLS-FARGO-SEC</t>
  </si>
  <si>
    <t>Merrill Lynch &amp; Co Inc
Robert W Baird &amp; Co Inc
Crowell Weedon &amp; Co
Ferris Baker Watts Inc
KeyCorp/McDonald Investments
RBC Capital Markets
SunTrust Robinson Humphrey
Wells Fargo Securities LLC</t>
  </si>
  <si>
    <t>Gabelli Global Gold Natural</t>
  </si>
  <si>
    <t>GGN</t>
  </si>
  <si>
    <t>36244N109</t>
  </si>
  <si>
    <t>Citigroup
Merrill Lynch
AG Edwards &amp; Sons Inc
Gabelli &amp; Co Inc
Advest Inc
Ferris Baker Watts
JJB Hilliard WL Lyons Inc
Janney Montgomery Scott Inc
Legg Mason Wood Walker
RBC Capital Markets
Stifel Nicolaus &amp; Co Inc
Wedbush Securities
Wells Fargo Securities LLC
Crowell Weedon &amp; Co
Deutsche Bank Securities Corp
Oppenheimer &amp; Co Inc
KeyCorp/McDonald Investments
Robert W Baird &amp; Co Inc
Piper Jaffray Cos
BB&amp;T Capital Markets
M. L. Stern
Mesirow Financial Corp
Morgan Keegan Inc
SunTrust Capital Markets
The Seidler Companies Inc
William Blair &amp; Co
Axiom Capital Management Inc
Brookstreet Securities
DA Davidson &amp; Co Inc
David A. Noyes
Doft &amp; Co Inc
First Montauk Securities
First Southwest
Huntleigh Securities Corp
Maxim Group LLC
National Securities Corp (US)
Newbridge Securities
Ryan Beck &amp; Co
Sanders Morris Harris Inc
Southwest Securities Inc
Strand,Atkinson,Williams&amp;Yerl</t>
  </si>
  <si>
    <t>CITIGROUP//MERRILL/A-G-EDWARDS/GABELLI
/ADVEST/FERRIS-BAKER/HILLIARD/JANNEY
/LEGG-MASON-WW/RBC-CAP-MKTS/STIFEL
/WEDBUSH-M/WELLS-FARGO-SEC//CROWELL
/DEUTSCHE-BK-SEC/OPPENHEIMER-CO
/KEY-MCDONALD/BAIRD/PIPER-JAFFRAY
/BB-T-CAP/M-L-STERN/MESIROW-FIN
/MORGAN-KEEGAN/SUNTRUST-CAP
/SEIDLER-CO-INC/WM-BLAIR/AXIOM-CAP
/BROOKSTREET/DAVIDSON/D-A-NOYES/DOFT
/FIRST-MONTAUK/FIRST-SW/HUNTLEIGH-SEC
/MAXIM-GROUP/NATL-SEC/NEWBRIDGE
/RYAN-BECK/SANDERS-HARRIS/SWS-SEC
/STRAND-ATKIN</t>
  </si>
  <si>
    <t>CITIGROUP
MERRILL
A-G-EDWARDS
GABELLI
ADVEST
FERRIS-BAKER
HILLIARD
JANNEY
LEGG-MASON-WW
RBC-CAP-MKTS
STIFEL
WEDBUSH-M
WELLS-FARGO-SEC</t>
  </si>
  <si>
    <t>Citigroup
Merrill Lynch &amp; Co Inc
AG Edwards &amp; Sons Inc
Gabelli &amp; Co Inc
Advest Inc
Ferris Baker Watts Inc
JJB Hilliard WL Lyons Inc
Janney Montgomery Scott Inc
Legg Mason Wood Walker Inc
RBC Capital Markets
Stifel Nicolaus &amp; Co Inc
Wedbush Securities
Wells Fargo Securities LLC</t>
  </si>
  <si>
    <t>Fastclick Inc</t>
  </si>
  <si>
    <t>FSTC</t>
  </si>
  <si>
    <t>31188F105</t>
  </si>
  <si>
    <t>Credit Suisse First Boston
Citigroup
Thomas Weisel Partners
Jefferies Broadview</t>
  </si>
  <si>
    <t>09/27/05
09/27/05</t>
  </si>
  <si>
    <t xml:space="preserve">70.786
</t>
  </si>
  <si>
    <t xml:space="preserve">13720305.00
</t>
  </si>
  <si>
    <t>CS-FB-CS(JB)/CITIGROUP(JB)
//THOMAS-WEISEL/JEFFERIES-BROAD</t>
  </si>
  <si>
    <t>CS-FB-CS
(JB)/CITIGROUP(JB)
THOMAS-WEISEL
JEFFERIES-BROAD</t>
  </si>
  <si>
    <t>Credit Suisse First Boston Corp
Citigroup
Thomas Weisel Partners
Jefferies Broadview</t>
  </si>
  <si>
    <t>FreightCar America Inc</t>
  </si>
  <si>
    <t>RAIL</t>
  </si>
  <si>
    <t>UBS Investment Bank
Jefferies &amp; Co Inc
CIBC World Markets Inc
LaSalle Bank NA</t>
  </si>
  <si>
    <t>10/02/05
10/02/05
10/02/05</t>
  </si>
  <si>
    <t xml:space="preserve">32.177
</t>
  </si>
  <si>
    <t xml:space="preserve">4032700.00
</t>
  </si>
  <si>
    <t>UBS-INV-BANK//JEFFERIES/CIBC-WORLD
//LA-SALLE-BK-NA</t>
  </si>
  <si>
    <t>UBS-INV-BANK
JEFFERIES
CIBC-WORLD</t>
  </si>
  <si>
    <t>UBS Investment Bank
Jefferies &amp; Co Inc
CIBC World Markets Inc</t>
  </si>
  <si>
    <t>PRB Gas Transportation Inc</t>
  </si>
  <si>
    <t>PRB</t>
  </si>
  <si>
    <t>05/07/06
07/06/06
10/09/05</t>
  </si>
  <si>
    <t>17.941
17.089
60.407</t>
  </si>
  <si>
    <t>390
450
180</t>
  </si>
  <si>
    <t>1211000.00
1153500.00
4077500.00</t>
  </si>
  <si>
    <t>Dexcom Inc</t>
  </si>
  <si>
    <t>DXCM</t>
  </si>
  <si>
    <t>Piper Jaffray Cos
SG Cowen Securities Corp
William Blair &amp; Co
First Albany Capital Inc</t>
  </si>
  <si>
    <t>10/10/05
12/09/05</t>
  </si>
  <si>
    <t>64.752
16.588</t>
  </si>
  <si>
    <t>16308832.00
4177929.00</t>
  </si>
  <si>
    <t>PIPER-JAFFRAY/SG-COWEN(JOINT)//WM-BLAIR
/FIRST-AL-CAP</t>
  </si>
  <si>
    <t>PIPER-JAFFRAY/SG-COWEN</t>
  </si>
  <si>
    <t>PIPER-JAFFRAY
/SG-COWEN(JOINT)
WM-BLAIR
FIRST-AL-CAP</t>
  </si>
  <si>
    <t>Earle M Jorgensen Co</t>
  </si>
  <si>
    <t>JOR</t>
  </si>
  <si>
    <t>Credit Suisse First Boston
Goldman Sachs &amp; Co
Citigroup
ABN AMRO Incorporated
William Blair &amp; Co
CIBC World Markets Inc</t>
  </si>
  <si>
    <t>CS-FB-CS(JB)/GS(JB)//CITIGROUP
/ABN-AMRO-INC/WM-BLAIR/CIBC-WORLD</t>
  </si>
  <si>
    <t>CS-FB-CS
(JB)/GS(JB)
CITIGROUP
ABN-AMRO-INC
WM-BLAIR
CIBC-WORLD</t>
  </si>
  <si>
    <t>Credit Suisse First Boston Corp
Goldman Sachs &amp; Co
Citigroup
ABN AMRO Incorporated
William Blair &amp; Co
CIBC World Markets Inc</t>
  </si>
  <si>
    <t>National Atlantic Hldg Corp</t>
  </si>
  <si>
    <t>NAHC</t>
  </si>
  <si>
    <t>63253Y107</t>
  </si>
  <si>
    <t>Citigroup
Dowling &amp; Partners Securities
Fox-Pitt Kelton
Sandler O'Neill Partners
Cochran, Caronia &amp; Co.</t>
  </si>
  <si>
    <t>10/17/05
10/17/05
10/17/05</t>
  </si>
  <si>
    <t>CITIGROUP//DOWL/FOX-PITT/SANDLER-ONEILL
/COCHRAN-CARONIA</t>
  </si>
  <si>
    <t>CITIGROUP
DOWL
FOX-PITT
SANDLER-ONEILL
COCHRAN-CARONIA</t>
  </si>
  <si>
    <t>Citigroup
Dowling &amp; Partners Securities LLC
Fox-Pitt Kelton
Sandler O'Neill Partners  L.P.
Cochran, Caronia &amp; Co.</t>
  </si>
  <si>
    <t>Accuride Corp</t>
  </si>
  <si>
    <t>ACW</t>
  </si>
  <si>
    <t>CITIGROUP
/DEUTSCHE-BK-SEC(JB)
/UBS-INV-BANK(JB)</t>
  </si>
  <si>
    <t>004398103</t>
  </si>
  <si>
    <t>Citigroup
Deutsche Bank Securities Corp
UBS Investment Bank
Robert W Baird &amp; Co Inc
Bear Stearns &amp; Co Inc
FTN MIDWEST RESEARCH SECURITIE
Tri-Artisan Partners
Chatsworth Securities LLC</t>
  </si>
  <si>
    <t>10/22/05
10/22/05</t>
  </si>
  <si>
    <t xml:space="preserve">63.984
</t>
  </si>
  <si>
    <t xml:space="preserve">20873212.00
</t>
  </si>
  <si>
    <t>CITIGROUP(JB)/DEUTSCHE-BK-SEC(JB)
/UBS-INV-BANK(JB)//BAIRD/BEAR
//FTN-MIDWEST/TRI-ARTISAN/CHATSWORTH</t>
  </si>
  <si>
    <t>CITIGROUP/DEUTSCHE-BK-SEC/UBS-INV-BANK</t>
  </si>
  <si>
    <t>CITIGROUP
(JB)/DEUTSCHE-BK-SEC(JB)
/UBS-INV-BANK(JB)
BAIRD
BEAR</t>
  </si>
  <si>
    <t>Citigroup
Deutsche Bank Securities Corp.
UBS Investment Bank
Robert W Baird &amp; Co Inc
Bear Stearns &amp; Co Inc</t>
  </si>
  <si>
    <t>Dow 30 Prem &amp; Div Inc Fnd</t>
  </si>
  <si>
    <t>DPD</t>
  </si>
  <si>
    <t>Merrill Lynch
Nuveen Investments LLC
Advest Inc
H&amp;R Block Financial Advisors
Ferris Baker Watts
Oppenheimer &amp; Co Inc
RBC Capital Markets
Ryan Beck &amp; Co
Wells Fargo Securities LLC
Wunderlich Securities Inc
BB&amp;T Capital Markets
Robert W Baird &amp; Co Inc
William Blair &amp; Co
Crowell Weedon &amp; Co
DA Davidson &amp; Co Inc
Doft &amp; Co Inc
Dominick &amp; Dominick Inc
JJB Hilliard WL Lyons Inc
Legg Mason Wood Walker
Piper Jaffray Cos
Stephens Inc
SunTrust Capital Markets
TD Waterhouse Investor Svcs
Wedbush Securities
Axiom Capital Management Inc
Bishop, Rosen &amp; Co
Brean Murray &amp; Co Inc
Brookstreet Securities
First Montauk Securities
First Southwest
GunnAllen Financial Inc
Hoefer &amp; Arnett Inc
Howe Barnes Investments Inc
Huntleigh Securities Corp
Jesup &amp; Lamont Securities
Johnston Lemon &amp; Co Inc
LaSalle Street Securities Inc
Maxim Group LLC
McGinn, Smith &amp; Co Inc
Mesirow Financial Corp
Morgan Wilshire Securities
National Securities Corp (US)
Northeast Securities Inc.
David A. Noyes
Peacock Hislop Staley &amp; Given
Sanders Morris Harris Inc
The Seidler Companies Inc
Source Capital Group Inc
Southwest Securities Inc
Stanford Group Company
STERLING FINANCIAL INVESTMENT
M. L. Stern
Sterne Agee &amp; Leach Inc
Stone &amp; Youngberg
Strand,Atkinson,Williams&amp;Yerl
Torrey Pines Securities
Westminster Finl Sec Inc</t>
  </si>
  <si>
    <t>MERRILL/NUVEEN-INV(JOINT)//ADVEST
/HR-BLOCK-FIN/FERRIS-BAKER
/OPPENHEIMER-CO/RBC-CAP-MKTS/RYAN-BECK
/WELLS-FARGO-SEC/WUNDERLICH//BB-T-CAP
/BAIRD/WM-BLAIR/CROWELL/DAVIDSON/DOFT
/DOMINICK/HILLIARD/LEGG-MASON-WW
/PIPER-JAFFRAY/STEPHENS/SUNTRUST-CAP
/TD-WATERHOUSE/WEDBUSH-M/AXIOM-CAP
/BISHOP-ROSEN/BREAN/BROOKSTREET
/FIRST-MONTAUK/FIRST-SW/GUNNALLEN-FINL
/HOEFER-ARNETT/HOWE-BARNES
/HUNTLEIGH-SEC/JESUP/JOHNSTON-LEMON
/LASALLE-SEC/MAXIM-GROUP/MCGINN-SMITH
/MESIROW-FIN/MORGAN-WILSHIRE/NATL-SEC
/NORTHEAST-SEC/D-A-NOYES/PEACOCK-HISLOP
/SANDERS-HARRIS/SEIDLER-CO-INC
/SOURCE-CAPITAL/SWS-SEC/STANFORD-GROUP
/STERLING-FIN-I/M-L-STERN/STERNE-AGEE
/STONE-YOUNG/STRAND-ATKIN/TORREY-PINES
/WEST-FIN-SEC</t>
  </si>
  <si>
    <t>MERRILL
/NUVEEN-INV(JOINT)
ADVEST
HR-BLOCK-FIN
FERRIS-BAKER
OPPENHEIMER-CO
RBC-CAP-MKTS
RYAN-BECK
WELLS-FARGO-SEC
WUNDERLICH</t>
  </si>
  <si>
    <t>Merrill Lynch &amp; Co Inc
Nuveen Investments LLC
Advest Inc
H&amp;R Block Financial Advisors
Ferris Baker Watts Inc
Oppenheimer &amp; Co Inc
RBC Capital Markets
Ryan Beck &amp; Co
Wells Fargo Securities LLC
Wunderlich Securities Inc</t>
  </si>
  <si>
    <t>Eaton Vance BuyWrite Fund</t>
  </si>
  <si>
    <t>ETB</t>
  </si>
  <si>
    <t>27828X100</t>
  </si>
  <si>
    <t>Citigroup
Wachovia Securities Inc
AG Edwards &amp; Sons Inc
Advest Inc
Robert W Baird &amp; Co Inc
Banc of America Securities LLC
H&amp;R Block Financial Advisors
Ferris Baker Watts
JJB Hilliard WL Lyons Inc
Janney Montgomery Scott LLC
KeyCorp/McDonald Investments
Legg Mason Wood Walker
RBC Capital Markets
Wells Fargo Securities LLC
Deutsche Bank Securities
Morgan Keegan Inc
Oppenheimer &amp; Co Inc
Piper Jaffray Cos
Ryan Beck &amp; Co
SunTrust Capital Markets
TD Waterhouse Investor Svcs
Wedbush Securities
BB&amp;T Capital Markets
Brookstreet Securities
DA Davidson &amp; Co Inc
Doft &amp; Co Inc
M. L. Stern
Mesirow Financial Corp
Sanders Morris Harris Inc
Strand,Atkinson,Williams&amp;Yerl
Axiom Capital Management Inc
Cadaret Grant &amp; Co
Fifth Third Securities Inc
Gilford Securities
GunnAllen Financial Inc
Huntleigh Securities Corp
J. B. Hanauer
Jesup &amp; Lamont Securities
Johnston Lemon &amp; Co Inc
Joseph Gunnar &amp; Co., LLC
National Securities Corp (US)
Parker-Hunter Inc
Southwest Securities Inc
Spelman &amp; Co.</t>
  </si>
  <si>
    <t>CITIGROUP//WACHOVIA-SEC/A-G-EDWARDS
/ADVEST/BAIRD/BA-SEC-LLC/HR-BLOCK-FIN
/FERRIS-BAKER/HILLIARD/JANNEY-LLC
/KEY-MCDONALD/LEGG-MASON-WW
/RBC-CAP-MKTS/WELLS-FARGO-SEC//DBSECU
/MORGAN-KEEGAN/OPPENHEIMER-CO
/PIPER-JAFFRAY/RYAN-BECK/SUNTRUST-CAP
/TD-WATERHOUSE/WEDBUSH-M/BB-T-CAP
/BROOKSTREET/DAVIDSON/DOFT/M-L-STERN
/MESIROW-FIN/SANDERS-HARRIS
/STRAND-ATKIN/AXIOM-CAP/CADARET-GRANT
/FIFTH-THIRD-SEC/GILFORD/GUNNALLEN-FINL
/HUNTLEIGH-SEC/J-B-HANAUER/JESUP
/JOHNSTON-LEMON/GUNNAR/NATL-SEC
/PARKER-HUNTER/SWS-SEC/SPELMAN</t>
  </si>
  <si>
    <t>CITIGROUP
WACHOVIA-SEC
A-G-EDWARDS
ADVEST
BAIRD
BA-SEC-LLC
HR-BLOCK-FIN
FERRIS-BAKER
HILLIARD
JANNEY-LLC
KEY-MCDONALD
LEGG-MASON-WW
RBC-CAP-MKTS
WELLS-FARGO-SEC</t>
  </si>
  <si>
    <t>Citigroup
Wachovia Securities Inc
AG Edwards &amp; Sons Inc
Advest Inc
Robert W Baird &amp; Co Inc
Banc of America Securities LLC
H&amp;R Block Financial Advisors
Ferris Baker Watts Inc
JJB Hilliard WL Lyons Inc
Janney Montgomery Scott LLC
KeyCorp/McDonald Investments
Legg Mason Wood Walker Inc
RBC Capital Markets
Wells Fargo Securities LLC</t>
  </si>
  <si>
    <t>Fiduciary/Clymr Dyn Eq Fnd</t>
  </si>
  <si>
    <t>HCE</t>
  </si>
  <si>
    <t>31647T100</t>
  </si>
  <si>
    <t>Merrill Lynch
AG Edwards &amp; Sons Inc
Raymond James &amp; Associates Inc
Wachovia Securities Inc
Advest Inc
BB&amp;T Capital Markets
Robert W Baird &amp; Co Inc
Claymore Securities Inc
Ferris Baker Watts
JJB Hilliard WL Lyons Inc
Janney Montgomery Scott Inc
KeyCorp/McDonald Investments
Legg Mason Wood Walker
RBC Capital Markets
Ryan Beck &amp; Co
Wells Fargo Securities LLC
William Blair &amp; Co
Crowell Weedon &amp; Co
DA Davidson &amp; Co Inc
Doft &amp; Co Inc
Dominick &amp; Dominick Inc
Harris Nesbitt
Morgan Keegan Inc
Piper Jaffray Cos
Stephens Inc
SunTrust Capital Markets
TD Waterhouse Investor Svcs
Wedbush Securities
Arthurs Lestrange
Axiom Capital Management Inc
Brookstreet Securities
First Southwest
GunnAllen Financial Inc
Hoefer &amp; Arnett Inc
Jesup &amp; Lamont Securities
Johnston Lemon &amp; Co Inc
LaSalle Street Securities Inc
Maxim Group LLC
Natcity Investments Inc.
Northeast Securities Inc.
Sanders Morris Harris Inc
The Seidler Companies Inc
Southwest Securities Inc
Spelman &amp; Co.
Stanford Group Company
Torrey Pines Securities</t>
  </si>
  <si>
    <t>MERRILL/A-G-EDWARDS/RAYMOND(JOINT)
//WACHOVIA-SEC/ADVEST/BB-T-CAP/BAIRD
/CLAYMORE-SEC/FERRIS-BAKER/HILLIARD
/JANNEY/KEY-MCDONALD/LEGG-MASON-WW
/RBC-CAP-MKTS/RYAN-BECK/WELLS-FARGO-SEC
//WM-BLAIR/CROWELL/DAVIDSON/DOFT
/DOMINICK/HARRN/MORGAN-KEEGAN
/PIPER-JAFFRAY/STEPHENS/SUNTRUST-CAP
/TD-WATERHOUSE/WEDBUSH-M/ARTHURS-LES
/AXIOM-CAP/BROOKSTREET/FIRST-SW
/GUNNALLEN-FINL/HOEFER-ARNETT/JESUP
/JOHNSTON-LEMON/LASALLE-SEC/MAXIM-GROUP
/NATCITY-INVEST/NORTHEAST-SEC
/SANDERS-HARRIS/SEIDLER-CO-INC/SWS-SEC
/SPELMAN/STANFORD-GROUP/TORREY-PINES</t>
  </si>
  <si>
    <t>MERRILL
/A-G-EDWARDS
/RAYMOND(JOINT)
WACHOVIA-SEC
ADVEST
BB-T-CAP
BAIRD
CLAYMORE-SEC
FERRIS-BAKER
HILLIARD
JANNEY
KEY-MCDONALD
LEGG-MASON-WW
RBC-CAP-MKTS
RYAN-BECK
WELLS-FARGO-SEC</t>
  </si>
  <si>
    <t>Merrill Lynch &amp; Co Inc
AG Edwards &amp; Sons Inc
Raymond James &amp; Associates Inc
Wachovia Securities Inc
Advest Inc
BB&amp;T Capital Markets
Robert W Baird &amp; Co Inc
Claymore Securities Inc
Ferris Baker Watts Inc
JJB Hilliard WL Lyons Inc
Janney Montgomery Scott Inc
KeyCorp/McDonald Investments
Legg Mason Wood Walker Inc
RBC Capital Markets
Ryan Beck &amp; Co
Wells Fargo Securities LLC</t>
  </si>
  <si>
    <t>Madison Strategic Sector</t>
  </si>
  <si>
    <t>MSP</t>
  </si>
  <si>
    <t>Citigroup
Ferris Baker Watts
JJB Hilliard WL Lyons Inc
Morgan Keegan Inc
RBC Capital Markets
Stifel Nicolaus &amp; Co Inc
Wedbush Securities
Oppenheimer &amp; Co Inc
Advest Inc
Robert W Baird &amp; Co Inc
Piper Jaffray Cos
BB&amp;T Capital Markets
Brookstreet Securities
Crowell Weedon &amp; Co
DA Davidson &amp; Co Inc
Doft &amp; Co Inc
Mesirow Financial Corp
Sanders Morris Harris Inc
Strand,Atkinson,Williams&amp;Yerl
Axiom Capital Management Inc
David A. Noyes
Johnston Lemon &amp; Co Inc
National Securities Corp (US)
Southwest Securities Inc</t>
  </si>
  <si>
    <t>CITIGROUP//FERRIS-BAKER/HILLIARD
/MORGAN-KEEGAN/RBC-CAP-MKTS/STIFEL
/WEDBUSH-M//OPPENHEIMER-CO/ADVEST/BAIRD
/PIPER-JAFFRAY/BB-T-CAP/BROOKSTREET
/CROWELL/DAVIDSON/DOFT/MESIROW-FIN
/SANDERS-HARRIS/STRAND-ATKIN/AXIOM-CAP
/D-A-NOYES/JOHNSTON-LEMON/NATL-SEC
/SWS-SEC</t>
  </si>
  <si>
    <t>CITIGROUP
FERRIS-BAKER
HILLIARD
MORGAN-KEEGAN
RBC-CAP-MKTS
STIFEL
WEDBUSH-M</t>
  </si>
  <si>
    <t>Citigroup
Ferris Baker Watts Inc
JJB Hilliard WL Lyons Inc
Morgan Keegan Inc
RBC Capital Markets
Stifel Nicolaus &amp; Co Inc
Wedbush Securities</t>
  </si>
  <si>
    <t>Nicholas-Applegate Int'l Strat</t>
  </si>
  <si>
    <t>NAI</t>
  </si>
  <si>
    <t>65370C108</t>
  </si>
  <si>
    <t>UBS Investment Bank
Wachovia Securities Inc
Legg Mason Wood Walker
Raymond James &amp; Associates Inc
RBC Capital Markets
Wells Fargo Bank NA
Advest Inc
Robert W Baird &amp; Co Inc
JJB Hilliard WL Lyons Inc
Janney Montgomery Scott LLC
KeyCorp/McDonald Investments
Oppenheimer &amp; Co Inc
Stifel Nicolaus &amp; Co Inc
Wedbush Securities
Ferris Baker Watts
Piper Jaffray Cos
Crowell Weedon &amp; Co
M. L. Stern
Stone &amp; Youngberg
TD Waterhouse Investor Svcs
BB&amp;T Capital Markets
Bernard Herold &amp; Co
Brookstreet Securities
Cadaret Grant &amp; Co
DA Davidson &amp; Co Inc
J. B. Hanauer
JP Turner &amp; Co
Morgan Keegan Inc
David A. Noyes
Peacock Hislop Staley &amp; Given
Southwest Securities Inc
Spelman &amp; Co.
Stanford Group Company
STERLING FINANCIAL INVESTMENT
Sterne Agee &amp; Leach Inc
Strand,Atkinson,Williams&amp;Yerl
SunTrust Capital Markets</t>
  </si>
  <si>
    <t>UBS-INV-BANK//WACHOVIA-SEC
/LEGG-MASON-WW/RAYMOND/RBC-CAP-MKTS
/WELLS-FARGO/ADVEST/BAIRD/HILLIARD
/JANNEY-LLC/KEY-MCDONALD/OPPENHEIMER-CO
/STIFEL/WEDBUSH-M/FERRIS-BAKER
//PIPER-JAFFRAY/CROWELL/M-L-STERN
/STONE-YOUNG/TD-WATERHOUSE/BB-T-CAP
/BERNARD-HER/BROOKSTREET/CADARET-GRANT
/DAVIDSON/J-B-HANAUER/J-P-TURNER
/MORGAN-KEEGAN/D-A-NOYES/PEACOCK-HISLOP
/SWS-SEC/SPELMAN/STANFORD-GROUP
/STERLING-FIN-I/STERNE-AGEE
/STRAND-ATKIN/SUNTRUST-CAP</t>
  </si>
  <si>
    <t>UBS-INV-BANK
WACHOVIA-SEC
LEGG-MASON-WW
RAYMOND
RBC-CAP-MKTS
WELLS-FARGO
ADVEST
BAIRD
HILLIARD
JANNEY-LLC
KEY-MCDONALD
OPPENHEIMER-CO
STIFEL
WEDBUSH-M
FERRIS-BAKER</t>
  </si>
  <si>
    <t>UBS Investment Bank
Wachovia Securities Inc
Legg Mason Wood Walker Inc
Raymond James &amp; Associates Inc
RBC Capital Markets
Wells Fargo Bank NA
Advest Inc
Robert W Baird &amp; Co Inc
JJB Hilliard WL Lyons Inc
Janney Montgomery Scott LLC
KeyCorp/McDonald Investments
Oppenheimer &amp; Co Inc
Stifel Nicolaus &amp; Co Inc
Wedbush Securities
Ferris Baker Watts Inc</t>
  </si>
  <si>
    <t>Clough Global Equity Fund</t>
  </si>
  <si>
    <t>GLQ</t>
  </si>
  <si>
    <t>18914C100</t>
  </si>
  <si>
    <t>Merrill Lynch
BB&amp;T Capital Markets
Ferris Baker Watts
Morgan Keegan Inc
Oppenheimer &amp; Co Inc
Raymond James &amp; Associates Inc
Stifel Nicolaus &amp; Co Inc
Wedbush Securities
Advest Inc
BNY Capital Markets Inc
Robert W Baird &amp; Co Inc
William Blair &amp; Co
Crowell Weedon &amp; Co
DA Davidson &amp; Co Inc
Doft &amp; Co Inc
Dominick &amp; Dominick Inc
Legg Mason Wood Walker
SunTrust Capital Markets
Brean Murray &amp; Co Inc
Brookstreet Securities
GunnAllen Financial Inc
Hoefer &amp; Arnett Inc
Johnston Lemon &amp; Co Inc
Maxim Group LLC
Morgan Wilshire Securities
Sanders Morris Harris Inc
Southwest Securities Inc
Spelman &amp; Co.
Stanford Group Company
Torrey Pines Securities</t>
  </si>
  <si>
    <t>MERRILL//BB-T-CAP/FERRIS-BAKER
/MORGAN-KEEGAN/OPPENHEIMER-CO/RAYMOND
/STIFEL/WEDBUSH-M//ADVEST/BNY-CAP/BAIRD
/WM-BLAIR/CROWELL/DAVIDSON/DOFT
/DOMINICK/LEGG-MASON-WW/SUNTRUST-CAP
/BREAN/BROOKSTREET/GUNNALLEN-FINL
/HOEFER-ARNETT/JOHNSTON-LEMON
/MAXIM-GROUP/MORGAN-WILSHIRE
/SANDERS-HARRIS/SWS-SEC/SPELMAN
/STANFORD-GROUP/TORREY-PINES</t>
  </si>
  <si>
    <t>MERRILL
BB-T-CAP
FERRIS-BAKER
MORGAN-KEEGAN
OPPENHEIMER-CO
RAYMOND
STIFEL
WEDBUSH-M</t>
  </si>
  <si>
    <t>Merrill Lynch &amp; Co Inc
BB&amp;T Capital Markets
Ferris Baker Watts Inc
Morgan Keegan Inc
Oppenheimer &amp; Co Inc
Raymond James &amp; Associates Inc
Stifel Nicolaus &amp; Co Inc
Wedbush Securities</t>
  </si>
  <si>
    <t>VeriFone Holdings Inc</t>
  </si>
  <si>
    <t>PAY</t>
  </si>
  <si>
    <t>92342Y109</t>
  </si>
  <si>
    <t>JP Morgan
Lehman Brothers
Credit Suisse First Boston
Goldman Sachs &amp; Co
Banc of America Securities LLC</t>
  </si>
  <si>
    <t>JPM(JB)/LEH(JB)//CS-FB-CS/GS/BA-SEC-LLC</t>
  </si>
  <si>
    <t>JPM
(JB)/LEH(JB)
CS-FB-CS
GS
BA-SEC-LLC</t>
  </si>
  <si>
    <t>JP Morgan &amp; Co Inc
Lehman Brothers
Credit Suisse First Boston Corp
Goldman Sachs &amp; Co
Banc of America Securities LLC</t>
  </si>
  <si>
    <t>Coffee Holding Co Inc</t>
  </si>
  <si>
    <t>JVA</t>
  </si>
  <si>
    <t>JOSEPH-STEVENS</t>
  </si>
  <si>
    <t>Joseph Stevens &amp; Company
Maxim Group LLC</t>
  </si>
  <si>
    <t>01/27/06
01/27/06</t>
  </si>
  <si>
    <t xml:space="preserve">67.799
</t>
  </si>
  <si>
    <t>270
270</t>
  </si>
  <si>
    <t xml:space="preserve">3600000.00
</t>
  </si>
  <si>
    <t>JOSEPH-STEVENS//MAXIM-GROUP</t>
  </si>
  <si>
    <t>Joseph Stevens &amp; Company, LP</t>
  </si>
  <si>
    <t>Morningstar Inc</t>
  </si>
  <si>
    <t>MORN</t>
  </si>
  <si>
    <t>WR Hambrecht &amp; Co LLC
HARRISdirect LLC</t>
  </si>
  <si>
    <t>07/31/05
10/29/05
10/29/05
10/29/05</t>
  </si>
  <si>
    <t xml:space="preserve">0.034
80.067
0.007
</t>
  </si>
  <si>
    <t>90
180
180
180</t>
  </si>
  <si>
    <t xml:space="preserve">13243.00
30782953.00
2724.00
</t>
  </si>
  <si>
    <t>W-R-HAMBRECHT//HARRISDIRECT</t>
  </si>
  <si>
    <t>Enhanced Equity Yield Fund Inc</t>
  </si>
  <si>
    <t>EEF</t>
  </si>
  <si>
    <t>29332H100</t>
  </si>
  <si>
    <t>Merrill Lynch
Robert W Baird &amp; Co Inc
BB&amp;T Capital Markets
Advest Inc
William Blair &amp; Co
Crowell Weedon &amp; Co
DA Davidson &amp; Co Inc
Doft &amp; Co Inc
Dominick &amp; Dominick Inc
Ferris Baker Watts
Morgan Keegan Inc
Piper Jaffray Cos
Ryan Beck &amp; Co
SunTrust Capital Markets
Wedbush Securities
Axiom Capital Management Inc
Brean Murray &amp; Co Inc
Brookstreet Securities
Dorsey &amp; Company Incorporated
First Montauk Securities
First Southwest
Gilford Securities
GunnAllen Financial Inc
Hoefer &amp; Arnett Inc
Howe Barnes Investments Inc
Huntleigh Securities Corp
Johnston Lemon &amp; Co Inc
LaSalle Street Securities Inc
Maxim Group LLC
Morgan Wilshire Securities
Natcity Investments Inc.
Newbridge Securities
Northeast Securities Inc.
David A. Noyes
Peacock Hislop Staley &amp; Given
Sanders Morris Harris Inc
The Seidler Companies Inc
Southwest Securities Inc
Stanford Group Company
STERLING FINANCIAL INVESTMENT
M. L. Stern
Strand,Atkinson,Williams&amp;Yerl
Torrey Pines Securities
JP Turner &amp; Co
Westminster Finl Sec Inc
Wunderlich Securities Inc</t>
  </si>
  <si>
    <t>MERRILL//BAIRD/BB-T-CAP//ADVEST
/WM-BLAIR/CROWELL/DAVIDSON/DOFT
/DOMINICK/FERRIS-BAKER/MORGAN-KEEGAN
/PIPER-JAFFRAY/RYAN-BECK/SUNTRUST-CAP
/WEDBUSH-M/AXIOM-CAP/BREAN/BROOKSTREET
/DORSEY/FIRST-MONTAUK/FIRST-SW/GILFORD
/GUNNALLEN-FINL/HOEFER-ARNETT
/HOWE-BARNES/HUNTLEIGH-SEC
/JOHNSTON-LEMON/LASALLE-SEC/MAXIM-GROUP
/MORGAN-WILSHIRE/NATCITY-INVEST
/NEWBRIDGE/NORTHEAST-SEC/D-A-NOYES
/PEACOCK-HISLOP/SANDERS-HARRIS
/SEIDLER-CO-INC/SWS-SEC/STANFORD-GROUP
/STERLING-FIN-I/M-L-STERN/STRAND-ATKIN
/TORREY-PINES/J-P-TURNER/WEST-FIN-SEC
/WUNDERLICH</t>
  </si>
  <si>
    <t>MERRILL
BAIRD
BB-T-CAP</t>
  </si>
  <si>
    <t>Merrill Lynch &amp; Co Inc
Robert W Baird &amp; Co Inc
BB&amp;T Capital Markets</t>
  </si>
  <si>
    <t>Lazard Ltd</t>
  </si>
  <si>
    <t>LAZ</t>
  </si>
  <si>
    <t>G54050102</t>
  </si>
  <si>
    <t>Goldman Sachs &amp; Co
Citigroup
Lazard
Merrill Lynch
Morgan Stanley
Credit Suisse First Boston
JP Morgan
Allen &amp; Co Inc
BNY Capital Markets Inc
AG Edwards &amp; Sons Inc
Jefferies &amp; Co Inc
Legg Mason Wood Walker
Raymond James &amp; Associates Inc
SG Cowen Securities Corp
Sandler O'Neill Partners
Stifel Nicolaus &amp; Co Inc
Wells Fargo Securities LLC
Blaylock &amp; Partners LP
Brean Murray &amp; Co Inc
Dominick &amp; Dominick Inc
Guzman &amp; Co
Janney Montgomery Scott LLC
Putnam Lovell Securities
Ryan Beck &amp; Co
CE Unterberg Towbin
Utendahl Capital Partners
Williams Capital Group LP</t>
  </si>
  <si>
    <t>GS//CITIGROUP/LAZARD/MERRILL
/MORGAN-STANLEY/CS-FB-CS/JPM//ALLEN
/BNY-CAP/A-G-EDWARDS/JEFFERIES
/LEGG-MASON-WW/RAYMOND/SG-COWEN
/SANDLER-ONEILL/STIFEL/WELLS-FARGO-SEC
/BLAYLOCK-PTRNS/BREAN/DOMINICK/GUZMAN
/JANNEY-LLC/PUTNAM-LOV-SEC/RYAN-BECK
/UNTERBERG/UTENDAHL-CAP/WILLIAMS-CAP</t>
  </si>
  <si>
    <t>GS
CITIGROUP
LAZARD
MERRILL
MORGAN-STANLEY
CS-FB-CS
JPM</t>
  </si>
  <si>
    <t>Goldman Sachs &amp; Co
Citigroup
Lazard
Merrill Lynch &amp; Co Inc
Morgan Stanley
Credit Suisse First Boston Corp
JP Morgan &amp; Co Inc</t>
  </si>
  <si>
    <t>Teekay LNG Partners LP</t>
  </si>
  <si>
    <t>TGP</t>
  </si>
  <si>
    <t>Y8564M105</t>
  </si>
  <si>
    <t>Citigroup
UBS Investment Bank
AG Edwards &amp; Sons Inc
Wachovia Securities Inc
Raymond James &amp; Associates Inc
Jefferies &amp; Co Inc
Deutsche Bank Securities Corp</t>
  </si>
  <si>
    <t>10/31/05
10/31/05</t>
  </si>
  <si>
    <t>CITIGROUP/UBS-INV-BANK(JOINT)
//A-G-EDWARDS/WACHOVIA-SEC/RAYMOND
/JEFFERIES/DEUTSCHE-BK-SEC</t>
  </si>
  <si>
    <t>CITIGROUP
/UBS-INV-BANK(JOINT)
A-G-EDWARDS
WACHOVIA-SEC
RAYMOND
JEFFERIES
DEUTSCHE-BK-SEC</t>
  </si>
  <si>
    <t>Citigroup
UBS Investment Bank
AG Edwards &amp; Sons Inc
Wachovia Securities Inc
Raymond James &amp; Associates Inc
Jefferies &amp; Co Inc
Deutsche Bank Securities Corp.</t>
  </si>
  <si>
    <t>China Techfaith Wireless Ltd</t>
  </si>
  <si>
    <t>CNTF</t>
  </si>
  <si>
    <t>Merrill Lynch
Lehman Brothers Asia
CIBC World Markets Inc</t>
  </si>
  <si>
    <t>MERRILL/LEH-ASIA(JOINT)//CIBC-WORLD</t>
  </si>
  <si>
    <t>MERRILL/LEH-ASIA</t>
  </si>
  <si>
    <t>MERRILL
/LEH-ASIA(JOINT)
CIBC-WORLD</t>
  </si>
  <si>
    <t>Merrill Lynch &amp; Co Inc
Lehman Brothers Asia
CIBC World Markets Inc</t>
  </si>
  <si>
    <t>Zumiez Inc</t>
  </si>
  <si>
    <t>ZUMZ</t>
  </si>
  <si>
    <t>Wachovia Securities Inc
Piper Jaffray Cos
William Blair &amp; Co
DA Davidson &amp; Co Inc
McAdams Wright Ragen Inc
Morgan Keegan Inc
Wedbush Securities</t>
  </si>
  <si>
    <t>WACHOVIA-SEC(JB)/PIPER-JAFFRAY(JB)
//WM-BLAIR//DAVIDSON/MCADAMS-WRIGHT
/MORGAN-KEEGAN/WEDBUSH-M</t>
  </si>
  <si>
    <t>WACHOVIA-SEC
(JB)/PIPER-JAFFRAY(JB)
WM-BLAIR</t>
  </si>
  <si>
    <t>Wachovia Securities Inc
Piper Jaffray Cos
William Blair &amp; Co</t>
  </si>
  <si>
    <t>Bois d'Arc Energy Inc</t>
  </si>
  <si>
    <t>BDE</t>
  </si>
  <si>
    <t>09738U103</t>
  </si>
  <si>
    <t>Raymond James &amp; Associates Inc
Friedman Billings Ramsey Group
Johnson Rice &amp; Co
Harris Nesbitt
Petrie Parkman &amp; Co Inc
Calyon Securities USA Inc
Hibernia Southcoast Capital
Key Banc Capital Markets
AG Edwards &amp; Sons Inc
Dominick &amp; Dominick Inc
First Albany Capital Inc
Janney Montgomery Scott LLC
Jefferies &amp; Co Inc
Lazard Freres &amp; Co LLC
Legg Mason Wood Walker
Morgan Keegan Inc
Natexis Bleichroeder Inc
Simmons &amp; Co International</t>
  </si>
  <si>
    <t>11/02/05
11/02/05</t>
  </si>
  <si>
    <t xml:space="preserve">78.954
</t>
  </si>
  <si>
    <t xml:space="preserve">50645000.00
</t>
  </si>
  <si>
    <t>RAYMOND//FRIEDMAN-B/JOHNSON-RICE/HARRN
/PETRIE-PARKMAN/CALYON-SEC
/HIBERNIA-SOUTH/KEY-BANC-CAP
//A-G-EDWARDS/DOMINICK/FIRST-AL-CAP
/JANNEY-LLC/JEFFERIES/LAZ/LEGG-MASON-WW
/MORGAN-KEEGAN/NATEXIS/SIMMONS</t>
  </si>
  <si>
    <t>RAYMOND
FRIEDMAN-B
JOHNSON-RICE
HARRN
PETRIE-PARKMAN
CALYON-SEC
HIBERNIA-SOUTH
KEY-BANC-CAP</t>
  </si>
  <si>
    <t>Raymond James &amp; Associates Inc
Friedman Billings Ramsey Group
Johnson Rice &amp; Co
Harris Nesbitt
Petrie Parkman &amp; Co Inc
Calyon Securities USA Inc
Hibernia Southcoast Capital Inc
Key Banc Capital Markets</t>
  </si>
  <si>
    <t>New Skies Satellites Holdings</t>
  </si>
  <si>
    <t>NSE</t>
  </si>
  <si>
    <t>G64865101</t>
  </si>
  <si>
    <t>Goldman Sachs &amp; Co
Lehman Brothers
UBS Investment Bank
Deutsche Bank Securities Corp
Banc of America Securities LLC
Wachovia Securities Inc</t>
  </si>
  <si>
    <t>11/05/05
11/05/05</t>
  </si>
  <si>
    <t xml:space="preserve">61.116
</t>
  </si>
  <si>
    <t xml:space="preserve">18703664.00
</t>
  </si>
  <si>
    <t>GS(JB)/LEH(JB)//UBS-INV-BANK
/DEUTSCHE-BK-SEC/BA-SEC-LLC
/WACHOVIA-SEC</t>
  </si>
  <si>
    <t>GS
(JB)/LEH(JB)
UBS-INV-BANK
DEUTSCHE-BK-SEC
BA-SEC-LLC
WACHOVIA-SEC</t>
  </si>
  <si>
    <t>Goldman Sachs &amp; Co
Lehman Brothers
UBS Investment Bank
Deutsche Bank Securities Corp.
Banc of America Securities LLC
Wachovia Securities Inc</t>
  </si>
  <si>
    <t>Warner Music Group Corp</t>
  </si>
  <si>
    <t>WMG</t>
  </si>
  <si>
    <t>GS/MORGAN-STANLEY(JB)
/LEH(JB)
/DEUTSCHE-BK-SEC(JB)</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</si>
  <si>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
Goldman Sachs &amp; Co
Morgan Stanley</t>
  </si>
  <si>
    <t>006</t>
  </si>
  <si>
    <t>GS(JB)/MORGAN-STANLEY(JB)/LEH(JB)
/DEUTSCHE-BK-SEC(JB)/BA-SEC-LLC
/CITIGROUP(JOINT)//ALLEN/BEAR
/UBS-INV-BANK/BLAYLOCK-PTRNS/JEFFERIES
/PACIFIC-CREST/RAMIREZ/MURIEL
/UTENDAHL-CAP/WILLIAMS-CAP//GS(GC)
/MORGAN-STANLEY(GC)</t>
  </si>
  <si>
    <t>GS/MORGAN-STANLEY/LEH/DEUTSCHE-BK-SEC
/BA-SEC-LLC/CITIGROUP</t>
  </si>
  <si>
    <t>GS
(JB)/MORGAN-STANLEY(JB)
/LEH(JB)
/DEUTSCHE-BK-SEC(JB)
/BA-SEC-LLC
/CITIGROUP(JOINT)
ALLEN
BEAR
UBS-INV-BANK
BLAYLOCK-PTRNS
JEFFERIES
PACIFIC-CREST
RAMIREZ
MURIEL
UTENDAHL-CAP
WILLIAMS-CAP</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</si>
  <si>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t>
  </si>
  <si>
    <t>Xerium Technologies Inc</t>
  </si>
  <si>
    <t>XRM</t>
  </si>
  <si>
    <t>98416J100</t>
  </si>
  <si>
    <t>Citigroup
Merrill Lynch
CIBC World Markets Inc
Robert W Baird &amp; Co Inc
Legg Mason Wood Walker</t>
  </si>
  <si>
    <t>CITIGROUP(JB)/MERRILL(JB)
/CIBC-WORLD(JOINT)//BAIRD/LEGG-MASON-WW</t>
  </si>
  <si>
    <t>CITIGROUP/MERRILL/CIBC-WORLD</t>
  </si>
  <si>
    <t>CITIGROUP
(JB)/MERRILL(JB)
/CIBC-WORLD(JOINT)
BAIRD
LEGG-MASON-WW</t>
  </si>
  <si>
    <t>Citigroup
Merrill Lynch &amp; Co Inc
CIBC World Markets Inc
Robert W Baird &amp; Co Inc
Legg Mason Wood Walker Inc</t>
  </si>
  <si>
    <t>Citi Trends Inc</t>
  </si>
  <si>
    <t>CTRN</t>
  </si>
  <si>
    <t>17306X102</t>
  </si>
  <si>
    <t>CIBC World Markets Inc
Piper Jaffray Cos
SG Cowen Securities Corp
Wachovia Securities Inc
Avondale Partners
BB&amp;T Capital Markets
Blaylock &amp; Partners LP
FTN MIDWEST RESEARCH SECURITIE
Morgan Keegan Inc
SunTrust Capital Markets</t>
  </si>
  <si>
    <t>11/13/05
11/13/05
11/13/05</t>
  </si>
  <si>
    <t xml:space="preserve">75.993
</t>
  </si>
  <si>
    <t xml:space="preserve">9115344.00
</t>
  </si>
  <si>
    <t>CIBC-WORLD//PIPER-JAFFRAY/SG-COWEN
/WACHOVIA-SEC//AVONDALE/BB-T-CAP
/BLAYLOCK-PTRNS/FTN-MIDWEST
/MORGAN-KEEGAN/SUNTRUST-CAP</t>
  </si>
  <si>
    <t>CIBC-WORLD
PIPER-JAFFRAY
SG-COWEN
WACHOVIA-SEC</t>
  </si>
  <si>
    <t>CIBC World Markets Inc
Piper Jaffray Cos
SG Cowen Securities Corp
Wachovia Securities Inc</t>
  </si>
  <si>
    <t>Transmontaigne Partners LP</t>
  </si>
  <si>
    <t>TLP</t>
  </si>
  <si>
    <t>89376V100</t>
  </si>
  <si>
    <t>UBS Investment Bank
Citigroup
AG Edwards &amp; Sons Inc
Wachovia Securities Inc</t>
  </si>
  <si>
    <t>11/20/05
11/20/05</t>
  </si>
  <si>
    <t>UBS-INV-BANK//CITIGROUP/A-G-EDWARDS
/WACHOVIA-SEC</t>
  </si>
  <si>
    <t>UBS-INV-BANK
CITIGROUP
A-G-EDWARDS
WACHOVIA-SEC</t>
  </si>
  <si>
    <t>BlackRock Global Opportunities</t>
  </si>
  <si>
    <t>BOE</t>
  </si>
  <si>
    <t>091937243</t>
  </si>
  <si>
    <t>UBS Investment Bank
Citigroup
Wachovia Securities Inc
AG Edwards &amp; Sons Inc
H&amp;R Block Financial Advisors
RBC Capital Markets
Advest Inc
Ferris Baker Watts
JJB Hilliard WL Lyons Inc
PNC Capital Markets
Legg Mason Wood Walker
Oppenheimer &amp; Co Inc
Piper Jaffray Cos
Ryan Beck &amp; Co
M. L. Stern
Wedbush Securities
Commonwealth Securities Inv
Crowell Weedon &amp; Co
GunnAllen Financial Inc
Morgan Keegan Inc
TD Waterhouse Investor Svcs
Arthurs Lestrange
Axiom Capital Management Inc
Robert W Baird &amp; Co Inc
Bernard Herold &amp; Co
William Blair &amp; Co
Mesirow Financial Corp
David A. Noyes
Southwest Securities Inc
Stanford Group Company
STERLING FINANCIAL INVESTMENT
Sterne Agee &amp; Leach Inc
BC Ziegler &amp; Co</t>
  </si>
  <si>
    <t>UBS-INV-BANK//CITIGROUP/WACHOVIA-SEC
/A-G-EDWARDS/HR-BLOCK-FIN/RBC-CAP-MKTS
/ADVEST/FERRIS-BAKER/HILLIARD
/PNC-CAPITAL//LEGG-MASON-WW
/OPPENHEIMER-CO/PIPER-JAFFRAY/RYAN-BECK
/M-L-STERN/WEDBUSH-M/COM-SEC-INV
/CROWELL/GUNNALLEN-FINL/MORGAN-KEEGAN
/TD-WATERHOUSE/ARTHURS-LES/AXIOM-CAP
/BAIRD/BERNARD-HER/WM-BLAIR/MESIROW-FIN
/D-A-NOYES/SWS-SEC/STANFORD-GROUP
/STERLING-FIN-I/STERNE-AGEE/ZIEGLER</t>
  </si>
  <si>
    <t>UBS-INV-BANK
CITIGROUP
WACHOVIA-SEC
A-G-EDWARDS
HR-BLOCK-FIN
RBC-CAP-MKTS
ADVEST
FERRIS-BAKER
HILLIARD
PNC-CAPITAL</t>
  </si>
  <si>
    <t>UBS Investment Bank
Citigroup
Wachovia Securities Inc
AG Edwards &amp; Sons Inc
H&amp;R Block Financial Advisors
RBC Capital Markets
Advest Inc
Ferris Baker Watts Inc
JJB Hilliard WL Lyons Inc
PNC Capital Markets</t>
  </si>
  <si>
    <t>DiamondRock Hospitality Co</t>
  </si>
  <si>
    <t>DRH</t>
  </si>
  <si>
    <t>CITIGROUP
/FRIEDMAN-B(JB)</t>
  </si>
  <si>
    <t>Citigroup
Friedman Billings Ramsey Group
Banc of America Securities LLC
Wachovia Securities Inc
JMP Securities LLC</t>
  </si>
  <si>
    <t>11/21/05
11/21/05
07/24/05</t>
  </si>
  <si>
    <t xml:space="preserve">48.881
</t>
  </si>
  <si>
    <t>180
180
60</t>
  </si>
  <si>
    <t xml:space="preserve">23579177.00
</t>
  </si>
  <si>
    <t>CITIGROUP(JB)/FRIEDMAN-B(JB)
//BA-SEC-LLC/WACHOVIA-SEC/JMP-SEC</t>
  </si>
  <si>
    <t>CITIGROUP/FRIEDMAN-B</t>
  </si>
  <si>
    <t>CITIGROUP
(JB)/FRIEDMAN-B(JB)
BA-SEC-LLC
WACHOVIA-SEC
JMP-SEC</t>
  </si>
  <si>
    <t>First Trust/Fidac Mortgage</t>
  </si>
  <si>
    <t>FMY</t>
  </si>
  <si>
    <t>33734E103</t>
  </si>
  <si>
    <t>Merrill Lynch
Advest Inc
Robert W Baird &amp; Co Inc
Ferris Baker Watts
JJB Hilliard WL Lyons Inc
Janney Montgomery Scott Inc
RBC Capital Markets
Stifel Nicolaus &amp; Co Inc
SunTrust Robinson Humphrey
Wedbush Securities
Wells Fargo Securities LLC
BB&amp;T Capital Markets
William Blair &amp; Co
Crowell Weedon &amp; Co
Doft &amp; Co Inc
Dominick &amp; Dominick Inc
KeyCorp/McDonald Investments
Ladenburg Thalmann &amp; Co
Legg Mason Wood Walker
Morgan Keegan Inc
Oppenheimer &amp; Co Inc
Piper Jaffray Cos
Ryan Beck &amp; Co
Stephens Inc
Axiom Capital Management Inc
Brookstreet Securities
Cadaret Grant &amp; Co
City Securities
Fifth Third Securities Inc
Gilford Securities
GunnAllen Financial Inc
Hoefer &amp; Arnett Inc
Howe Barnes Investments Inc
Wayne Hummer &amp; Co
Huntleigh Securities Corp
Jesup &amp; Lamont Securities
Johnston Lemon &amp; Co Inc
LaSalle Street Securities Inc
Maxim Group LLC
Morgan Wilshire Securities
Newbridge Securities
Northeast Securities Inc.
David A. Noyes
The Seidler Companies Inc
Source Capital Group Inc
Southwest Securities Inc
Stanford Group Company
M. L. Stern
Stone &amp; Youngberg
Torrey Pines Securities
Westminster Finl Sec Inc</t>
  </si>
  <si>
    <t>MERRILL//ADVEST/BAIRD/FERRIS-BAKER
/HILLIARD/JANNEY/RBC-CAP-MKTS/STIFEL
/SUNTRUST-RH/WEDBUSH-M/WELLS-FARGO-SEC
//BB-T-CAP/WM-BLAIR/CROWELL/DOFT
/DOMINICK/KEY-MCDONALD/LADENBURG
/LEGG-MASON-WW/MORGAN-KEEGAN
/OPPENHEIMER-CO/PIPER-JAFFRAY/RYAN-BECK
/STEPHENS/AXIOM-CAP/BROOKSTREET
/CADARET-GRANT/CITY-SEC/FIFTH-THIRD-SEC
/GILFORD/GUNNALLEN-FINL/HOEFER-ARNETT
/HOWE-BARNES/HUMMER/HUNTLEIGH-SEC/JESUP
/JOHNSTON-LEMON/LASALLE-SEC/MAXIM-GROUP
/MORGAN-WILSHIRE/NEWBRIDGE
/NORTHEAST-SEC/D-A-NOYES/SEIDLER-CO-INC
/SOURCE-CAPITAL/SWS-SEC/STANFORD-GROUP
/M-L-STERN/STONE-YOUNG/TORREY-PINES
/WEST-FIN-SEC</t>
  </si>
  <si>
    <t>MERRILL
ADVEST
BAIRD
FERRIS-BAKER
HILLIARD
JANNEY
RBC-CAP-MKTS
STIFEL
SUNTRUST-RH
WEDBUSH-M
WELLS-FARGO-SEC</t>
  </si>
  <si>
    <t>Merrill Lynch &amp; Co Inc
Advest Inc
Robert W Baird &amp; Co Inc
Ferris Baker Watts Inc
JJB Hilliard WL Lyons Inc
Janney Montgomery Scott Inc
RBC Capital Markets
Stifel Nicolaus &amp; Co Inc
SunTrust Robinson Humphrey
Wedbush Securities
Wells Fargo Securities LLC</t>
  </si>
  <si>
    <t>Nuveen Equity Prem Advnt Fnd</t>
  </si>
  <si>
    <t>JLA</t>
  </si>
  <si>
    <t>6706ET107</t>
  </si>
  <si>
    <t>Citigroup
Nuveen Investments LLC
AG Edwards &amp; Sons Inc
Wachovia Securities Inc
Deutsche Bank Securities Corp
RBC Capital Markets
Advest Inc
Banc of America Securities LLC
H&amp;R Block Financial Advisors
Ferris Baker Watts
JJB Hilliard WL Lyons Inc
Janney Montgomery Scott LLC
KeyCorp/McDonald Investments
Legg Mason Wood Walker
Oppenheimer &amp; Co Inc
Ryan Beck &amp; Co
Stifel Nicolaus &amp; Co Inc
SunTrust Capital Markets
Wedbush Securities
Wells Fargo Bank NA
TD Waterhouse Investor Svcs
Robert W Baird &amp; Co Inc
Doft &amp; Co Inc
Piper Jaffray Cos
Axiom Capital Management Inc
BB&amp;T Capital Markets
Crowell Weedon &amp; Co
M. L. Stern
Mesirow Financial Corp
Southwest Securities Inc
David A. Noyes
Fifth Third Securities Inc
GunnAllen Financial Inc
HARRISdirect LLC
Huntleigh Securities Corp
Parker-Hunter Inc
Sanders Morris Harris Inc
Spelman &amp; Co.
STERLING FINANCIAL INVESTMENT
Sterne Agee &amp; Leach Inc
Strand,Atkinson,Williams&amp;Yerl</t>
  </si>
  <si>
    <t>CITIGROUP//NUVEEN-INV/A-G-EDWARDS
/WACHOVIA-SEC/DEUTSCHE-BK-SEC
/RBC-CAP-MKTS/ADVEST/BA-SEC-LLC
/HR-BLOCK-FIN/FERRIS-BAKER/HILLIARD
/JANNEY-LLC/KEY-MCDONALD/LEGG-MASON-WW
/OPPENHEIMER-CO/RYAN-BECK/STIFEL
/SUNTRUST-CAP/WEDBUSH-M/WELLS-FARGO
//TD-WATERHOUSE/BAIRD/DOFT
/PIPER-JAFFRAY/AXIOM-CAP/BB-T-CAP
/CROWELL/M-L-STERN/MESIROW-FIN/SWS-SEC
/D-A-NOYES/FIFTH-THIRD-SEC
/GUNNALLEN-FINL/HARRISDIRECT
/HUNTLEIGH-SEC/PARKER-HUNTER
/SANDERS-HARRIS/SPELMAN/STERLING-FIN-I
/STERNE-AGEE/STRAND-ATKIN</t>
  </si>
  <si>
    <t>CITIGROUP
NUVEEN-INV
A-G-EDWARDS
WACHOVIA-SEC
DEUTSCHE-BK-SEC
RBC-CAP-MKTS
ADVEST
BA-SEC-LLC
HR-BLOCK-FIN
FERRIS-BAKER
HILLIARD
JANNEY-LLC
KEY-MCDONALD
LEGG-MASON-WW
OPPENHEIMER-CO
RYAN-BECK
STIFEL
SUNTRUST-CAP
WEDBUSH-M
WELLS-FARGO</t>
  </si>
  <si>
    <t>Citigroup
Nuveen Investments LLC
AG Edwards &amp; Sons Inc
Wachovia Securities Inc
Deutsche Bank Securities Corp.
RBC Capital Markets
Advest Inc
Banc of America Securities LLC
H&amp;R Block Financial Advisors
Ferris Baker Watts Inc
JJB Hilliard WL Lyons Inc
Janney Montgomery Scott LLC
KeyCorp/McDonald Investments
Legg Mason Wood Walker Inc
Oppenheimer &amp; Co Inc
Ryan Beck &amp; Co
Stifel Nicolaus &amp; Co Inc
SunTrust Capital Markets
Wedbush Securities
Wells Fargo Bank NA</t>
  </si>
  <si>
    <t>Pimco Global Stocksplus</t>
  </si>
  <si>
    <t>PGP</t>
  </si>
  <si>
    <t>Merrill Lynch
Citigroup
AG Edwards &amp; Sons Inc
Advest Inc
Robert W Baird &amp; Co Inc
H&amp;R Block Financial Advisors
Ferris Baker Watts
RBC Capital Markets
Stifel Nicolaus &amp; Co Inc
Wedbush Securities
Wells Fargo Bank NA
BB&amp;T Capital Markets
William Blair &amp; Co
Crowell Weedon &amp; Co
DA Davidson &amp; Co Inc
Deutsche Bank Securities Corp
Doft &amp; Co Inc
Dominick &amp; Dominick Inc
KeyCorp/McDonald Investments
Ladenburg Thalmann &amp; Co
Morgan Keegan Inc
Piper Jaffray Cos
Ryan Beck &amp; Co
SunTrust Capital Markets
Axiom Capital Management Inc
Brean Murray &amp; Co Inc
Brookstreet Securities
First Montauk Securities
First Southwest
Gilford Securities
GunnAllen Financial Inc
Hoefer &amp; Arnett Inc
Howe Barnes Investments Inc
Huntleigh Securities Corp
Jesup &amp; Lamont Securities
Johnston Lemon &amp; Co Inc
LaSalle Street Securities Inc
Maxim Group LLC
McGinn, Smith &amp; Co Inc
Morgan Wilshire Securities
Natcity Investments Inc.
Northeast Securities Inc.
David A. Noyes
Paulson Investment Co
Peacock Hislop Staley &amp; Given
Samuel A. Ramirez &amp; Co.
Sanders Morris Harris Inc
The Seidler Companies Inc
Southwest Securities Inc
Spelman &amp; Co.
Stanford Group Company
STERLING FINANCIAL INVESTMENT
M. L. Stern
Sterne Agee &amp; Leach Inc
Stone &amp; Youngberg
Strand,Atkinson,Williams&amp;Yerl
Torrey Pines Securities
JP Turner &amp; Co
Westminster Finl Sec Inc</t>
  </si>
  <si>
    <t>MERRILL//CITIGROUP/A-G-EDWARDS/ADVEST
/BAIRD/HR-BLOCK-FIN/FERRIS-BAKER
/RBC-CAP-MKTS/STIFEL/WEDBUSH-M
/WELLS-FARGO//BB-T-CAP/WM-BLAIR/CROWELL
/DAVIDSON/DEUTSCHE-BK-SEC/DOFT/DOMINICK
/KEY-MCDONALD/LADENBURG/MORGAN-KEEGAN
/PIPER-JAFFRAY/RYAN-BECK/SUNTRUST-CAP
/AXIOM-CAP/BREAN/BROOKSTREET
/FIRST-MONTAUK/FIRST-SW/GILFORD
/GUNNALLEN-FINL/HOEFER-ARNETT
/HOWE-BARNES/HUNTLEIGH-SEC/JESUP
/JOHNSTON-LEMON/LASALLE-SEC/MAXIM-GROUP
/MCGINN-SMITH/MORGAN-WILSHIRE
/NATCITY-INVEST/NORTHEAST-SEC/D-A-NOYES
/PAULSON/PEACOCK-HISLOP/RAMIREZ
/SANDERS-HARRIS/SEIDLER-CO-INC/SWS-SEC
/SPELMAN/STANFORD-GROUP/STERLING-FIN-I
/M-L-STERN/STERNE-AGEE/STONE-YOUNG
/STRAND-ATKIN/TORREY-PINES/J-P-TURNER
/WEST-FIN-SEC</t>
  </si>
  <si>
    <t>MERRILL
CITIGROUP
A-G-EDWARDS
ADVEST
BAIRD
HR-BLOCK-FIN
FERRIS-BAKER
RBC-CAP-MKTS
STIFEL
WEDBUSH-M
WELLS-FARGO</t>
  </si>
  <si>
    <t>Merrill Lynch &amp; Co Inc
Citigroup
AG Edwards &amp; Sons Inc
Advest Inc
Robert W Baird &amp; Co Inc
H&amp;R Block Financial Advisors
Ferris Baker Watts Inc
RBC Capital Markets
Stifel Nicolaus &amp; Co Inc
Wedbush Securities
Wells Fargo Bank NA</t>
  </si>
  <si>
    <t>RMR Preferred Dividend Fund</t>
  </si>
  <si>
    <t>RDR</t>
  </si>
  <si>
    <t>74963N109</t>
  </si>
  <si>
    <t>RBC Capital Markets
Wachovia Securities Inc
Ferris Baker Watts
Legg Mason Wood Walker
Stifel Nicolaus &amp; Co Inc
Advest Inc
BNY Capital Markets Inc
First Southwest
Fixed Income Securities Inc
HARRISdirect LLC
Ladenburg Thalmann &amp; Co
Peacock Hislop Staley &amp; Given
BB&amp;T Capital Markets
Brookstreet Securities
Crowell Weedon &amp; Co
DA Davidson &amp; Co Inc
Deutsche Bank Securities Corp
First Montauk Securities
Hazlett, Burt &amp; Watson
Huntleigh Securities Corp
KeyCorp/McDonald Investments
Mesirow Financial Corp
Morgan Keegan Inc
Natcity Investments Inc.
National Securities Corp (US)
Newbridge Securities
Oppenheimer &amp; Co Inc
Parker-Hunter Inc
Piper Jaffray Inc
Robert W Baird &amp; Co Inc
Strand,Atkinson,Williams&amp;Yerl
SunTrust Capital Markets
Wedbush Securities
Wunderlich Securities Inc</t>
  </si>
  <si>
    <t>RBC-CAP-MKTS//WACHOVIA-SEC/FERRIS-BAKER
/LEGG-MASON-WW/STIFEL/ADVEST/BNY-CAP
/FIRST-SW/FIXED-INC/HARRISDIRECT
/LADENBURG/PEACOCK-HISLOP/BB-T-CAP
/BROOKSTREET/CROWELL/DAVIDSON
/DEUTSCHE-BK-SEC/FIRST-MONTAUK/HAZLETT
/HUNTLEIGH-SEC/KEY-MCDONALD/MESIROW-FIN
/MORGAN-KEEGAN/NATCITY-INVEST/NATL-SEC
/NEWBRIDGE/OPPENHEIMER-CO/PARKER-HUNTER
/PIPER-J/BAIRD/STRAND-ATKIN
/SUNTRUST-CAP/WEDBUSH-M/WUNDERLICH</t>
  </si>
  <si>
    <t>RBC-CAP-MKTS
WACHOVIA-SEC
FERRIS-BAKER
LEGG-MASON-WW
STIFEL
ADVEST
BNY-CAP
FIRST-SW
FIXED-INC
HARRISDIRECT
LADENBURG
PEACOCK-HISLOP
BB-T-CAP
BROOKSTREET
CROWELL
DAVIDSON
DEUTSCHE-BK-SEC
FIRST-MONTAUK
HAZLETT
HUNTLEIGH-SEC
KEY-MCDONALD
MESIROW-FIN
MORGAN-KEEGAN
NATCITY-INVEST
NATL-SEC
NEWBRIDGE
OPPENHEIMER-CO
PARKER-HUNTER
PIPER-J
BAIRD
STRAND-ATKIN
SUNTRUST-CAP
WEDBUSH-M
WUNDERLICH</t>
  </si>
  <si>
    <t>RBC Capital Markets
Wachovia Securities Inc
Ferris Baker Watts Inc
Legg Mason Wood Walker Inc
Stifel Nicolaus &amp; Co Inc
Advest Inc
BNY Capital Markets Inc
First Southwest Company
Fixed Income Securities Inc
HARRISdirect LLC
Ladenburg Thalmann &amp; Co
Peacock Hislop Staley &amp; Given Inc
BB&amp;T Capital Markets
Brookstreet Securities
Crowell Weedon &amp; Co
DA Davidson &amp; Co Inc
Deutsche Bank Securities Corp.
First Montauk Securities Corp
Hazlett, Burt &amp; Watson, Inc.
Huntleigh Securities Corporation
KeyCorp/McDonald Investments
Mesirow Financial Corp
Morgan Keegan Inc
Natcity Investments Inc.
National Securities Corp (US)
Newbridge Securities
Oppenheimer &amp; Co Inc
Parker-Hunter Inc
Piper Jaffray Inc
Robert W Baird &amp; Co Inc
Strand, Atkinson, Williams &amp; Yerl Inc
SunTrust Capital Markets
Wedbush Securities
Wunderlich Securities Inc</t>
  </si>
  <si>
    <t>Tortoise Energy Capital Corp</t>
  </si>
  <si>
    <t>TYY</t>
  </si>
  <si>
    <t>LEH/STIFEL(JB)</t>
  </si>
  <si>
    <t>89147U100</t>
  </si>
  <si>
    <t>Lehman Brothers
Stifel Nicolaus &amp; Co Inc
Wachovia Capital Markets
AG Edwards &amp; Sons Inc
Legg Mason Wood Walker
Morgan Keegan Inc
Oppenheimer &amp; Co Inc
RBC Capital Markets
Advest Inc
BB&amp;T Capital Markets
Ferris Baker Watts
Janney Montgomery Scott LLC
Ryan Beck &amp; Co
McGinn, Smith &amp; Co Inc
Parker-Hunter Inc
Redwine &amp; Company Inc
Wunderlich Securities Inc
Allen &amp; Co Inc
Brean Murray &amp; Co Inc
Crowell Weedon &amp; Co
DA Davidson &amp; Co Inc
Dominick &amp; Dominick Inc
First Southwest
Howard Weil Financial Corp
Howe Barnes Investments Inc
Southwest Securities Inc
CE Unterberg Towbin
Wedbush Securities
Anderson &amp; Strudwick
Hazlett, Burt &amp; Watson
Kaufman Brothers LP
Natcity Investments Inc.
Neidiger, Tucker, Bruner Inc.
David A. Noyes
Tejas Securities Inc
Torrey Pines Securities</t>
  </si>
  <si>
    <t>LEH(JB)/STIFEL(JB)/WACHOVIA-CAP(JOINT)
//A-G-EDWARDS/LEGG-MASON-WW
/MORGAN-KEEGAN/OPPENHEIMER-CO
/RBC-CAP-MKTS/ADVEST/BB-T-CAP
/FERRIS-BAKER/JANNEY-LLC/RYAN-BECK
/MCGINN-SMITH/PARKER-HUNTER/REDWINE-CO
/WUNDERLICH//ALLEN/BREAN/CROWELL
/DAVIDSON/DOMINICK/FIRST-SW
/HOWARD-WEIL-FIN/HOWE-BARNES/SWS-SEC
/UNTERBERG/WEDBUSH-M/ANDERSON/HAZLETT
/KAUFMAN-BROS/NATCITY-INVEST/NEIDIGER
/D-A-NOYES/TEJAS-SEC/TORREY-PINES</t>
  </si>
  <si>
    <t>LEH/STIFEL/WACHOVIA-CAP</t>
  </si>
  <si>
    <t>LEH
(JB)/STIFEL(JB)
/WACHOVIA-CAP(JOINT)
A-G-EDWARDS
LEGG-MASON-WW
MORGAN-KEEGAN
OPPENHEIMER-CO
RBC-CAP-MKTS
ADVEST
BB-T-CAP
FERRIS-BAKER
JANNEY-LLC
RYAN-BECK
MCGINN-SMITH
PARKER-HUNTER
REDWINE-CO
WUNDERLICH</t>
  </si>
  <si>
    <t>Lehman Brothers
Stifel Nicolaus &amp; Co Inc
Wachovia Capital Markets
AG Edwards &amp; Sons Inc
Legg Mason Wood Walker Inc
Morgan Keegan Inc
Oppenheimer &amp; Co Inc
RBC Capital Markets
Advest Inc
BB&amp;T Capital Markets
Ferris Baker Watts Inc
Janney Montgomery Scott LLC
Ryan Beck &amp; Co
McGinn, Smith &amp; Co Inc
Parker-Hunter Inc
Redwine &amp; Company, Inc.
Wunderlich Securities Inc</t>
  </si>
  <si>
    <t>SSA Global Technologies Inc</t>
  </si>
  <si>
    <t>SSAG</t>
  </si>
  <si>
    <t>78465P108</t>
  </si>
  <si>
    <t>JP Morgan
Citigroup
Jefferies &amp; Co Inc
Lazard Capital Markets
Pacific Growth Equities Inc
Piper Jaffray Cos
Blaylock &amp; Partners LP
Melvin Securities Corporation</t>
  </si>
  <si>
    <t>JPM(JB)/CITIGROUP(JB)//JEFFERIES
/LAZARD-CAP-MKT/PACIFIC-GROWTH
/PIPER-JAFFRAY//BLAYLOCK-PTRNS
/MELVIN-SEC</t>
  </si>
  <si>
    <t>JPM
(JB)/CITIGROUP(JB)
JEFFERIES
LAZARD-CAP-MKT
PACIFIC-GROWTH
PIPER-JAFFRAY</t>
  </si>
  <si>
    <t>JP Morgan &amp; Co Inc
Citigroup
Jefferies &amp; Co Inc
Lazard Capital Markets
Pacific Growth Equities Inc
Piper Jaffray Cos</t>
  </si>
  <si>
    <t>XenoPort Inc</t>
  </si>
  <si>
    <t>XNPT</t>
  </si>
  <si>
    <t>98411C100</t>
  </si>
  <si>
    <t>Morgan Stanley
Deutsche Bank Securities Corp
Pacific Growth Equities Inc
Lazard Freres &amp; Co LLC</t>
  </si>
  <si>
    <t>MORGAN-STANLEY/DEUTSCHE-BK-SEC(JOINT)
//PACIFIC-GROWTH/LAZ</t>
  </si>
  <si>
    <t>MORGAN-STANLEY/DEUTSCHE-BK-SEC</t>
  </si>
  <si>
    <t>MORGAN-STANLEY
/DEUTSCHE-BK-SEC(JOINT)
PACIFIC-GROWTH
LAZ</t>
  </si>
  <si>
    <t>Morgan Stanley
Deutsche Bank Securities Corp.
Pacific Growth Equities Inc
Lazard Freres &amp; Co LLC</t>
  </si>
  <si>
    <t>Aries Maritime Transport Ltd</t>
  </si>
  <si>
    <t>RAMS</t>
  </si>
  <si>
    <t>JEFFERIES/CS-FB-CS(JB)</t>
  </si>
  <si>
    <t>G0474B105</t>
  </si>
  <si>
    <t>Jefferies &amp; Co Inc
Credit Suisse First Boston
Fortis Securities Inc
AG Edwards &amp; Sons Inc
Chatsworth Securities LLC
Janney Montgomery Scott LLC
Ladenburg Thalmann &amp; Co
Lazard Freres &amp; Co LLC
Legg Mason Wood Walker
McDonald Investments
Ryan Beck &amp; Co
Williams Capital Group LP</t>
  </si>
  <si>
    <t>11/30/05
11/30/05</t>
  </si>
  <si>
    <t>JEFFERIES(JB)/CS-FB-CS(JB)//FORTIS-SEC
//A-G-EDWARDS/CHATSWORTH/JANNEY-LLC
/LADENBURG/LAZ/LEGG-MASON-WW/MCDONALD
/RYAN-BECK/WILLIAMS-CAP</t>
  </si>
  <si>
    <t>JEFFERIES/CS-FB-CS</t>
  </si>
  <si>
    <t>JEFFERIES
(JB)/CS-FB-CS(JB)
FORTIS-SEC</t>
  </si>
  <si>
    <t>Jefferies &amp; Co Inc
Credit Suisse First Boston Corp
Fortis Securities Inc</t>
  </si>
  <si>
    <t>Hercules Tech Growth Cap Inc</t>
  </si>
  <si>
    <t>HTGC</t>
  </si>
  <si>
    <t>JMP-SEC</t>
  </si>
  <si>
    <t>JMP Securities LLC
Ferris Baker Watts</t>
  </si>
  <si>
    <t>12/05/05
10/06/05</t>
  </si>
  <si>
    <t xml:space="preserve">33.878
</t>
  </si>
  <si>
    <t>180
120</t>
  </si>
  <si>
    <t xml:space="preserve">3320731.00
</t>
  </si>
  <si>
    <t>JMP-SEC//FERRIS-BAKER</t>
  </si>
  <si>
    <t>JMP-SEC
FERRIS-BAKER</t>
  </si>
  <si>
    <t>JMP Securities LLC
Ferris Baker Watts Inc</t>
  </si>
  <si>
    <t>LHC Group Inc</t>
  </si>
  <si>
    <t>LHCG</t>
  </si>
  <si>
    <t>50187A107</t>
  </si>
  <si>
    <t>Jefferies &amp; Co Inc
Legg Mason Wood Walker
Janney Montgomery Scott LLC
Key Banc Capital Markets
Ladenburg Thalmann &amp; Co
Lazard Capital Markets
Montgomery Ward &amp; Co Inc
Ryan Beck &amp; Co</t>
  </si>
  <si>
    <t>12/05/05
12/05/05
12/05/05</t>
  </si>
  <si>
    <t>67.948
3.122</t>
  </si>
  <si>
    <t xml:space="preserve">180
180
180
</t>
  </si>
  <si>
    <t>11273834.00
518036.00</t>
  </si>
  <si>
    <t>JEFFERIES//LEGG-MASON-WW//JANNEY-LLC
/KEY-BANC-CAP/LADENBURG/LAZARD-CAP-MKT
/MONTGW/RYAN-BECK</t>
  </si>
  <si>
    <t>JEFFERIES
LEGG-MASON-WW</t>
  </si>
  <si>
    <t>Jefferies &amp; Co Inc
Legg Mason Wood Walker Inc</t>
  </si>
  <si>
    <t>Rackable Systems Inc</t>
  </si>
  <si>
    <t>RACK</t>
  </si>
  <si>
    <t>Thomas Weisel Partners
Piper Jaffray Cos
RBC Capital Markets
Pacific Crest Securities Inc</t>
  </si>
  <si>
    <t>THOMAS-WEISEL//PIPER-JAFFRAY
/RBC-CAP-MKTS/PACIFIC-CREST</t>
  </si>
  <si>
    <t>THOMAS-WEISEL
PIPER-JAFFRAY
RBC-CAP-MKTS
PACIFIC-CREST</t>
  </si>
  <si>
    <t>Premium Standard Farms Inc</t>
  </si>
  <si>
    <t>PORK</t>
  </si>
  <si>
    <t>74060C105</t>
  </si>
  <si>
    <t>Morgan Stanley
Credit Suisse First Boston
JP Morgan
Piper Jaffray Cos</t>
  </si>
  <si>
    <t>12/10/05
03/10/06</t>
  </si>
  <si>
    <t>21.527
52.439</t>
  </si>
  <si>
    <t>6744268.00
16428592.00</t>
  </si>
  <si>
    <t>MORGAN-STANLEY//CS-FB-CS/JPM
/PIPER-JAFFRAY</t>
  </si>
  <si>
    <t>MORGAN-STANLEY
CS-FB-CS
JPM
PIPER-JAFFRAY</t>
  </si>
  <si>
    <t>Morgan Stanley
Credit Suisse First Boston Corp
JP Morgan &amp; Co Inc
Piper Jaffray Cos</t>
  </si>
  <si>
    <t>ev3 Inc</t>
  </si>
  <si>
    <t>EVVV</t>
  </si>
  <si>
    <t>PIPER-JAFFRAY
/BA-SEC-LLC(JB)</t>
  </si>
  <si>
    <t>26928A200</t>
  </si>
  <si>
    <t>Piper Jaffray Cos
Banc of America Securities LLC
Bear Stearns &amp; Co Inc
Thomas Weisel Partners</t>
  </si>
  <si>
    <t>PIPER-JAFFRAY(JB)/BA-SEC-LLC(JB)//BEAR
/THOMAS-WEISEL</t>
  </si>
  <si>
    <t>PIPER-JAFFRAY/BA-SEC-LLC</t>
  </si>
  <si>
    <t>PIPER-JAFFRAY
(JB)/BA-SEC-LLC(JB)
BEAR
THOMAS-WEISEL</t>
  </si>
  <si>
    <t>Gentium SpA</t>
  </si>
  <si>
    <t>Italy</t>
  </si>
  <si>
    <t>GNT</t>
  </si>
  <si>
    <t>MAXIM-GROUP</t>
  </si>
  <si>
    <t>37250B104</t>
  </si>
  <si>
    <t>Maxim Group LLC
I-Bankers Securities Inc
Newbridge Securities
vFinance Investments Inc
Chardan Capital Markets LLC</t>
  </si>
  <si>
    <t>06/16/06
03/13/06
12/13/05</t>
  </si>
  <si>
    <t xml:space="preserve">69.070
</t>
  </si>
  <si>
    <t xml:space="preserve">
365
270
180</t>
  </si>
  <si>
    <t xml:space="preserve">5359505.00
</t>
  </si>
  <si>
    <t>MAXIM-GROUP//I-BANKERS-SEC//NEWBRIDGE
/VFINANCE/CHARDAN-CAP-MKT</t>
  </si>
  <si>
    <t>MAXIM-GROUP
I-BANKERS-SEC</t>
  </si>
  <si>
    <t>Maxim Group LLC
I-Bankers Securities Inc</t>
  </si>
  <si>
    <t>Micrus Endovascular Corp</t>
  </si>
  <si>
    <t>MEND</t>
  </si>
  <si>
    <t>59518V102</t>
  </si>
  <si>
    <t>AG Edwards &amp; Sons Inc
Needham &amp; Co LLC
Allen &amp; Co Inc
Dominick &amp; Dominick Inc
Jefferies &amp; Co Inc
KeyCorp/McDonald Investments
Lazard Capital Markets
Montgomery &amp; Co</t>
  </si>
  <si>
    <t>A-G-EDWARDS//NEEDHAM//ALLEN/DOMINICK
/JEFFERIES/KEY-MCDONALD/LAZARD-CAP-MKT
/MONTGOMERY-CO</t>
  </si>
  <si>
    <t>A-G-EDWARDS
NEEDHAM</t>
  </si>
  <si>
    <t>Inergy Holdings LLC</t>
  </si>
  <si>
    <t>NRGP</t>
  </si>
  <si>
    <t>45661Q107</t>
  </si>
  <si>
    <t>Lehman Brothers
AG Edwards &amp; Sons Inc
Citigroup
Wachovia Securities Inc</t>
  </si>
  <si>
    <t>LEH/A-G-EDWARDS(JOINT)//CITIGROUP
/WACHOVIA-SEC</t>
  </si>
  <si>
    <t>LEH/A-G-EDWARDS</t>
  </si>
  <si>
    <t>LEH
/A-G-EDWARDS(JOINT)
CITIGROUP
WACHOVIA-SEC</t>
  </si>
  <si>
    <t>NuVim Inc</t>
  </si>
  <si>
    <t>NUVM</t>
  </si>
  <si>
    <t>67071X100</t>
  </si>
  <si>
    <t>09/18/05
12/17/05
06/20/06</t>
  </si>
  <si>
    <t>7.336
4.946
15.263</t>
  </si>
  <si>
    <t>90
180
365</t>
  </si>
  <si>
    <t>339687.00
228999.00
706700.00</t>
  </si>
  <si>
    <t>Allion Healthcare Inc</t>
  </si>
  <si>
    <t>ALLI</t>
  </si>
  <si>
    <t>019615103</t>
  </si>
  <si>
    <t>Thomas Weisel Partners
William Blair &amp; Co
First Albany Capital Inc</t>
  </si>
  <si>
    <t>THOMAS-WEISEL//WM-BLAIR/FIRST-AL-CAP</t>
  </si>
  <si>
    <t>THOMAS-WEISEL
WM-BLAIR
FIRST-AL-CAP</t>
  </si>
  <si>
    <t>Builders FirstSource Inc</t>
  </si>
  <si>
    <t>BLDR</t>
  </si>
  <si>
    <t>12008R107</t>
  </si>
  <si>
    <t>UBS Investment Bank
Deutsche Bank Securities Corp
JP Morgan
Robert W Baird &amp; Co Inc
BB&amp;T Capital Markets</t>
  </si>
  <si>
    <t>12/19/05
12/19/05</t>
  </si>
  <si>
    <t xml:space="preserve">59.615
</t>
  </si>
  <si>
    <t xml:space="preserve">19463237.00
</t>
  </si>
  <si>
    <t>UBS-INV-BANK(JB)/DEUTSCHE-BK-SEC(JB)
//JPM/BAIRD/BB-T-CAP</t>
  </si>
  <si>
    <t>UBS-INV-BANK
(JB)/DEUTSCHE-BK-SEC(JB)
JPM
BAIRD
BB-T-CAP</t>
  </si>
  <si>
    <t>UBS Investment Bank
Deutsche Bank Securities Corp.
JP Morgan &amp; Co Inc
Robert W Baird &amp; Co Inc
BB&amp;T Capital Markets</t>
  </si>
  <si>
    <t>Gladstone Investment Corp</t>
  </si>
  <si>
    <t>GAIN</t>
  </si>
  <si>
    <t>FERRIS-BAKER
/JEFFERIES(JB)</t>
  </si>
  <si>
    <t>Ferris Baker Watts
Jefferies &amp; Co Inc
Oppenheimer &amp; Co Inc
BB&amp;T Capital Markets
JJB Hilliard WL Lyons Inc
RBC Capital Markets
Stifel Nicolaus &amp; Co Inc
Wunderlich Securities Inc</t>
  </si>
  <si>
    <t>FERRIS-BAKER(JB)/JEFFERIES(JB)
//OPPENHEIMER-CO/BB-T-CAP/HILLIARD
/RBC-CAP-MKTS/STIFEL/WUNDERLICH</t>
  </si>
  <si>
    <t>FERRIS-BAKER
(JB)/JEFFERIES(JB)
OPPENHEIMER-CO
BB-T-CAP
HILLIARD
RBC-CAP-MKTS
STIFEL
WUNDERLICH</t>
  </si>
  <si>
    <t>Ferris Baker Watts Inc
Jefferies &amp; Co Inc
Oppenheimer &amp; Co Inc
BB&amp;T Capital Markets
JJB Hilliard WL Lyons Inc
RBC Capital Markets
Stifel Nicolaus &amp; Co Inc
Wunderlich Securities Inc</t>
  </si>
  <si>
    <t>Lincoln Educational Services</t>
  </si>
  <si>
    <t>LINC</t>
  </si>
  <si>
    <t>Merrill Lynch
Banc of America Securities LLC
Lehman Brothers
Harris Nesbitt
Jefferies &amp; Co Inc
Robert W Baird &amp; Co Inc
Barrington Research Inc.</t>
  </si>
  <si>
    <t>12/19/05
12/19/05
12/19/05</t>
  </si>
  <si>
    <t xml:space="preserve">83.618
</t>
  </si>
  <si>
    <t xml:space="preserve">20662812.00
</t>
  </si>
  <si>
    <t>MERRILL//BA-SEC-LLC/LEH/HARRN/JEFFERIES
/BAIRD//BARRINGTON-RES</t>
  </si>
  <si>
    <t>MERRILL
BA-SEC-LLC
LEH
HARRN
JEFFERIES
BAIRD</t>
  </si>
  <si>
    <t>Merrill Lynch &amp; Co Inc
Banc of America Securities LLC
Lehman Brothers
Harris Nesbitt
Jefferies &amp; Co Inc
Robert W Baird &amp; Co Inc</t>
  </si>
  <si>
    <t>Eagle Bulk Shipping Inc</t>
  </si>
  <si>
    <t>EGLE</t>
  </si>
  <si>
    <t>UBS-INV-BANK/BEAR(JB)
/CITIGROUP(JB)</t>
  </si>
  <si>
    <t>Y2187A101</t>
  </si>
  <si>
    <t>UBS Investment Bank
Bear Stearns &amp; Co Inc
Citigroup
Credit Suisse First Boston</t>
  </si>
  <si>
    <t>UBS-INV-BANK(JB)/BEAR(JB)/CITIGROUP(JB)
//CS-FB-CS</t>
  </si>
  <si>
    <t>UBS-INV-BANK/BEAR/CITIGROUP</t>
  </si>
  <si>
    <t>UBS-INV-BANK
(JB)/BEAR(JB)
/CITIGROUP(JB)
CS-FB-CS</t>
  </si>
  <si>
    <t>UBS Investment Bank
Bear Stearns &amp; Co Inc
Citigroup
Credit Suisse First Boston Corp</t>
  </si>
  <si>
    <t>KKR Financial Corp</t>
  </si>
  <si>
    <t>KFN</t>
  </si>
  <si>
    <t>CITIGROUP/BEAR(JB)
/CS-FB-CS(JB)/LEH(JB)
/JPM(JB)/FRIEDMAN-B(JB)</t>
  </si>
  <si>
    <t>Citigroup
Bear Stearns &amp; Co Inc
Credit Suisse First Boston
Lehman Brothers
JP Morgan
Friedman Billings Ramsey Group
Wachovia Capital Markets
JMP Securities LLC
Sandler O'Neill Partners
Blaylock &amp; Partners LP
Chatsworth Securities LLC
CMG Institutional Trading LLC
Loop Capital Markets
Samuel A. Ramirez &amp; Co.
Williams Capital Group LP</t>
  </si>
  <si>
    <t>CITIGROUP(JB)/BEAR(JB)/CS-FB-CS(JB)
/LEH(JB)/JPM(JB)/FRIEDMAN-B(JB)
/WACHOVIA-CAP(JOINT)//JMP-SEC
/SANDLER-ONEILL//BLAYLOCK-PTRNS
/CHATSWORTH/CMG-LLC/LOOP/RAMIREZ
/WILLIAMS-CAP</t>
  </si>
  <si>
    <t>CITIGROUP/BEAR/CS-FB-CS/LEH/JPM
/FRIEDMAN-B/WACHOVIA-CAP</t>
  </si>
  <si>
    <t>CITIGROUP
(JB)/BEAR(JB)
/CS-FB-CS(JB)
/LEH(JB)
/JPM(JB)
/FRIEDMAN-B(JB)
/WACHOVIA-CAP(JOINT)
JMP-SEC
SANDLER-ONEILL</t>
  </si>
  <si>
    <t>Citigroup
Bear Stearns &amp; Co Inc
Credit Suisse First Boston Corp
Lehman Brothers
JP Morgan &amp; Co Inc
Friedman Billings Ramsey Group
Wachovia Capital Markets
JMP Securities LLC
Sandler O'Neill Partners  L.P.</t>
  </si>
  <si>
    <t>Kenexa Corp</t>
  </si>
  <si>
    <t>KNXA</t>
  </si>
  <si>
    <t>SG Cowen Securities Corp
Needham &amp; Co LLC
JMP Securities LLC
Lazard Capital Markets
Maxim Group LLC
Montgomery &amp; Co
Punk Ziegel &amp; Co LP
Ryan Beck &amp; Co</t>
  </si>
  <si>
    <t>SG-COWEN//NEEDHAM/JMP-SEC
//LAZARD-CAP-MKT/MAXIM-GROUP
/MONTGOMERY-CO/PUNK/RYAN-BECK</t>
  </si>
  <si>
    <t>SG-COWEN
NEEDHAM
JMP-SEC</t>
  </si>
  <si>
    <t>SG Cowen Securities Corp
Needham &amp; Co LLC
JMP Securities LLC</t>
  </si>
  <si>
    <t>TBS International Ltd</t>
  </si>
  <si>
    <t>TBSI</t>
  </si>
  <si>
    <t>MERRILL/JEFFERIES(JB)</t>
  </si>
  <si>
    <t>G86975151</t>
  </si>
  <si>
    <t>Merrill Lynch
Jefferies &amp; Co Inc</t>
  </si>
  <si>
    <t>MERRILL(JB)/JEFFERIES(JB)</t>
  </si>
  <si>
    <t>MERRILL/JEFFERIES</t>
  </si>
  <si>
    <t>MERRILL
(JB)/JEFFERIES(JB)</t>
  </si>
  <si>
    <t>Merrill Lynch &amp; Co Inc
Jefferies &amp; Co Inc</t>
  </si>
  <si>
    <t>Eaton Vance Tax-Man Buy-Wrt Op</t>
  </si>
  <si>
    <t>ETV</t>
  </si>
  <si>
    <t>27828Y108</t>
  </si>
  <si>
    <t>Merrill Lynch
UBS Investment Bank
Wachovia Securities Inc
AG Edwards &amp; Sons Inc
Raymond James &amp; Associates Inc
Advest Inc
Robert W Baird &amp; Co Inc
Banc of America Securities LLC
H&amp;R Block Financial Advisors
Deutsche Bank Securities
Ferris Baker Watts
JJB Hilliard WL Lyons Inc
Janney Montgomery Scott LLC
Key Banc Capital Markets
Legg Mason Wood Walker
Oppenheimer &amp; Co Inc
RBC Capital Markets
TD Waterhouse Investor Svcs
Wedbush Securities
Wells Fargo Securities LLC
BB&amp;T Capital Markets
William Blair &amp; Co
Crowell Weedon &amp; Co
DA Davidson &amp; Co Inc
Doft &amp; Co Inc
Dominick &amp; Dominick Inc
Ladenburg Thalmann &amp; Co
Morgan Keegan Inc
Needham &amp; Co LLC
Piper Jaffray Cos
Ryan Beck &amp; Co
SunTrust Capital Markets
Anderson &amp; Strudwick
Axiom Capital Management Inc
Brean Murray &amp; Co Inc
Brookstreet Securities
CE Unterberg Towbin
Cadaret Grant &amp; Co
City Securities
Fifth Third Securities Inc
First Montauk Securities
First New York Equity
First Southwest
Gilford Securities
Joseph Gunnar &amp; Co., LLC
GunnAllen Financial Inc
Hoefer &amp; Arnett Inc
Howe Barnes Investments Inc
Huntleigh Securities Corp
Jesup &amp; Lamont Securities
Johnston Lemon &amp; Co Inc
LaSalle Street Securities Inc
Maxim Group LLC
McGinn, Smith &amp; Co Inc
Mesirow Financial Corp
Morgan Wilshire Securities
National Securities Corp (US)
Northeast Securities Inc.
David A. Noyes
Nutmeg Securities Ltd
Pacific Crest Securities Inc
Peacock Hislop Staley &amp; Given
Sanders Morris Harris Inc
The Seidler Companies Inc
Muriel Siebert &amp; Co
Source Capital Group Inc
Southwest Securities Inc
Spelman &amp; Co.
Stanford Group Company
M. L. Stern
Sterne Agee &amp; Leach Inc
Stone &amp; Youngberg
Strand,Atkinson,Williams&amp;Yerl
Susquehanna Brokerage Services
Torrey Pines Securities
JP Turner &amp; Co
Westminster Finl Sec Inc</t>
  </si>
  <si>
    <t>MERRILL//UBS-INV-BANK/WACHOVIA-SEC
/A-G-EDWARDS/RAYMOND/ADVEST/BAIRD
/BA-SEC-LLC/HR-BLOCK-FIN/DBSECU
/FERRIS-BAKER/HILLIARD/JANNEY-LLC
/KEY-BANC-CAP/LEGG-MASON-WW
/OPPENHEIMER-CO/RBC-CAP-MKTS
/TD-WATERHOUSE/WEDBUSH-M
/WELLS-FARGO-SEC//BB-T-CAP/WM-BLAIR
/CROWELL/DAVIDSON/DOFT/DOMINICK
/LADENBURG/MORGAN-KEEGAN/NEEDHAM
/PIPER-JAFFRAY/RYAN-BECK/SUNTRUST-CAP
/ANDERSON/AXIOM-CAP/BREAN/BROOKSTREET
/UNTERBERG/CADARET-GRANT/CITY-SEC
/FIFTH-THIRD-SEC/FIRST-MONTAUK
/FIRST-NY-EQUITY/FIRST-SW/GILFORD
/GUNNAR/GUNNALLEN-FINL/HOEFER-ARNETT
/HOWE-BARNES/HUNTLEIGH-SEC/JESUP
/JOHNSTON-LEMON/LASALLE-SEC/MAXIM-GROUP
/MCGINN-SMITH/MESIROW-FIN
/MORGAN-WILSHIRE/NATL-SEC/NORTHEAST-SEC
/D-A-NOYES/NUTMEG-SEC/PACIFIC-CREST
/PEACOCK-HISLOP/SANDERS-HARRIS
/SEIDLER-CO-INC/MURIEL/SOURCE-CAPITAL
/SWS-SEC/SPELMAN/STANFORD-GROUP
/M-L-STERN/STERNE-AGEE/STONE-YOUNG
/STRAND-ATKIN/SUSQUEHANNA/TORREY-PINES
/J-P-TURNER/WEST-FIN-SEC</t>
  </si>
  <si>
    <t>MERRILL
UBS-INV-BANK
WACHOVIA-SEC
A-G-EDWARDS
RAYMOND
ADVEST
BAIRD
BA-SEC-LLC
HR-BLOCK-FIN
DBSECU
FERRIS-BAKER
HILLIARD
JANNEY-LLC
KEY-BANC-CAP
LEGG-MASON-WW
OPPENHEIMER-CO
RBC-CAP-MKTS
TD-WATERHOUSE
WEDBUSH-M
WELLS-FARGO-SEC</t>
  </si>
  <si>
    <t>Merrill Lynch &amp; Co Inc
UBS Investment Bank
Wachovia Securities Inc
AG Edwards &amp; Sons Inc
Raymond James &amp; Associates Inc
Advest Inc
Robert W Baird &amp; Co Inc
Banc of America Securities LLC
H&amp;R Block Financial Advisors
Deutsche Bank Securities Inc
Ferris Baker Watts Inc
JJB Hilliard WL Lyons Inc
Janney Montgomery Scott LLC
Key Banc Capital Markets
Legg Mason Wood Walker Inc
Oppenheimer &amp; Co Inc
RBC Capital Markets
TD Waterhouse Investor Services(Canada)Inc
Wedbush Securities
Wells Fargo Securities LLC</t>
  </si>
  <si>
    <t>Enhanced Eq Yield &amp; Prm Fd Inc</t>
  </si>
  <si>
    <t>ECV</t>
  </si>
  <si>
    <t>29332C101</t>
  </si>
  <si>
    <t>Merrill Lynch
Wachovia Securities Inc
Ryan Beck &amp; Co
Stifel Nicolaus &amp; Co Inc
Wunderlich Securities Inc
Advest Inc
BB&amp;T Capital Markets
Robert W Baird &amp; Co Inc
William Blair &amp; Co
Chatsworth Securities LLC
Crowell Weedon &amp; Co
DA Davidson &amp; Co Inc
Deutsche Bank Securities
Doft &amp; Co Inc
Dominick &amp; Dominick Inc
Ferris Baker Watts
KeyCorp/McDonald Investments
Ladenburg Thalmann &amp; Co
Morgan Keegan Inc
Oppenheimer &amp; Co Inc
Piper Jaffray Cos
SunTrust Capital Markets
Wedbush Securities
Anderson &amp; Strudwick
Arthurs Lestrange
Axiom Capital Management Inc
Brean Murray &amp; Co Inc
Brookstreet Securities
Fifth Third Securities Inc
First Montauk Securities
First Southwest
Gilford Securities
GunnAllen Financial Inc
Hoefer &amp; Arnett Inc
Howe Barnes Investments Inc
Huntleigh Securities Corp
Jesup &amp; Lamont Securities
Johnston Lemon &amp; Co Inc
LaSalle Street Securities Inc
Maxim Group LLC
Mesirow Financial Corp
Morgan Wilshire Securities
Natcity Investments Inc.
National Securities Corp (US)
Newbridge Securities
Northeast Securities Inc.
David A. Noyes
Peacock Hislop Staley &amp; Given
Sanders Morris Harris Inc
The Seidler Companies Inc
Source Capital Group Inc
Southwest Securities Inc
M. L. Stern
Strand,Atkinson,Williams&amp;Yerl
Susquehanna Brokerage Services
Torrey Pines Securities
JP Turner &amp; Co
Westminster Finl Sec Inc</t>
  </si>
  <si>
    <t>MERRILL//WACHOVIA-SEC/RYAN-BECK/STIFEL
/WUNDERLICH//ADVEST/BB-T-CAP/BAIRD
/WM-BLAIR/CHATSWORTH/CROWELL/DAVIDSON
/DBSECU/DOFT/DOMINICK/FERRIS-BAKER
/KEY-MCDONALD/LADENBURG/MORGAN-KEEGAN
/OPPENHEIMER-CO/PIPER-JAFFRAY
/SUNTRUST-CAP/WEDBUSH-M/ANDERSON
/ARTHURS-LES/AXIOM-CAP/BREAN
/BROOKSTREET/FIFTH-THIRD-SEC
/FIRST-MONTAUK/FIRST-SW/GILFORD
/GUNNALLEN-FINL/HOEFER-ARNETT
/HOWE-BARNES/HUNTLEIGH-SEC/JESUP
/JOHNSTON-LEMON/LASALLE-SEC/MAXIM-GROUP
/MESIROW-FIN/MORGAN-WILSHIRE
/NATCITY-INVEST/NATL-SEC/NEWBRIDGE
/NORTHEAST-SEC/D-A-NOYES/PEACOCK-HISLOP
/SANDERS-HARRIS/SEIDLER-CO-INC
/SOURCE-CAPITAL/SWS-SEC/M-L-STERN
/STRAND-ATKIN/SUSQUEHANNA/TORREY-PINES
/J-P-TURNER/WEST-FIN-SEC</t>
  </si>
  <si>
    <t>MERRILL
WACHOVIA-SEC
RYAN-BECK
STIFEL
WUNDERLICH</t>
  </si>
  <si>
    <t>Merrill Lynch &amp; Co Inc
Wachovia Securities Inc
Ryan Beck &amp; Co
Stifel Nicolaus &amp; Co Inc
Wunderlich Securities Inc</t>
  </si>
  <si>
    <t>Kayne Anderson Energy Total</t>
  </si>
  <si>
    <t>KYE</t>
  </si>
  <si>
    <t>48660P104</t>
  </si>
  <si>
    <t>Citigroup
Merrill Lynch
UBS Investment Bank
AG Edwards &amp; Sons Inc
Advest Inc
Robert W Baird &amp; Co Inc
H&amp;R Block Financial Advisors
Crowell Weedon &amp; Co
Deutsche Bank Securities Corp
Ferris Baker Watts
Friedman Billings Ramsey Group
Janney Montgomery Scott LLC
KeyCorp/McDonald Investments
Legg Mason Wood Walker
RBC Capital Markets
Wedbush Securities
Wells Fargo Securities LLC
Brookstreet Securities
Doft &amp; Co Inc
Oppenheimer &amp; Co Inc
Morgan Keegan Inc
Ryan Beck &amp; Co
Axiom Capital Management Inc
BB&amp;T Capital Markets
Mesirow Financial Corp
Southwest Securities Inc
David A. Noyes
Hongkong &amp; Shanghai Bank (HK)
Huntleigh Securities Corp
Sanders Morris Harris Inc
SunTrust Capital Markets</t>
  </si>
  <si>
    <t>CITIGROUP//MERRILL/UBS-INV-BANK
/A-G-EDWARDS/ADVEST/BAIRD/HR-BLOCK-FIN
/CROWELL/DEUTSCHE-BK-SEC/FERRIS-BAKER
/FRIEDMAN-B/JANNEY-LLC/KEY-MCDONALD
/LEGG-MASON-WW/RBC-CAP-MKTS/WEDBUSH-M
/WELLS-FARGO-SEC//BROOKSTREET/DOFT
/OPPENHEIMER-CO/MORGAN-KEEGAN/RYAN-BECK
/AXIOM-CAP/BB-T-CAP/MESIROW-FIN/SWS-SEC
/D-A-NOYES/HONG-SHANG-BKG/HUNTLEIGH-SEC
/SANDERS-HARRIS/SUNTRUST-CAP</t>
  </si>
  <si>
    <t>CITIGROUP
MERRILL
UBS-INV-BANK
A-G-EDWARDS
ADVEST
BAIRD
HR-BLOCK-FIN
CROWELL
DEUTSCHE-BK-SEC
FERRIS-BAKER
FRIEDMAN-B
JANNEY-LLC
KEY-MCDONALD
LEGG-MASON-WW
RBC-CAP-MKTS
WEDBUSH-M
WELLS-FARGO-SEC</t>
  </si>
  <si>
    <t>Citigroup
Merrill Lynch &amp; Co Inc
UBS Investment Bank
AG Edwards &amp; Sons Inc
Advest Inc
Robert W Baird &amp; Co Inc
H&amp;R Block Financial Advisors
Crowell Weedon &amp; Co
Deutsche Bank Securities Corp.
Ferris Baker Watts Inc
Friedman Billings Ramsey Group
Janney Montgomery Scott LLC
KeyCorp/McDonald Investments
Legg Mason Wood Walker Inc
RBC Capital Markets
Wedbush Securities
Wells Fargo Securities LLC</t>
  </si>
  <si>
    <t>Lazard World Dvdnd &amp; Inc Fd</t>
  </si>
  <si>
    <t>LOR</t>
  </si>
  <si>
    <t>Merrill Lynch
Citigroup
AG Edwards &amp; Sons Inc
Wachovia Securities Inc
Advest Inc
Robert W Baird &amp; Co Inc
H&amp;R Block Financial Advisors
RBC Capital Markets
Stifel Nicolaus &amp; Co Inc
Wells Fargo Securities LLC
BB&amp;T Capital Markets
William Blair &amp; Co
Crowell Weedon &amp; Co
Deutsche Bank Securities
Doft &amp; Co Inc
Dominick &amp; Dominick Inc
Ferris Baker Watts
Harris Nesbitt
KeyCorp/McDonald Investments
Morgan Keegan Inc
Oppenheimer &amp; Co Inc
Piper Jaffray Cos
Stephens Inc
SunTrust Capital Markets
Wedbush Securities
Anderson &amp; Strudwick
Axiom Capital Management Inc
Bishop, Rosen &amp; Co
Brookstreet Securities
First Montauk Securities
GunnAllen Financial Inc
Hoefer &amp; Arnett Inc
Huntleigh Securities Corp
Jesup &amp; Lamont Securities
Johnston Lemon &amp; Co Inc
LaSalle Street Securities Inc
Maxim Group LLC
Morgan Wilshire Securities
Northeast Securities Inc.
David A. Noyes
Paulson Investment Co
The Seidler Companies Inc
Southwest Securities Inc
Stanford Group Company
M. L. Stern
Sterne Agee &amp; Leach Inc
Stone &amp; Youngberg
Strand,Atkinson,Williams&amp;Yerl
Susquehanna Brokerage Services
Torrey Pines Securities
JP Turner &amp; Co
Westminster Finl Sec Inc</t>
  </si>
  <si>
    <t>MERRILL//CITIGROUP/A-G-EDWARDS
/WACHOVIA-SEC/ADVEST/BAIRD/HR-BLOCK-FIN
/RBC-CAP-MKTS/STIFEL/WELLS-FARGO-SEC
//BB-T-CAP/WM-BLAIR/CROWELL/DBSECU/DOFT
/DOMINICK/FERRIS-BAKER/HARRN
/KEY-MCDONALD/MORGAN-KEEGAN
/OPPENHEIMER-CO/PIPER-JAFFRAY/STEPHENS
/SUNTRUST-CAP/WEDBUSH-M/ANDERSON
/AXIOM-CAP/BISHOP-ROSEN/BROOKSTREET
/FIRST-MONTAUK/GUNNALLEN-FINL
/HOEFER-ARNETT/HUNTLEIGH-SEC/JESUP
/JOHNSTON-LEMON/LASALLE-SEC/MAXIM-GROUP
/MORGAN-WILSHIRE/NORTHEAST-SEC
/D-A-NOYES/PAULSON/SEIDLER-CO-INC
/SWS-SEC/STANFORD-GROUP/M-L-STERN
/STERNE-AGEE/STONE-YOUNG/STRAND-ATKIN
/SUSQUEHANNA/TORREY-PINES/J-P-TURNER
/WEST-FIN-SEC</t>
  </si>
  <si>
    <t>MERRILL
CITIGROUP
A-G-EDWARDS
WACHOVIA-SEC
ADVEST
BAIRD
HR-BLOCK-FIN
RBC-CAP-MKTS
STIFEL
WELLS-FARGO-SEC</t>
  </si>
  <si>
    <t>Merrill Lynch &amp; Co Inc
Citigroup
AG Edwards &amp; Sons Inc
Wachovia Securities Inc
Advest Inc
Robert W Baird &amp; Co Inc
H&amp;R Block Financial Advisors
RBC Capital Markets
Stifel Nicolaus &amp; Co Inc
Wells Fargo Securities LLC</t>
  </si>
  <si>
    <t>Columbia Equity Trust Inc</t>
  </si>
  <si>
    <t>COE</t>
  </si>
  <si>
    <t>Wachovia Securities Inc
Robert W Baird &amp; Co Inc
AG Edwards &amp; Sons Inc
Legg Mason Wood Walker
Raymond James &amp; Associates Inc
Ferris Baker Watts
Wells Fargo Securities LLC</t>
  </si>
  <si>
    <t>WACHOVIA-SEC//BAIRD/A-G-EDWARDS
/LEGG-MASON-WW/RAYMOND/FERRIS-BAKER
/WELLS-FARGO-SEC</t>
  </si>
  <si>
    <t>WACHOVIA-SEC
BAIRD
A-G-EDWARDS
LEGG-MASON-WW
RAYMOND
FERRIS-BAKER
WELLS-FARGO-SEC</t>
  </si>
  <si>
    <t>Wachovia Securities Inc
Robert W Baird &amp; Co Inc
AG Edwards &amp; Sons Inc
Legg Mason Wood Walker Inc
Raymond James &amp; Associates Inc
Ferris Baker Watts Inc
Wells Fargo Securities LLC</t>
  </si>
  <si>
    <t>DSW Inc</t>
  </si>
  <si>
    <t>DSW</t>
  </si>
  <si>
    <t>23334L102</t>
  </si>
  <si>
    <t>Lehman Brothers
Goldman Sachs &amp; Co
CIBC World Markets Inc
Johnson Rice &amp; Co
Fidelity Capital Markets
Hongkong &amp; Shanghai Bank (HK)
Loop Capital Markets
Muriel Siebert &amp; Co
Natcity Investments Inc.
Ryan Beck &amp; Co
Stifel Nicolaus &amp; Co Inc</t>
  </si>
  <si>
    <t>RVI</t>
  </si>
  <si>
    <t>Retail Ventures Inc</t>
  </si>
  <si>
    <t>LEH/GS(JOINT)//CIBC-WORLD/JOHNSON-RICE
//FIDELITY-CAP/HONG-SHANG-BKG/LOOP
/MURIEL/NATCITY-INVEST/RYAN-BECK/STIFEL</t>
  </si>
  <si>
    <t>LEH
/GS(JOINT)
CIBC-WORLD
JOHNSON-RICE</t>
  </si>
  <si>
    <t>Lehman Brothers
Goldman Sachs &amp; Co
CIBC World Markets Inc
Johnson Rice &amp; Co</t>
  </si>
  <si>
    <t>Deerfield Triarc Capital Corp</t>
  </si>
  <si>
    <t>DFR</t>
  </si>
  <si>
    <t>CS-FB-CS/MERRILL(JB)
/UBS-INV-BANK(JB)
/DEUTSCHE-BK-SEC(JB)</t>
  </si>
  <si>
    <t>Credit Suisse First Boston
Merrill Lynch
UBS Investment Bank
Deutsche Bank Securities Corp
Wachovia Securities Inc
Bear Stearns &amp; Co Inc
Jefferies &amp; Co Inc
RBC Capital Markets
Stifel Nicolaus &amp; Co Inc</t>
  </si>
  <si>
    <t>12/25/05
08/27/05</t>
  </si>
  <si>
    <t>CS-FB-CS(JB)/MERRILL(JB)
/UBS-INV-BANK(JB)/DEUTSCHE-BK-SEC(JB)
//WACHOVIA-SEC/BEAR/JEFFERIES
/RBC-CAP-MKTS/STIFEL</t>
  </si>
  <si>
    <t>CS-FB-CS/MERRILL/UBS-INV-BANK
/DEUTSCHE-BK-SEC</t>
  </si>
  <si>
    <t>CS-FB-CS
(JB)/MERRILL(JB)
/UBS-INV-BANK(JB)
/DEUTSCHE-BK-SEC(JB)
WACHOVIA-SEC
BEAR
JEFFERIES
RBC-CAP-MKTS
STIFEL</t>
  </si>
  <si>
    <t>Credit Suisse First Boston Corp
Merrill Lynch &amp; Co Inc
UBS Investment Bank
Deutsche Bank Securities Corp.
Wachovia Securities Inc
Bear Stearns &amp; Co Inc
Jefferies &amp; Co Inc
RBC Capital Markets
Stifel Nicolaus &amp; Co Inc</t>
  </si>
  <si>
    <t>HemoSense Inc</t>
  </si>
  <si>
    <t>HEM</t>
  </si>
  <si>
    <t>LAZARD-CAP-MKT
/W-R-HAMBRECHT(JB)</t>
  </si>
  <si>
    <t>Lazard Capital Markets
WR Hambrecht &amp; Co LLC
Roth Capital Partners Inc</t>
  </si>
  <si>
    <t>LAZARD-CAP-MKT(JB)/W-R-HAMBRECHT(JB)
//ROTH-CAPITAL</t>
  </si>
  <si>
    <t>LAZARD-CAP-MKT/W-R-HAMBRECHT</t>
  </si>
  <si>
    <t>LAZARD-CAP-MKT
(JB)/W-R-HAMBRECHT(JB)
ROTH-CAPITAL</t>
  </si>
  <si>
    <t>NeuStar Inc</t>
  </si>
  <si>
    <t>NSR</t>
  </si>
  <si>
    <t>MORGAN-STANLEY
/CS-FB-CS(JB)/JPM(JB)</t>
  </si>
  <si>
    <t>64126X201</t>
  </si>
  <si>
    <t>Morgan Stanley
Credit Suisse First Boston
JP Morgan
Banc of America Securities LLC
Bear Stearns &amp; Co Inc
Friedman Billings Ramsey Group
Jefferies &amp; Co Inc
ThinkEquity Partners</t>
  </si>
  <si>
    <t>MORGAN-STANLEY(JB)/CS-FB-CS(JB)/JPM(JB)
/BA-SEC-LLC(JOINT)//BEAR/FRIEDMAN-B
/JEFFERIES/THINK</t>
  </si>
  <si>
    <t>MORGAN-STANLEY/CS-FB-CS/JPM/BA-SEC-LLC</t>
  </si>
  <si>
    <t>MORGAN-STANLEY
(JB)/CS-FB-CS(JB)
/JPM(JB)
/BA-SEC-LLC(JOINT)
BEAR
FRIEDMAN-B
JEFFERIES
THINK</t>
  </si>
  <si>
    <t>Morgan Stanley
Credit Suisse First Boston Corp
JP Morgan &amp; Co Inc
Banc of America Securities LLC
Bear Stearns &amp; Co Inc
Friedman Billings Ramsey Group
Jefferies &amp; Co Inc
ThinkEquity Partners</t>
  </si>
  <si>
    <t>Tac Acquisition Corp</t>
  </si>
  <si>
    <t>TACA</t>
  </si>
  <si>
    <t>WEDBUSH-M</t>
  </si>
  <si>
    <t>Wedbush Securities
Oppenheimer &amp; Co Inc
Brean Murray &amp; Co Inc
Earlybirdcapital Inc
Ramius Capital Corp</t>
  </si>
  <si>
    <t>WEDBUSH-M//OPPENHEIMER-CO/BREAN
/EARLYBIRD-CAP/RAMIUS</t>
  </si>
  <si>
    <t>WEDBUSH-M
OPPENHEIMER-CO
BREAN
EARLYBIRD-CAP
RAMIUS</t>
  </si>
  <si>
    <t>Services Acquisition Corp</t>
  </si>
  <si>
    <t>SVI</t>
  </si>
  <si>
    <t>Broadband Capital Management
CE Unterberg Towbin
Ramius Capital Corp
Maxim Group LLC</t>
  </si>
  <si>
    <t>BROADBAND//UNTERBERG/RAMIUS/MAXIM-GROUP</t>
  </si>
  <si>
    <t>Silicon Motion Technology Corp</t>
  </si>
  <si>
    <t>SIMO</t>
  </si>
  <si>
    <t>82706C108</t>
  </si>
  <si>
    <t>Deutsche Bank Securities Corp
WR Hambrecht &amp; Co LLC
Needham &amp; Co LLC</t>
  </si>
  <si>
    <t>12/26/05
12/26/05</t>
  </si>
  <si>
    <t>DEUTSCHE-BK-SEC//W-R-HAMBRECHT/NEEDHAM</t>
  </si>
  <si>
    <t>DEUTSCHE-BK-SEC
W-R-HAMBRECHT
NEEDHAM</t>
  </si>
  <si>
    <t>Deutsche Bank Securities Corp.
WR Hambrecht &amp; Co LLC
Needham &amp; Co LLC</t>
  </si>
  <si>
    <t>Volcom Inc</t>
  </si>
  <si>
    <t>VLCM</t>
  </si>
  <si>
    <t>92864N101</t>
  </si>
  <si>
    <t>Wachovia Securities Inc
DA Davidson &amp; Co Inc
Piper Jaffray Cos</t>
  </si>
  <si>
    <t>WACHOVIA-SEC/DAVIDSON(JOINT)
//PIPER-JAFFRAY</t>
  </si>
  <si>
    <t>WACHOVIA-SEC/DAVIDSON</t>
  </si>
  <si>
    <t>WACHOVIA-SEC
/DAVIDSON(JOINT)
PIPER-JAFFRAY</t>
  </si>
  <si>
    <t>Western Alliance Bancorp,NV</t>
  </si>
  <si>
    <t>WAL</t>
  </si>
  <si>
    <t>Sandler O'Neill Partners
Keefe Bruyette &amp; Woods Inc
DA Davidson &amp; Co Inc
Oppenheimer &amp; Co Inc
RBC Capital Markets
Ryan Beck &amp; Co</t>
  </si>
  <si>
    <t>SANDLER-ONEILL//KEEFE//DAVIDSON
/OPPENHEIMER-CO/RBC-CAP-MKTS/RYAN-BECK</t>
  </si>
  <si>
    <t>SANDLER-ONEILL
KEEFE</t>
  </si>
  <si>
    <t>Sandler O'Neill Partners  L.P.
Keefe Bruyette &amp; Woods Inc</t>
  </si>
  <si>
    <t>Courtside Acquisition Corp</t>
  </si>
  <si>
    <t>CRB</t>
  </si>
  <si>
    <t>22274N102</t>
  </si>
  <si>
    <t>Earlybirdcapital Inc
ThinkEquity Partners
Ramius Capital Corp</t>
  </si>
  <si>
    <t>EARLYBIRD-CAP//THINK//RAMIUS</t>
  </si>
  <si>
    <t>EARLYBIRD-CAP
THINK</t>
  </si>
  <si>
    <t>Earlybirdcapital Inc
ThinkEquity Partners</t>
  </si>
  <si>
    <t>Medical Properties Trust Inc</t>
  </si>
  <si>
    <t>MPW</t>
  </si>
  <si>
    <t>58463J304</t>
  </si>
  <si>
    <t>Friedman Billings Ramsey Group
JP Morgan
Wachovia Capital Markets
Stifel Nicolaus &amp; Co Inc
AG Edwards &amp; Sons Inc
BB&amp;T Capital Markets
Cohen Bros &amp; Co
Oppenheimer &amp; Co Inc
Ryan Beck &amp; Co
Sterne Agee &amp; Leach Inc</t>
  </si>
  <si>
    <t>FRIEDMAN-B/JPM(JOINT)//WACHOVIA-CAP
/STIFEL//A-G-EDWARDS/BB-T-CAP
/COHEN-BROS/OPPENHEIMER-CO/RYAN-BECK
/STERNE-AGEE</t>
  </si>
  <si>
    <t>FRIEDMAN-B/JPM</t>
  </si>
  <si>
    <t>FRIEDMAN-B
/JPM(JOINT)
WACHOVIA-CAP
STIFEL</t>
  </si>
  <si>
    <t>Friedman Billings Ramsey Group
JP Morgan &amp; Co Inc
Wachovia Capital Markets
Stifel Nicolaus &amp; Co Inc</t>
  </si>
  <si>
    <t>ICOP Digital Inc</t>
  </si>
  <si>
    <t>ICOP</t>
  </si>
  <si>
    <t>44930M203</t>
  </si>
  <si>
    <t>Paulson Investment Co
Capital Growth Financial LLC
Chicago Investment Group LLC
GunnAllen Financial Inc
Joseph Gunnar &amp; Co., LLC
Maxim Group LLC
S W Bach &amp; Company</t>
  </si>
  <si>
    <t>01/04/06
01/04/06</t>
  </si>
  <si>
    <t xml:space="preserve">35.905
</t>
  </si>
  <si>
    <t xml:space="preserve">1593543.00
</t>
  </si>
  <si>
    <t>PAULSON//CGF-SEC/CHICAGO-INV
/GUNNALLEN-FINL/GUNNAR/MAXIM-GROUP
/SW-BACH</t>
  </si>
  <si>
    <t>Garrison International Ltd</t>
  </si>
  <si>
    <t>GITLF</t>
  </si>
  <si>
    <t>DOMINICK</t>
  </si>
  <si>
    <t>012991907</t>
  </si>
  <si>
    <t>Dominick &amp; Dominick Inc</t>
  </si>
  <si>
    <t>Israel Tech Acq Corp</t>
  </si>
  <si>
    <t>ISLT</t>
  </si>
  <si>
    <t>Earlybirdcapital Inc
Maxim Group LLC
GunnAllen Financial Inc
Joseph Stevens &amp; Company</t>
  </si>
  <si>
    <t>EARLYBIRD-CAP//MAXIM-GROUP
/GUNNALLEN-FINL/JOSEPH-STEVENS</t>
  </si>
  <si>
    <t>Oakmont Acquisition Corp</t>
  </si>
  <si>
    <t>OMAC</t>
  </si>
  <si>
    <t>01449F103</t>
  </si>
  <si>
    <t>Morgan Joseph &amp; Co Inc
Wells Fargo Securities LLC</t>
  </si>
  <si>
    <t>MORGAN-JOSEPH//WELLS-FARGO-SEC</t>
  </si>
  <si>
    <t>MORGAN-JOSEPH
WELLS-FARGO-SEC</t>
  </si>
  <si>
    <t>CryoCor Inc</t>
  </si>
  <si>
    <t>CRYO</t>
  </si>
  <si>
    <t>WR Hambrecht &amp; Co LLC
First Albany Capital Inc
Roth Capital Partners Inc</t>
  </si>
  <si>
    <t>W-R-HAMBRECHT//FIRST-AL-CAP
/ROTH-CAPITAL</t>
  </si>
  <si>
    <t>W-R-HAMBRECHT
FIRST-AL-CAP
ROTH-CAPITAL</t>
  </si>
  <si>
    <t>Focus Media Holding Ltd</t>
  </si>
  <si>
    <t>FMCN</t>
  </si>
  <si>
    <t>34415V109</t>
  </si>
  <si>
    <t>Goldman Sachs &amp; Co
Credit Suisse First Boston
CIBC World Markets Inc
Piper Jaffray Cos
Goldman Sachs &amp; Co</t>
  </si>
  <si>
    <t>GS/CS-FB-CS(JOINT)//CIBC-WORLD
/PIPER-JAFFRAY//GS(GC)</t>
  </si>
  <si>
    <t>GS
/CS-FB-CS(JOINT)
CIBC-WORLD
PIPER-JAFFRAY</t>
  </si>
  <si>
    <t>Goldman Sachs &amp; Co
Credit Suisse First Boston Corp
CIBC World Markets Inc
Piper Jaffray Cos</t>
  </si>
  <si>
    <t>Fortress America Acq Corp</t>
  </si>
  <si>
    <t>FAAC</t>
  </si>
  <si>
    <t>SUNRISE-SEC</t>
  </si>
  <si>
    <t>34957J100</t>
  </si>
  <si>
    <t>Sunrise Securities
Maxim Group LLC
Ramius Capital Corp</t>
  </si>
  <si>
    <t>SUNRISE-SEC//MAXIM-GROUP/RAMIUS</t>
  </si>
  <si>
    <t>Sunrise Securities Limited</t>
  </si>
  <si>
    <t>JER Investors Trust Inc</t>
  </si>
  <si>
    <t>JRT</t>
  </si>
  <si>
    <t>FRIEDMAN-B
/BA-SEC-LLC(JB)</t>
  </si>
  <si>
    <t>46614H301</t>
  </si>
  <si>
    <t>Friedman Billings Ramsey Group
Banc of America Securities LLC
Bear Stearns &amp; Co Inc
Credit Suisse First Boston
Deutsche Bank Securities Corp
AG Edwards &amp; Sons Inc
Stifel Nicolaus &amp; Co Inc</t>
  </si>
  <si>
    <t>08/27/05
08/27/05
01/09/06</t>
  </si>
  <si>
    <t>43.031
5.711</t>
  </si>
  <si>
    <t>45
45
180</t>
  </si>
  <si>
    <t>10260802.00
1361809.00</t>
  </si>
  <si>
    <t>FRIEDMAN-B(JB)/BA-SEC-LLC(JB)//BEAR
/CS-FB-CS/DEUTSCHE-BK-SEC//A-G-EDWARDS
/STIFEL</t>
  </si>
  <si>
    <t>FRIEDMAN-B/BA-SEC-LLC</t>
  </si>
  <si>
    <t>FRIEDMAN-B
(JB)/BA-SEC-LLC(JB)
BEAR
CS-FB-CS
DEUTSCHE-BK-SEC</t>
  </si>
  <si>
    <t>Friedman Billings Ramsey Group
Banc of America Securities LLC
Bear Stearns &amp; Co Inc
Credit Suisse First Boston Corp
Deutsche Bank Securities Corp.</t>
  </si>
  <si>
    <t>Juniper Partners Acq Corp</t>
  </si>
  <si>
    <t>JNPPA</t>
  </si>
  <si>
    <t>48203X200</t>
  </si>
  <si>
    <t>HCFP Brenner Securities LLC
Brean Murray &amp; Co Inc
Ladenburg Thalmann &amp; Co
Legend Merchant Group Inc
Capital Growth Financial LLC
Not Disclosed or Known
Lane Capital Markets</t>
  </si>
  <si>
    <t>HCFP-BRENNER//BREAN//LADENBURG
/LEGEND-MERCHANT/CGF-SEC/ND/LANE-CAP</t>
  </si>
  <si>
    <t>HCFP-BRENNER
BREAN</t>
  </si>
  <si>
    <t>HCFP Brenner Securities LLC
Brean Murray &amp; Co Inc</t>
  </si>
  <si>
    <t>Orchids Paper Products Co</t>
  </si>
  <si>
    <t>TIS</t>
  </si>
  <si>
    <t>TAGLICH</t>
  </si>
  <si>
    <t>68572N104</t>
  </si>
  <si>
    <t>TAGLICH BROTHERS INC</t>
  </si>
  <si>
    <t>10/12/05
01/10/06
01/10/06</t>
  </si>
  <si>
    <t xml:space="preserve">37.016
14.597
</t>
  </si>
  <si>
    <t xml:space="preserve">1434377.00
565623.00
</t>
  </si>
  <si>
    <t>Quintana Maritime Ltd</t>
  </si>
  <si>
    <t>QMAR</t>
  </si>
  <si>
    <t>Y7169G109</t>
  </si>
  <si>
    <t>Citigroup
Morgan Stanley
Jefferies &amp; Co Inc
Credit Suisse First Boston
Fortis Securities Inc
Cantor Fitzgerald Inc
Dahlman Rose Weiss LLC
ABN AMRO Incorporated</t>
  </si>
  <si>
    <t>CITIGROUP(JB)/MORGAN-STANLEY(JB)
//JEFFERIES/CS-FB-CS/FORTIS-SEC/CANTOR
/DAHLMAN-ROSE/ABN-AMRO-INC</t>
  </si>
  <si>
    <t>CITIGROUP
(JB)/MORGAN-STANLEY(JB)
JEFFERIES
CS-FB-CS
FORTIS-SEC
CANTOR
DAHLMAN-ROSE
ABN-AMRO-INC</t>
  </si>
  <si>
    <t>Citigroup
Morgan Stanley
Jefferies &amp; Co Inc
Credit Suisse First Boston Corp
Fortis Securities Inc
Cantor Fitzgerald Inc
Dahlman Rose Weiss LLC
ABN AMRO Incorporated</t>
  </si>
  <si>
    <t>A4S Security Inc</t>
  </si>
  <si>
    <t>SWAT</t>
  </si>
  <si>
    <t>NEWBRIDGE
/BATHGATE-CAP(JB)
/I-BANKERS-SEC(JB)</t>
  </si>
  <si>
    <t>001069103</t>
  </si>
  <si>
    <t>Newbridge Securities
Bathgate Capital Partners LLC
I-Bankers Securities Inc
Joseph Gunnar &amp; Co., LLC
Maxim Group LLC
JP Turner &amp; Co</t>
  </si>
  <si>
    <t>07/13/06
10/16/05
07/13/06</t>
  </si>
  <si>
    <t xml:space="preserve">
51.583
</t>
  </si>
  <si>
    <t>360
90
360</t>
  </si>
  <si>
    <t xml:space="preserve">
2043430.00
</t>
  </si>
  <si>
    <t>NEWBRIDGE(JB)/BATHGATE-CAP(JB)
/I-BANKERS-SEC(JB)//GUNNAR//MAXIM-GROUP
/J-P-TURNER</t>
  </si>
  <si>
    <t>NEWBRIDGE/BATHGATE-CAP/I-BANKERS-SEC</t>
  </si>
  <si>
    <t>NEWBRIDGE
(JB)/BATHGATE-CAP(JB)
/I-BANKERS-SEC(JB)
GUNNAR</t>
  </si>
  <si>
    <t>Newbridge Securities
Bathgate Capital Partners LLC
I-Bankers Securities Inc
Joseph Gunnar &amp; Co., LLC</t>
  </si>
  <si>
    <t>Adams Respiratory Therapeutics</t>
  </si>
  <si>
    <t>ARXT</t>
  </si>
  <si>
    <t>00635P107</t>
  </si>
  <si>
    <t>Merrill Lynch
Morgan Stanley
Deutsche Bank Securities Corp
RBC Capital Markets</t>
  </si>
  <si>
    <t>10/18/05
01/16/06
07/15/06</t>
  </si>
  <si>
    <t>0.289
63.035
9.256</t>
  </si>
  <si>
    <t>92353.00
20151262.00
2958902.00</t>
  </si>
  <si>
    <t>MERRILL(JB)/MORGAN-STANLEY(JB)
//DEUTSCHE-BK-SEC/RBC-CAP-MKTS</t>
  </si>
  <si>
    <t>MERRILL
(JB)/MORGAN-STANLEY(JB)
DEUTSCHE-BK-SEC
RBC-CAP-MKTS</t>
  </si>
  <si>
    <t>Merrill Lynch &amp; Co Inc
Morgan Stanley
Deutsche Bank Securities Corp.
RBC Capital Markets</t>
  </si>
  <si>
    <t>Diamond Foods Inc</t>
  </si>
  <si>
    <t>Merrill Lynch
Piper Jaffray Cos
Harris Nesbitt
Adams Harkness &amp; Hill Inc
DA Davidson &amp; Co Inc
AG Edwards &amp; Sons Inc
Susquehanna Brokerage Services
Wedbush Securities
Williams Capital Group LP</t>
  </si>
  <si>
    <t>01/16/06
04/16/06
07/15/06</t>
  </si>
  <si>
    <t>MERRILL//PIPER-JAFFRAY/HARRN
//ADAMS-HARKNESS/DAVIDSON/A-G-EDWARDS
/SUSQUEHANNA/WEDBUSH-M/WILLIAMS-CAP</t>
  </si>
  <si>
    <t>MERRILL
PIPER-JAFFRAY
HARRN</t>
  </si>
  <si>
    <t>Merrill Lynch &amp; Co Inc
Piper Jaffray Cos
Harris Nesbitt</t>
  </si>
  <si>
    <t>Franklin Credit Mgmt Corp</t>
  </si>
  <si>
    <t>FCMC</t>
  </si>
  <si>
    <t>Consldtd Comm Holdings Inc</t>
  </si>
  <si>
    <t>CNSL</t>
  </si>
  <si>
    <t>Credit Suisse First Boston
Citigroup
Banc of America Securities LLC
Deutsche Bank Securities Corp
Lehman Brothers
Wachovia Securities Inc
AG Edwards &amp; Sons Inc
Oppenheimer &amp; Co Inc
Robert W Baird &amp; Co Inc
William Blair &amp; Co
CMG Institutional Trading LLC</t>
  </si>
  <si>
    <t>01/17/06
01/17/06</t>
  </si>
  <si>
    <t xml:space="preserve">47.228
</t>
  </si>
  <si>
    <t xml:space="preserve">14020844.00
</t>
  </si>
  <si>
    <t>CS-FB-CS(JB)/CITIGROUP(JB)//BA-SEC-LLC
/DEUTSCHE-BK-SEC/LEH/WACHOVIA-SEC
//A-G-EDWARDS/OPPENHEIMER-CO/BAIRD
/WM-BLAIR/CMG-LLC</t>
  </si>
  <si>
    <t>CS-FB-CS
(JB)/CITIGROUP(JB)
BA-SEC-LLC
DEUTSCHE-BK-SEC
LEH
WACHOVIA-SEC</t>
  </si>
  <si>
    <t>Credit Suisse First Boston Corp
Citigroup
Banc of America Securities LLC
Deutsche Bank Securities Corp.
Lehman Brothers
Wachovia Securities Inc</t>
  </si>
  <si>
    <t>Hittite Microwave Corp</t>
  </si>
  <si>
    <t>HITT</t>
  </si>
  <si>
    <t>43365Y104</t>
  </si>
  <si>
    <t>Lehman Brothers
Needham &amp; Co LLC
Piper Jaffray Cos
Thomas Weisel Partners
Chatsworth Securities LLC
National Financial Mkts Grp
Oppenheimer &amp; Co Inc
Raymond James &amp; Associates Inc</t>
  </si>
  <si>
    <t xml:space="preserve">81.800
1.626
</t>
  </si>
  <si>
    <t xml:space="preserve">22809048.00
453508.00
</t>
  </si>
  <si>
    <t>LEH//NEEDHAM/PIPER-JAFFRAY
/THOMAS-WEISEL//CHATSWORTH/NAT-FIN
/OPPENHEIMER-CO/RAYMOND</t>
  </si>
  <si>
    <t>LEH
NEEDHAM
PIPER-JAFFRAY
THOMAS-WEISEL</t>
  </si>
  <si>
    <t>Lehman Brothers
Needham &amp; Co LLC
Piper Jaffray Cos
Thomas Weisel Partners</t>
  </si>
  <si>
    <t>Genco Shipping &amp; Trading Ltd</t>
  </si>
  <si>
    <t>GNK</t>
  </si>
  <si>
    <t>JEFFERIES
/MORGAN-STANLEY(JB)</t>
  </si>
  <si>
    <t>Y2685T107</t>
  </si>
  <si>
    <t>Jefferies &amp; Co Inc
Morgan Stanley
Banc of America Securities LLC
Dahlman Rose Weiss LLC
DnB NOR BANK ASA</t>
  </si>
  <si>
    <t>01/17/06
01/17/06
01/17/06</t>
  </si>
  <si>
    <t>JEFFERIES(JB)/MORGAN-STANLEY(JB)
//BA-SEC-LLC/DAHLMAN-ROSE/DNB-NOR</t>
  </si>
  <si>
    <t>JEFFERIES/MORGAN-STANLEY</t>
  </si>
  <si>
    <t>JEFFERIES
(JB)/MORGAN-STANLEY(JB)
BA-SEC-LLC
DAHLMAN-ROSE
DNB-NOR</t>
  </si>
  <si>
    <t>Maidenform Brands Inc</t>
  </si>
  <si>
    <t>MFB</t>
  </si>
  <si>
    <t>UBS-INV-BANK
/CS-FB-CS(JB)</t>
  </si>
  <si>
    <t>UBS Investment Bank
Credit Suisse First Boston
Goldman Sachs &amp; Co</t>
  </si>
  <si>
    <t>UBS-INV-BANK(JB)/CS-FB-CS(JB)//GS</t>
  </si>
  <si>
    <t>UBS-INV-BANK/CS-FB-CS</t>
  </si>
  <si>
    <t>UBS-INV-BANK
(JB)/CS-FB-CS(JB)
GS</t>
  </si>
  <si>
    <t>UBS Investment Bank
Credit Suisse First Boston Corp
Goldman Sachs &amp; Co</t>
  </si>
  <si>
    <t>ITC Holdings Corp</t>
  </si>
  <si>
    <t>ITC</t>
  </si>
  <si>
    <t>LEH/CS-FB-CS(JB)
/MORGAN-STANLEY(JB)</t>
  </si>
  <si>
    <t>Lehman Brothers
Credit Suisse First Boston
Morgan Stanley
Goldman Sachs &amp; Co
UBS Investment Bank</t>
  </si>
  <si>
    <t>LEH(JB)/CS-FB-CS(JB)/MORGAN-STANLEY(JB)
//GS/UBS-INV-BANK</t>
  </si>
  <si>
    <t>LEH/CS-FB-CS/MORGAN-STANLEY</t>
  </si>
  <si>
    <t>LEH
(JB)/CS-FB-CS(JB)
/MORGAN-STANLEY(JB)
GS
UBS-INV-BANK</t>
  </si>
  <si>
    <t>Lehman Brothers
Credit Suisse First Boston Corp
Morgan Stanley
Goldman Sachs &amp; Co
UBS Investment Bank</t>
  </si>
  <si>
    <t>Pike Electric Corp</t>
  </si>
  <si>
    <t>PIKE</t>
  </si>
  <si>
    <t>CITIGROUP/JPM(JB)</t>
  </si>
  <si>
    <t>Citigroup
JP Morgan
Robert W Baird &amp; Co Inc
Friedman Billings Ramsey Group
CMG Institutional Trading LLC
Edward D Jones &amp; Co LP
Williams Capital Group LP
Redwine &amp; Company Inc</t>
  </si>
  <si>
    <t>01/22/06
01/22/06
01/22/06</t>
  </si>
  <si>
    <t>CITIGROUP(JB)/JPM(JB)//BAIRD/FRIEDMAN-B
//CMG-LLC/ED-JONES-LP/WILLIAMS-CAP
/REDWINE-CO</t>
  </si>
  <si>
    <t>CITIGROUP/JPM</t>
  </si>
  <si>
    <t>CITIGROUP
(JB)/JPM(JB)
BAIRD
FRIEDMAN-B</t>
  </si>
  <si>
    <t>Citigroup
JP Morgan &amp; Co Inc
Robert W Baird &amp; Co Inc
Friedman Billings Ramsey Group</t>
  </si>
  <si>
    <t>Sml Cap Premium Dividnd Inc Fd</t>
  </si>
  <si>
    <t>RCC</t>
  </si>
  <si>
    <t>83165P101</t>
  </si>
  <si>
    <t>Merrill Lynch
Nuveen Investments LLC
Advest Inc
H&amp;R Block Financial Advisors
Ferris Baker Watts
Legg Mason Wood Walker
Raymond James &amp; Associates Inc
SunTrust Capital Markets
Wells Fargo Bank NA
BB&amp;T Capital Markets
Robert W Baird &amp; Co Inc
William Blair &amp; Co
Chatsworth Securities LLC
Crowell Weedon &amp; Co
DA Davidson &amp; Co Inc
Deutsche Bank Securities Corp
Doft &amp; Co Inc
Dominick &amp; Dominick Inc
Harris Nesbitt
KeyCorp/McDonald Investments
Ladenburg Thalmann &amp; Co
Morgan Keegan Inc
Needham &amp; Co LLC
Oppenheimer &amp; Co Inc
Piper Jaffray Cos
Ryan Beck &amp; Co
Wedbush Securities
Anderson &amp; Strudwick
Arthurs Lestrange
Axiom Capital Management Inc
Brean Murray &amp; Co Inc
Brookstreet Securities
Capital Growth Financial LLC
Fifth Third Securities Inc
First Montauk Securities
First Southwest
Gilford Securities
GunnAllen Financial Inc
Hoefer &amp; Arnett Inc
Howe Barnes Investments Inc
Huntleigh Securities Corp
Jesup &amp; Lamont Securities
Johnston Lemon &amp; Co Inc
LaSalle Street Securities Inc
Maxim Group LLC
McGinn, Smith &amp; Co Inc
Mesirow Financial Corp
Morgan Wilshire Securities
Natcity Investments Inc.
National Securities Corp (US)
Newbridge Securities
Northeast Securities Inc.
David A. Noyes
Pacific Crest Securities Inc
Paulson Investment Co
Peacock Hislop Staley &amp; Given
Samuel A. Ramirez &amp; Co.
Sanders Morris Harris Inc
The Seidler Companies Inc
Southwest Securities Inc
Stanford Group Company
M. L. Stern
Stone &amp; Youngberg
Strand,Atkinson,Williams&amp;Yerl
Susquehanna Brokerage Services
Torrey Pines Securities
JP Turner &amp; Co
Westminster Finl Sec Inc</t>
  </si>
  <si>
    <t>MERRILL/NUVEEN-INV(JOINT)//ADVEST
/HR-BLOCK-FIN/FERRIS-BAKER
/LEGG-MASON-WW/RAYMOND/SUNTRUST-CAP
/WELLS-FARGO//BB-T-CAP/BAIRD/WM-BLAIR
/CHATSWORTH/CROWELL/DAVIDSON
/DEUTSCHE-BK-SEC/DOFT/DOMINICK/HARRN
/KEY-MCDONALD/LADENBURG/MORGAN-KEEGAN
/NEEDHAM/OPPENHEIMER-CO/PIPER-JAFFRAY
/RYAN-BECK/WEDBUSH-M/ANDERSON
/ARTHURS-LES/AXIOM-CAP/BREAN
/BROOKSTREET/CGF-SEC/FIFTH-THIRD-SEC
/FIRST-MONTAUK/FIRST-SW/GILFORD
/GUNNALLEN-FINL/HOEFER-ARNETT
/HOWE-BARNES/HUNTLEIGH-SEC/JESUP
/JOHNSTON-LEMON/LASALLE-SEC/MAXIM-GROUP
/MCGINN-SMITH/MESIROW-FIN
/MORGAN-WILSHIRE/NATCITY-INVEST
/NATL-SEC/NEWBRIDGE/NORTHEAST-SEC
/D-A-NOYES/PACIFIC-CREST/PAULSON
/PEACOCK-HISLOP/RAMIREZ/SANDERS-HARRIS
/SEIDLER-CO-INC/SWS-SEC/STANFORD-GROUP
/M-L-STERN/STONE-YOUNG/STRAND-ATKIN
/SUSQUEHANNA/TORREY-PINES/J-P-TURNER
/WEST-FIN-SEC</t>
  </si>
  <si>
    <t>MERRILL
/NUVEEN-INV(JOINT)
ADVEST
HR-BLOCK-FIN
FERRIS-BAKER
LEGG-MASON-WW
RAYMOND
SUNTRUST-CAP
WELLS-FARGO</t>
  </si>
  <si>
    <t>Merrill Lynch &amp; Co Inc
Nuveen Investments LLC
Advest Inc
H&amp;R Block Financial Advisors
Ferris Baker Watts Inc
Legg Mason Wood Walker Inc
Raymond James &amp; Associates Inc
SunTrust Capital Markets
Wells Fargo Bank NA</t>
  </si>
  <si>
    <t>Sunamerica Focused Alpha</t>
  </si>
  <si>
    <t>FGF</t>
  </si>
  <si>
    <t>Merrill Lynch
AG Edwards &amp; Sons Inc
Advest Inc
Robert W Baird &amp; Co Inc
Banc of America Securities LLC
H&amp;R Block Financial Advisors
Ferris Baker Watts
Janney Montgomery Scott LLC
KeyCorp/McDonald Investments
Morgan Keegan Inc
Oppenheimer &amp; Co Inc
Stifel Nicolaus &amp; Co Inc
SunTrust Capital Markets
Wedbush Securities
Wells Fargo Bank NA
BB&amp;T Capital Markets
William Blair &amp; Co
Chatsworth Securities LLC
Crowell Weedon &amp; Co
DA Davidson &amp; Co Inc
Doft &amp; Co Inc
Dominick &amp; Dominick Inc
Ladenburg Thalmann &amp; Co
Piper Jaffray Cos
Ryan Beck &amp; Co
Stephens Inc
Susquehanna Brokerage Services
Axiom Capital Management Inc
Bishop, Rosen &amp; Co
First Southwest
Gilford Securities
GunnAllen Financial Inc
Joseph Gunnar &amp; Co., LLC
Hoefer &amp; Arnett Inc
Howe Barnes Investments Inc
Jesup &amp; Lamont Securities
Johnston Lemon &amp; Co Inc
LaSalle Street Securities Inc
Maxim Group LLC
McGinn, Smith &amp; Co Inc
Mesirow Financial Corp
Morgan Wilshire Securities
Northeast Securities Inc.
David A. Noyes
Sanders Morris Harris Inc
The Seidler Companies Inc
Southwest Securities Inc
Spelman &amp; Co.
Stanford Group Company
Sterne Agee &amp; Leach Inc
Strand,Atkinson,Williams&amp;Yerl
Torrey Pines Securities
JP Turner &amp; Co
Westminster Finl Sec Inc</t>
  </si>
  <si>
    <t>MERRILL/A-G-EDWARDS(JOINT)//ADVEST
/BAIRD/BA-SEC-LLC/HR-BLOCK-FIN
/FERRIS-BAKER/JANNEY-LLC/KEY-MCDONALD
/MORGAN-KEEGAN/OPPENHEIMER-CO/STIFEL
/SUNTRUST-CAP/WEDBUSH-M/WELLS-FARGO
//BB-T-CAP/WM-BLAIR/CHATSWORTH/CROWELL
/DAVIDSON/DOFT/DOMINICK/LADENBURG
/PIPER-JAFFRAY/RYAN-BECK/STEPHENS
/SUSQUEHANNA/AXIOM-CAP/BISHOP-ROSEN
/FIRST-SW/GILFORD/GUNNALLEN-FINL/GUNNAR
/HOEFER-ARNETT/HOWE-BARNES/JESUP
/JOHNSTON-LEMON/LASALLE-SEC/MAXIM-GROUP
/MCGINN-SMITH/MESIROW-FIN
/MORGAN-WILSHIRE/NORTHEAST-SEC
/D-A-NOYES/SANDERS-HARRIS
/SEIDLER-CO-INC/SWS-SEC/SPELMAN
/STANFORD-GROUP/STERNE-AGEE
/STRAND-ATKIN/TORREY-PINES/J-P-TURNER
/WEST-FIN-SEC</t>
  </si>
  <si>
    <t>MERRILL
/A-G-EDWARDS(JOINT)
ADVEST
BAIRD
BA-SEC-LLC
HR-BLOCK-FIN
FERRIS-BAKER
JANNEY-LLC
KEY-MCDONALD
MORGAN-KEEGAN
OPPENHEIMER-CO
STIFEL
SUNTRUST-CAP
WEDBUSH-M
WELLS-FARGO</t>
  </si>
  <si>
    <t>Merrill Lynch &amp; Co Inc
AG Edwards &amp; Sons Inc
Advest Inc
Robert W Baird &amp; Co Inc
Banc of America Securities LLC
H&amp;R Block Financial Advisors
Ferris Baker Watts Inc
Janney Montgomery Scott LLC
KeyCorp/McDonald Investments
Morgan Keegan Inc
Oppenheimer &amp; Co Inc
Stifel Nicolaus &amp; Co Inc
SunTrust Capital Markets
Wedbush Securities
Wells Fargo Bank NA</t>
  </si>
  <si>
    <t>Patriot Capital Funding Inc</t>
  </si>
  <si>
    <t>PCAP</t>
  </si>
  <si>
    <t>70335Y104</t>
  </si>
  <si>
    <t>AG Edwards &amp; Sons Inc
Jefferies &amp; Co Inc
Piper Jaffray Cos
Harris Nesbitt
BB&amp;T Capital Markets
Ferris Baker Watts
Janney Montgomery Scott LLC
KeyCorp/McDonald Investments
Lazard Capital Markets
Legg Mason Wood Walker
RBC Capital Markets
Ryan Beck &amp; Co
Stifel Nicolaus &amp; Co Inc
SunTrust Capital Markets
Wachovia Securities Inc</t>
  </si>
  <si>
    <t>A-G-EDWARDS//JEFFERIES/PIPER-JAFFRAY
/HARRN//BB-T-CAP/FERRIS-BAKER
/JANNEY-LLC/KEY-MCDONALD/LAZARD-CAP-MKT
/LEGG-MASON-WW/RBC-CAP-MKTS/RYAN-BECK
/STIFEL/SUNTRUST-CAP/WACHOVIA-SEC</t>
  </si>
  <si>
    <t>A-G-EDWARDS
JEFFERIES
PIPER-JAFFRAY
HARRN</t>
  </si>
  <si>
    <t>AG Edwards &amp; Sons Inc
Jefferies &amp; Co Inc
Piper Jaffray Cos
Harris Nesbitt</t>
  </si>
  <si>
    <t>Alon USA Energy Inc</t>
  </si>
  <si>
    <t>ALJ</t>
  </si>
  <si>
    <t>CS-FB-CS
/DEUTSCHE-BK-SEC(JB)
/LEH(JB)</t>
  </si>
  <si>
    <t>020520102</t>
  </si>
  <si>
    <t>Credit Suisse First Boston
Deutsche Bank Securities Corp
Lehman Brothers</t>
  </si>
  <si>
    <t>CS-FB-CS(JB)/DEUTSCHE-BK-SEC(JB)
/LEH(JB)</t>
  </si>
  <si>
    <t>CS-FB-CS/DEUTSCHE-BK-SEC/LEH</t>
  </si>
  <si>
    <t>CS-FB-CS
(JB)/DEUTSCHE-BK-SEC(JB)
/LEH(JB)</t>
  </si>
  <si>
    <t>Credit Suisse First Boston Corp
Deutsche Bank Securities Corp.
Lehman Brothers</t>
  </si>
  <si>
    <t>Healthcare Acquisition Corp</t>
  </si>
  <si>
    <t>HAQ</t>
  </si>
  <si>
    <t>42224H104</t>
  </si>
  <si>
    <t>Maxim Group LLC
Ramius Capital Corp
Sunrise Securities
Broadband Capital Management</t>
  </si>
  <si>
    <t>MAXIM-GROUP//RAMIUS/SSEC/BROADBAND</t>
  </si>
  <si>
    <t>Maxim Group LLC</t>
  </si>
  <si>
    <t>Superior Well Services Inc</t>
  </si>
  <si>
    <t>SWSI</t>
  </si>
  <si>
    <t>KEY-BANC-CAP</t>
  </si>
  <si>
    <t>86837X105</t>
  </si>
  <si>
    <t>Key Banc Capital Markets
AG Edwards &amp; Sons Inc
RBC Capital Markets
Simmons &amp; Co International</t>
  </si>
  <si>
    <t>KEY-BANC-CAP//A-G-EDWARDS/RBC-CAP-MKTS
/SIMMONS</t>
  </si>
  <si>
    <t>KEY-BANC-CAP
A-G-EDWARDS
RBC-CAP-MKTS
SIMMONS</t>
  </si>
  <si>
    <t>Golf Galaxy Inc</t>
  </si>
  <si>
    <t>GGXY</t>
  </si>
  <si>
    <t>Piper Jaffray Cos
William Blair &amp; Co
AG Edwards &amp; Sons Inc
Wedbush Securities</t>
  </si>
  <si>
    <t>10/27/05
01/25/06
01/25/06</t>
  </si>
  <si>
    <t xml:space="preserve">0.559
56.621
</t>
  </si>
  <si>
    <t xml:space="preserve">59453.00
6022467.00
</t>
  </si>
  <si>
    <t>PIPER-JAFFRAY/WM-BLAIR(JOINT)
//A-G-EDWARDS/WEDBUSH-M</t>
  </si>
  <si>
    <t>PIPER-JAFFRAY/WM-BLAIR</t>
  </si>
  <si>
    <t>PIPER-JAFFRAY
/WM-BLAIR(JOINT)
A-G-EDWARDS
WEDBUSH-M</t>
  </si>
  <si>
    <t>BabyUniverse Inc</t>
  </si>
  <si>
    <t>KIDS</t>
  </si>
  <si>
    <t>056332109</t>
  </si>
  <si>
    <t>GunnAllen Financial Inc
Wedbush Securities</t>
  </si>
  <si>
    <t>GUNNALLEN-FINL//WEDBUSH-M</t>
  </si>
  <si>
    <t>GUNNALLEN-FINL
WEDBUSH-M</t>
  </si>
  <si>
    <t>GunnAllen Financial, Inc.
Wedbush Securities</t>
  </si>
  <si>
    <t>Net 1 UEPS Technologies Inc</t>
  </si>
  <si>
    <t>UEPS</t>
  </si>
  <si>
    <t>MORGAN-STANLEY/JPM(JB)</t>
  </si>
  <si>
    <t>64107N206</t>
  </si>
  <si>
    <t>Morgan Stanley
JP Morgan
Robert W Baird &amp; Co Inc
Jefferies &amp; Co Inc
Thomas Weisel Partners</t>
  </si>
  <si>
    <t>01/29/06
07/28/06
01/29/06
01/29/06</t>
  </si>
  <si>
    <t xml:space="preserve">34.163
6.204
</t>
  </si>
  <si>
    <t>180
360
180
180</t>
  </si>
  <si>
    <t xml:space="preserve">18771027.00
3409091.00
</t>
  </si>
  <si>
    <t>MORGAN-STANLEY(JB)/JPM(JB)//BAIRD
/JEFFERIES/THOMAS-WEISEL</t>
  </si>
  <si>
    <t>MORGAN-STANLEY
(JB)/JPM(JB)
BAIRD
JEFFERIES
THOMAS-WEISEL</t>
  </si>
  <si>
    <t>Morgan Stanley
JP Morgan &amp; Co Inc
Robert W Baird &amp; Co Inc
Jefferies &amp; Co Inc
Thomas Weisel Partners</t>
  </si>
  <si>
    <t>Unica Corp</t>
  </si>
  <si>
    <t>UNCA</t>
  </si>
  <si>
    <t>Deutsche Bank Securities Corp
Wachovia Securities Inc
CIBC World Markets Inc
Needham &amp; Co LLC</t>
  </si>
  <si>
    <t>DEUTSCHE-BK-SEC//WACHOVIA-SEC
/CIBC-WORLD/NEEDHAM</t>
  </si>
  <si>
    <t>DEUTSCHE-BK-SEC
WACHOVIA-SEC
CIBC-WORLD
NEEDHAM</t>
  </si>
  <si>
    <t>Deutsche Bank Securities Corp.
Wachovia Securities Inc
CIBC World Markets Inc
Needham &amp; Co LLC</t>
  </si>
  <si>
    <t>Advanced Analogic Tech Inc</t>
  </si>
  <si>
    <t>AATI</t>
  </si>
  <si>
    <t>00752J108</t>
  </si>
  <si>
    <t>Morgan Stanley
Merrill Lynch
SG Cowen Securities Corp
Piper Jaffray Cos
Thomas Weisel Partners
E*Trade Securities Inc
AG Edwards &amp; Sons Inc
Needham &amp; Co LLC</t>
  </si>
  <si>
    <t>MORGAN-STANLEY//MERRILL/SG-COWEN
/PIPER-JAFFRAY/THOMAS-WEISEL
//E*TRADE-SEC/A-G-EDWARDS/NEEDHAM</t>
  </si>
  <si>
    <t>MORGAN-STANLEY
MERRILL
SG-COWEN
PIPER-JAFFRAY
THOMAS-WEISEL</t>
  </si>
  <si>
    <t>Morgan Stanley
Merrill Lynch &amp; Co Inc
SG Cowen Securities Corp
Piper Jaffray Cos
Thomas Weisel Partners</t>
  </si>
  <si>
    <t>MWI Veterinary Supply Inc</t>
  </si>
  <si>
    <t>MWIV</t>
  </si>
  <si>
    <t>55402X105</t>
  </si>
  <si>
    <t>11/01/05
01/30/06</t>
  </si>
  <si>
    <t xml:space="preserve">54.544
</t>
  </si>
  <si>
    <t xml:space="preserve">5396435.00
</t>
  </si>
  <si>
    <t>BA-SEC-LLC//WM-BLAIR/PIPER-JAFFRAY</t>
  </si>
  <si>
    <t>BA-SEC-LLC
WM-BLAIR
PIPER-JAFFRAY</t>
  </si>
  <si>
    <t>Republic Cos Group Inc</t>
  </si>
  <si>
    <t>RUTX</t>
  </si>
  <si>
    <t>JP Morgan
Banc of America Securities LLC
Keefe Bruyette &amp; Woods Inc
Sandler O'Neill Partners</t>
  </si>
  <si>
    <t>JPM(JB)/BA-SEC-LLC(JB)//KEEFE
/SANDLER-ONEILL</t>
  </si>
  <si>
    <t>JPM
(JB)/BA-SEC-LLC(JB)
KEEFE
SANDLER-ONEILL</t>
  </si>
  <si>
    <t>JP Morgan &amp; Co Inc
Banc of America Securities LLC
Keefe Bruyette &amp; Woods Inc
Sandler O'Neill Partners  L.P.</t>
  </si>
  <si>
    <t>WorldSpace Inc</t>
  </si>
  <si>
    <t>WRSPQ</t>
  </si>
  <si>
    <t>UBS Investment Bank
SG Cowen Securities Corp</t>
  </si>
  <si>
    <t>UBS-INV-BANK//SG-COWEN</t>
  </si>
  <si>
    <t>UBS-INV-BANK
SG-COWEN</t>
  </si>
  <si>
    <t>Advanced Life Sciences Hldgs</t>
  </si>
  <si>
    <t>ADLS</t>
  </si>
  <si>
    <t>00765H107</t>
  </si>
  <si>
    <t>CE Unterberg Towbin
ThinkEquity Partners
Merriman Curhan Ford &amp; Co</t>
  </si>
  <si>
    <t>UNTERBERG/THINK(JOINT)//MERR-CUR</t>
  </si>
  <si>
    <t>UNTERBERG/THINK</t>
  </si>
  <si>
    <t>UNTERBERG
/THINK(JOINT)
MERR-CUR</t>
  </si>
  <si>
    <t>Dresser-Rand Group Inc</t>
  </si>
  <si>
    <t>DRC</t>
  </si>
  <si>
    <t>Morgan Stanley
Citigroup
UBS Investment Bank
Bear Stearns &amp; Co Inc
Goldman Sachs &amp; Co
Lehman Brothers
Natexis Bleichroeder Inc
Simmons &amp; Co International
Howard Weil Financial Corp
Blaylock &amp; Partners LP
Chatsworth Securities LLC
CMG Institutional Trading LLC</t>
  </si>
  <si>
    <t>10/30/05
01/31/06</t>
  </si>
  <si>
    <t xml:space="preserve">62.423
</t>
  </si>
  <si>
    <t>87
180</t>
  </si>
  <si>
    <t xml:space="preserve">53337237.00
</t>
  </si>
  <si>
    <t>MORGAN-STANLEY(JB)/CITIGROUP(JB)
//UBS-INV-BANK/BEAR/GS/LEH/NATEXIS
/SIMMONS/HOWARD-WEIL-FIN
//BLAYLOCK-PTRNS/CHATSWORTH/CMG-LLC</t>
  </si>
  <si>
    <t>MORGAN-STANLEY
(JB)/CITIGROUP(JB)
UBS-INV-BANK
BEAR
GS
LEH
NATEXIS
SIMMONS
HOWARD-WEIL-FIN</t>
  </si>
  <si>
    <t>Morgan Stanley
Citigroup
UBS Investment Bank
Bear Stearns &amp; Co Inc
Goldman Sachs &amp; Co
Lehman Brothers
Natexis Bleichroeder Inc
Simmons &amp; Co International
Howard Weil Financial Corp</t>
  </si>
  <si>
    <t>Eschelon Telecom Inc</t>
  </si>
  <si>
    <t>ESCH</t>
  </si>
  <si>
    <t>Lehman Brothers
Jefferies &amp; Co Inc
UBS Investment Bank</t>
  </si>
  <si>
    <t>LEH(JB)/JEFFERIES(JB)//UBS-INV-BANK</t>
  </si>
  <si>
    <t>LEH
(JB)/JEFFERIES(JB)
UBS-INV-BANK</t>
  </si>
  <si>
    <t>AtriCure Inc</t>
  </si>
  <si>
    <t>ATRC</t>
  </si>
  <si>
    <t>UBS-INV-BANK
/PIPER-JAFFRAY(JB)</t>
  </si>
  <si>
    <t>04963C209</t>
  </si>
  <si>
    <t>UBS Investment Bank
Piper Jaffray Cos
Thomas Weisel Partners
AG Edwards &amp; Sons Inc</t>
  </si>
  <si>
    <t>11/03/05
02/01/06
02/01/06
02/01/06</t>
  </si>
  <si>
    <t xml:space="preserve">0.034
65.836
</t>
  </si>
  <si>
    <t xml:space="preserve">4000.00
7835530.00
</t>
  </si>
  <si>
    <t>UBS-INV-BANK(JB)/PIPER-JAFFRAY(JB)
//THOMAS-WEISEL/A-G-EDWARDS</t>
  </si>
  <si>
    <t>UBS-INV-BANK/PIPER-JAFFRAY</t>
  </si>
  <si>
    <t>UBS-INV-BANK
(JB)/PIPER-JAFFRAY(JB)
THOMAS-WEISEL
A-G-EDWARDS</t>
  </si>
  <si>
    <t>Baidu.com Inc</t>
  </si>
  <si>
    <t>BIDU</t>
  </si>
  <si>
    <t>GS-ASIA/CS-FB-CS(JB)</t>
  </si>
  <si>
    <t>056752108</t>
  </si>
  <si>
    <t>Goldman Sachs (Asia)
Credit Suisse First Boston
Piper Jaffray Cos
Goldman Sachs (Asia)
Credit Suisse First Boston</t>
  </si>
  <si>
    <t>GS-ASIA(JB)/CS-FB-CS(JB)//PIPER-JAFFRAY
//GS-ASIA(GC)/CS-FB-CS(GC)</t>
  </si>
  <si>
    <t>GS-ASIA/CS-FB-CS</t>
  </si>
  <si>
    <t>GS-ASIA
(JB)/CS-FB-CS(JB)
PIPER-JAFFRAY</t>
  </si>
  <si>
    <t>Goldman Sachs (Asia)
Credit Suisse First Boston Corp
Piper Jaffray Cos</t>
  </si>
  <si>
    <t>Hoku Scientific Inc</t>
  </si>
  <si>
    <t>HOKU</t>
  </si>
  <si>
    <t>Piper Jaffray Cos
SG Cowen Securities Corp
Thomas Weisel Partners</t>
  </si>
  <si>
    <t xml:space="preserve">78.068
</t>
  </si>
  <si>
    <t xml:space="preserve">12458321.00
</t>
  </si>
  <si>
    <t>PIPER-JAFFRAY//SG-COWEN/THOMAS-WEISEL</t>
  </si>
  <si>
    <t>PIPER-JAFFRAY
SG-COWEN
THOMAS-WEISEL</t>
  </si>
  <si>
    <t>James River Group Inc</t>
  </si>
  <si>
    <t>JRVR</t>
  </si>
  <si>
    <t>Keefe Bruyette &amp; Woods Inc
Bear Stearns &amp; Co Inc
Friedman Billings Ramsey Group
Wachovia Securities Inc
Cochran, Caronia &amp; Co.
Ferris Baker Watts
Hongkong &amp; Shanghai Bank (HK)</t>
  </si>
  <si>
    <t>02/04/06
02/04/06</t>
  </si>
  <si>
    <t xml:space="preserve">64.880
</t>
  </si>
  <si>
    <t xml:space="preserve">9332808.00
</t>
  </si>
  <si>
    <t>KEEFE//BEAR/FRIEDMAN-B/WACHOVIA-SEC
//COCHRAN-CARONIA/FERRIS-BAKER
/HONG-SHANG-BKG</t>
  </si>
  <si>
    <t>KEEFE
BEAR
FRIEDMAN-B
WACHOVIA-SEC</t>
  </si>
  <si>
    <t>Keefe Bruyette &amp; Woods Inc
Bear Stearns &amp; Co Inc
Friedman Billings Ramsey Group
Wachovia Securities Inc</t>
  </si>
  <si>
    <t>K&amp;F Industries Holdings Inc</t>
  </si>
  <si>
    <t>KFI</t>
  </si>
  <si>
    <t>Goldman Sachs &amp; Co
Lehman Brothers
Bear Stearns &amp; Co Inc
JP Morgan
Morgan Stanley</t>
  </si>
  <si>
    <t>GS(JB)/LEH(JB)//BEAR/JPM/MORGAN-STANLEY</t>
  </si>
  <si>
    <t>GS
(JB)/LEH(JB)
BEAR
JPM
MORGAN-STANLEY</t>
  </si>
  <si>
    <t>Goldman Sachs &amp; Co
Lehman Brothers
Bear Stearns &amp; Co Inc
JP Morgan &amp; Co Inc
Morgan Stanley</t>
  </si>
  <si>
    <t>Ruths Chris Steak House Inc</t>
  </si>
  <si>
    <t>RUTH</t>
  </si>
  <si>
    <t>Banc of America Securities LLC
Wachovia Securities Inc
Goldman Sachs &amp; Co
RBC Capital Markets
CIBC World Markets Inc
SG Cowen Securities Corp
Piper Jaffray Cos
Wells Fargo Securities LLC</t>
  </si>
  <si>
    <t>02/04/06
02/04/06
02/04/06</t>
  </si>
  <si>
    <t>BA-SEC-LLC(JB)/WACHOVIA-SEC(JB)//GS
/RBC-CAP-MKTS/CIBC-WORLD/SG-COWEN
/PIPER-JAFFRAY//WELLS-FARGO-SEC</t>
  </si>
  <si>
    <t>BA-SEC-LLC
(JB)/WACHOVIA-SEC(JB)
GS
RBC-CAP-MKTS
CIBC-WORLD
SG-COWEN
PIPER-JAFFRAY</t>
  </si>
  <si>
    <t>Banc of America Securities LLC
Wachovia Securities Inc
Goldman Sachs &amp; Co
RBC Capital Markets
CIBC World Markets Inc
SG Cowen Securities Corp
Piper Jaffray Cos</t>
  </si>
  <si>
    <t>Seaspan Corp</t>
  </si>
  <si>
    <t>SSW</t>
  </si>
  <si>
    <t>Y75638109</t>
  </si>
  <si>
    <t>Citigroup
Merrill Lynch
Lehman Brothers Asia
UBS Investment Bank
Fortis Securities Inc
Legg Mason Wood Walker
Wachovia Securities Inc
DnB NOR BANK ASA
Dahlman Rose Weiss LLC</t>
  </si>
  <si>
    <t>CITIGROUP(JB)/MERRILL(JB)//LEH-ASIA
/UBS-INV-BANK/FORTIS-SEC/LEGG-MASON-WW
/WACHOVIA-SEC/DNB-NOR/DAHLMAN-ROSE</t>
  </si>
  <si>
    <t>CITIGROUP
(JB)/MERRILL(JB)
LEH-ASIA
UBS-INV-BANK
FORTIS-SEC
LEGG-MASON-WW
WACHOVIA-SEC
DNB-NOR
DAHLMAN-ROSE</t>
  </si>
  <si>
    <t>Citigroup
Merrill Lynch &amp; Co Inc
Lehman Brothers Asia
UBS Investment Bank
Fortis Securities Inc
Legg Mason Wood Walker Inc
Wachovia Securities Inc
DnB NOR BANK ASA
Dahlman Rose Weiss LLC</t>
  </si>
  <si>
    <t>China Medical Technologies Inc</t>
  </si>
  <si>
    <t>CMED</t>
  </si>
  <si>
    <t>UBS Investment Bank
UBS Investment Bank</t>
  </si>
  <si>
    <t>02/05/06
05/06/06</t>
  </si>
  <si>
    <t>287.500
25.000</t>
  </si>
  <si>
    <t>18400000.00
1599999.00</t>
  </si>
  <si>
    <t>UBS-INV-BANK//UBS-INV-BANK(GC)</t>
  </si>
  <si>
    <t>Coley Pharmaceutical Group Inc</t>
  </si>
  <si>
    <t>COLY</t>
  </si>
  <si>
    <t>19388P106</t>
  </si>
  <si>
    <t>Merrill Lynch
JP Morgan
Lazard Capital Markets
Leerink Swann &amp; Co</t>
  </si>
  <si>
    <t>02/05/06
02/05/06</t>
  </si>
  <si>
    <t xml:space="preserve">73.450
</t>
  </si>
  <si>
    <t xml:space="preserve">18215847.00
</t>
  </si>
  <si>
    <t>MERRILL/JPM(JOINT)//LAZARD-CAP-MKT
/LEERINK-SWANN</t>
  </si>
  <si>
    <t>MERRILL
/JPM(JOINT)
LAZARD-CAP-MKT
LEERINK-SWANN</t>
  </si>
  <si>
    <t>Merrill Lynch &amp; Co Inc
JP Morgan &amp; Co Inc
Lazard Capital Markets
Leerink Swann &amp; Co</t>
  </si>
  <si>
    <t>First Sec Grp Inc</t>
  </si>
  <si>
    <t>FSGI</t>
  </si>
  <si>
    <t>Keefe Bruyette &amp; Woods Inc
Raymond James &amp; Associates Inc
Sterne Agee &amp; Leach Inc
Morgan Keegan Inc
Wunderlich Securities Inc</t>
  </si>
  <si>
    <t xml:space="preserve">5.450
</t>
  </si>
  <si>
    <t xml:space="preserve">939235.00
</t>
  </si>
  <si>
    <t>KEEFE//RAYMOND/STERNE-AGEE
//MORGAN-KEEGAN/WUNDERLICH</t>
  </si>
  <si>
    <t>KEEFE
RAYMOND
STERNE-AGEE</t>
  </si>
  <si>
    <t>Keefe Bruyette &amp; Woods Inc
Raymond James &amp; Associates Inc
Sterne Agee &amp; Leach Inc</t>
  </si>
  <si>
    <t>RBC Bearings Inc</t>
  </si>
  <si>
    <t>ROLL</t>
  </si>
  <si>
    <t>75524B104</t>
  </si>
  <si>
    <t>Merrill Lynch
Key Banc Capital Markets
Jefferies &amp; Co Inc</t>
  </si>
  <si>
    <t>02/05/06
02/05/06
02/05/06</t>
  </si>
  <si>
    <t>MERRILL//KEY-BANC-CAP/JEFFERIES</t>
  </si>
  <si>
    <t>MERRILL
KEY-BANC-CAP
JEFFERIES</t>
  </si>
  <si>
    <t>Merrill Lynch &amp; Co Inc
Key Banc Capital Markets
Jefferies &amp; Co Inc</t>
  </si>
  <si>
    <t>Reddy Ice Holdings Inc</t>
  </si>
  <si>
    <t>FRZ</t>
  </si>
  <si>
    <t>BEAR/LEH(JB)
/CS-FB-CS(JB)</t>
  </si>
  <si>
    <t>75734R105</t>
  </si>
  <si>
    <t>Bear Stearns &amp; Co Inc
Lehman Brothers
Credit Suisse First Boston
Goldman Sachs &amp; Co
CIBC World Markets Inc</t>
  </si>
  <si>
    <t>BEAR(JB)/LEH(JB)/CS-FB-CS(JB)//GS
/CIBC-WORLD</t>
  </si>
  <si>
    <t>BEAR/LEH/CS-FB-CS</t>
  </si>
  <si>
    <t>BEAR
(JB)/LEH(JB)
/CS-FB-CS(JB)
GS
CIBC-WORLD</t>
  </si>
  <si>
    <t>Bear Stearns &amp; Co Inc
Lehman Brothers
Credit Suisse First Boston Corp
Goldman Sachs &amp; Co
CIBC World Markets Inc</t>
  </si>
  <si>
    <t>CF Industries Holdings Inc</t>
  </si>
  <si>
    <t>CF</t>
  </si>
  <si>
    <t>Morgan Stanley
JP Morgan
Banc of America Securities LLC
Credit Suisse First Boston
Harris Nesbitt
ABN AMRO Rothschild
CIBC World Markets Inc</t>
  </si>
  <si>
    <t>MORGAN-STANLEY(JB)/JPM(JB)//BA-SEC-LLC
/CS-FB-CS/HARRN/ABN-ROTHSCHILD
/CIBC-WORLD</t>
  </si>
  <si>
    <t>MORGAN-STANLEY
(JB)/JPM(JB)
BA-SEC-LLC
CS-FB-CS
HARRN
ABN-ROTHSCHILD
CIBC-WORLD</t>
  </si>
  <si>
    <t>Morgan Stanley
JP Morgan &amp; Co Inc
Banc of America Securities LLC
Credit Suisse First Boston Corp
Harris Nesbitt
ABN AMRO Rothschild
CIBC World Markets Inc</t>
  </si>
  <si>
    <t>Heartland Payment Systems Inc</t>
  </si>
  <si>
    <t>HPY</t>
  </si>
  <si>
    <t>42235N108</t>
  </si>
  <si>
    <t>Citigroup
Credit Suisse First Boston
Robert W Baird &amp; Co Inc
William Blair &amp; Co
Key Banc Capital Markets
SunTrust Robinson Humphrey</t>
  </si>
  <si>
    <t>11/08/05
02/06/06
02/06/06</t>
  </si>
  <si>
    <t xml:space="preserve">0.085
49.630
1.049
</t>
  </si>
  <si>
    <t>90
180
180</t>
  </si>
  <si>
    <t xml:space="preserve">27600.00
16083452.00
340032.00
</t>
  </si>
  <si>
    <t>CITIGROUP//CS-FB-CS/BAIRD/WM-BLAIR
/KEY-BANC-CAP/SUNTRUST-RH</t>
  </si>
  <si>
    <t>CITIGROUP
CS-FB-CS
BAIRD
WM-BLAIR
KEY-BANC-CAP
SUNTRUST-RH</t>
  </si>
  <si>
    <t>Citigroup
Credit Suisse First Boston Corp
Robert W Baird &amp; Co Inc
William Blair &amp; Co
Key Banc Capital Markets
SunTrust Robinson Humphrey</t>
  </si>
  <si>
    <t>Refco Inc</t>
  </si>
  <si>
    <t>RFXCQ</t>
  </si>
  <si>
    <t>CS-FB-CS/GS(JB)
/BA-SEC-LLC(JB)</t>
  </si>
  <si>
    <t>75866G109</t>
  </si>
  <si>
    <t>Credit Suisse First Boston
Goldman Sachs &amp; Co
Banc of America Securities LLC
Merrill Lynch
Deutsche Bank Securities Corp
JP Morgan
Sandler O'Neill Partners
Hongkong &amp; Shanghai Bank (HK)
William Blair &amp; Co
Harris Nesbitt
CMG Institutional Trading LLC
Samuel A. Ramirez &amp; Co.
Muriel Siebert &amp; Co
Williams Capital Group LP
Utendahl Capital Partners</t>
  </si>
  <si>
    <t>CS-FB-CS(JB)/GS(JB)/BA-SEC-LLC(JB)
//MERRILL/DEUTSCHE-BK-SEC/JPM
/SANDLER-ONEILL/HONG-SHANG-BKG
//WM-BLAIR/HARRN/CMG-LLC/RAMIREZ/MURIEL
/WILLIAMS-CAP/UTENDAHL-CAP</t>
  </si>
  <si>
    <t>CS-FB-CS/GS/BA-SEC-LLC</t>
  </si>
  <si>
    <t>CS-FB-CS
(JB)/GS(JB)
/BA-SEC-LLC(JB)
MERRILL
DEUTSCHE-BK-SEC
JPM
SANDLER-ONEILL
HONG-SHANG-BKG</t>
  </si>
  <si>
    <t>Credit Suisse First Boston Corp
Goldman Sachs &amp; Co
Banc of America Securities LLC
Merrill Lynch &amp; Co Inc
Deutsche Bank Securities Corp.
JP Morgan &amp; Co Inc
Sandler O'Neill Partners  L.P.
Hongkong &amp; Shanghai Banking Corp Ltd</t>
  </si>
  <si>
    <t>Stone Arcade Acquisition Corp</t>
  </si>
  <si>
    <t>SCDE</t>
  </si>
  <si>
    <t>Morgan Joseph &amp; Co Inc
Oppenheimer &amp; Co Inc
Earlybirdcapital Inc
Legend Merchant Group Inc
Southwest Securities Inc
I-Bankers Securities Inc</t>
  </si>
  <si>
    <t>MORGAN-JOSEPH//OPPENHEIMER-CO
/EARLYBIRD-CAP/LEGEND-MERCHANT//SWS-SEC
/I-BANKERS-SEC</t>
  </si>
  <si>
    <t>MORGAN-JOSEPH
OPPENHEIMER-CO
EARLYBIRD-CAP
LEGEND-MERCHANT</t>
  </si>
  <si>
    <t>Morgan Joseph &amp; Co Inc
Oppenheimer &amp; Co Inc
Earlybirdcapital Inc
Legend Merchant Group Inc</t>
  </si>
  <si>
    <t>Bronco Drilling Co Inc</t>
  </si>
  <si>
    <t>BRNC</t>
  </si>
  <si>
    <t>JOHNSON-RICE
/JEFFERIES(JB)</t>
  </si>
  <si>
    <t>Johnson Rice &amp; Co
Jefferies &amp; Co Inc
Calyon Securities USA Inc
Friedman Billings Ramsey Group</t>
  </si>
  <si>
    <t>02/12/06
02/12/06</t>
  </si>
  <si>
    <t>JOHNSON-RICE(JB)/JEFFERIES(JB)
//CALYON-SEC/FRIEDMAN-B</t>
  </si>
  <si>
    <t>JOHNSON-RICE/JEFFERIES</t>
  </si>
  <si>
    <t>JOHNSON-RICE
(JB)/JEFFERIES(JB)
CALYON-SEC
FRIEDMAN-B</t>
  </si>
  <si>
    <t>Kona Grill Inc</t>
  </si>
  <si>
    <t>KONA</t>
  </si>
  <si>
    <t>OPPENHEIMER-CO</t>
  </si>
  <si>
    <t>50047H201</t>
  </si>
  <si>
    <t>Oppenheimer &amp; Co Inc
Feltl &amp; Co</t>
  </si>
  <si>
    <t>OPPENHEIMER-CO//FELTL</t>
  </si>
  <si>
    <t>OPPENHEIMER-CO
FELTL</t>
  </si>
  <si>
    <t>Rockwood Holdings Inc</t>
  </si>
  <si>
    <t>ROC</t>
  </si>
  <si>
    <t>GS/CS-FB-CS(JB)/LEH(JB)
/UBS-INV-BANK(JB)</t>
  </si>
  <si>
    <t>Goldman Sachs &amp; Co
Credit Suisse First Boston
Lehman Brothers
UBS Investment Bank
Deutsche Bank Securities Corp
JP Morgan
First Analysis Securities</t>
  </si>
  <si>
    <t xml:space="preserve">68.190
</t>
  </si>
  <si>
    <t xml:space="preserve">50309539.00
</t>
  </si>
  <si>
    <t>Kohlberg Kravis Roberts &amp; Co</t>
  </si>
  <si>
    <t>GS(JB)/CS-FB-CS(JB)/LEH(JB)
/UBS-INV-BANK(JB)//DEUTSCHE-BK-SEC/JPM
/F-ANALYSIS</t>
  </si>
  <si>
    <t>GS/CS-FB-CS/LEH/UBS-INV-BANK</t>
  </si>
  <si>
    <t>GS
(JB)/CS-FB-CS(JB)
/LEH(JB)
/UBS-INV-BANK(JB)
DEUTSCHE-BK-SEC
JPM
F-ANALYSIS</t>
  </si>
  <si>
    <t>Goldman Sachs &amp; Co
Credit Suisse First Boston Corp
Lehman Brothers
UBS Investment Bank
Deutsche Bank Securities Corp.
JP Morgan &amp; Co Inc
First Analysis Securities Corporation</t>
  </si>
  <si>
    <t>Ithaka Acquisition Corp</t>
  </si>
  <si>
    <t>ITHK</t>
  </si>
  <si>
    <t>Earlybirdcapital Inc
ThinkEquity Partners
Maxim Group LLC
Ramius Capital Corp</t>
  </si>
  <si>
    <t>EARLYBIRD-CAP//THINK//MAXIM-GROUP
/RAMIUS</t>
  </si>
  <si>
    <t>Williams Partners LP</t>
  </si>
  <si>
    <t>WPZ</t>
  </si>
  <si>
    <t>96950F104</t>
  </si>
  <si>
    <t>Lehman Brothers
Citigroup
RBC Capital Markets
Wachovia Securities Inc</t>
  </si>
  <si>
    <t>02/13/06
02/13/06
02/13/06</t>
  </si>
  <si>
    <t>LEH//CITIGROUP/RBC-CAP-MKTS
/WACHOVIA-SEC</t>
  </si>
  <si>
    <t>LEH
CITIGROUP
RBC-CAP-MKTS
WACHOVIA-SEC</t>
  </si>
  <si>
    <t>Enterprise GP Holdings LP</t>
  </si>
  <si>
    <t>EPE</t>
  </si>
  <si>
    <t>CITIGROUP/LEH(JB)</t>
  </si>
  <si>
    <t>Citigroup
Lehman Brothers
Goldman Sachs &amp; Co
Morgan Stanley
UBS Investment Bank
Wachovia Capital Markets
SMH Capital Inc
AG Edwards &amp; Sons Inc
RBC Capital Markets
Raymond James &amp; Associates Inc
Natexis Bleichroeder Inc</t>
  </si>
  <si>
    <t>02/19/06
02/19/06</t>
  </si>
  <si>
    <t>CITIGROUP(JB)/LEH(JB)//GS
/MORGAN-STANLEY/UBS-INV-BANK
/WACHOVIA-CAP/SMH-CAPITAL/A-G-EDWARDS
/RBC-CAP-MKTS/RAYMOND/NATEXIS</t>
  </si>
  <si>
    <t>CITIGROUP/LEH</t>
  </si>
  <si>
    <t>CITIGROUP
(JB)/LEH(JB)</t>
  </si>
  <si>
    <t>Citigroup
Lehman Brothers</t>
  </si>
  <si>
    <t>Ready Mix Inc</t>
  </si>
  <si>
    <t>RMX</t>
  </si>
  <si>
    <t>LADENBURG</t>
  </si>
  <si>
    <t>Ladenburg Thalmann &amp; Co
Wunderlich Securities Inc</t>
  </si>
  <si>
    <t>LADENBURG//WUNDERLICH</t>
  </si>
  <si>
    <t>LADENBURG
WUNDERLICH</t>
  </si>
  <si>
    <t>Ad.Venture Partners Inc</t>
  </si>
  <si>
    <t>AVPA</t>
  </si>
  <si>
    <t>Wedbush Securities
Adams Harkness &amp; Hill Inc
Ramius Capital Corp
Maxim Group LLC
GunnAllen Financial Inc
Legend Merchant Group Inc</t>
  </si>
  <si>
    <t>WEDBUSH-M//ADAMS-HARKNESS/RAMIUS
/MAXIM-GROUP/GUNNALLEN-FINL
/LEGEND-MERCHANT</t>
  </si>
  <si>
    <t>WEDBUSH-M
ADAMS-HARKNESS
RAMIUS
MAXIM-GROUP
GUNNALLEN-FINL
LEGEND-MERCHANT</t>
  </si>
  <si>
    <t>Wedbush Securities
Adams Harkness &amp; Hill Inc
Ramius Capital Corp
Maxim Group LLC
GunnAllen Financial, Inc.
Legend Merchant Group Inc</t>
  </si>
  <si>
    <t>Blackrock Enhanced Div Ach Trs</t>
  </si>
  <si>
    <t>BDJ</t>
  </si>
  <si>
    <t>09251A104</t>
  </si>
  <si>
    <t>Merrill Lynch
UBS Investment Bank
AG Edwards &amp; Sons Inc
Wachovia Securities Inc
Advest Inc
Banc of America Securities LLC
Robert W Baird &amp; Co Inc
H&amp;R Block Financial Advisors
Ferris Baker Watts
JJB Hilliard WL Lyons Inc
Janney Montgomery Scott LLC
Legg Mason Wood Walker
Oppenheimer &amp; Co Inc
PNC Capital Markets
RBC Capital Markets
Ryan Beck &amp; Co
Stifel Nicolaus &amp; Co Inc
Wells Fargo Securities LLC
BB&amp;T Capital Markets
William Blair &amp; Co
Chatsworth Securities LLC
Crowell Weedon &amp; Co
DA Davidson &amp; Co Inc
Deutsche Bank Securities
Doft &amp; Co Inc
Dominick &amp; Dominick Inc
J. B. Hanauer
Harris Nesbitt
KeyCorp/McDonald Investments
Morgan Keegan Inc
Needham &amp; Co LLC
Piper Jaffray Cos
Stephens Inc
SunTrust Capital Markets
TD Waterhouse Investor Svcs
Wedbush Securities
Allen &amp; Company of Florida
Anderson &amp; Strudwick
Arthurs Lestrange
Axiom Capital Management Inc
Bishop, Rosen &amp; Co
Brean Murray &amp; Co Inc
Brookstreet Securities
Cadaret Grant &amp; Co
Capital Growth Financial LLC
City Securities
Ehrenkrantz King Nussbaum Inc
Fifth Third Securities Inc
Finance 500 Inc
First Montauk Securities
First New York Equity
First Southwest
Gilford Securities
GunnAllen Financial Inc
Highland Capital Corp
Hoefer &amp; Arnett Inc
Howe Barnes Investments Inc
Wayne Hummer &amp; Co
Huntleigh Securities Corp
Jesup &amp; Lamont Securities
Johnston Lemon &amp; Co Inc
LaSalle Street Securities Inc
Maxim Group LLC
McGinn, Smith &amp; Co Inc
Mesirow Financial Corp
Morgan Wilshire Securities
National Securities Corp (US)
Newbridge Securities
Northeast Securities Inc.
David A. Noyes
Nutmeg Securities Ltd
Paulson Investment Co
Peacock Hislop Staley &amp; Given
Royal Alliance Associates
Sanders Morris Harris Inc
The Seidler Companies Inc
Southwest Securities Inc
Spelman &amp; Co.
Stanford Group Company
M. L. Stern
Sterne Agee &amp; Leach Inc
Stone &amp; Youngberg
Strand,Atkinson,Williams&amp;Yerl
Susquehanna Bancshares Inc
Torrey Pines Securities
JP Turner &amp; Co
Westminster Finl Sec Inc
Wunderlich Securities Inc</t>
  </si>
  <si>
    <t>MERRILL//UBS-INV-BANK/A-G-EDWARDS
/WACHOVIA-SEC/ADVEST/BA-SEC-LLC/BAIRD
/HR-BLOCK-FIN/FERRIS-BAKER/HILLIARD
/JANNEY-LLC/LEGG-MASON-WW
/OPPENHEIMER-CO/PNC-CAPITAL
/RBC-CAP-MKTS/RYAN-BECK/STIFEL
/WELLS-FARGO-SEC//BB-T-CAP/WM-BLAIR
/CHATSWORTH/CROWELL/DAVIDSON/DBSECU
/DOFT/DOMINICK/J-B-HANAUER/HARRN
/KEY-MCDONALD/MORGAN-KEEGAN/NEEDHAM
/PIPER-JAFFRAY/STEPHENS/SUNTRUST-CAP
/TD-WATERHOUSE/WEDBUSH-M/ALLEN-FL
/ANDERSON/ARTHURS-LES/AXIOM-CAP
/BISHOP-ROSEN/BREAN/BROOKSTREET
/CADARET-GRANT/CGF-SEC/CITY-SEC
/EHRENKRANTZ/FIFTH-THIRD-SEC
/FINANCE-INC/FIRST-MONTAUK
/FIRST-NY-EQUITY/FIRST-SW/GILFORD
/GUNNALLEN-FINL/HIGHLAND-CAP
/HOEFER-ARNETT/HOWE-BARNES/HUMMER
/HUNTLEIGH-SEC/JESUP/JOHNSTON-LEMON
/LASALLE-SEC/MAXIM-GROUP/MCGINN-SMITH
/MESIROW-FIN/MORGAN-WILSHIRE/NATL-SEC
/NEWBRIDGE/NORTHEAST-SEC/D-A-NOYES
/NUTMEG-SEC/PAULSON/PEACOCK-HISLOP
/ROYAL-ALLIANCE/SANDERS-HARRIS
/SEIDLER-CO-INC/SWS-SEC/SPELMAN
/STANFORD-GROUP/M-L-STERN/STERNE-AGEE
/STONE-YOUNG/STRAND-ATKIN
/SUSQUEHANNA-BK/TORREY-PINES/J-P-TURNER
/WEST-FIN-SEC/WUNDERLICH</t>
  </si>
  <si>
    <t>MERRILL
UBS-INV-BANK
A-G-EDWARDS
WACHOVIA-SEC
ADVEST
BA-SEC-LLC
BAIRD
HR-BLOCK-FIN
FERRIS-BAKER
HILLIARD
JANNEY-LLC
LEGG-MASON-WW
OPPENHEIMER-CO
PNC-CAPITAL
RBC-CAP-MKTS
RYAN-BECK
STIFEL
WELLS-FARGO-SEC</t>
  </si>
  <si>
    <t>Merrill Lynch &amp; Co Inc
UBS Investment Bank
AG Edwards &amp; Sons Inc
Wachovia Securities Inc
Advest Inc
Banc of America Securities LLC
Robert W Baird &amp; Co Inc
H&amp;R Block Financial Advisors
Ferris Baker Watts Inc
JJB Hilliard WL Lyons Inc
Janney Montgomery Scott LLC
Legg Mason Wood Walker Inc
Oppenheimer &amp; Co Inc
PNC Capital Markets
RBC Capital Markets
Ryan Beck &amp; Co
Stifel Nicolaus &amp; Co Inc
Wells Fargo Securities LLC</t>
  </si>
  <si>
    <t>Macquarie Global Total Return</t>
  </si>
  <si>
    <t>NGU</t>
  </si>
  <si>
    <t>55608D101</t>
  </si>
  <si>
    <t>Citigroup
Merrill Lynch
AG Edwards &amp; Sons Inc
Wachovia Securities Inc
Advest Inc
H&amp;R Block Financial Advisors
Ferris Baker Watts
Janney Montgomery Scott LLC
Legg Mason Wood Walker
Oppenheimer &amp; Co Inc
RBC Capital Markets
Stifel Nicolaus &amp; Co Inc
Wedbush Securities
Wells Fargo Bank NA
Robert W Baird &amp; Co Inc
Doft &amp; Co Inc
Morgan Keegan Inc
Piper Jaffray Cos
SunTrust Capital Markets
BB&amp;T Capital Markets
Mesirow Financial Corp
Sanders Morris Harris Inc
Brookstreet Securities
CMG Institutional Trading LLC
Crowell Weedon &amp; Co
David A. Noyes
First Montauk Securities
Gilford Securities
Hongkong &amp; Shanghai Bank (HK)
Huntleigh Securities Corp
Johnston Lemon &amp; Co Inc
KeyCorp/McDonald Investments
National Securities Corp (US)
Newbridge Securities
Northeast Securities Inc.
Strand,Atkinson,Williams&amp;Yerl</t>
  </si>
  <si>
    <t>CITIGROUP//MERRILL/A-G-EDWARDS
/WACHOVIA-SEC/ADVEST/HR-BLOCK-FIN
/FERRIS-BAKER/JANNEY-LLC/LEGG-MASON-WW
/OPPENHEIMER-CO/RBC-CAP-MKTS/STIFEL
/WEDBUSH-M/WELLS-FARGO//BAIRD/DOFT
/MORGAN-KEEGAN/PIPER-JAFFRAY
/SUNTRUST-CAP/BB-T-CAP/MESIROW-FIN
/SANDERS-HARRIS/BROOKSTREET/CMG-LLC
/CROWELL/D-A-NOYES/FIRST-MONTAUK
/GILFORD/HONG-SHANG-BKG/HUNTLEIGH-SEC
/JOHNSTON-LEMON/KEY-MCDONALD/NATL-SEC
/NEWBRIDGE/NORTHEAST-SEC/STRAND-ATKIN</t>
  </si>
  <si>
    <t>CITIGROUP
MERRILL
A-G-EDWARDS
WACHOVIA-SEC
ADVEST
HR-BLOCK-FIN
FERRIS-BAKER
JANNEY-LLC
LEGG-MASON-WW
OPPENHEIMER-CO
RBC-CAP-MKTS
STIFEL
WEDBUSH-M
WELLS-FARGO</t>
  </si>
  <si>
    <t>Citigroup
Merrill Lynch &amp; Co Inc
AG Edwards &amp; Sons Inc
Wachovia Securities Inc
Advest Inc
H&amp;R Block Financial Advisors
Ferris Baker Watts Inc
Janney Montgomery Scott LLC
Legg Mason Wood Walker Inc
Oppenheimer &amp; Co Inc
RBC Capital Markets
Stifel Nicolaus &amp; Co Inc
Wedbush Securities
Wells Fargo Bank NA</t>
  </si>
  <si>
    <t>Old Mutual/Claymore Long-Short</t>
  </si>
  <si>
    <t>OLA</t>
  </si>
  <si>
    <t>68003N103</t>
  </si>
  <si>
    <t>Merrill Lynch
AG Edwards &amp; Sons Inc
Raymond James &amp; Associates Inc
Wachovia Securities Inc
Advest Inc
Robert W Baird &amp; Co Inc
Claymore Securities Inc
Ferris Baker Watts
JJB Hilliard WL Lyons Inc
KeyCorp/McDonald Investments
Legg Mason Wood Walker
Oppenheimer &amp; Co Inc
RBC Capital Markets
Ryan Beck &amp; Co
Stifel Nicolaus &amp; Co Inc
Wells Fargo Bank NA
BB&amp;T Capital Markets
William Blair &amp; Co
Chatsworth Securities LLC
Crowell Weedon &amp; Co
DA Davidson &amp; Co Inc
Deutsche Bank Securities
Doft &amp; Co Inc
Dominick &amp; Dominick Inc
Morgan Keegan Inc
Piper Jaffray Cos
SunTrust Capital Markets
TD Waterhouse Investor Svcs
Wedbush Securities
Anderson &amp; Strudwick
Arthurs Lestrange
Axiom Capital Management Inc
Bishop, Rosen &amp; Co
Brean Murray &amp; Co Inc
Cadaret Grant &amp; Co
First Montauk Securities
First Southwest
Gilford Securities
GunnAllen Financial Inc
Hoefer &amp; Arnett Inc
Howe Barnes Investments Inc
Huntleigh Securities Corp
Jesup &amp; Lamont Securities
Johnston Lemon &amp; Co Inc
LaSalle Street Securities Inc
Leerink Swann &amp; Co
Maxim Group LLC
McGinn, Smith &amp; Co Inc
Mesirow Financial Corp
Morgan Wilshire Securities
National Securities Corp (US)
Northeast Securities Inc.
David A. Noyes
Peacock Hislop Staley &amp; Given
Royal Alliance Associates
Sanders Morris Harris Inc
The Seidler Companies Inc
Source Capital Group Inc
Southwest Securities Inc
Stanford Group Company
M. L. Stern
Sterne Agee &amp; Leach Inc
Strand,Atkinson,Williams&amp;Yerl
Susquehanna Brokerage Services
Torrey Pines Securities
JP Turner &amp; Co
Westminster Finl Sec Inc</t>
  </si>
  <si>
    <t>MERRILL//A-G-EDWARDS/RAYMOND
/WACHOVIA-SEC/ADVEST/BAIRD/CLAYMORE-SEC
/FERRIS-BAKER/HILLIARD/KEY-MCDONALD
/LEGG-MASON-WW/OPPENHEIMER-CO
/RBC-CAP-MKTS/RYAN-BECK/STIFEL
/WELLS-FARGO//BB-T-CAP/WM-BLAIR
/CHATSWORTH/CROWELL/DAVIDSON/DBSECU
/DOFT/DOMINICK/MORGAN-KEEGAN
/PIPER-JAFFRAY/SUNTRUST-CAP
/TD-WATERHOUSE/WEDBUSH-M/ANDERSON
/ARTHURS-LES/AXIOM-CAP/BISHOP-ROSEN
/BREAN/CADARET-GRANT/FIRST-MONTAUK
/FIRST-SW/GILFORD/GUNNALLEN-FINL
/HOEFER-ARNETT/HOWE-BARNES
/HUNTLEIGH-SEC/JESUP/JOHNSTON-LEMON
/LASALLE-SEC/LEERINK-SWANN/MAXIM-GROUP
/MCGINN-SMITH/MESIROW-FIN
/MORGAN-WILSHIRE/NATL-SEC/NORTHEAST-SEC
/D-A-NOYES/PEACOCK-HISLOP
/ROYAL-ALLIANCE/SANDERS-HARRIS
/SEIDLER-CO-INC/SOURCE-CAPITAL/SWS-SEC
/STANFORD-GROUP/M-L-STERN/STERNE-AGEE
/STRAND-ATKIN/SUSQUEHANNA/TORREY-PINES
/J-P-TURNER/WEST-FIN-SEC</t>
  </si>
  <si>
    <t>MERRILL
A-G-EDWARDS
RAYMOND
WACHOVIA-SEC
ADVEST
BAIRD
CLAYMORE-SEC
FERRIS-BAKER
HILLIARD
KEY-MCDONALD
LEGG-MASON-WW
OPPENHEIMER-CO
RBC-CAP-MKTS
RYAN-BECK
STIFEL
WELLS-FARGO</t>
  </si>
  <si>
    <t>Merrill Lynch &amp; Co Inc
AG Edwards &amp; Sons Inc
Raymond James &amp; Associates Inc
Wachovia Securities Inc
Advest Inc
Robert W Baird &amp; Co Inc
Claymore Securities Inc
Ferris Baker Watts Inc
JJB Hilliard WL Lyons Inc
KeyCorp/McDonald Investments
Legg Mason Wood Walker Inc
Oppenheimer &amp; Co Inc
RBC Capital Markets
Ryan Beck &amp; Co
Stifel Nicolaus &amp; Co Inc
Wells Fargo Bank NA</t>
  </si>
  <si>
    <t>Williams Scotsman Int Inc</t>
  </si>
  <si>
    <t>WLSC</t>
  </si>
  <si>
    <t>CITIGROUP/LEH(JB)
/CIBC-WORLD(JB)</t>
  </si>
  <si>
    <t>96950G102</t>
  </si>
  <si>
    <t>Citigroup
Lehman Brothers
CIBC World Markets Inc
Robert W Baird &amp; Co Inc
Banc of America Securities LLC
Deutsche Bank Securities Corp</t>
  </si>
  <si>
    <t>CITIGROUP(JB)/LEH(JB)/CIBC-WORLD(JB)
//BAIRD/BA-SEC-LLC/DEUTSCHE-BK-SEC</t>
  </si>
  <si>
    <t>CITIGROUP/LEH/CIBC-WORLD</t>
  </si>
  <si>
    <t>CITIGROUP
(JB)/LEH(JB)
/CIBC-WORLD(JB)
BAIRD
BA-SEC-LLC
DEUTSCHE-BK-SEC</t>
  </si>
  <si>
    <t>Citigroup
Lehman Brothers
CIBC World Markets Inc
Robert W Baird &amp; Co Inc
Banc of America Securities LLC
Deutsche Bank Securities Corp.</t>
  </si>
  <si>
    <t>Nexity Financial Corp</t>
  </si>
  <si>
    <t>NXTY</t>
  </si>
  <si>
    <t>65333R200</t>
  </si>
  <si>
    <t>Raymond James &amp; Associates Inc
Howe Barnes Investments Inc
Janney Montgomery Scott LLC
Keefe Bruyette &amp; Woods Inc
Morgan Keegan Inc
Sandler O'Neill Partners
Stifel Nicolaus &amp; Co Inc</t>
  </si>
  <si>
    <t>03/19/06
03/19/06
03/19/06</t>
  </si>
  <si>
    <t xml:space="preserve">11.900
</t>
  </si>
  <si>
    <t xml:space="preserve">1005808.00
</t>
  </si>
  <si>
    <t>RAYMOND//HOWE-BARNES/JANNEY-LLC/KEEFE
/MORGAN-KEEGAN/SANDLER-ONEILL/STIFEL</t>
  </si>
  <si>
    <t>Ikanos Communications Inc</t>
  </si>
  <si>
    <t>IKAN</t>
  </si>
  <si>
    <t>45173E105</t>
  </si>
  <si>
    <t>Citigroup
Lehman Brothers
Deutsche Bank Securities
Thomas Weisel Partners
Chatsworth Securities LLC
Melvin Securities Corporation
Wedbush Securities</t>
  </si>
  <si>
    <t>03/20/06
03/20/06
03/20/06</t>
  </si>
  <si>
    <t xml:space="preserve">72.702
</t>
  </si>
  <si>
    <t xml:space="preserve">17300000.00
</t>
  </si>
  <si>
    <t>CITIGROUP(JB)/LEH(JB)//DBSECU
/THOMAS-WEISEL//CHATSWORTH/MELVIN-SEC
/WEDBUSH-M</t>
  </si>
  <si>
    <t>CITIGROUP
(JB)/LEH(JB)
DBSECU
THOMAS-WEISEL</t>
  </si>
  <si>
    <t>Citigroup
Lehman Brothers
Deutsche Bank Securities Inc
Thomas Weisel Partners</t>
  </si>
  <si>
    <t>Global Cash Access Hldg Inc</t>
  </si>
  <si>
    <t>GCA</t>
  </si>
  <si>
    <t>Goldman Sachs &amp; Co
JP Morgan
Banc of America Securities LLC
Bear Stearns &amp; Co Inc
Citigroup
Deutsche Bank Securities Corp
SG Cowen Securities Corp
Wachovia Securities Inc</t>
  </si>
  <si>
    <t>03/21/06
03/21/06
03/21/06</t>
  </si>
  <si>
    <t xml:space="preserve">80.045
</t>
  </si>
  <si>
    <t xml:space="preserve">64435843.00
</t>
  </si>
  <si>
    <t>GS(JB)/JPM(JB)//BA-SEC-LLC/BEAR
/CITIGROUP/DEUTSCHE-BK-SEC/SG-COWEN
/WACHOVIA-SEC</t>
  </si>
  <si>
    <t>GS
(JB)/JPM(JB)
BA-SEC-LLC
BEAR
CITIGROUP
DEUTSCHE-BK-SEC
SG-COWEN
WACHOVIA-SEC</t>
  </si>
  <si>
    <t>Goldman Sachs &amp; Co
JP Morgan &amp; Co Inc
Banc of America Securities LLC
Bear Stearns &amp; Co Inc
Citigroup
Deutsche Bank Securities Corp.
SG Cowen Securities Corp
Wachovia Securities Inc</t>
  </si>
  <si>
    <t>North Pointe Holdings Corp</t>
  </si>
  <si>
    <t>NPTE</t>
  </si>
  <si>
    <t>SunTrust Robinson Humphrey
William Blair &amp; Co
Sandler O'Neill Partners
Cochran, Caronia &amp; Co.
AG Edwards &amp; Sons Inc
Ferris Baker Watts
KeyCorp/McDonald Investments
Raymond James &amp; Associates Inc</t>
  </si>
  <si>
    <t>03/22/06
03/22/06</t>
  </si>
  <si>
    <t xml:space="preserve">55.002
</t>
  </si>
  <si>
    <t xml:space="preserve">4889187.00
</t>
  </si>
  <si>
    <t>SUNTRUST-RH//WM-BLAIR/SANDLER-ONEILL
//COCHRAN-CARONIA/A-G-EDWARDS
/FERRIS-BAKER/KEY-MCDONALD/RAYMOND</t>
  </si>
  <si>
    <t>SUNTRUST-RH
WM-BLAIR
SANDLER-ONEILL</t>
  </si>
  <si>
    <t>SunTrust Robinson Humphrey
William Blair &amp; Co
Sandler O'Neill Partners  L.P.</t>
  </si>
  <si>
    <t>Horizon Lines Inc</t>
  </si>
  <si>
    <t>HRZ</t>
  </si>
  <si>
    <t>44044K101</t>
  </si>
  <si>
    <t>Goldman Sachs &amp; Co
UBS Investment Bank
Bear Stearns &amp; Co Inc
Deutsche Bank Securities Corp
JP Morgan
AG Edwards &amp; Sons Inc
Doft &amp; Co Inc
Jesup &amp; Lamont Securities</t>
  </si>
  <si>
    <t>12/25/05
03/25/06
03/25/06</t>
  </si>
  <si>
    <t xml:space="preserve">51.304
6.218
3.007
</t>
  </si>
  <si>
    <t xml:space="preserve">
90
180
180</t>
  </si>
  <si>
    <t xml:space="preserve">16247564.00
1969281.00
952325.00
</t>
  </si>
  <si>
    <t>GS(JB)/UBS-INV-BANK(JB)//BEAR
/DEUTSCHE-BK-SEC/JPM//A-G-EDWARDS/DOFT
/JESUP</t>
  </si>
  <si>
    <t>GS
(JB)/UBS-INV-BANK(JB)
BEAR
DEUTSCHE-BK-SEC
JPM</t>
  </si>
  <si>
    <t>Goldman Sachs &amp; Co
UBS Investment Bank
Bear Stearns &amp; Co Inc
Deutsche Bank Securities Corp.
JP Morgan &amp; Co Inc</t>
  </si>
  <si>
    <t>EV Tax-Mnged Global Buy-Write</t>
  </si>
  <si>
    <t>ETW</t>
  </si>
  <si>
    <t>UBS-INV-BANK/CITI(JB)
/MERRILL(JB)
/WACHOVIA-SEC(JB)
/A-G-EDWARDS(JB)</t>
  </si>
  <si>
    <t>27829C105</t>
  </si>
  <si>
    <t>UBS Investment Bank
Citi
Merrill Lynch
Wachovia Securities Inc
AG Edwards &amp; Sons Inc
Raymond James &amp; Associates Inc
Advest Inc
Robert W Baird &amp; Co Inc
Banc of America Securities LLC
H&amp;R Block Financial Advisors
Deutsche Bank Securities Corp
Ferris Baker Watts
JJB Hilliard WL Lyons Inc
Janney Montgomery Scott Inc
Key Banc Capital Markets
Legg Mason Wood Walker
Oppenheimer &amp; Co Inc
RBC Capital Markets
TD Waterhouse Investor Svcs
Wedbush Securities
Wells Fargo Securities LLC
J. B. Hanauer
Royal Alliance Associates
Bernard Herold &amp; Co
Commonwealth Securities Inv
Natcity Investments Inc.
BC Ziegler &amp; Co
BB&amp;T Capital Markets
William Blair &amp; Co
Crowell Weedon &amp; Co
DA Davidson &amp; Co Inc
Morgan Keegan Inc
Piper Jaffray Cos
Ryan Beck &amp; Co
SunTrust Capital Markets
Anderson &amp; Strudwick
Axiom Capital Management Inc
Cadaret Grant &amp; Co
City Securities
Fifth Third Securities Inc
GunnAllen Financial Inc
Huntleigh Securities Corp
Jesup &amp; Lamont Securities
Johnston Lemon &amp; Co Inc
Mesirow Financial Corp
David A. Noyes
Sanders Morris Harris Inc
The Seidler Companies Inc
Spelman &amp; Co.
Stanford Group Company
M. L. Stern
Sterne Agee &amp; Leach Inc
Stone &amp; Youngberg</t>
  </si>
  <si>
    <t>UBS-INV-BANK(JB)/CITI(JB)/MERRILL(JB)
/WACHOVIA-SEC(JB)/A-G-EDWARDS(JB)
//RAYMOND/ADVEST/BAIRD/BA-SEC-LLC
/HR-BLOCK-FIN/DEUTSCHE-BK-SEC
/FERRIS-BAKER/HILLIARD/JANNEY
/KEY-BANC-CAP/LEGG-MASON-WW
/OPPENHEIMER-CO/RBC-CAP-MKTS
/TD-WATERHOUSE/WEDBUSH-M
/WELLS-FARGO-SEC/J-B-HANAUER
/ROYAL-ALLIANCE/BERNARD-HER/COM-SEC-INV
/NATCITY-INVEST/ZIEGLER//BB-T-CAP
/WM-BLAIR/CROWELL/DAVIDSON
/MORGAN-KEEGAN/PIPER-JAFFRAY/RYAN-BECK
/SUNTRUST-CAP/ANDERSON/AXIOM-CAP
/CADARET-GRANT/CITY-SEC/FIFTH-THIRD-SEC
/GUNNALLEN-FINL/HUNTLEIGH-SEC/JESUP
/JOHNSTON-LEMON/MESIROW-FIN/D-A-NOYES
/SANDERS-HARRIS/SEIDLER-CO-INC/SPELMAN
/STANFORD-GROUP/M-L-STERN/STERNE-AGEE
/STONE-YOUNG</t>
  </si>
  <si>
    <t>UBS-INV-BANK/CITI/MERRILL/WACHOVIA-SEC
/A-G-EDWARDS</t>
  </si>
  <si>
    <t>UBS-INV-BANK
(JB)/CITI(JB)
/MERRILL(JB)
/WACHOVIA-SEC(JB)
/A-G-EDWARDS(JB)
RAYMOND
ADVEST
BAIRD
BA-SEC-LLC
HR-BLOCK-FIN
DEUTSCHE-BK-SEC
FERRIS-BAKER
HILLIARD
JANNEY
KEY-BANC-CAP
LEGG-MASON-WW
OPPENHEIMER-CO
RBC-CAP-MKTS
TD-WATERHOUSE
WEDBUSH-M
WELLS-FARGO-SEC
J-B-HANAUER
ROYAL-ALLIANCE
BERNARD-HER
COM-SEC-INV
NATCITY-INVEST
ZIEGLER</t>
  </si>
  <si>
    <t>UBS Investment Bank
Citi
Merrill Lynch &amp; Co Inc
Wachovia Securities Inc
AG Edwards &amp; Sons Inc
Raymond James &amp; Associates Inc
Advest Inc
Robert W Baird &amp; Co Inc
Banc of America Securities LLC
H&amp;R Block Financial Advisors
Deutsche Bank Securities Corp.
Ferris Baker Watts Inc
JJB Hilliard WL Lyons Inc
Janney Montgomery Scott Inc
Key Banc Capital Markets
Legg Mason Wood Walker Inc
Oppenheimer &amp; Co Inc
RBC Capital Markets
TD Waterhouse Investor Services(Canada)Inc
Wedbush Securities
Wells Fargo Securities LLC
J. B. Hanauer &amp; Co.
Royal Alliance Associates
Bernard Herold &amp; Co
Commonwealth Securities &amp; Investments, Inc.
Natcity Investments Inc.
BC Ziegler &amp; Co</t>
  </si>
  <si>
    <t>Enhanced S&amp;P 500 Covered Call</t>
  </si>
  <si>
    <t>BEO</t>
  </si>
  <si>
    <t>29332W107</t>
  </si>
  <si>
    <t>Merrill Lynch
Advest Inc
Ferris Baker Watts
Hongkong &amp; Shanghai Bank (HK)
Ladenburg Thalmann &amp; Co
RBC Capital Markets
Stifel Nicolaus &amp; Co Inc
Wells Fargo Securities LLC
BB&amp;T Capital Markets
Robert W Baird &amp; Co Inc
William Blair &amp; Co
Crowell Weedon &amp; Co
Doft &amp; Co Inc
Dominick &amp; Dominick Inc
Harris Nesbitt
KeyCorp/McDonald Investments
Morgan Keegan Inc
Oppenheimer &amp; Co Inc
Piper Jaffray Cos
Ryan Beck &amp; Co
SunTrust Capital Markets
Wedbush Securities
Anderson &amp; Strudwick
Axiom Capital Management Inc
Bishop, Rosen &amp; Co
Brean Murray &amp; Co Inc
Brookstreet Securities
Capital Growth Financial LLC
Fifth Third Securities Inc
First Montauk Securities
First Southwest
GunnAllen Financial Inc
Joseph Gunnar &amp; Co., LLC
Hoefer &amp; Arnett Inc
Howe Barnes Investments Inc
Huntleigh Securities Corp
Jesup &amp; Lamont Securities
Johnston Lemon &amp; Co Inc
LaSalle Street Securities Inc
Maxim Group LLC
McGinn, Smith &amp; Co Inc
Mesirow Financial Corp
Morgan Wilshire Securities
National Securities Corp (US)
Newbridge Securities
Northeast Securities Inc.
David A. Noyes
Paulson Investment Co
Peacock Hislop Staley &amp; Given
Royal Alliance Associates
Sanders Morris Harris Inc
The Seidler Companies Inc
Source Capital Group Inc
Southwest Securities Inc
Stanford Group Company
M. L. Stern
Sterne Agee &amp; Leach Inc
Stone &amp; Youngberg
Strand,Atkinson,Williams&amp;Yerl
Susquehanna Brokerage Services
Torrey Pines Securities
JP Turner &amp; Co
Westminster Finl Sec Inc
Wunderlich Securities Inc</t>
  </si>
  <si>
    <t>MERRILL//ADVEST/FERRIS-BAKER
/HONG-SHANG-BKG/LADENBURG/RBC-CAP-MKTS
/STIFEL/WELLS-FARGO-SEC//BB-T-CAP/BAIRD
/WM-BLAIR/CROWELL/DOFT/DOMINICK/HARRN
/KEY-MCDONALD/MORGAN-KEEGAN
/OPPENHEIMER-CO/PIPER-JAFFRAY/RYAN-BECK
/SUNTRUST-CAP/WEDBUSH-M/ANDERSON
/AXIOM-CAP/BISHOP-ROSEN/BREAN
/BROOKSTREET/CGF-SEC/FIFTH-THIRD-SEC
/FIRST-MONTAUK/FIRST-SW/GUNNALLEN-FINL
/GUNNAR/HOEFER-ARNETT/HOWE-BARNES
/HUNTLEIGH-SEC/JESUP/JOHNSTON-LEMON
/LASALLE-SEC/MAXIM-GROUP/MCGINN-SMITH
/MESIROW-FIN/MORGAN-WILSHIRE/NATL-SEC
/NEWBRIDGE/NORTHEAST-SEC/D-A-NOYES
/PAULSON/PEACOCK-HISLOP/ROYAL-ALLIANCE
/SANDERS-HARRIS/SEIDLER-CO-INC
/SOURCE-CAPITAL/SWS-SEC/STANFORD-GROUP
/M-L-STERN/STERNE-AGEE/STONE-YOUNG
/STRAND-ATKIN/SUSQUEHANNA/TORREY-PINES
/J-P-TURNER/WEST-FIN-SEC/WUNDERLICH</t>
  </si>
  <si>
    <t>MERRILL
ADVEST
FERRIS-BAKER
HONG-SHANG-BKG
LADENBURG
RBC-CAP-MKTS
STIFEL
WELLS-FARGO-SEC</t>
  </si>
  <si>
    <t>Merrill Lynch &amp; Co Inc
Advest Inc
Ferris Baker Watts Inc
Hongkong &amp; Shanghai Banking Corp Ltd
Ladenburg Thalmann &amp; Co
RBC Capital Markets
Stifel Nicolaus &amp; Co Inc
Wells Fargo Securities LLC</t>
  </si>
  <si>
    <t>Ituran Location &amp; Control Ltd</t>
  </si>
  <si>
    <t>ITRN</t>
  </si>
  <si>
    <t>UBS Investment Bank
JP Morgan
William Blair &amp; Co
CE Unterberg Towbin</t>
  </si>
  <si>
    <t>03/26/06
03/26/06</t>
  </si>
  <si>
    <t>UBS-INV-BANK//JPM/WM-BLAIR/UNTERBERG</t>
  </si>
  <si>
    <t>UBS-INV-BANK
JPM
WM-BLAIR
UNTERBERG</t>
  </si>
  <si>
    <t>UBS Investment Bank
JP Morgan &amp; Co Inc
William Blair &amp; Co
CE Unterberg Towbin</t>
  </si>
  <si>
    <t>Sunesis Pharmaceuticals Inc</t>
  </si>
  <si>
    <t>SNSS</t>
  </si>
  <si>
    <t>LEH/SG-COWEN(JB)</t>
  </si>
  <si>
    <t>Lehman Brothers
SG Cowen Securities Corp
Needham &amp; Co LLC</t>
  </si>
  <si>
    <t>03/26/06
03/26/06
03/26/06</t>
  </si>
  <si>
    <t xml:space="preserve">72.036
</t>
  </si>
  <si>
    <t xml:space="preserve">15455801.00
</t>
  </si>
  <si>
    <t>LEH(JB)/SG-COWEN(JB)//NEEDHAM</t>
  </si>
  <si>
    <t>LEH
(JB)/SG-COWEN(JB)
NEEDHAM</t>
  </si>
  <si>
    <t>TRX Inc</t>
  </si>
  <si>
    <t>TRXI</t>
  </si>
  <si>
    <t>Credit Suisse First Boston
Thomas Weisel Partners
Legg Mason Wood Walker
SunTrust Robinson Humphrey</t>
  </si>
  <si>
    <t xml:space="preserve">61.488
</t>
  </si>
  <si>
    <t xml:space="preserve">10856936.00
</t>
  </si>
  <si>
    <t>CS-FB-CS//THOMAS-WEISEL/LEGG-MASON-WW
/SUNTRUST-RH</t>
  </si>
  <si>
    <t>CS-FB-CS
THOMAS-WEISEL
LEGG-MASON-WW
SUNTRUST-RH</t>
  </si>
  <si>
    <t>Credit Suisse First Boston Corp
Thomas Weisel Partners
Legg Mason Wood Walker Inc
SunTrust Robinson Humphrey</t>
  </si>
  <si>
    <t>Caribou Coffee Co Inc</t>
  </si>
  <si>
    <t>CBOU</t>
  </si>
  <si>
    <t>MERRILL
/THOMAS-WEISEL(JB)</t>
  </si>
  <si>
    <t>Merrill Lynch
Thomas Weisel Partners
SG Cowen Securities Corp
SunTrust Robinson Humphrey
Maxim Group LLC
Wells Fargo Securities LLC</t>
  </si>
  <si>
    <t>03/27/06
03/27/06
03/27/06</t>
  </si>
  <si>
    <t xml:space="preserve">72.184
</t>
  </si>
  <si>
    <t xml:space="preserve">13904096.00
</t>
  </si>
  <si>
    <t>MERRILL(JB)/THOMAS-WEISEL(JB)//SG-COWEN
/SUNTRUST-RH//MAXIM-GROUP
/WELLS-FARGO-SEC</t>
  </si>
  <si>
    <t>MERRILL/THOMAS-WEISEL</t>
  </si>
  <si>
    <t>MERRILL
(JB)/THOMAS-WEISEL(JB)
SG-COWEN
SUNTRUST-RH</t>
  </si>
  <si>
    <t>Merrill Lynch &amp; Co Inc
Thomas Weisel Partners
SG Cowen Securities Corp
SunTrust Robinson Humphrey</t>
  </si>
  <si>
    <t>Genomic Health Inc</t>
  </si>
  <si>
    <t>GHDX</t>
  </si>
  <si>
    <t>37244C101</t>
  </si>
  <si>
    <t>JP Morgan
Lehman Brothers
Piper Jaffray Cos
Thomas Weisel Partners
JMP Securities LLC</t>
  </si>
  <si>
    <t xml:space="preserve">79.412
</t>
  </si>
  <si>
    <t xml:space="preserve">19350710.00
</t>
  </si>
  <si>
    <t>JPM(JB)/LEH(JB)//PIPER-JAFFRAY
/THOMAS-WEISEL/JMP-SEC</t>
  </si>
  <si>
    <t>JPM
(JB)/LEH(JB)
PIPER-JAFFRAY
THOMAS-WEISEL
JMP-SEC</t>
  </si>
  <si>
    <t>JP Morgan &amp; Co Inc
Lehman Brothers
Piper Jaffray Cos
Thomas Weisel Partners
JMP Securities LLC</t>
  </si>
  <si>
    <t>Global Partners LP</t>
  </si>
  <si>
    <t>GLP</t>
  </si>
  <si>
    <t>37946R109</t>
  </si>
  <si>
    <t>Lehman Brothers
Key Banc Capital Markets
Raymond James &amp; Associates Inc
RBC Capital Markets
Banc of America Securities LLC</t>
  </si>
  <si>
    <t>03/27/06
03/27/06</t>
  </si>
  <si>
    <t>LEH/KEY-BANC-CAP(JOINT)//RAYMOND
/RBC-CAP-MKTS/BA-SEC-LLC</t>
  </si>
  <si>
    <t>LEH/KEY-BANC-CAP</t>
  </si>
  <si>
    <t>LEH
/KEY-BANC-CAP(JOINT)
RAYMOND
RBC-CAP-MKTS
BA-SEC-LLC</t>
  </si>
  <si>
    <t>Taleo Corp</t>
  </si>
  <si>
    <t>TLEO</t>
  </si>
  <si>
    <t>87424N104</t>
  </si>
  <si>
    <t>Citigroup
Merrill Lynch
JP Morgan
CIBC World Markets Inc
ThinkEquity Partners</t>
  </si>
  <si>
    <t>12/27/05
03/27/06
03/27/06
03/27/06</t>
  </si>
  <si>
    <t xml:space="preserve">0.029
66.643
</t>
  </si>
  <si>
    <t xml:space="preserve">6279.00
14546957.00
</t>
  </si>
  <si>
    <t>CITIGROUP/MERRILL/JPM(JOINT)
//CIBC-WORLD/THINK</t>
  </si>
  <si>
    <t>CITIGROUP/MERRILL/JPM</t>
  </si>
  <si>
    <t>CITIGROUP
/MERRILL
/JPM(JOINT)
CIBC-WORLD
THINK</t>
  </si>
  <si>
    <t>Citigroup
Merrill Lynch &amp; Co Inc
JP Morgan &amp; Co Inc
CIBC World Markets Inc
ThinkEquity Partners</t>
  </si>
  <si>
    <t>WebMD Health Corp</t>
  </si>
  <si>
    <t>WBMD</t>
  </si>
  <si>
    <t>94770V102</t>
  </si>
  <si>
    <t>Morgan Stanley
Citigroup
Goldman Sachs &amp; Co
Bear Stearns &amp; Co Inc</t>
  </si>
  <si>
    <t>03/27/06
09/28/06
03/27/06</t>
  </si>
  <si>
    <t xml:space="preserve">85.839
0.702
</t>
  </si>
  <si>
    <t>180
365
180</t>
  </si>
  <si>
    <t xml:space="preserve">48100000.00
393250.00
</t>
  </si>
  <si>
    <t>MORGAN-STANLEY(JB)/CITIGROUP(JB)//GS
//BEAR</t>
  </si>
  <si>
    <t>MORGAN-STANLEY
(JB)/CITIGROUP(JB)
GS</t>
  </si>
  <si>
    <t>Morgan Stanley
Citigroup
Goldman Sachs &amp; Co</t>
  </si>
  <si>
    <t>Avalon Pharmaceuticals Inc</t>
  </si>
  <si>
    <t>AVRX</t>
  </si>
  <si>
    <t>05346P106</t>
  </si>
  <si>
    <t>WR Hambrecht &amp; Co LLC
Legg Mason Wood Walker
Susquehanna Bancshares Inc</t>
  </si>
  <si>
    <t>03/28/06
03/28/06
03/28/06</t>
  </si>
  <si>
    <t xml:space="preserve">67.281
</t>
  </si>
  <si>
    <t xml:space="preserve">5654958.00
</t>
  </si>
  <si>
    <t>W-R-HAMBRECHT//LEGG-MASON-WW
/SUSQUEHANNA-BK</t>
  </si>
  <si>
    <t>W-R-HAMBRECHT
LEGG-MASON-WW
SUSQUEHANNA-BK</t>
  </si>
  <si>
    <t>WR Hambrecht &amp; Co LLC
Legg Mason Wood Walker Inc
Susquehanna Bancshares Inc</t>
  </si>
  <si>
    <t>State Natl Bancshares Inc,TX</t>
  </si>
  <si>
    <t>SNBI</t>
  </si>
  <si>
    <t>Keefe Bruyette &amp; Woods Inc
Sandler O'Neill Partners
First Southwest
Hoefer &amp; Arnett Inc</t>
  </si>
  <si>
    <t>11/28/05
12/28/05
03/28/06</t>
  </si>
  <si>
    <t>6.061
10.111
40.060</t>
  </si>
  <si>
    <t>60
90
180</t>
  </si>
  <si>
    <t>725359.00
1210023.00
4794260.00</t>
  </si>
  <si>
    <t>KEEFE//SANDLER-ONEILL//FIRST-SW
/HOEFER-ARNETT</t>
  </si>
  <si>
    <t>KEEFE
SANDLER-ONEILL</t>
  </si>
  <si>
    <t>Keefe Bruyette &amp; Woods Inc
Sandler O'Neill Partners  L.P.</t>
  </si>
  <si>
    <t>Vistaprint NV</t>
  </si>
  <si>
    <t>VPRT</t>
  </si>
  <si>
    <t>G93762204</t>
  </si>
  <si>
    <t>Goldman Sachs &amp; Co
Bear Stearns &amp; Co Inc
SG Cowen Securities Corp
Jefferies Broadview</t>
  </si>
  <si>
    <t xml:space="preserve">74.287
</t>
  </si>
  <si>
    <t xml:space="preserve">29491255.00
</t>
  </si>
  <si>
    <t>GS/BEAR(JOINT)//SG-COWEN
/JEFFERIES-BROAD</t>
  </si>
  <si>
    <t>GS
/BEAR(JOINT)
SG-COWEN
JEFFERIES-BROAD</t>
  </si>
  <si>
    <t>American Commercial Lines LLC</t>
  </si>
  <si>
    <t>ACLI</t>
  </si>
  <si>
    <t>MERRILL
/UBS-INV-BANK(JB)</t>
  </si>
  <si>
    <t>025195207</t>
  </si>
  <si>
    <t>Merrill Lynch
UBS Investment Bank
Credit Suisse First Boston
Deutsche Bank Securities Corp</t>
  </si>
  <si>
    <t>04/04/06
04/04/06
04/04/06</t>
  </si>
  <si>
    <t>MERRILL(JB)/UBS-INV-BANK(JB)//CS-FB-CS
/DEUTSCHE-BK-SEC</t>
  </si>
  <si>
    <t>MERRILL
(JB)/UBS-INV-BANK(JB)
CS-FB-CS
DEUTSCHE-BK-SEC</t>
  </si>
  <si>
    <t>Merrill Lynch &amp; Co Inc
UBS Investment Bank
Credit Suisse First Boston Corp
Deutsche Bank Securities Corp.</t>
  </si>
  <si>
    <t>StealthGas Inc</t>
  </si>
  <si>
    <t>GASS</t>
  </si>
  <si>
    <t>Cantor Fitzgerald Inc
Morgan Keegan Inc
Johnson Rice &amp; Co
Hibernia Southcoast Capital
HARRISdirect LLC</t>
  </si>
  <si>
    <t>04/04/06
04/04/06</t>
  </si>
  <si>
    <t xml:space="preserve">42.857
</t>
  </si>
  <si>
    <t xml:space="preserve">6000000.00
</t>
  </si>
  <si>
    <t>CANTOR//MORGAN-KEEGAN/JOHNSON-RICE
/HIBERNIA-SOUTH/HARRISDIRECT</t>
  </si>
  <si>
    <t>CANTOR
MORGAN-KEEGAN
JOHNSON-RICE
HIBERNIA-SOUTH
HARRISDIRECT</t>
  </si>
  <si>
    <t>Cantor Fitzgerald Inc
Morgan Keegan Inc
Johnson Rice &amp; Co
Hibernia Southcoast Capital Inc
HARRISdirect LLC</t>
  </si>
  <si>
    <t>TAL International Group Inc</t>
  </si>
  <si>
    <t>TAL</t>
  </si>
  <si>
    <t>CS-FB-CS
/DEUTSCHE-BK-SEC(JB)
/JEFFERIES(JB)</t>
  </si>
  <si>
    <t>Credit Suisse First Boston
Deutsche Bank Securities Corp
Jefferies &amp; Co Inc
UBS Investment Bank
Robert W Baird &amp; Co Inc
Morgan Keegan Inc
Fortis Securities Inc</t>
  </si>
  <si>
    <t>04/09/06
04/09/06
04/09/06</t>
  </si>
  <si>
    <t xml:space="preserve">64.140
</t>
  </si>
  <si>
    <t xml:space="preserve">21382208.00
</t>
  </si>
  <si>
    <t>CS-FB-CS(JB)/DEUTSCHE-BK-SEC(JB)
/JEFFERIES(JB)//UBS-INV-BANK/BAIRD
/MORGAN-KEEGAN/FORTIS-SEC</t>
  </si>
  <si>
    <t>CS-FB-CS/DEUTSCHE-BK-SEC/JEFFERIES</t>
  </si>
  <si>
    <t>CS-FB-CS
(JB)/DEUTSCHE-BK-SEC(JB)
/JEFFERIES(JB)
UBS-INV-BANK
BAIRD
MORGAN-KEEGAN
FORTIS-SEC</t>
  </si>
  <si>
    <t>Credit Suisse First Boston Corp
Deutsche Bank Securities Corp.
Jefferies &amp; Co Inc
UBS Investment Bank
Robert W Baird &amp; Co Inc
Morgan Keegan Inc
Fortis Securities Inc</t>
  </si>
  <si>
    <t>PokerTek Inc</t>
  </si>
  <si>
    <t>PTEK</t>
  </si>
  <si>
    <t>01/11/06
04/11/06
04/11/06</t>
  </si>
  <si>
    <t xml:space="preserve">3.383
74.284
</t>
  </si>
  <si>
    <t xml:space="preserve">312405.00
6859581.00
</t>
  </si>
  <si>
    <t>Double Hull Tankers Inc</t>
  </si>
  <si>
    <t>DHT</t>
  </si>
  <si>
    <t>Y21110104</t>
  </si>
  <si>
    <t>UBS Investment Bank
Merrill Lynch
Citigroup
Deutsche Bank Securities Corp
DnB NOR BANK ASA
JP Morgan
Dahlman Rose Weiss LLC</t>
  </si>
  <si>
    <t>04/11/06
04/11/06
04/11/06</t>
  </si>
  <si>
    <t>UBS-INV-BANK(JB)/MERRILL(JB)//CITIGROUP
/DEUTSCHE-BK-SEC/DNB-NOR/JPM
/DAHLMAN-ROSE</t>
  </si>
  <si>
    <t>UBS-INV-BANK
(JB)/MERRILL(JB)
CITIGROUP
DEUTSCHE-BK-SEC
DNB-NOR
JPM
DAHLMAN-ROSE</t>
  </si>
  <si>
    <t>UBS Investment Bank
Merrill Lynch &amp; Co Inc
Citigroup
Deutsche Bank Securities Corp.
DnB NOR BANK ASA
JP Morgan &amp; Co Inc
Dahlman Rose Weiss LLC</t>
  </si>
  <si>
    <t>CBOT Holdings Inc</t>
  </si>
  <si>
    <t>BOT</t>
  </si>
  <si>
    <t>14984K106</t>
  </si>
  <si>
    <t>Credit Suisse First Boston
JP Morgan
Citigroup
Sandler O'Neill Partners
Keefe Bruyette &amp; Woods Inc
Loop Capital Markets
Melvin Securities Corporation
Williams Capital Group LP</t>
  </si>
  <si>
    <t>04/16/06
04/16/06
04/16/06</t>
  </si>
  <si>
    <t>CS-FB-CS(JB)/JPM(JB)//CITIGROUP
/SANDLER-ONEILL/KEEFE//LOOP/MELVIN-SEC
/WILLIAMS-CAP</t>
  </si>
  <si>
    <t>CS-FB-CS
(JB)/JPM(JB)
CITIGROUP
SANDLER-ONEILL
KEEFE</t>
  </si>
  <si>
    <t>Credit Suisse First Boston Corp
JP Morgan &amp; Co Inc
Citigroup
Sandler O'Neill Partners  L.P.
Keefe Bruyette &amp; Woods Inc</t>
  </si>
  <si>
    <t>Federal Svcs Acq Corp</t>
  </si>
  <si>
    <t>FDSA</t>
  </si>
  <si>
    <t>CRT-CAPITAL</t>
  </si>
  <si>
    <t>CRT Capital Group LLC</t>
  </si>
  <si>
    <t>Key Hospitality Acquisition Co</t>
  </si>
  <si>
    <t>KHPA</t>
  </si>
  <si>
    <t>49308X103</t>
  </si>
  <si>
    <t>Maxim Group LLC
Wedbush Securities
Broadband Capital Management
I-Bankers Securities Inc</t>
  </si>
  <si>
    <t>MAXIM-GROUP//WEDBUSH-M//BROADBAND
/I-BANKERS-SEC</t>
  </si>
  <si>
    <t>MAXIM-GROUP
WEDBUSH-M</t>
  </si>
  <si>
    <t>Maxim Group LLC
Wedbush Securities</t>
  </si>
  <si>
    <t>NCI Inc</t>
  </si>
  <si>
    <t>NCIT</t>
  </si>
  <si>
    <t>LEGG-MASON-WW
/RAYMOND(JB)</t>
  </si>
  <si>
    <t>62886K104</t>
  </si>
  <si>
    <t>Legg Mason Wood Walker
Raymond James &amp; Associates Inc
Robert W Baird &amp; Co Inc
Stephens Inc
AG Edwards &amp; Sons Inc
Adams Harkness &amp; Hill Inc
BB&amp;T Capital Markets
Friedman Billings Ramsey &amp; Co
Jefferies &amp; Co Inc
Johnston Lemon &amp; Co Inc
Stifel Nicolaus &amp; Co Inc
Wachovia Capital Markets</t>
  </si>
  <si>
    <t>04/18/06
04/18/06</t>
  </si>
  <si>
    <t xml:space="preserve">56.828
</t>
  </si>
  <si>
    <t xml:space="preserve">6778946.00
</t>
  </si>
  <si>
    <t>LEGG-MASON-WW(JB)/RAYMOND(JB)//BAIRD
/STEPHENS//A-G-EDWARDS/ADAMS-HARKNESS
/BB-T-CAP/FRIEDMAN-B-CO/JEFFERIES
/JOHNSTON-LEMON/STIFEL/WACHOVIA-CAP</t>
  </si>
  <si>
    <t>LEGG-MASON-WW/RAYMOND</t>
  </si>
  <si>
    <t>LEGG-MASON-WW
(JB)/RAYMOND(JB)
BAIRD
STEPHENS</t>
  </si>
  <si>
    <t>Legg Mason Wood Walker Inc
Raymond James &amp; Associates Inc
Robert W Baird &amp; Co Inc
Stephens Inc</t>
  </si>
  <si>
    <t>Paramount Acquisition Corp</t>
  </si>
  <si>
    <t>PMQC</t>
  </si>
  <si>
    <t>69917T202</t>
  </si>
  <si>
    <t>Earlybirdcapital Inc
Ramius Capital Corp
Legend Merchant Group Inc</t>
  </si>
  <si>
    <t>EARLYBIRD-CAP//RAMIUS/LEGEND-MERCHANT</t>
  </si>
  <si>
    <t>BlackRock World Investment</t>
  </si>
  <si>
    <t>BWC</t>
  </si>
  <si>
    <t>MORGAN-STANLEY
/CITIGROUP(JB)
/A-G-EDWARDS(JB)</t>
  </si>
  <si>
    <t>09250K103</t>
  </si>
  <si>
    <t>Morgan Stanley
Citigroup
AG Edwards &amp; Sons Inc
Advest Inc
Doft &amp; Co Inc
Fixed Income Securities Inc
H&amp;R Block Financial Advisors
Janney Montgomery Scott LLC
Legg Mason Wood Walker
Oppenheimer &amp; Co Inc
PNC Capital Markets
Raymond James &amp; Associates Inc
RBC Capital Markets
Stephens Inc
Wedbush Securities
Deutsche Bank Securities
J. B. Hanauer
JJB Hilliard WL Lyons Inc
Ladenburg Thalmann &amp; Co
GunnAllen Financial Inc
KeyCorp/McDonald Investments
M. L. Stern
Morgan Keegan Inc
Robert W Baird &amp; Co Inc
DA Davidson &amp; Co Inc
Ferris Baker Watts
Piper Jaffray Cos
Ryan Beck &amp; Co
Southwest Securities Inc
TD Waterhouse Investor Svcs
BB&amp;T Capital Markets
William Blair &amp; Co
David A. Noyes
Sanders Morris Harris Inc
Sterne Agee &amp; Leach Inc
SunTrust Capital Markets</t>
  </si>
  <si>
    <t>MORGAN-STANLEY(JB)/CITIGROUP(JB)
/A-G-EDWARDS(JB)//ADVEST/DOFT/FIXED-INC
/HR-BLOCK-FIN/JANNEY-LLC/LEGG-MASON-WW
/OPPENHEIMER-CO/PNC-CAPITAL/RAYMOND
/RBC-CAP-MKTS/STEPHENS/WEDBUSH-M
//DBSECU/J-B-HANAUER/HILLIARD/LADENBURG
/GUNNALLEN-FINL/KEY-MCDONALD/M-L-STERN
/MORGAN-KEEGAN/BAIRD/DAVIDSON
/FERRIS-BAKER/PIPER-JAFFRAY/RYAN-BECK
/SWS-SEC/TD-WATERHOUSE/BB-T-CAP
/WM-BLAIR/D-A-NOYES/SANDERS-HARRIS
/STERNE-AGEE/SUNTRUST-CAP</t>
  </si>
  <si>
    <t>MORGAN-STANLEY/CITIGROUP/A-G-EDWARDS</t>
  </si>
  <si>
    <t>MORGAN-STANLEY
(JB)/CITIGROUP(JB)
/A-G-EDWARDS(JB)
ADVEST
DOFT
FIXED-INC
HR-BLOCK-FIN
JANNEY-LLC
LEGG-MASON-WW
OPPENHEIMER-CO
PNC-CAPITAL
RAYMOND
RBC-CAP-MKTS
STEPHENS
WEDBUSH-M</t>
  </si>
  <si>
    <t>Morgan Stanley
Citigroup
AG Edwards &amp; Sons Inc
Advest Inc
Doft &amp; Co Inc
Fixed Income Securities Inc
H&amp;R Block Financial Advisors
Janney Montgomery Scott LLC
Legg Mason Wood Walker Inc
Oppenheimer &amp; Co Inc
PNC Capital Markets
Raymond James &amp; Associates Inc
RBC Capital Markets
Stephens Inc
Wedbush Securities</t>
  </si>
  <si>
    <t>Platinum Energy Resources Inc</t>
  </si>
  <si>
    <t>PGRI</t>
  </si>
  <si>
    <t>CANTOR
/CASIMIR-CAPITAL(JB)</t>
  </si>
  <si>
    <t>Cantor Fitzgerald Inc
Casimir Capital LP</t>
  </si>
  <si>
    <t>Pacific Intl Grp Hldg LLC</t>
  </si>
  <si>
    <t>CANTOR(JB)/CASIMIR-CAPITAL(JB)</t>
  </si>
  <si>
    <t>CANTOR/CASIMIR-CAPITAL</t>
  </si>
  <si>
    <t>CANTOR
(JB)/CASIMIR-CAPITAL(JB)</t>
  </si>
  <si>
    <t>Calamos Glbl Ttl Rtn Fnd</t>
  </si>
  <si>
    <t>CGO</t>
  </si>
  <si>
    <t>Citigroup
UBS Investment Bank
Advest Inc
Robert W Baird &amp; Co Inc
H&amp;R Block Financial Advisors
Ferris Baker Watts
Janney Montgomery Scott LLC
Legg Mason Wood Walker
RBC Capital Markets
Stifel Nicolaus &amp; Co Inc
AG Edwards &amp; Sons Inc
Crowell Weedon &amp; Co
Doft &amp; Co Inc
KeyCorp/McDonald Investments
Morgan Keegan Inc
SunTrust Capital Markets
TD Waterhouse Investor Svcs
Piper Jaffray Cos
Wedbush Securities
BB&amp;T Capital Markets
Brookstreet Securities
CMG Institutional Trading LLC
Sanders Morris Harris Inc
DA Davidson &amp; Co Inc
David A. Noyes
First Southwest
Gilford Securities
GunnAllen Financial Inc
Johnston Lemon &amp; Co Inc
Maxim Group LLC
National Securities Corp (US)
Southwest Securities Inc
Sterne Agee &amp; Leach Inc
Stockcross Inc
Strand,Atkinson,Williams&amp;Yerl
The Seidler Companies Inc</t>
  </si>
  <si>
    <t>04/24/06
04/24/06</t>
  </si>
  <si>
    <t>CITIGROUP(JB)/UBS-INV-BANK(JB)//ADVEST
/BAIRD/HR-BLOCK-FIN/FERRIS-BAKER
/JANNEY-LLC/LEGG-MASON-WW/RBC-CAP-MKTS
/STIFEL//A-G-EDWARDS/CROWELL/DOFT
/KEY-MCDONALD/MORGAN-KEEGAN
/SUNTRUST-CAP/TD-WATERHOUSE
/PIPER-JAFFRAY/WEDBUSH-M/BB-T-CAP
/BROOKSTREET/CMG-LLC/SANDERS-HARRIS
/DAVIDSON/D-A-NOYES/FIRST-SW/GILFORD
/GUNNALLEN-FINL/JOHNSTON-LEMON
/MAXIM-GROUP/NATL-SEC/SWS-SEC
/STERNE-AGEE/STOCK-INC/STRAND-ATKIN
/SEIDLER-CO-INC</t>
  </si>
  <si>
    <t>CITIGROUP
(JB)/UBS-INV-BANK(JB)
ADVEST
BAIRD
HR-BLOCK-FIN
FERRIS-BAKER
JANNEY-LLC
LEGG-MASON-WW
RBC-CAP-MKTS
STIFEL</t>
  </si>
  <si>
    <t>Citigroup
UBS Investment Bank
Advest Inc
Robert W Baird &amp; Co Inc
H&amp;R Block Financial Advisors
Ferris Baker Watts Inc
Janney Montgomery Scott LLC
Legg Mason Wood Walker Inc
RBC Capital Markets
Stifel Nicolaus &amp; Co Inc</t>
  </si>
  <si>
    <t>Cogdell Spencer Inc</t>
  </si>
  <si>
    <t>CSA</t>
  </si>
  <si>
    <t>19238U107</t>
  </si>
  <si>
    <t>Banc of America Securities LLC
Citigroup
BB&amp;T Capital Markets</t>
  </si>
  <si>
    <t>04/24/06
04/24/06
04/24/06</t>
  </si>
  <si>
    <t>BA-SEC-LLC(JB)/CITIGROUP(JB)//BB-T-CAP</t>
  </si>
  <si>
    <t>BA-SEC-LLC/CITIGROUP</t>
  </si>
  <si>
    <t>BA-SEC-LLC
(JB)/CITIGROUP(JB)
BB-T-CAP</t>
  </si>
  <si>
    <t>Enhanced Government Fund Inc</t>
  </si>
  <si>
    <t>EGF</t>
  </si>
  <si>
    <t>29332K103</t>
  </si>
  <si>
    <t>Merrill Lynch
Citigroup
Advest Inc
Fixed Income Securities Inc
JJB Hilliard WL Lyons Inc
BB&amp;T Capital Markets
Robert W Baird &amp; Co Inc
William Blair &amp; Co
Deutsche Bank Securities
Doft &amp; Co Inc
Dominick &amp; Dominick Inc
Ferris Baker Watts
Hongkong &amp; Shanghai Bank (HK)
J. B. Hanauer
KeyCorp/McDonald Investments
Legg Mason Wood Walker
Morgan Keegan Inc
Northeast Securities Inc.
Piper Jaffray Cos
M. L. Stern
SunTrust Capital Markets
Wedbush Securities
Anderson &amp; Strudwick
Axiom Capital Management Inc
Brookstreet Securities
Capital Growth Financial LLC
GunnAllen Financial Inc
Hoefer &amp; Arnett Inc
Howe Barnes Investments Inc
Huntleigh Securities Corp
Jesup &amp; Lamont Securities
LaSalle Street Securities Inc
Maxim Group LLC
McGinn, Smith &amp; Co Inc
Mesirow Financial Corp
Morgan Wilshire Securities
Natcity Investments Inc.
National Securities Corp (US)
Newbridge Securities
Peacock Hislop Staley &amp; Given
Royal Alliance Associates
Source Capital Group Inc
David A. Noyes
Southwest Securities Inc
Stanford Group Company
Sterne Agee &amp; Leach Inc
Stone &amp; Youngberg
Strand,Atkinson,Williams&amp;Yerl
Susquehanna Brokerage Services
Torrey Pines Securities
JP Turner &amp; Co
Westminster Finl Sec Inc
Wunderlich Securities Inc</t>
  </si>
  <si>
    <t>MERRILL(JB)/CITIGROUP(JB)//ADVEST
/FIXED-INC/HILLIARD//BB-T-CAP/BAIRD
/WM-BLAIR/DBSECU/DOFT/DOMINICK
/FERRIS-BAKER/HONG-SHANG-BKG
/J-B-HANAUER/KEY-MCDONALD/LEGG-MASON-WW
/MORGAN-KEEGAN/NORTHEAST-SEC
/PIPER-JAFFRAY/M-L-STERN/SUNTRUST-CAP
/WEDBUSH-M/ANDERSON/AXIOM-CAP
/BROOKSTREET/CGF-SEC/GUNNALLEN-FINL
/HOEFER-ARNETT/HOWE-BARNES
/HUNTLEIGH-SEC/JESUP/LASALLE-SEC
/MAXIM-GROUP/MCGINN-SMITH/MESIROW-FIN
/MORGAN-WILSHIRE/NATCITY-INVEST
/NATL-SEC/NEWBRIDGE/PEACOCK-HISLOP
/ROYAL-ALLIANCE/SOURCE-CAPITAL
/D-A-NOYES/SWS-SEC/STANFORD-GROUP
/STERNE-AGEE/STONE-YOUNG/STRAND-ATKIN
/SUSQUEHANNA/TORREY-PINES/J-P-TURNER
/WEST-FIN-SEC/WUNDERLICH</t>
  </si>
  <si>
    <t>MERRILL
(JB)/CITIGROUP(JB)
ADVEST
FIXED-INC
HILLIARD</t>
  </si>
  <si>
    <t>Merrill Lynch &amp; Co Inc
Citigroup
Advest Inc
Fixed Income Securities Inc
JJB Hilliard WL Lyons Inc</t>
  </si>
  <si>
    <t>Evergreen Intl Balance Inc Fd</t>
  </si>
  <si>
    <t>EBI</t>
  </si>
  <si>
    <t>30024R109</t>
  </si>
  <si>
    <t>Merrill Lynch
Wachovia Securities Inc
Advest Inc
Robert W Baird &amp; Co Inc
Wells Fargo Securities LLC
BB&amp;T Capital Markets
William Blair &amp; Co
Crowell Weedon &amp; Co
DA Davidson &amp; Co Inc
Deutsche Bank Securities
Doft &amp; Co Inc
Ferris Baker Watts
KeyCorp/McDonald Investments
Morgan Keegan Inc
Piper Jaffray Cos
Ryan Beck &amp; Co
SunTrust Capital Markets
Wedbush Securities
Anderson &amp; Strudwick
Axiom Capital Management Inc
Bishop, Rosen &amp; Co
Brean Murray &amp; Co Inc
Brookstreet Securities
City Securities
First Montauk Securities
GunnAllen Financial Inc
J. B. Hanauer
Hoefer &amp; Arnett Inc
Jesup &amp; Lamont Securities
Johnston Lemon &amp; Co Inc
LaSalle Street Securities Inc
Maxim Group LLC
McGinn, Smith &amp; Co Inc
Mesirow Financial Corp
Morgan Wilshire Securities
National Securities Corp (US)
Northeast Securities Inc.
David A. Noyes
Peacock Hislop Staley &amp; Given
Royal Alliance Associates
The Seidler Companies Inc
Source Capital Group Inc
Southwest Securities Inc
Stanford Group Company
Strand,Atkinson,Williams&amp;Yerl
Susquehanna Brokerage Services</t>
  </si>
  <si>
    <t>MERRILL(JB)/WACHOVIA-SEC(JB)//ADVEST
/BAIRD/WELLS-FARGO-SEC//BB-T-CAP
/WM-BLAIR/CROWELL/DAVIDSON/DBSECU/DOFT
/FERRIS-BAKER/KEY-MCDONALD
/MORGAN-KEEGAN/PIPER-JAFFRAY/RYAN-BECK
/SUNTRUST-CAP/WEDBUSH-M/ANDERSON
/AXIOM-CAP/BISHOP-ROSEN/BREAN
/BROOKSTREET/CITY-SEC/FIRST-MONTAUK
/GUNNALLEN-FINL/J-B-HANAUER
/HOEFER-ARNETT/JESUP/JOHNSTON-LEMON
/LASALLE-SEC/MAXIM-GROUP/MCGINN-SMITH
/MESIROW-FIN/MORGAN-WILSHIRE/NATL-SEC
/NORTHEAST-SEC/D-A-NOYES/PEACOCK-HISLOP
/ROYAL-ALLIANCE/SEIDLER-CO-INC
/SOURCE-CAPITAL/SWS-SEC/STANFORD-GROUP
/STRAND-ATKIN/SUSQUEHANNA</t>
  </si>
  <si>
    <t>MERRILL
(JB)/WACHOVIA-SEC(JB)
ADVEST
BAIRD
WELLS-FARGO-SEC</t>
  </si>
  <si>
    <t>Merrill Lynch &amp; Co Inc
Wachovia Securities Inc
Advest Inc
Robert W Baird &amp; Co Inc
Wells Fargo Securities LLC</t>
  </si>
  <si>
    <t>Hercules Offshore Inc</t>
  </si>
  <si>
    <t>HERO</t>
  </si>
  <si>
    <t>Credit Suisse First Boston
Citigroup
Simmons &amp; Co International
Deutsche Bank Securities Corp
Howard Weil Financial Corp
Jefferies &amp; Co Inc
Pickering Energy Partners Inc
Pritchard Capital Partners LLC
Sanders Morris Harris Inc
Sterne Agee &amp; Leach Inc
Petrie Parkman &amp; Co Inc
CMG Institutional Trading LLC</t>
  </si>
  <si>
    <t>CS-FB-CS(JB)/CITIGROUP(JB)//SIMMONS
/DEUTSCHE-BK-SEC/HOWARD-WEIL-FIN
//JEFFERIES/PICK-ENERGY/PRITCHARD-CAP
/SANDERS-HARRIS/STERNE-AGEE
/PETRIE-PARKMAN/CMG-LLC</t>
  </si>
  <si>
    <t>CS-FB-CS
(JB)/CITIGROUP(JB)
SIMMONS
DEUTSCHE-BK-SEC
HOWARD-WEIL-FIN</t>
  </si>
  <si>
    <t>Credit Suisse First Boston Corp
Citigroup
Simmons &amp; Co International
Deutsche Bank Securities Corp.
Howard Weil Financial Corp</t>
  </si>
  <si>
    <t>ING Global Advtg Prem Opp Fd</t>
  </si>
  <si>
    <t>IGA</t>
  </si>
  <si>
    <t>MERRILL/CITIGROUP(JB)
/UBS-INV-BANK(JB)
/A-G-EDWARDS(JB)</t>
  </si>
  <si>
    <t>44982N109</t>
  </si>
  <si>
    <t>Merrill Lynch
Citigroup
UBS Investment Bank
AG Edwards &amp; Sons Inc
Advest Inc
Robert W Baird &amp; Co Inc
H&amp;R Block Financial Advisors
Crowell Weedon &amp; Co
Ferris Baker Watts
JJB Hilliard WL Lyons Inc
Janney Montgomery Scott LLC
Legg Mason Wood Walker
RBC Capital Markets
Stifel Nicolaus &amp; Co Inc
Wedbush Securities
Wells Fargo Securities LLC
BB&amp;T Capital Markets
William Blair &amp; Co
DA Davidson &amp; Co Inc
Deutsche Bank Securities
Doft &amp; Co Inc
Hongkong &amp; Shanghai Bank (HK)
KeyCorp/McDonald Investments
Morgan Keegan Inc
Oppenheimer &amp; Co Inc
Piper Jaffray Cos
Ryan Beck &amp; Co
M. L. Stern
SunTrust Capital Markets
TD Waterhouse Investor Svcs
Anderson &amp; Strudwick
Arthurs Lestrange
Axiom Capital Management Inc
Brean Murray &amp; Co Inc
Brookstreet Securities
Fifth Third Securities Inc
First Montauk Securities
First New York Equity
First Southwest
Gilford Securities
GunnAllen Financial Inc
Hazlett, Burt &amp; Watson
Hoefer &amp; Arnett Inc
Huntleigh Securities Corp
Jesup &amp; Lamont Securities
Johnston Lemon &amp; Co Inc
Maxim Group LLC
McGinn, Smith &amp; Co Inc
Mesirow Financial Corp
Morgan Wilshire Securities
Natcity Investments Inc.
National Securities Corp (US)
Northeast Securities Inc.
David A. Noyes
PMK Securities &amp; Research Inc
Paulson Investment Co
Royal Alliance Associates
Sanders Morris Harris Inc
The Seidler Companies Inc
Muriel Siebert &amp; Co
Source Capital Group Inc
Southwest Securities Inc
Stanford Group Company
Sterne Agee &amp; Leach Inc
Stone &amp; Youngberg
Strand,Atkinson,Williams&amp;Yerl
Susquehanna Brokerage Services
Torrey Pines Securities
JP Turner &amp; Co
Westminster Finl Sec Inc</t>
  </si>
  <si>
    <t>MERRILL(JB)/CITIGROUP(JB)
/UBS-INV-BANK(JB)/A-G-EDWARDS(JB)
//ADVEST/BAIRD/HR-BLOCK-FIN/CROWELL
/FERRIS-BAKER/HILLIARD/JANNEY-LLC
/LEGG-MASON-WW/RBC-CAP-MKTS/STIFEL
/WEDBUSH-M/WELLS-FARGO-SEC//BB-T-CAP
/WM-BLAIR/DAVIDSON/DBSECU/DOFT
/HONG-SHANG-BKG/KEY-MCDONALD
/MORGAN-KEEGAN/OPPENHEIMER-CO
/PIPER-JAFFRAY/RYAN-BECK/M-L-STERN
/SUNTRUST-CAP/TD-WATERHOUSE/ANDERSON
/ARTHURS-LES/AXIOM-CAP/BREAN
/BROOKSTREET/FIFTH-THIRD-SEC
/FIRST-MONTAUK/FIRST-NY-EQUITY/FIRST-SW
/GILFORD/GUNNALLEN-FINL/HAZLETT
/HOEFER-ARNETT/HUNTLEIGH-SEC/JESUP
/JOHNSTON-LEMON/MAXIM-GROUP
/MCGINN-SMITH/MESIROW-FIN
/MORGAN-WILSHIRE/NATCITY-INVEST
/NATL-SEC/NORTHEAST-SEC/D-A-NOYES
/PMK-SECURITIES/PAULSON/ROYAL-ALLIANCE
/SANDERS-HARRIS/SEIDLER-CO-INC/MURIEL
/SOURCE-CAPITAL/SWS-SEC/STANFORD-GROUP
/STERNE-AGEE/STONE-YOUNG/STRAND-ATKIN
/SUSQUEHANNA/TORREY-PINES/J-P-TURNER
/WEST-FIN-SEC</t>
  </si>
  <si>
    <t>MERRILL/CITIGROUP/UBS-INV-BANK
/A-G-EDWARDS</t>
  </si>
  <si>
    <t>MERRILL
(JB)/CITIGROUP(JB)
/UBS-INV-BANK(JB)
/A-G-EDWARDS(JB)
ADVEST
BAIRD
HR-BLOCK-FIN
CROWELL
FERRIS-BAKER
HILLIARD
JANNEY-LLC
LEGG-MASON-WW
RBC-CAP-MKTS
STIFEL
WEDBUSH-M
WELLS-FARGO-SEC</t>
  </si>
  <si>
    <t>Merrill Lynch &amp; Co Inc
Citigroup
UBS Investment Bank
AG Edwards &amp; Sons Inc
Advest Inc
Robert W Baird &amp; Co Inc
H&amp;R Block Financial Advisors
Crowell Weedon &amp; Co
Ferris Baker Watts Inc
JJB Hilliard WL Lyons Inc
Janney Montgomery Scott LLC
Legg Mason Wood Walker Inc
RBC Capital Markets
Stifel Nicolaus &amp; Co Inc
Wedbush Securities
Wells Fargo Securities LLC</t>
  </si>
  <si>
    <t>Mathstar Inc</t>
  </si>
  <si>
    <t>MATH</t>
  </si>
  <si>
    <t>12/25/05
01/24/06
04/24/06
10/21/06</t>
  </si>
  <si>
    <t>0.373
1.209
49.540
18.298</t>
  </si>
  <si>
    <t>58634.00
189928.00
7780206.00
2873633.00</t>
  </si>
  <si>
    <t>Tortoise N American Energy</t>
  </si>
  <si>
    <t>TYN</t>
  </si>
  <si>
    <t>RBC-CAP-MKTS/STIFEL(JB)</t>
  </si>
  <si>
    <t>89147T103</t>
  </si>
  <si>
    <t>RBC Capital Markets
Stifel Nicolaus &amp; Co Inc
AG Edwards &amp; Sons Inc
Lehman Brothers
Oppenheimer &amp; Co Inc
Wachovia Securities Inc
Advest Inc
BB&amp;T Capital Markets
Ferris Baker Watts
JJB Hilliard WL Lyons Inc
Key Banc Capital Markets
Morgan Keegan Inc
Ryan Beck &amp; Co
SMH Capital Inc
Wells Fargo Securities LLC
Wunderlich Securities Inc
Natcity Investments Inc.
Redwine &amp; Company Inc
GMS Group Inc.
HARRISdirect LLC
SunTrust Capital Markets
The Seidler Companies Inc
Wedbush Securities
David A. Noyes
Howe Barnes Investments Inc
Johnston Lemon &amp; Co Inc
National Securities Corp (US)
Northeast Securities Inc.
Southwest Securities Inc</t>
  </si>
  <si>
    <t>RBC-CAP-MKTS(JB)/STIFEL(JB)
//A-G-EDWARDS/LEH/OPPENHEIMER-CO
/WACHOVIA-SEC/ADVEST/BB-T-CAP
/FERRIS-BAKER/HILLIARD/KEY-BANC-CAP
/MORGAN-KEEGAN/RYAN-BECK/SMH-CAPITAL
/WELLS-FARGO-SEC/WUNDERLICH
//NATCITY-INVEST/REDWINE-CO/GMS
/HARRISDIRECT/SUNTRUST-CAP
/SEIDLER-CO-INC/WEDBUSH-M/D-A-NOYES
/HOWE-BARNES/JOHNSTON-LEMON/NATL-SEC
/NORTHEAST-SEC/SWS-SEC</t>
  </si>
  <si>
    <t>RBC-CAP-MKTS/STIFEL</t>
  </si>
  <si>
    <t>RBC-CAP-MKTS
(JB)/STIFEL(JB)
A-G-EDWARDS
LEH
OPPENHEIMER-CO
WACHOVIA-SEC
ADVEST
BB-T-CAP
FERRIS-BAKER
HILLIARD
KEY-BANC-CAP
MORGAN-KEEGAN
RYAN-BECK
SMH-CAPITAL
WELLS-FARGO-SEC
WUNDERLICH</t>
  </si>
  <si>
    <t>RBC Capital Markets
Stifel Nicolaus &amp; Co Inc
AG Edwards &amp; Sons Inc
Lehman Brothers
Oppenheimer &amp; Co Inc
Wachovia Securities Inc
Advest Inc
BB&amp;T Capital Markets
Ferris Baker Watts Inc
JJB Hilliard WL Lyons Inc
Key Banc Capital Markets
Morgan Keegan Inc
Ryan Beck &amp; Co
SMH Capital Inc
Wells Fargo Securities LLC
Wunderlich Securities Inc</t>
  </si>
  <si>
    <t>VoIPLabs Holdings Inc</t>
  </si>
  <si>
    <t>ONTC</t>
  </si>
  <si>
    <t>WOLVERTON</t>
  </si>
  <si>
    <t>66987K103</t>
  </si>
  <si>
    <t>Wolverton Securities Ltd.</t>
  </si>
  <si>
    <t>Accentia Biopharmaceuticals</t>
  </si>
  <si>
    <t>ABPI</t>
  </si>
  <si>
    <t>00430L103</t>
  </si>
  <si>
    <t>Jefferies &amp; Co Inc
Ferris Baker Watts
Stifel Nicolaus &amp; Co Inc
GunnAllen Financial Inc</t>
  </si>
  <si>
    <t>04/25/06
04/25/06</t>
  </si>
  <si>
    <t xml:space="preserve">83.612
11.243
</t>
  </si>
  <si>
    <t xml:space="preserve">24138245.00
3245871.00
</t>
  </si>
  <si>
    <t>JEFFERIES//FERRIS-BAKER/STIFEL
/GUNNALLEN-FINL</t>
  </si>
  <si>
    <t>JEFFERIES
FERRIS-BAKER
STIFEL
GUNNALLEN-FINL</t>
  </si>
  <si>
    <t>Jefferies &amp; Co Inc
Ferris Baker Watts Inc
Stifel Nicolaus &amp; Co Inc
GunnAllen Financial, Inc.</t>
  </si>
  <si>
    <t>NxStage Medical Inc</t>
  </si>
  <si>
    <t>NXTM</t>
  </si>
  <si>
    <t>67072V103</t>
  </si>
  <si>
    <t>Merrill Lynch
Thomas Weisel Partners
William Blair &amp; Co
JMP Securities LLC
First Albany Capital Inc
Leerink Swann &amp; Co
Pacific Growth Equities Inc
Susquehanna Brokerage Services
Wachovia Capital Markets
EquiServe Trust Co</t>
  </si>
  <si>
    <t>01/25/06
04/25/06</t>
  </si>
  <si>
    <t>0.043
60.429</t>
  </si>
  <si>
    <t>9000.00
12700000.00</t>
  </si>
  <si>
    <t>MERRILL//THOMAS-WEISEL/WM-BLAIR/JMP-SEC
//FIRST-AL-CAP/LEERINK-SWANN
/PACIFIC-GROWTH/SUSQUEHANNA
/WACHOVIA-CAP/EQUISERVE</t>
  </si>
  <si>
    <t>MERRILL
THOMAS-WEISEL
WM-BLAIR
JMP-SEC</t>
  </si>
  <si>
    <t>Merrill Lynch &amp; Co Inc
Thomas Weisel Partners
William Blair &amp; Co
JMP Securities LLC</t>
  </si>
  <si>
    <t>Electro-Optical Sciences Inc</t>
  </si>
  <si>
    <t>MELA</t>
  </si>
  <si>
    <t>THINK</t>
  </si>
  <si>
    <t>ThinkEquity Partners
Stanford Group Company</t>
  </si>
  <si>
    <t>07/25/06
07/25/06
07/25/06</t>
  </si>
  <si>
    <t xml:space="preserve">
30.693
</t>
  </si>
  <si>
    <t>270
270
270</t>
  </si>
  <si>
    <t xml:space="preserve">
3226819.00
</t>
  </si>
  <si>
    <t>THINK/STANFORD-GROUP(JOINT)</t>
  </si>
  <si>
    <t>THINK/STANFORD-GROUP</t>
  </si>
  <si>
    <t>THINK
/STANFORD-GROUP(JOINT)</t>
  </si>
  <si>
    <t>Cbeyond Communications Inc</t>
  </si>
  <si>
    <t>CBEY</t>
  </si>
  <si>
    <t>Deutsche Bank Securities Corp
Raymond James &amp; Associates Inc
Thomas Weisel Partners
ThinkEquity Partners</t>
  </si>
  <si>
    <t>01/30/06
04/30/06
04/30/06</t>
  </si>
  <si>
    <t xml:space="preserve">0.123
75.717
</t>
  </si>
  <si>
    <t xml:space="preserve">31456.00
19370872.00
</t>
  </si>
  <si>
    <t>DEUTSCHE-BK-SEC//RAYMOND/THOMAS-WEISEL
/THINK</t>
  </si>
  <si>
    <t>DEUTSCHE-BK-SEC
RAYMOND
THOMAS-WEISEL
THINK</t>
  </si>
  <si>
    <t>Deutsche Bank Securities Corp.
Raymond James &amp; Associates Inc
Thomas Weisel Partners
ThinkEquity Partners</t>
  </si>
  <si>
    <t>Newkirk Realty Trust Inc</t>
  </si>
  <si>
    <t>NKT</t>
  </si>
  <si>
    <t>BEAR/CS-FB-CS(JB)</t>
  </si>
  <si>
    <t>Bear Stearns &amp; Co Inc
Credit Suisse First Boston
Friedman Billings Ramsey Group
KeyCorp/McDonald Investments
UBS Investment Bank</t>
  </si>
  <si>
    <t>10/27/06
04/30/06</t>
  </si>
  <si>
    <t>360
180</t>
  </si>
  <si>
    <t>BEAR(JB)/CS-FB-CS(JB)//FRIEDMAN-B
/KEY-MCDONALD/UBS-INV-BANK</t>
  </si>
  <si>
    <t>BEAR/CS-FB-CS</t>
  </si>
  <si>
    <t>BEAR
(JB)/CS-FB-CS(JB)
FRIEDMAN-B
KEY-MCDONALD
UBS-INV-BANK</t>
  </si>
  <si>
    <t>Bear Stearns &amp; Co Inc
Credit Suisse First Boston Corp
Friedman Billings Ramsey Group
KeyCorp/McDonald Investments
UBS Investment Bank</t>
  </si>
  <si>
    <t>Website Pros Inc</t>
  </si>
  <si>
    <t>WSPI</t>
  </si>
  <si>
    <t>94769V105</t>
  </si>
  <si>
    <t>Friedman Billings Ramsey Group
Piper Jaffray Cos
RBC Capital Markets
Robert W Baird &amp; Co Inc
First Albany Capital Inc
Pacific Growth Equities Inc
Stifel Nicolaus &amp; Co Inc
ThinkEquity Partners</t>
  </si>
  <si>
    <t>01/30/06
04/30/06
04/30/06
04/30/06</t>
  </si>
  <si>
    <t xml:space="preserve">0.043
52.272
</t>
  </si>
  <si>
    <t xml:space="preserve">7097.00
8622038.00
</t>
  </si>
  <si>
    <t>FRIEDMAN-B//PIPER-JAFFRAY/RBC-CAP-MKTS
//BAIRD/FIRST-AL-CAP/PACIFIC-GROWTH
/STIFEL/THINK</t>
  </si>
  <si>
    <t>FRIEDMAN-B
PIPER-JAFFRAY
RBC-CAP-MKTS</t>
  </si>
  <si>
    <t>Friedman Billings Ramsey Group
Piper Jaffray Cos
RBC Capital Markets</t>
  </si>
  <si>
    <t>Boardwalk Pipeline Partners LP</t>
  </si>
  <si>
    <t>BWP</t>
  </si>
  <si>
    <t>096627104</t>
  </si>
  <si>
    <t>Citigroup
Lehman Brothers
Goldman Sachs &amp; Co
Merrill Lynch
Morgan Stanley
UBS Investment Bank
Wachovia Capital Markets
AG Edwards &amp; Sons Inc
Deutsche Bank Securities Corp
KeyCorp/McDonald Investments
Raymond James &amp; Associates Inc
RBC Capital Markets</t>
  </si>
  <si>
    <t>05/07/06
05/07/06</t>
  </si>
  <si>
    <t>CITIGROUP(JB)/LEH(JB)//GS/MERRILL
/MORGAN-STANLEY/UBS-INV-BANK
/WACHOVIA-CAP/A-G-EDWARDS
/DEUTSCHE-BK-SEC/KEY-MCDONALD/RAYMOND
/RBC-CAP-MKTS</t>
  </si>
  <si>
    <t>iROBOT Corp</t>
  </si>
  <si>
    <t>IRBT</t>
  </si>
  <si>
    <t>Morgan Stanley
JP Morgan
First Albany Capital Inc
Needham &amp; Co LLC
Adams Harkness &amp; Hill Inc
ThinkEquity Partners</t>
  </si>
  <si>
    <t>05/07/06
05/07/06
05/07/06</t>
  </si>
  <si>
    <t xml:space="preserve">
79.711</t>
  </si>
  <si>
    <t xml:space="preserve">
18562281.00</t>
  </si>
  <si>
    <t>MORGAN-STANLEY(JB)/JPM(JB)
//FIRST-AL-CAP/NEEDHAM/ADAMS-HARKNESS
//THINK</t>
  </si>
  <si>
    <t>MORGAN-STANLEY
(JB)/JPM(JB)
FIRST-AL-CAP
NEEDHAM
ADAMS-HARKNESS</t>
  </si>
  <si>
    <t>Morgan Stanley
JP Morgan &amp; Co Inc
First Albany Capital Inc
Needham &amp; Co LLC
Adams Harkness &amp; Hill Inc</t>
  </si>
  <si>
    <t>Saifun Semiconductors Ltd</t>
  </si>
  <si>
    <t>SFUN</t>
  </si>
  <si>
    <t>M8233P102</t>
  </si>
  <si>
    <t>Lehman Brothers
Deutsche Bank Securities Corp
CIBC World Markets Inc
William Blair &amp; Co
Raymond James &amp; Associates Inc</t>
  </si>
  <si>
    <t xml:space="preserve">80.474
</t>
  </si>
  <si>
    <t xml:space="preserve">23697517.00
</t>
  </si>
  <si>
    <t>LEH//DEUTSCHE-BK-SEC/CIBC-WORLD
/WM-BLAIR/RAYMOND</t>
  </si>
  <si>
    <t>LEH
DEUTSCHE-BK-SEC
CIBC-WORLD
WM-BLAIR
RAYMOND</t>
  </si>
  <si>
    <t>Lehman Brothers
Deutsche Bank Securities Corp.
CIBC World Markets Inc
William Blair &amp; Co
Raymond James &amp; Associates Inc</t>
  </si>
  <si>
    <t>CombinatoRx Inc</t>
  </si>
  <si>
    <t>CRXX</t>
  </si>
  <si>
    <t>20010A103</t>
  </si>
  <si>
    <t>SG Cowen Securities Corp
Pacific Growth Equities Inc
Lazard Capital Markets
AG Edwards &amp; Sons Inc</t>
  </si>
  <si>
    <t>05/08/06
05/08/06</t>
  </si>
  <si>
    <t xml:space="preserve">72.746
</t>
  </si>
  <si>
    <t xml:space="preserve">16237654.00
</t>
  </si>
  <si>
    <t>SG-COWEN//PACIFIC-GROWTH/LAZARD-CAP-MKT
/A-G-EDWARDS</t>
  </si>
  <si>
    <t>SG-COWEN
PACIFIC-GROWTH
LAZARD-CAP-MKT
A-G-EDWARDS</t>
  </si>
  <si>
    <t>Clear Channel Outdoor Hldg Inc</t>
  </si>
  <si>
    <t>CCO</t>
  </si>
  <si>
    <t>GS/DEUTSCHE-BK-SEC(JB)
/JPM(JB)/MERRILL(JB)
/UBS-INV-BANK(JB)</t>
  </si>
  <si>
    <t>18451C109</t>
  </si>
  <si>
    <t>Goldman Sachs &amp; Co
Deutsche Bank Securities Corp
JP Morgan
Merrill Lynch
UBS Investment Bank
Banc of America Securities LLC
Bear Stearns &amp; Co Inc
Credit Suisse First Boston
Harris Nesbitt
Allen &amp; Co Inc
Barrington Research Inc.
Wachovia Securities Inc
SunTrust Robinson Humphrey
AG Edwards &amp; Sons Inc
MR Beal &amp; Co
Samuel A. Ramirez &amp; Co.
Siebert Financial Corp
Goldman Sachs &amp; Co</t>
  </si>
  <si>
    <t>05/09/06
05/09/06</t>
  </si>
  <si>
    <t>CCU</t>
  </si>
  <si>
    <t>Clear Channel Commun Inc</t>
  </si>
  <si>
    <t>GS(JB)/DEUTSCHE-BK-SEC(JB)/JPM(JB)
/MERRILL(JB)/UBS-INV-BANK(JB)
//BA-SEC-LLC/BEAR/CS-FB-CS/HARRN/ALLEN
/BARRINGTON-RES/WACHOVIA-SEC
/SUNTRUST-RH/A-G-EDWARDS/M-R-BEAL
/RAMIREZ/SIEBERT-FIN//GS(GC)</t>
  </si>
  <si>
    <t>GS/DEUTSCHE-BK-SEC/JPM/MERRILL
/UBS-INV-BANK</t>
  </si>
  <si>
    <t>GS
(JB)/DEUTSCHE-BK-SEC(JB)
/JPM(JB)
/MERRILL(JB)
/UBS-INV-BANK(JB)
BA-SEC-LLC
BEAR
CS-FB-CS
HARRN
ALLEN
BARRINGTON-RES
WACHOVIA-SEC
SUNTRUST-RH
A-G-EDWARDS
M-R-BEAL
RAMIREZ
SIEBERT-FIN</t>
  </si>
  <si>
    <t>Goldman Sachs &amp; Co
Deutsche Bank Securities Corp.
JP Morgan &amp; Co Inc
Merrill Lynch &amp; Co Inc
UBS Investment Bank
Banc of America Securities LLC
Bear Stearns &amp; Co Inc
Credit Suisse First Boston Corp
Harris Nesbitt
Allen &amp; Co Inc
Barrington Research Inc.
Wachovia Securities Inc
SunTrust Robinson Humphrey
AG Edwards &amp; Sons Inc
MR Beal &amp; Co
Samuel A. Ramirez &amp; Co.
Siebert Financial Corp</t>
  </si>
  <si>
    <t>IHS Inc</t>
  </si>
  <si>
    <t>IHS</t>
  </si>
  <si>
    <t>Goldman Sachs &amp; Co
Citigroup
Morgan Stanley
UBS Investment Bank
KeyCorp/McDonald Investments
Piper Jaffray Cos</t>
  </si>
  <si>
    <t>11/05/06
05/09/06
12/10/05
05/09/06
06/09/06
11/05/06
10/31/07
10/25/08</t>
  </si>
  <si>
    <t xml:space="preserve">
1.205
1.611
0.796
63.400
10.603
0.243</t>
  </si>
  <si>
    <t>360
180
30
180
211
360
720
1080</t>
  </si>
  <si>
    <t xml:space="preserve">
687887.00
919608.00
454540.00
36182019.00
6051280.00
138866.00</t>
  </si>
  <si>
    <t>GS(JB)/CITIGROUP(JB)
/MORGAN-STANLEY(JOINT)//UBS-INV-BANK
/KEY-MCDONALD/PIPER-JAFFRAY</t>
  </si>
  <si>
    <t>GS/CITIGROUP/MORGAN-STANLEY</t>
  </si>
  <si>
    <t>GS
(JB)/CITIGROUP(JB)
/MORGAN-STANLEY(JOINT)
UBS-INV-BANK
KEY-MCDONALD
PIPER-JAFFRAY</t>
  </si>
  <si>
    <t>Cold Spring Capital Inc</t>
  </si>
  <si>
    <t>CDS</t>
  </si>
  <si>
    <t>Deutsche Bank Securities Corp
BB&amp;T Capital Markets
Joseph Gunnar &amp; Co., LLC
Wunderlich Securities Inc</t>
  </si>
  <si>
    <t>DEUTSCHE-BK-SEC//BB-T-CAP//GUNNAR
/WUNDERLICH</t>
  </si>
  <si>
    <t>DEUTSCHE-BK-SEC
BB-T-CAP</t>
  </si>
  <si>
    <t>Deutsche Bank Securities Corp.
BB&amp;T Capital Markets</t>
  </si>
  <si>
    <t>Vimicro International Corp</t>
  </si>
  <si>
    <t>VIMC</t>
  </si>
  <si>
    <t>92718N109</t>
  </si>
  <si>
    <t>Morgan Stanley
Merrill Lynch
Needham &amp; Co LLC
Piper Jaffray Cos</t>
  </si>
  <si>
    <t>05/13/06
05/13/06</t>
  </si>
  <si>
    <t>MORGAN-STANLEY/MERRILL(JOINT)//NEEDHAM
/PIPER-JAFFRAY</t>
  </si>
  <si>
    <t>MORGAN-STANLEY
/MERRILL(JOINT)
NEEDHAM
PIPER-JAFFRAY</t>
  </si>
  <si>
    <t>Morgan Stanley
Merrill Lynch &amp; Co Inc
Needham &amp; Co LLC
Piper Jaffray Cos</t>
  </si>
  <si>
    <t>IntercontinentalExchange Inc</t>
  </si>
  <si>
    <t>ICE</t>
  </si>
  <si>
    <t>45865V100</t>
  </si>
  <si>
    <t>Morgan Stanley
Goldman Sachs &amp; Co
William Blair &amp; Co
Sandler O'Neill Partners
SG Americas Securities LLC
Susquehanna Financial Group
Blaylock &amp; Partners LP
Chatsworth Securities LLC
E*Trade Securities Inc</t>
  </si>
  <si>
    <t>02/13/06
05/14/06
05/14/06</t>
  </si>
  <si>
    <t xml:space="preserve">65.727
</t>
  </si>
  <si>
    <t xml:space="preserve">36456479.00
</t>
  </si>
  <si>
    <t>MORGAN-STANLEY(JB)/GS(JB)//WM-BLAIR
/SANDLER-ONEILL/SG-AMERICAS-SEC
//SUSQUEHANNA-FIN/BLAYLOCK-PTRNS
/CHATSWORTH/E*TRADE-SEC</t>
  </si>
  <si>
    <t>MORGAN-STANLEY
(JB)/GS(JB)
WM-BLAIR
SANDLER-ONEILL
SG-AMERICAS-SEC</t>
  </si>
  <si>
    <t>Morgan Stanley
Goldman Sachs &amp; Co
William Blair &amp; Co
Sandler O'Neill Partners  L.P.
SG Americas Securities LLC</t>
  </si>
  <si>
    <t>SunPower Corp</t>
  </si>
  <si>
    <t>SPWR</t>
  </si>
  <si>
    <t>Credit Suisse First Boston
Lehman Brothers
SG Cowen Securities Corp
First Albany Capital Inc</t>
  </si>
  <si>
    <t>05/15/06
08/13/06
05/15/06
08/13/06</t>
  </si>
  <si>
    <t xml:space="preserve">0.128
86.998
</t>
  </si>
  <si>
    <t>180
270
180
270</t>
  </si>
  <si>
    <t xml:space="preserve">76652.00
52033287.00
</t>
  </si>
  <si>
    <t>CS-FB-CS(JB)/LEH(JB)//SG-COWEN
/FIRST-AL-CAP</t>
  </si>
  <si>
    <t>CS-FB-CS
(JB)/LEH(JB)
SG-COWEN
FIRST-AL-CAP</t>
  </si>
  <si>
    <t>Credit Suisse First Boston Corp
Lehman Brothers
SG Cowen Securities Corp
First Albany Capital Inc</t>
  </si>
  <si>
    <t>AMERISAFE Inc</t>
  </si>
  <si>
    <t>AMSF</t>
  </si>
  <si>
    <t>03071H100</t>
  </si>
  <si>
    <t>Friedman Billings Ramsey Group
William Blair &amp; Co
Fox-Pitt Kelton
Piper Jaffray Cos
Stifel Nicolaus &amp; Co Inc
Cochran, Caronia &amp; Co.</t>
  </si>
  <si>
    <t>05/16/06
05/16/06
05/16/06</t>
  </si>
  <si>
    <t xml:space="preserve">52.423
</t>
  </si>
  <si>
    <t xml:space="preserve">9134223.00
</t>
  </si>
  <si>
    <t>FRIEDMAN-B//WM-BLAIR//FOX-PITT
/PIPER-JAFFRAY/STIFEL/COCHRAN-CARONIA</t>
  </si>
  <si>
    <t>FRIEDMAN-B
WM-BLAIR</t>
  </si>
  <si>
    <t>Friedman Billings Ramsey Group
William Blair &amp; Co</t>
  </si>
  <si>
    <t>Dover Saddlery Inc</t>
  </si>
  <si>
    <t>DOVR</t>
  </si>
  <si>
    <t xml:space="preserve">45.183
</t>
  </si>
  <si>
    <t xml:space="preserve">2266732.00
</t>
  </si>
  <si>
    <t>Under Armour Inc</t>
  </si>
  <si>
    <t>UA</t>
  </si>
  <si>
    <t>Goldman Sachs &amp; Co
CIBC World Markets Inc
Wachovia Securities Inc
Piper Jaffray Cos
Thomas Weisel Partners</t>
  </si>
  <si>
    <t>05/16/06
05/16/06
05/16/06
03/17/06</t>
  </si>
  <si>
    <t>73.313
1.307</t>
  </si>
  <si>
    <t>180
180
180
120</t>
  </si>
  <si>
    <t>34000000.00
606100.00</t>
  </si>
  <si>
    <t>GS//CIBC-WORLD/WACHOVIA-SEC
/PIPER-JAFFRAY/THOMAS-WEISEL</t>
  </si>
  <si>
    <t>GS
CIBC-WORLD
WACHOVIA-SEC
PIPER-JAFFRAY
THOMAS-WEISEL</t>
  </si>
  <si>
    <t>Brookdale Senior Living Inc</t>
  </si>
  <si>
    <t>BKD</t>
  </si>
  <si>
    <t>Goldman Sachs &amp; Co
Lehman Brothers
Citigroup
UBS Investment Bank</t>
  </si>
  <si>
    <t>120
120
120</t>
  </si>
  <si>
    <t>Fortress Investment Group LLC</t>
  </si>
  <si>
    <t>GS(JB)/LEH(JB)//CITIGROUP/UBS-INV-BANK</t>
  </si>
  <si>
    <t>GS
(JB)/LEH(JB)
CITIGROUP
UBS-INV-BANK</t>
  </si>
  <si>
    <t>Tronox Inc</t>
  </si>
  <si>
    <t>TRX</t>
  </si>
  <si>
    <t>LEH/JPM(JB)</t>
  </si>
  <si>
    <t>Lehman Brothers
JP Morgan
Citigroup
Credit Suisse First Boston
ABN AMRO Incorporated
Calyon Securities USA Inc
Friedman Billings Ramsey Group
Scotia Capital (USA) Inc.
SG Cowen Securities Corp
SunTrust Robinson Humphrey</t>
  </si>
  <si>
    <t>05/20/06
03/21/06</t>
  </si>
  <si>
    <t>LEH(JB)/JPM(JB)//CITIGROUP/CS-FB-CS
/ABN-AMRO-INC/CALYON-SEC/FRIEDMAN-B
/SCOTIA-CAP/SG-COWEN/SUNTRUST-RH</t>
  </si>
  <si>
    <t>LEH
(JB)/JPM(JB)
CITIGROUP
CS-FB-CS
ABN-AMRO-INC
CALYON-SEC
FRIEDMAN-B
SCOTIA-CAP
SG-COWEN
SUNTRUST-RH</t>
  </si>
  <si>
    <t>Lehman Brothers
JP Morgan &amp; Co Inc
Citigroup
Credit Suisse First Boston Corp
ABN AMRO Incorporated
Calyon Securities USA Inc
Friedman Billings Ramsey Group
Scotia Capital (USA) Inc.
SG Cowen Securities Corp
SunTrust Robinson Humphrey</t>
  </si>
  <si>
    <t>Union Drilling Inc</t>
  </si>
  <si>
    <t>UDRL</t>
  </si>
  <si>
    <t>90653P105</t>
  </si>
  <si>
    <t>JP Morgan
Jefferies &amp; Co Inc
Bear Stearns &amp; Co Inc
RBC Capital Markets</t>
  </si>
  <si>
    <t>05/20/06
05/20/06
05/20/06</t>
  </si>
  <si>
    <t>JPM/JEFFERIES(JOINT)//BEAR/RBC-CAP-MKTS</t>
  </si>
  <si>
    <t>JPM/JEFFERIES</t>
  </si>
  <si>
    <t>JPM
/JEFFERIES(JOINT)
BEAR
RBC-CAP-MKTS</t>
  </si>
  <si>
    <t>JP Morgan &amp; Co Inc
Jefferies &amp; Co Inc
Bear Stearns &amp; Co Inc
RBC Capital Markets</t>
  </si>
  <si>
    <t>Nuveen Equity Premium &amp; Growth</t>
  </si>
  <si>
    <t>JPG</t>
  </si>
  <si>
    <t>6706EW100</t>
  </si>
  <si>
    <t>Merrill Lynch, Pierce, Fenner
Nuveen Investments LLC
Citigroup
UBS Investment Bank
AG Edwards &amp; Sons Inc
Wachovia Capital Markets
Advest Inc
BB&amp;T Capital Markets
Robert W Baird &amp; Co Inc
Banc of America Securities LLC
H&amp;R Block Financial Advisors
Crowell Weedon &amp; Co
Deutsche Bank Securities Corp
Ferris Baker Watts
JJB Hilliard WL Lyons Inc
Janney Montgomery Scott LLC
KeyCorp/McDonald Investments
Legg Mason Wood Walker
Oppenheimer &amp; Co Inc
RBC Capital Markets
Ryan Beck &amp; Co
Stifel Nicolaus &amp; Co Inc
Wedbush Securities
Wells Fargo Securities LLC
William Blair &amp; Co
Chatsworth Securities LLC
DA Davidson &amp; Co Inc
Doft &amp; Co Inc
Dominick &amp; Dominick Inc
Hongkong &amp; Shanghai Bank (HK)
Harris Nesbitt
Maxim Group LLC
Piper Jaffray Cos
Stephens Inc
SunTrust Capital Markets
TD Waterhouse Investor Svcs
Anderson &amp; Strudwick
Axiom Capital Management Inc
Bishop, Rosen &amp; Co
Brean Murray &amp; Co Inc
Brookstreet Securities
Capital Growth Financial LLC
Fifth Third Securities Inc
First Montauk Securities
First New York Securities LLC
First Southwest
Gilford Securities
GunnAllen Financial Inc
J. B. Hanauer
Hoefer &amp; Arnett Inc
Howe Barnes Investments Inc
Huntleigh Securities Corp
Jesup &amp; Lamont Securities
Johnston Lemon &amp; Co Inc
LaSalle Street Securities Inc
McGinn, Smith &amp; Co Inc
Mesirow Financial Corp
Morgan Wilshire Securities
National Securities Corp (US)
Newbridge Securities
David A. Noyes
Royal Alliance Associates
Sanders Morris Harris Inc
The Seidler Companies Inc
Muriel Siebert &amp; Co
Source Capital Group Inc
Southwest Securities Group Inc
Stanford Group Company
M. L. Stern
Sterne Agee &amp; Leach Inc
Strand,Atkinson,Williams&amp;Yerl
Torrey Pines Securities
JP Turner &amp; Co
Westminster Finl Sec Inc
Wunderlich Securities Inc
BC Ziegler &amp; Co</t>
  </si>
  <si>
    <t>ML//NUVEEN-INV/CITIGROUP/UBS-INV-BANK
/A-G-EDWARDS/WACHOVIA-CAP/ADVEST
/BB-T-CAP/BAIRD/BA-SEC-LLC/HR-BLOCK-FIN
/CROWELL/DEUTSCHE-BK-SEC/FERRIS-BAKER
/HILLIARD/JANNEY-LLC/KEY-MCDONALD
/LEGG-MASON-WW/OPPENHEIMER-CO
/RBC-CAP-MKTS/RYAN-BECK/STIFEL
/WEDBUSH-M/WELLS-FARGO-SEC//WM-BLAIR
/CHATSWORTH/DAVIDSON/DOFT/DOMINICK
/HONG-SHANG-BKG/HARRN/MAXIM-GROUP
/PIPER-JAFFRAY/STEPHENS/SUNTRUST-CAP
/TD-WATERHOUSE/ANDERSON/AXIOM-CAP
/BISHOP-ROSEN/BREAN/BROOKSTREET/CGF-SEC
/FIFTH-THIRD-SEC/FIRST-MONTAUK
/FIRST-NY-SEC/FIRST-SW/GILFORD
/GUNNALLEN-FINL/J-B-HANAUER
/HOEFER-ARNETT/HOWE-BARNES
/HUNTLEIGH-SEC/JESUP/JOHNSTON-LEMON
/LASALLE-SEC/MCGINN-SMITH/MESIROW-FIN
/MORGAN-WILSHIRE/NATL-SEC/NEWBRIDGE
/D-A-NOYES/ROYAL-ALLIANCE
/SANDERS-HARRIS/SEIDLER-CO-INC/MURIEL
/SOURCE-CAPITAL/SOUTHWEST-SEC
/STANFORD-GROUP/M-L-STERN/STERNE-AGEE
/STRAND-ATKIN/TORREY-PINES/J-P-TURNER
/WEST-FIN-SEC/WUNDERLICH/ZIEGLER</t>
  </si>
  <si>
    <t>ML
NUVEEN-INV
CITIGROUP
UBS-INV-BANK
A-G-EDWARDS
WACHOVIA-CAP
ADVEST
BB-T-CAP
BAIRD
BA-SEC-LLC
HR-BLOCK-FIN
CROWELL
DEUTSCHE-BK-SEC
FERRIS-BAKER
HILLIARD
JANNEY-LLC
KEY-MCDONALD
LEGG-MASON-WW
OPPENHEIMER-CO
RBC-CAP-MKTS
RYAN-BECK
STIFEL
WEDBUSH-M
WELLS-FARGO-SEC</t>
  </si>
  <si>
    <t>Merrill Lynch Pierce Fenner &amp; Smith
Nuveen Investments LLC
Citigroup
UBS Investment Bank
AG Edwards &amp; Sons Inc
Wachovia Capital Markets
Advest Inc
BB&amp;T Capital Markets
Robert W Baird &amp; Co Inc
Banc of America Securities LLC
H&amp;R Block Financial Advisors
Crowell Weedon &amp; Co
Deutsche Bank Securities Corp.
Ferris Baker Watts Inc
JJB Hilliard WL Lyons Inc
Janney Montgomery Scott LLC
KeyCorp/McDonald Investments
Legg Mason Wood Walker Inc
Oppenheimer &amp; Co Inc
RBC Capital Markets
Ryan Beck &amp; Co
Stifel Nicolaus &amp; Co Inc
Wedbush Securities
Wells Fargo Securities LLC</t>
  </si>
  <si>
    <t>Actions Semiconductor Co Ltd</t>
  </si>
  <si>
    <t>ACTS</t>
  </si>
  <si>
    <t>00507E107</t>
  </si>
  <si>
    <t>Credit Suisse First Boston
CIBC World Markets Inc
WR Hambrecht &amp; Co LLC</t>
  </si>
  <si>
    <t>05/28/06
05/28/06
05/28/06</t>
  </si>
  <si>
    <t xml:space="preserve">89.535
</t>
  </si>
  <si>
    <t xml:space="preserve">77000000.00
</t>
  </si>
  <si>
    <t>CS-FB-CS//CIBC-WORLD/W-R-HAMBRECHT</t>
  </si>
  <si>
    <t>CS-FB-CS
CIBC-WORLD
W-R-HAMBRECHT</t>
  </si>
  <si>
    <t>Credit Suisse First Boston Corp
CIBC World Markets Inc
WR Hambrecht &amp; Co LLC</t>
  </si>
  <si>
    <t>DCP Midstream Partners LP</t>
  </si>
  <si>
    <t>DPM</t>
  </si>
  <si>
    <t>23311P100</t>
  </si>
  <si>
    <t>Lehman Brothers
Citigroup
UBS Investment Bank
Wachovia Securities Inc
AG Edwards &amp; Sons Inc
KeyCorp/McDonald Investments</t>
  </si>
  <si>
    <t>05/30/06
05/30/06</t>
  </si>
  <si>
    <t>LEH(JB)/CITIGROUP(JB)//UBS-INV-BANK
/WACHOVIA-SEC/A-G-EDWARDS/KEY-MCDONALD</t>
  </si>
  <si>
    <t>LEH/CITIGROUP</t>
  </si>
  <si>
    <t>LEH
(JB)/CITIGROUP(JB)
UBS-INV-BANK
WACHOVIA-SEC
A-G-EDWARDS
KEY-MCDONALD</t>
  </si>
  <si>
    <t>Axtel SA de CV</t>
  </si>
  <si>
    <t>AXTLF</t>
  </si>
  <si>
    <t>Credit Suisse First Boston
Merrill Lynch</t>
  </si>
  <si>
    <t>CS-FB-CS//MERRILL</t>
  </si>
  <si>
    <t>CS-FB-CS
MERRILL</t>
  </si>
  <si>
    <t>ACCIONES</t>
  </si>
  <si>
    <t>Acciones y Valores Banamex
Casa de Bolsa Banorte SA de CV
Casa de Bolsa Inverlat
IXE Casa de Bolsa</t>
  </si>
  <si>
    <t>Mexico Public</t>
  </si>
  <si>
    <t>ACCIONES//CB-BANORTE/CB-INVERLAT/IXE</t>
  </si>
  <si>
    <t>ACCIONES
CB-BANORTE
CB-INVERLAT
IXE</t>
  </si>
  <si>
    <t>Acciones y Valores Banamex SA de CV
Casa de Bolsa Banorte SA de CV
Casa de Bolsa Inverlat SA de CV
IXE Casa de Bolsa, SA de CV</t>
  </si>
  <si>
    <t>Vocus Inc</t>
  </si>
  <si>
    <t>VOCS</t>
  </si>
  <si>
    <t>92858J108</t>
  </si>
  <si>
    <t>Thomas Weisel Partners
RBC Capital Markets
Wachovia Capital Markets
William Blair &amp; Co</t>
  </si>
  <si>
    <t>03/06/06
06/04/06
06/04/06
06/04/06</t>
  </si>
  <si>
    <t xml:space="preserve">0.094
65.751
</t>
  </si>
  <si>
    <t xml:space="preserve">13872.00
9717265.00
</t>
  </si>
  <si>
    <t>THOMAS-WEISEL//RBC-CAP-MKTS
/WACHOVIA-CAP/WM-BLAIR</t>
  </si>
  <si>
    <t>THOMAS-WEISEL
RBC-CAP-MKTS
WACHOVIA-CAP
WM-BLAIR</t>
  </si>
  <si>
    <t>Patni Computer Systems Ltd</t>
  </si>
  <si>
    <t>GS-ASIA/MERRILL(JB)
/ABN-ROTHSCHILD(JB)</t>
  </si>
  <si>
    <t>Bombay</t>
  </si>
  <si>
    <t>Goldman Sachs (Asia)
Merrill Lynch
ABN AMRO Rothschild
Jefferies &amp; Co Inc
Macquarie Bank</t>
  </si>
  <si>
    <t>06/05/06
06/05/06</t>
  </si>
  <si>
    <t xml:space="preserve">1278.582
</t>
  </si>
  <si>
    <t xml:space="preserve">87902500.00
</t>
  </si>
  <si>
    <t>GS-ASIA(JB)/MERRILL(JB)
/ABN-ROTHSCHILD(JB)//JEFFERIES
/MACQUARIE</t>
  </si>
  <si>
    <t>GS-ASIA/MERRILL/ABN-ROTHSCHILD</t>
  </si>
  <si>
    <t>GS-ASIA
(JB)/MERRILL(JB)
/ABN-ROTHSCHILD(JB)
JEFFERIES
MACQUARIE</t>
  </si>
  <si>
    <t>Goldman Sachs (Asia)
Merrill Lynch &amp; Co Inc
ABN AMRO Rothschild
Jefferies &amp; Co Inc
Macquarie Bank Ltd</t>
  </si>
  <si>
    <t>Basic Energy Services Inc</t>
  </si>
  <si>
    <t>BAS</t>
  </si>
  <si>
    <t>06985P100</t>
  </si>
  <si>
    <t>Goldman Sachs &amp; Co
Credit Suisse First Boston
Lehman Brothers
UBS Investment Bank
Deutsche Bank Securities Corp
Raymond James &amp; Associates Inc
RBC Capital Markets
Hibernia Southcoast Capital
Howard Weil Labouisse Freid
Pickering Energy Partners Inc</t>
  </si>
  <si>
    <t>06/06/06
06/06/06
06/06/06</t>
  </si>
  <si>
    <t xml:space="preserve">57.452
</t>
  </si>
  <si>
    <t xml:space="preserve">19410359.00
</t>
  </si>
  <si>
    <t>GS(JB)/CS-FB-CS(JB)//LEH/UBS-INV-BANK
/DEUTSCHE-BK-SEC/RAYMOND/RBC-CAP-MKTS
//HIBERNIA-SOUTH/HOWARD-WEIL
/PICK-ENERGY</t>
  </si>
  <si>
    <t>GS
(JB)/CS-FB-CS(JB)
LEH
UBS-INV-BANK
DEUTSCHE-BK-SEC
RAYMOND
RBC-CAP-MKTS</t>
  </si>
  <si>
    <t>Goldman Sachs &amp; Co
Credit Suisse First Boston Corp
Lehman Brothers
UBS Investment Bank
Deutsche Bank Securities Corp.
Raymond James &amp; Associates Inc
RBC Capital Markets</t>
  </si>
  <si>
    <t>Cynosure Inc</t>
  </si>
  <si>
    <t>CYNO</t>
  </si>
  <si>
    <t>Citigroup
UBS Investment Bank
Jefferies &amp; Co Inc
Needham &amp; Co LLC</t>
  </si>
  <si>
    <t xml:space="preserve">47.693
</t>
  </si>
  <si>
    <t xml:space="preserve">5242877.00
</t>
  </si>
  <si>
    <t>CITIGROUP//UBS-INV-BANK/JEFFERIES
/NEEDHAM</t>
  </si>
  <si>
    <t>CITIGROUP
UBS-INV-BANK
JEFFERIES
NEEDHAM</t>
  </si>
  <si>
    <t>Widerthan.com Co Ltd</t>
  </si>
  <si>
    <t>WTHN</t>
  </si>
  <si>
    <t>JP Morgan
Merrill Lynch
Lehman Brothers Asia</t>
  </si>
  <si>
    <t xml:space="preserve">47.239
</t>
  </si>
  <si>
    <t xml:space="preserve">2834342.00
</t>
  </si>
  <si>
    <t>JPM(JB)/MERRILL(JB)/LEH-ASIA(JOINT)</t>
  </si>
  <si>
    <t>JPM/MERRILL/LEH-ASIA</t>
  </si>
  <si>
    <t>JPM
(JB)/MERRILL(JB)
/LEH-ASIA(JOINT)</t>
  </si>
  <si>
    <t>JP Morgan &amp; Co Inc
Merrill Lynch &amp; Co Inc
Lehman Brothers Asia</t>
  </si>
  <si>
    <t>CapitalSouth Bancorp</t>
  </si>
  <si>
    <t>CAPB</t>
  </si>
  <si>
    <t>14056A101</t>
  </si>
  <si>
    <t>06/10/06
06/10/06
06/10/06</t>
  </si>
  <si>
    <t xml:space="preserve">
25.539
</t>
  </si>
  <si>
    <t xml:space="preserve">
727730.00
</t>
  </si>
  <si>
    <t>DealerTrack Holdings Inc</t>
  </si>
  <si>
    <t>TRAK</t>
  </si>
  <si>
    <t>Lehman Brothers
JP Morgan
Wachovia Securities Inc
William Blair &amp; Co
SG Cowen Securities Corp</t>
  </si>
  <si>
    <t xml:space="preserve">66.503
</t>
  </si>
  <si>
    <t xml:space="preserve">23508109.00
</t>
  </si>
  <si>
    <t>LEH/JPM/WACHOVIA-SEC(JOINT)//WM-BLAIR
/SG-COWEN</t>
  </si>
  <si>
    <t>LEH/JPM/WACHOVIA-SEC</t>
  </si>
  <si>
    <t>LEH
/JPM
/WACHOVIA-SEC(JOINT)
WM-BLAIR
SG-COWEN</t>
  </si>
  <si>
    <t>Lehman Brothers
JP Morgan &amp; Co Inc
Wachovia Securities Inc
William Blair &amp; Co
SG Cowen Securities Corp</t>
  </si>
  <si>
    <t>BCB Bancorp Inc</t>
  </si>
  <si>
    <t>BCBP</t>
  </si>
  <si>
    <t>JANNEY-LLC</t>
  </si>
  <si>
    <t>055298103</t>
  </si>
  <si>
    <t>Janney Montgomery Scott LLC
AG Edwards &amp; Sons Inc
Raymond James &amp; Associates Inc
Ryan Beck &amp; Co
Stifel/KBW</t>
  </si>
  <si>
    <t>06/11/06
06/11/06</t>
  </si>
  <si>
    <t>JANNEY-LLC//A-G-EDWARDS/RAYMOND
/RYAN-BECK/STIFEL-FIN</t>
  </si>
  <si>
    <t>Janney Montgomery Scott LLC</t>
  </si>
  <si>
    <t>Suntech Power Holdings Co Ltd</t>
  </si>
  <si>
    <t>STP</t>
  </si>
  <si>
    <t>86800C104</t>
  </si>
  <si>
    <t>Credit Suisse First Boston
Morgan Stanley
CLSA
SG Cowen Securities Corp</t>
  </si>
  <si>
    <t>06/11/06
06/11/06
06/11/06</t>
  </si>
  <si>
    <t xml:space="preserve">
376.867</t>
  </si>
  <si>
    <t xml:space="preserve">
114330052.00</t>
  </si>
  <si>
    <t>CS-FB-CS(JB)/MORGAN-STANLEY(JB)
//CLSA-HK/SG-COWEN</t>
  </si>
  <si>
    <t>CS-FB-CS/MORGAN-STANLEY</t>
  </si>
  <si>
    <t>CS-FB-CS
(JB)/MORGAN-STANLEY(JB)
CLSA-HK
SG-COWEN</t>
  </si>
  <si>
    <t>Credit Suisse First Boston Corp
Morgan Stanley
CLSA Asia-Pacific Markets Ltd
SG Cowen Securities Corp</t>
  </si>
  <si>
    <t>Scopus Video Networks Ltd</t>
  </si>
  <si>
    <t>SCOP</t>
  </si>
  <si>
    <t>M8260H106</t>
  </si>
  <si>
    <t>Thomas Weisel Partners
CIBC World Markets Inc
Needham &amp; Co LLC
Oppenheimer &amp; Co Inc</t>
  </si>
  <si>
    <t xml:space="preserve">65.000
</t>
  </si>
  <si>
    <t xml:space="preserve">8516988.00
</t>
  </si>
  <si>
    <t>THOMAS-WEISEL/CIBC-WORLD(JOINT)
//NEEDHAM/OPPENHEIMER-CO</t>
  </si>
  <si>
    <t>THOMAS-WEISEL/CIBC-WORLD</t>
  </si>
  <si>
    <t>THOMAS-WEISEL
/CIBC-WORLD(JOINT)
NEEDHAM
OPPENHEIMER-CO</t>
  </si>
  <si>
    <t>Copa Holdings SA</t>
  </si>
  <si>
    <t>Panama</t>
  </si>
  <si>
    <t>CPA</t>
  </si>
  <si>
    <t>P31076105</t>
  </si>
  <si>
    <t>Morgan Stanley
Goldman Sachs &amp; Co
Citigroup
JP Morgan
Merrill Lynch</t>
  </si>
  <si>
    <t>06/12/06
06/12/06
06/12/06</t>
  </si>
  <si>
    <t>MORGAN-STANLEY(JB)/GS(JB)//CITIGROUP
/JPM/MERRILL</t>
  </si>
  <si>
    <t>MORGAN-STANLEY
(JB)/GS(JB)
CITIGROUP
JPM
MERRILL</t>
  </si>
  <si>
    <t>Morgan Stanley
Goldman Sachs &amp; Co
Citigroup
JP Morgan &amp; Co Inc
Merrill Lynch &amp; Co Inc</t>
  </si>
  <si>
    <t>Republic Property Trust</t>
  </si>
  <si>
    <t>RPB</t>
  </si>
  <si>
    <t>LEH/BEAR(JB)</t>
  </si>
  <si>
    <t>Lehman Brothers
Bear Stearns &amp; Co Inc
Wachovia Securities Inc
Raymond James &amp; Associates Inc
UBS Investment Bank
KeyCorp/McDonald Investments</t>
  </si>
  <si>
    <t>07/07/07
06/12/06</t>
  </si>
  <si>
    <t>570
180</t>
  </si>
  <si>
    <t>LEH(JB)/BEAR(JB)//WACHOVIA-SEC/RAYMOND
/UBS-INV-BANK/KEY-MCDONALD</t>
  </si>
  <si>
    <t>LEH
(JB)/BEAR(JB)
WACHOVIA-SEC
RAYMOND
UBS-INV-BANK
KEY-MCDONALD</t>
  </si>
  <si>
    <t>Somaxon Pharmaceuticals Inc</t>
  </si>
  <si>
    <t>SOMX</t>
  </si>
  <si>
    <t>Morgan Stanley
JP Morgan
Piper Jaffray Cos
Thomas Weisel Partners</t>
  </si>
  <si>
    <t>06/12/06
12/09/06
06/12/06
06/12/06</t>
  </si>
  <si>
    <t xml:space="preserve">30.605
44.517
</t>
  </si>
  <si>
    <t xml:space="preserve">5516932.00
8024743.00
</t>
  </si>
  <si>
    <t>MORGAN-STANLEY(JB)/JPM(JB)
//PIPER-JAFFRAY/THOMAS-WEISEL</t>
  </si>
  <si>
    <t>MORGAN-STANLEY
(JB)/JPM(JB)
PIPER-JAFFRAY
THOMAS-WEISEL</t>
  </si>
  <si>
    <t>Morgan Stanley
JP Morgan &amp; Co Inc
Piper Jaffray Cos
Thomas Weisel Partners</t>
  </si>
  <si>
    <t>Carolina National Corp</t>
  </si>
  <si>
    <t>CNCP</t>
  </si>
  <si>
    <t>SCOT-STRING-INV</t>
  </si>
  <si>
    <t>Scott &amp; Stringfellow Invest</t>
  </si>
  <si>
    <t>03/15/06
03/15/06</t>
  </si>
  <si>
    <t>Scott &amp; Stringfellow Investment Corp</t>
  </si>
  <si>
    <t>Directed Electronics Inc</t>
  </si>
  <si>
    <t>DEIX</t>
  </si>
  <si>
    <t>Goldman Sachs &amp; Co
JP Morgan
CIBC World Markets Inc
Wachovia Capital Markets
Citigroup</t>
  </si>
  <si>
    <t>06/13/06
06/13/06
06/13/06</t>
  </si>
  <si>
    <t xml:space="preserve">57.874
</t>
  </si>
  <si>
    <t xml:space="preserve">14335000.00
</t>
  </si>
  <si>
    <t>GS/JPM(JOINT)//CIBC-WORLD/WACHOVIA-CAP
/CITIGROUP</t>
  </si>
  <si>
    <t>GS
/JPM(JOINT)
CIBC-WORLD
WACHOVIA-CAP
CITIGROUP</t>
  </si>
  <si>
    <t>Goldman Sachs &amp; Co
JP Morgan &amp; Co Inc
CIBC World Markets Inc
Wachovia Capital Markets
Citigroup</t>
  </si>
  <si>
    <t>Emergency Medical Svcs Corp</t>
  </si>
  <si>
    <t>EMS</t>
  </si>
  <si>
    <t>BA-SEC-LLC/JPM(JB)</t>
  </si>
  <si>
    <t>29100P102</t>
  </si>
  <si>
    <t>Banc of America Securities LLC
JP Morgan
CIBC World Markets Inc
Credit Suisse First Boston
Scotia Capital Markets
Utendahl Capital Partners
Goldman Sachs &amp; Co</t>
  </si>
  <si>
    <t xml:space="preserve">10.024
</t>
  </si>
  <si>
    <t xml:space="preserve">941295.00
</t>
  </si>
  <si>
    <t>BA-SEC-LLC(JB)/JPM(JB)//CIBC-WORLD
/CS-FB-CS/SCOTIA-CAP-USA/UTENDAHL-CAP
/GS</t>
  </si>
  <si>
    <t>BA-SEC-LLC/JPM</t>
  </si>
  <si>
    <t>BA-SEC-LLC
(JB)/JPM(JB)
CIBC-WORLD
CS-FB-CS
SCOTIA-CAP-USA
UTENDAHL-CAP
GS</t>
  </si>
  <si>
    <t>Banc of America Securities LLC
JP Morgan &amp; Co Inc
CIBC World Markets Inc
Credit Suisse First Boston Corp
Scotia Capital Markets
Utendahl Capital Partners
Goldman Sachs &amp; Co</t>
  </si>
  <si>
    <t>Endeavor Acquisition Corp</t>
  </si>
  <si>
    <t>EDA</t>
  </si>
  <si>
    <t>Ladenburg Thalmann &amp; Co
Broadband Capital Management
Legend Merchant Group Inc
Wunderlich Securities Inc</t>
  </si>
  <si>
    <t>LADENBURG//BROADBAND/LEGEND-MERCHANT
//WUNDERLICH</t>
  </si>
  <si>
    <t>LADENBURG
BROADBAND
LEGEND-MERCHANT</t>
  </si>
  <si>
    <t>Ladenburg Thalmann &amp; Co
Broadband Capital Management LLC
Legend Merchant Group Inc</t>
  </si>
  <si>
    <t>Spansion Inc</t>
  </si>
  <si>
    <t>SPSN</t>
  </si>
  <si>
    <t>84649R101</t>
  </si>
  <si>
    <t>Citigroup
Credit Suisse First Boston
JP Morgan
Merrill Lynch
Morgan Stanley
Deutsche Bank Securities Corp
UBS Investment Bank
Dresdner Kleinwort Wasserstein
Caris &amp; Company
Muriel Siebert &amp; Co
Pacific Crest Securities Inc
Punk Ziegel &amp; Co LP
Susquehanna Financial Group</t>
  </si>
  <si>
    <t xml:space="preserve">84.434
</t>
  </si>
  <si>
    <t xml:space="preserve">80882336.00
</t>
  </si>
  <si>
    <t>CITIGROUP(JB)/CS-FB-CS(JB)//JPM/MERRILL
/MORGAN-STANLEY/DEUTSCHE-BK-SEC
/UBS-INV-BANK/DRES-KLEIN-WASS//CARIS-CO
/MURIEL/PACIFIC-CREST/PUNK
/SUSQUEHANNA-FIN</t>
  </si>
  <si>
    <t>CITIGROUP
(JB)/CS-FB-CS(JB)
JPM
MERRILL
MORGAN-STANLEY
DEUTSCHE-BK-SEC
UBS-INV-BANK
DRES-KLEIN-WASS</t>
  </si>
  <si>
    <t>Citigroup
Credit Suisse First Boston Corp
JP Morgan &amp; Co Inc
Merrill Lynch &amp; Co Inc
Morgan Stanley
Deutsche Bank Securities Corp.
UBS Investment Bank
Dresdner Kleinwort Wasserstein</t>
  </si>
  <si>
    <t>Star Maritime Acquisition Corp</t>
  </si>
  <si>
    <t>85516E107</t>
  </si>
  <si>
    <t>Maxim Group LLC
Earlybirdcapital Inc
Ramius Capital Corp
I-Bankers Securities Inc
Chardan Capital Markets LLC</t>
  </si>
  <si>
    <t>05/14/06
05/14/06</t>
  </si>
  <si>
    <t>31.098
3.902</t>
  </si>
  <si>
    <t>150
150</t>
  </si>
  <si>
    <t>9026924.00
1132500.00</t>
  </si>
  <si>
    <t>MAXIM-GROUP//EARLYBIRD-CAP//RAMIUS
/I-BANKERS-SEC/CHARDAN-CAP-MKT</t>
  </si>
  <si>
    <t>MAXIM-GROUP
EARLYBIRD-CAP</t>
  </si>
  <si>
    <t>Boulder Specialty Brands Inc</t>
  </si>
  <si>
    <t>BDSB</t>
  </si>
  <si>
    <t>10153P108</t>
  </si>
  <si>
    <t>Citigroup
Roth Capital Partners Inc</t>
  </si>
  <si>
    <t>06/14/06
06/14/06
06/14/06</t>
  </si>
  <si>
    <t xml:space="preserve">
20.000</t>
  </si>
  <si>
    <t xml:space="preserve">
3190210.00</t>
  </si>
  <si>
    <t>CITIGROUP//ROTH-CAPITAL</t>
  </si>
  <si>
    <t>CITIGROUP
ROTH-CAPITAL</t>
  </si>
  <si>
    <t>Pixelplus Co Ltd</t>
  </si>
  <si>
    <t>PXPL</t>
  </si>
  <si>
    <t>72582A102</t>
  </si>
  <si>
    <t>Jefferies &amp; Co Inc
WR Hambrecht &amp; Co LLC</t>
  </si>
  <si>
    <t>06/18/06
06/18/06</t>
  </si>
  <si>
    <t>JEFFERIES//W-R-HAMBRECHT</t>
  </si>
  <si>
    <t>JEFFERIES
W-R-HAMBRECHT</t>
  </si>
  <si>
    <t>CRM Holdings Ltd</t>
  </si>
  <si>
    <t>CRMH</t>
  </si>
  <si>
    <t>G2554P103</t>
  </si>
  <si>
    <t>Sandler O'Neill Partners
KeyCorp/McDonald Investments</t>
  </si>
  <si>
    <t>06/18/06
06/18/06
06/18/06</t>
  </si>
  <si>
    <t xml:space="preserve">
45.529
</t>
  </si>
  <si>
    <t xml:space="preserve">
7397115.00
</t>
  </si>
  <si>
    <t>SANDLER-ONEILL//KEY-MCDONALD</t>
  </si>
  <si>
    <t>SANDLER-ONEILL
KEY-MCDONALD</t>
  </si>
  <si>
    <t>Sandler O'Neill Partners  L.P.
KeyCorp/McDonald Investments</t>
  </si>
  <si>
    <t>NUCRYST Pharmaceuticals Corp</t>
  </si>
  <si>
    <t>NCST</t>
  </si>
  <si>
    <t>67035Q100</t>
  </si>
  <si>
    <t>Jefferies &amp; Co Inc
Adams Harkness &amp; Hill Inc
GMP Securities Ltd.
SunTrust Capital Markets</t>
  </si>
  <si>
    <t>JEFFERIES//ADAMS-HARKNESS/GMP-SEC
/SUNTRUST-CAP</t>
  </si>
  <si>
    <t>JEFFERIES
ADAMS-HARKNESS
GMP-SEC
SUNTRUST-CAP</t>
  </si>
  <si>
    <t>SunAmerica Focused Alpha</t>
  </si>
  <si>
    <t>FGI</t>
  </si>
  <si>
    <t>LINN Energy LLC</t>
  </si>
  <si>
    <t>LINE</t>
  </si>
  <si>
    <t>RBC-CAP-MKTS/LEH(JB)</t>
  </si>
  <si>
    <t>RBC Capital Markets
Lehman Brothers
AG Edwards &amp; Sons Inc
KeyCorp/McDonald Investments
UBS Investment Bank
Raymond James &amp; Associates Inc</t>
  </si>
  <si>
    <t>07/11/06
07/11/06
07/11/06</t>
  </si>
  <si>
    <t>RBC-CAP-MKTS(JB)/LEH(JB)//A-G-EDWARDS
/KEY-MCDONALD/UBS-INV-BANK/RAYMOND</t>
  </si>
  <si>
    <t>RBC-CAP-MKTS/LEH</t>
  </si>
  <si>
    <t>RBC-CAP-MKTS
(JB)/LEH(JB)
A-G-EDWARDS
KEY-MCDONALD
UBS-INV-BANK
RAYMOND</t>
  </si>
  <si>
    <t>Western Refining Inc</t>
  </si>
  <si>
    <t>WNR</t>
  </si>
  <si>
    <t>BA-SEC-LLC
/DEUTSCHE-BK-SEC(JB)</t>
  </si>
  <si>
    <t>Banc of America Securities LLC
Deutsche Bank Securities Corp
Bear Stearns &amp; Co Inc
Merrill Lynch</t>
  </si>
  <si>
    <t>07/17/06
07/17/06
07/17/06</t>
  </si>
  <si>
    <t xml:space="preserve">61.057
</t>
  </si>
  <si>
    <t xml:space="preserve">40568000.00
</t>
  </si>
  <si>
    <t>BA-SEC-LLC(JB)/DEUTSCHE-BK-SEC(JB)
//BEAR/MERRILL</t>
  </si>
  <si>
    <t>BA-SEC-LLC/DEUTSCHE-BK-SEC</t>
  </si>
  <si>
    <t>BA-SEC-LLC
(JB)/DEUTSCHE-BK-SEC(JB)
BEAR
MERRILL</t>
  </si>
  <si>
    <t>Banc of America Securities LLC
Deutsche Bank Securities Corp.
Bear Stearns &amp; Co Inc
Merrill Lynch &amp; Co Inc</t>
  </si>
  <si>
    <t>American Railcar Inds Inc</t>
  </si>
  <si>
    <t>ARII</t>
  </si>
  <si>
    <t>UBS-INV-BANK/BEAR(JB)</t>
  </si>
  <si>
    <t>02916P103</t>
  </si>
  <si>
    <t>UBS Investment Bank
Bear Stearns &amp; Co Inc
BB&amp;T Capital Markets
CIBC World Markets Inc
Morgan Keegan Inc</t>
  </si>
  <si>
    <t>07/18/06
07/18/06
07/18/06</t>
  </si>
  <si>
    <t xml:space="preserve">52.561
</t>
  </si>
  <si>
    <t xml:space="preserve">11147059.00
</t>
  </si>
  <si>
    <t>UBS-INV-BANK(JB)/BEAR(JB)//BB-T-CAP
/CIBC-WORLD/MORGAN-KEEGAN</t>
  </si>
  <si>
    <t>UBS-INV-BANK/BEAR</t>
  </si>
  <si>
    <t>UBS-INV-BANK
(JB)/BEAR(JB)
BB-T-CAP
CIBC-WORLD
MORGAN-KEEGAN</t>
  </si>
  <si>
    <t>RMK Multi-Sector High Income</t>
  </si>
  <si>
    <t>74963Q102</t>
  </si>
  <si>
    <t>Morgan Keegan Inc
Oppenheimer &amp; Co Inc
RBC Capital Markets
Stifel Nicolaus &amp; Co Inc
SunTrust Capital Markets
BB&amp;T Capital Markets
Stephens Inc
Wedbush Securities</t>
  </si>
  <si>
    <t>MORGAN-KEEGAN//OPPENHEIMER-CO
/RBC-CAP-MKTS/STIFEL/SUNTRUST-CAP
/BB-T-CAP/STEPHENS/WEDBUSH-M</t>
  </si>
  <si>
    <t>MORGAN-KEEGAN
OPPENHEIMER-CO
RBC-CAP-MKTS
STIFEL
SUNTRUST-CAP
BB-T-CAP
STEPHENS
WEDBUSH-M</t>
  </si>
  <si>
    <t>Argyle Security Acq Corp</t>
  </si>
  <si>
    <t>ARGL</t>
  </si>
  <si>
    <t>RODMAN</t>
  </si>
  <si>
    <t>Rodman &amp; Renshaw Inc
I-Bankers Securities Inc
GunnAllen Financial Inc
Maxim Group LLC
Capital Growth Financial LLC</t>
  </si>
  <si>
    <t>RODMAN//I-BANKERS-SEC//GUNNALLEN-FINL
/MAXIM-GROUP/CGF-SEC</t>
  </si>
  <si>
    <t>RODMAN
I-BANKERS-SEC</t>
  </si>
  <si>
    <t>Rodman &amp; Renshaw Inc
I-Bankers Securities Inc</t>
  </si>
  <si>
    <t>Calumet Specialty Products</t>
  </si>
  <si>
    <t>CLMT</t>
  </si>
  <si>
    <t>Goldman Sachs &amp; Co
Deutsche Bank Securities Corp
Raymond James &amp; Associates Inc
Petrie Parkman &amp; Co Inc</t>
  </si>
  <si>
    <t>07/24/06
07/24/06
07/24/06</t>
  </si>
  <si>
    <t>GS//DEUTSCHE-BK-SEC/RAYMOND
/PETRIE-PARKMAN</t>
  </si>
  <si>
    <t>GS
DEUTSCHE-BK-SEC
RAYMOND
PETRIE-PARKMAN</t>
  </si>
  <si>
    <t>Goldman Sachs &amp; Co
Deutsche Bank Securities Corp.
Raymond James &amp; Associates Inc
Petrie Parkman &amp; Co Inc</t>
  </si>
  <si>
    <t>Chipotle Mexican Grill Inc</t>
  </si>
  <si>
    <t>CMG</t>
  </si>
  <si>
    <t>MORGAN-STANLEY
/SG-COWEN(JB)</t>
  </si>
  <si>
    <t>Morgan Stanley
SG Cowen Securities Corp
Banc of America Securities LLC
Citigroup
JP Morgan
Merrill Lynch
AG Edwards &amp; Sons Inc
RBC Capital Markets
SunTrust Capital Markets
Wachovia Capital Markets
MR Beal &amp; Co
Muriel Siebert &amp; Co
Samuel A. Ramirez &amp; Co.
Williams Capital Group LP</t>
  </si>
  <si>
    <t xml:space="preserve">75.282
6.769
</t>
  </si>
  <si>
    <t xml:space="preserve">24462498.00
2199614.00
</t>
  </si>
  <si>
    <t>MCD</t>
  </si>
  <si>
    <t>McDonald's Corp</t>
  </si>
  <si>
    <t>MORGAN-STANLEY(JB)/SG-COWEN(JB)
//BA-SEC-LLC/CITIGROUP/JPM/MERRILL
/A-G-EDWARDS/RBC-CAP-MKTS/SUNTRUST-CAP
/WACHOVIA-CAP//M-R-BEAL/MURIEL/RAMIREZ
/WILLIAMS-CAP</t>
  </si>
  <si>
    <t>MORGAN-STANLEY/SG-COWEN</t>
  </si>
  <si>
    <t>MORGAN-STANLEY
(JB)/SG-COWEN(JB)
BA-SEC-LLC
CITIGROUP
JPM
MERRILL
A-G-EDWARDS
RBC-CAP-MKTS
SUNTRUST-CAP
WACHOVIA-CAP</t>
  </si>
  <si>
    <t>Morgan Stanley
SG Cowen Securities Corp
Banc of America Securities LLC
Citigroup
JP Morgan &amp; Co Inc
Merrill Lynch &amp; Co Inc
AG Edwards &amp; Sons Inc
RBC Capital Markets
SunTrust Capital Markets
Wachovia Capital Markets</t>
  </si>
  <si>
    <t>Highbury Financial Inc</t>
  </si>
  <si>
    <t>HBRF</t>
  </si>
  <si>
    <t>42982Y109</t>
  </si>
  <si>
    <t>ThinkEquity Partners
Earlybirdcapital Inc</t>
  </si>
  <si>
    <t>01/20/07
08/23/06</t>
  </si>
  <si>
    <t>1.730
17.903</t>
  </si>
  <si>
    <t>360
210</t>
  </si>
  <si>
    <t>166667.00
1725000.00</t>
  </si>
  <si>
    <t>THINK//EARLYBIRD-CAP</t>
  </si>
  <si>
    <t>THINK
EARLYBIRD-CAP</t>
  </si>
  <si>
    <t>Traffic.com Inc</t>
  </si>
  <si>
    <t>TRFC</t>
  </si>
  <si>
    <t>WR Hambrecht &amp; Co LLC
JMP Securities LLC</t>
  </si>
  <si>
    <t xml:space="preserve">52.736
</t>
  </si>
  <si>
    <t xml:space="preserve">10182408.00
</t>
  </si>
  <si>
    <t>W-R-HAMBRECHT//JMP-SEC</t>
  </si>
  <si>
    <t>W-R-HAMBRECHT
JMP-SEC</t>
  </si>
  <si>
    <t>Altus Pharmaceuticals Inc</t>
  </si>
  <si>
    <t>ALTU</t>
  </si>
  <si>
    <t>02216N105</t>
  </si>
  <si>
    <t>Merrill Lynch
Morgan Stanley
SG Cowen Securities Corp
Leerink Swann &amp; Co
Oppenheimer &amp; Co Inc
Susquehanna Financial Group
Toussaint Capital Partners</t>
  </si>
  <si>
    <t>04/26/06
07/25/06
07/25/06
07/25/06</t>
  </si>
  <si>
    <t xml:space="preserve">0.212
61.175
</t>
  </si>
  <si>
    <t xml:space="preserve">46719.00
13490213.00
</t>
  </si>
  <si>
    <t>MERRILL(JB)/MORGAN-STANLEY(JB)
//SG-COWEN//LEERINK-SWANN
/OPPENHEIMER-CO/SUSQUEHANNA-FIN
/TOUSSAINT</t>
  </si>
  <si>
    <t>MERRILL
(JB)/MORGAN-STANLEY(JB)
SG-COWEN</t>
  </si>
  <si>
    <t>Merrill Lynch &amp; Co Inc
Morgan Stanley
SG Cowen Securities Corp</t>
  </si>
  <si>
    <t>H&amp;E Equipment Services Inc</t>
  </si>
  <si>
    <t>HEES</t>
  </si>
  <si>
    <t>CREDIT-SUISSE
/UBS-INV-BANK(JB)</t>
  </si>
  <si>
    <t>Credit Suisse
UBS Investment Bank
Banc of America Securities LLC
Deutsche Bank Securities Corp
JP Morgan</t>
  </si>
  <si>
    <t>07/29/06
07/29/06
07/29/06</t>
  </si>
  <si>
    <t xml:space="preserve">66.961
</t>
  </si>
  <si>
    <t xml:space="preserve">25492016.00
</t>
  </si>
  <si>
    <t>CREDIT-SUISSE(JB)/UBS-INV-BANK(JB)
//BA-SEC-LLC/DEUTSCHE-BK-SEC/JPM</t>
  </si>
  <si>
    <t>CREDIT-SUISSE/UBS-INV-BANK</t>
  </si>
  <si>
    <t>CREDIT-SUISSE
(JB)/UBS-INV-BANK(JB)
BA-SEC-LLC
DEUTSCHE-BK-SEC
JPM</t>
  </si>
  <si>
    <t>Credit Suisse
UBS Investment Bank
Banc of America Securities LLC
Deutsche Bank Securities Corp.
JP Morgan &amp; Co Inc</t>
  </si>
  <si>
    <t>Regency Energy Partners LP</t>
  </si>
  <si>
    <t>RGNC</t>
  </si>
  <si>
    <t>UBS-INV-BANK/LEH(JB)</t>
  </si>
  <si>
    <t>75885Y107</t>
  </si>
  <si>
    <t>UBS Investment Bank
Lehman Brothers
Citigroup
Wachovia Securities Inc
AG Edwards &amp; Sons Inc
KeyCorp/McDonald Investments</t>
  </si>
  <si>
    <t>UBS-INV-BANK(JB)/LEH(JB)//CITIGROUP
/WACHOVIA-SEC/A-G-EDWARDS/KEY-MCDONALD</t>
  </si>
  <si>
    <t>UBS-INV-BANK/LEH</t>
  </si>
  <si>
    <t>UBS-INV-BANK
(JB)/LEH(JB)
CITIGROUP
WACHOVIA-SEC
A-G-EDWARDS
KEY-MCDONALD</t>
  </si>
  <si>
    <t>IncrediMail Ltd</t>
  </si>
  <si>
    <t>MAIL</t>
  </si>
  <si>
    <t>M5364E104</t>
  </si>
  <si>
    <t>Maxim Group LLC
Broadband Capital Management</t>
  </si>
  <si>
    <t>04/30/06
07/29/06
01/25/07
01/25/07</t>
  </si>
  <si>
    <t xml:space="preserve">3.243
21.118
39.526
</t>
  </si>
  <si>
    <t>90
180
360
360</t>
  </si>
  <si>
    <t xml:space="preserve">304000.00
1979496.00
3705000.00
</t>
  </si>
  <si>
    <t>MAXIM-GROUP//BROADBAND</t>
  </si>
  <si>
    <t>FortuNet Inc</t>
  </si>
  <si>
    <t>FNET</t>
  </si>
  <si>
    <t>34969Q100</t>
  </si>
  <si>
    <t>07/30/06
01/26/07
07/30/06</t>
  </si>
  <si>
    <t xml:space="preserve">76.140
0.456
</t>
  </si>
  <si>
    <t>180
360
180</t>
  </si>
  <si>
    <t xml:space="preserve">8350000.00
50000.00
</t>
  </si>
  <si>
    <t>Koppers Holdings Inc</t>
  </si>
  <si>
    <t>KOP</t>
  </si>
  <si>
    <t>50060P106</t>
  </si>
  <si>
    <t>Credit Suisse
UBS Investment Bank
First Analysis Securities
Jefferies &amp; Co Inc
KeyCorp/McDonald Investments</t>
  </si>
  <si>
    <t>07/30/06
07/30/06
07/30/06</t>
  </si>
  <si>
    <t xml:space="preserve">51.724
</t>
  </si>
  <si>
    <t xml:space="preserve">10714192.00
</t>
  </si>
  <si>
    <t>CREDIT-SUISSE(JB)/UBS-INV-BANK(JB)
//F-ANALYSIS/JEFFERIES/KEY-MCDONALD</t>
  </si>
  <si>
    <t>CREDIT-SUISSE
(JB)/UBS-INV-BANK(JB)
F-ANALYSIS
JEFFERIES
KEY-MCDONALD</t>
  </si>
  <si>
    <t>Credit Suisse
UBS Investment Bank
First Analysis Securities Corporation
Jefferies &amp; Co Inc
KeyCorp/McDonald Investments</t>
  </si>
  <si>
    <t>SGX Pharmaceuticals Inc</t>
  </si>
  <si>
    <t>SGXP</t>
  </si>
  <si>
    <t>78423C108</t>
  </si>
  <si>
    <t>CIBC World Markets Inc
Piper Jaffray Cos
JMP Securities LLC
Caris &amp; Company
Maxim Group LLC
Wedbush Securities
WBB Securities LLC</t>
  </si>
  <si>
    <t xml:space="preserve">64.425
</t>
  </si>
  <si>
    <t xml:space="preserve">9148649.00
</t>
  </si>
  <si>
    <t>CIBC-WORLD(JB)/PIPER-JAFFRAY(JB)
//JMP-SEC//CARIS-CO/MAXIM-GROUP
/WEDBUSH-M/WBB-SECURITIES</t>
  </si>
  <si>
    <t>CIBC-WORLD
(JB)/PIPER-JAFFRAY(JB)
JMP-SEC</t>
  </si>
  <si>
    <t>CIBC World Markets Inc
Piper Jaffray Cos
JMP Securities LLC</t>
  </si>
  <si>
    <t>Ternium SA</t>
  </si>
  <si>
    <t>TX</t>
  </si>
  <si>
    <t>Citigroup
Deutsche Bank Securities Corp
JP Morgan
Morgan Stanley
BNP Paribas Securities Corp
Calyon Securities USA Inc
Bayerische Hypo Vereinsbank,NY</t>
  </si>
  <si>
    <t>CITIGROUP//DEUTSCHE-BK-SEC/JPM
/MORGAN-STANLEY/BNP-CA/CALYON-SEC
/HYPVER-NY</t>
  </si>
  <si>
    <t>Citigroup</t>
  </si>
  <si>
    <t>Theolia SA</t>
  </si>
  <si>
    <t>France</t>
  </si>
  <si>
    <t>TEO</t>
  </si>
  <si>
    <t>BNP-PARIBAS/SOC-GEN(JB)</t>
  </si>
  <si>
    <t>Euro Paris</t>
  </si>
  <si>
    <t>BNP Paribas SA
Societe Generale</t>
  </si>
  <si>
    <t>France Public</t>
  </si>
  <si>
    <t>BNP-PARIBAS(JB)/SOC-GEN(JB)</t>
  </si>
  <si>
    <t>BNP-PARIBAS/SOC-GEN</t>
  </si>
  <si>
    <t>BNP-PARIBAS
(JB)/SOC-GEN(JB)</t>
  </si>
  <si>
    <t>BNP Paribas SA
Societe Generale SA</t>
  </si>
  <si>
    <t>Iomai Corp</t>
  </si>
  <si>
    <t>IOMI</t>
  </si>
  <si>
    <t>46202P103</t>
  </si>
  <si>
    <t>UBS Investment Bank
SG Cowen Securities Corp
First Albany Capital Inc
Susquehanna Financial Group</t>
  </si>
  <si>
    <t>07/31/06
07/31/06
07/31/06</t>
  </si>
  <si>
    <t xml:space="preserve">60.407
</t>
  </si>
  <si>
    <t xml:space="preserve">10207279.00
</t>
  </si>
  <si>
    <t>UBS-INV-BANK/SG-COWEN(JOINT)
//FIRST-AL-CAP/SUSQUEHANNA-FIN</t>
  </si>
  <si>
    <t>UBS-INV-BANK
/SG-COWEN(JOINT)
FIRST-AL-CAP
SUSQUEHANNA-FIN</t>
  </si>
  <si>
    <t>Thomas Weisel Partners Group</t>
  </si>
  <si>
    <t>TWPG</t>
  </si>
  <si>
    <t>Thomas Weisel Partners
Keefe Bruyette &amp; Woods Inc
Fox-Pitt Kelton</t>
  </si>
  <si>
    <t>THOMAS-WEISEL//KEEFE/FOX-PITT</t>
  </si>
  <si>
    <t>THOMAS-WEISEL
KEEFE
FOX-PITT</t>
  </si>
  <si>
    <t>Valera Pharmaceuticals Inc</t>
  </si>
  <si>
    <t>VLRX</t>
  </si>
  <si>
    <t>UBS-INV-BANK
/BA-SEC-LLC(JB)</t>
  </si>
  <si>
    <t>91914F100</t>
  </si>
  <si>
    <t>UBS Investment Bank
Banc of America Securities LLC
First Albany Capital Inc
Fortis Securities Inc</t>
  </si>
  <si>
    <t xml:space="preserve">74.484
</t>
  </si>
  <si>
    <t xml:space="preserve">10946482.00
</t>
  </si>
  <si>
    <t>UBS-INV-BANK(JB)/BA-SEC-LLC(JB)
//FIRST-AL-CAP/FORTIS-SEC</t>
  </si>
  <si>
    <t>UBS-INV-BANK/BA-SEC-LLC</t>
  </si>
  <si>
    <t>UBS-INV-BANK
(JB)/BA-SEC-LLC(JB)
FIRST-AL-CAP
FORTIS-SEC</t>
  </si>
  <si>
    <t>Cardica Inc</t>
  </si>
  <si>
    <t>CRDC</t>
  </si>
  <si>
    <t>A-G-EDWARDS/ALLEN(JB)</t>
  </si>
  <si>
    <t>14141R101</t>
  </si>
  <si>
    <t>AG Edwards &amp; Sons Inc
Allen &amp; Co Inc
Montgomery &amp; Co</t>
  </si>
  <si>
    <t>08/01/06
08/01/06
08/01/06</t>
  </si>
  <si>
    <t xml:space="preserve">60.515
</t>
  </si>
  <si>
    <t xml:space="preserve">5718275.00
</t>
  </si>
  <si>
    <t>A-G-EDWARDS(JB)/ALLEN(JB)
//MONTGOMERY-CO</t>
  </si>
  <si>
    <t>A-G-EDWARDS/ALLEN</t>
  </si>
  <si>
    <t>A-G-EDWARDS
(JB)/ALLEN(JB)
MONTGOMERY-CO</t>
  </si>
  <si>
    <t>Digital Music Group Inc</t>
  </si>
  <si>
    <t>DMGI</t>
  </si>
  <si>
    <t>I-BANKERS-SEC</t>
  </si>
  <si>
    <t>25388X106</t>
  </si>
  <si>
    <t>I-Bankers Securities Inc
FTN MIDWEST RESEARCH SECURITIE
Maxim Group LLC
vFinance Investments Inc
Legend Merchant Group Inc
Newbridge Securities
Joseph Gunnar &amp; Co., LLC</t>
  </si>
  <si>
    <t>02/02/07
02/07/07
07/27/07
02/02/07
08/01/06</t>
  </si>
  <si>
    <t xml:space="preserve">5.877
20.190
25.120
</t>
  </si>
  <si>
    <t>365
370
540
365
180</t>
  </si>
  <si>
    <t xml:space="preserve">505400.00
1736298.00
2160302.00
</t>
  </si>
  <si>
    <t>I-BANKERS-SEC//FTN-MIDWEST//MAXIM-GROUP
/VFINANCE/LEGEND-MERCHANT/NEWBRIDGE
/GUNNAR</t>
  </si>
  <si>
    <t>I-BANKERS-SEC
FTN-MIDWEST</t>
  </si>
  <si>
    <t>I-Bankers Securities Inc
FTN MIDWEST RESEARCH SECURITIE</t>
  </si>
  <si>
    <t>HealthSpring Inc</t>
  </si>
  <si>
    <t>HS</t>
  </si>
  <si>
    <t>GS/CITIGROUP(JB)
/UBS-INV-BANK(JB)</t>
  </si>
  <si>
    <t>42224N101</t>
  </si>
  <si>
    <t>Goldman Sachs &amp; Co
Citigroup
UBS Investment Bank
Lehman Brothers
CIBC World Markets Inc
Raymond James &amp; Associates Inc
Avondale Partners</t>
  </si>
  <si>
    <t>08/01/06
01/28/07
08/01/06
08/01/06</t>
  </si>
  <si>
    <t xml:space="preserve">63.623
3.561
</t>
  </si>
  <si>
    <t xml:space="preserve">36449355.00
2040194.00
</t>
  </si>
  <si>
    <t>GS(JB)/CITIGROUP(JB)/UBS-INV-BANK(JB)
//LEH/CIBC-WORLD/RAYMOND/AVONDALE</t>
  </si>
  <si>
    <t>GS/CITIGROUP/UBS-INV-BANK</t>
  </si>
  <si>
    <t>GS
(JB)/CITIGROUP(JB)
/UBS-INV-BANK(JB)
LEH
CIBC-WORLD
RAYMOND
AVONDALE</t>
  </si>
  <si>
    <t>Smart Modular Technologies</t>
  </si>
  <si>
    <t>SMOD</t>
  </si>
  <si>
    <t>CITIGROUP/JPM(JB)
/LEH(JB)</t>
  </si>
  <si>
    <t>G82245104</t>
  </si>
  <si>
    <t>Citigroup
JP Morgan
Lehman Brothers
Bear Stearns &amp; Co Inc
Needham &amp; Co LLC
Thomas Weisel Partners
Chatsworth Securities LLC
Ladenburg Thalmann &amp; Co
Montgomery &amp; Co
Oppenheimer &amp; Co Inc
Stifel Nicolaus &amp; Co Inc
Susquehanna Financial Group</t>
  </si>
  <si>
    <t xml:space="preserve">68.784
</t>
  </si>
  <si>
    <t xml:space="preserve">40062531.00
</t>
  </si>
  <si>
    <t>CITIGROUP(JB)/JPM(JB)/LEH(JB)//BEAR
/NEEDHAM/THOMAS-WEISEL//CHATSWORTH
/LADENBURG/MONTGOMERY-CO/OPPENHEIMER-CO
/STIFEL/SUSQUEHANNA-FIN</t>
  </si>
  <si>
    <t>CITIGROUP/JPM/LEH</t>
  </si>
  <si>
    <t>CITIGROUP
(JB)/JPM(JB)
/LEH(JB)
BEAR
NEEDHAM
THOMAS-WEISEL</t>
  </si>
  <si>
    <t>Citigroup
JP Morgan &amp; Co Inc
Lehman Brothers
Bear Stearns &amp; Co Inc
Needham &amp; Co LLC
Thomas Weisel Partners</t>
  </si>
  <si>
    <t>Energy Transfer Equity LP</t>
  </si>
  <si>
    <t>ETE</t>
  </si>
  <si>
    <t>UBS-INV-BANK
/WACHOVIA-SEC(JB)
/CREDIT-SUISSE(JB)</t>
  </si>
  <si>
    <t>29273V100</t>
  </si>
  <si>
    <t>UBS Investment Bank
Wachovia Securities Inc
Credit Suisse
AG Edwards &amp; Sons Inc
RBC Capital Markets
Oppenheimer &amp; Co Inc
Raymond James &amp; Associates Inc
Stephens Inc</t>
  </si>
  <si>
    <t>08/02/06
08/02/06
08/02/06</t>
  </si>
  <si>
    <t>UBS-INV-BANK(JB)/WACHOVIA-SEC(JB)
/CREDIT-SUISSE(JB)//A-G-EDWARDS
/RBC-CAP-MKTS/OPPENHEIMER-CO/RAYMOND
/STEPHENS</t>
  </si>
  <si>
    <t>UBS-INV-BANK/WACHOVIA-SEC/CREDIT-SUISSE</t>
  </si>
  <si>
    <t>UBS-INV-BANK
(JB)/WACHOVIA-SEC(JB)
/CREDIT-SUISSE(JB)
A-G-EDWARDS
RBC-CAP-MKTS
OPPENHEIMER-CO
RAYMOND
STEPHENS</t>
  </si>
  <si>
    <t>Resource Capital Corp</t>
  </si>
  <si>
    <t>RSO</t>
  </si>
  <si>
    <t>CREDIT-SUISSE
/FRIEDMAN-B(JB)
/CITIGROUP(JB)/JPM(JB)</t>
  </si>
  <si>
    <t>76120W302</t>
  </si>
  <si>
    <t>Credit Suisse
Friedman Billings Ramsey Group
Citigroup
JP Morgan
Bear Stearns &amp; Co Inc
Piper Jaffray Cos
Flagstone Securities Inc</t>
  </si>
  <si>
    <t>04/07/06
08/05/06
03/03/07
08/05/06</t>
  </si>
  <si>
    <t xml:space="preserve">64.918
11.322
1.292
</t>
  </si>
  <si>
    <t>60
180
390
180</t>
  </si>
  <si>
    <t xml:space="preserve">11557467.00
2015667.00
230000.00
</t>
  </si>
  <si>
    <t>CREDIT-SUISSE(JB)/FRIEDMAN-B(JB)
/CITIGROUP(JB)/JPM(JB)//BEAR
/PIPER-JAFFRAY/FLAGSTONE</t>
  </si>
  <si>
    <t>CREDIT-SUISSE/FRIEDMAN-B/CITIGROUP/JPM</t>
  </si>
  <si>
    <t>CREDIT-SUISSE
(JB)/FRIEDMAN-B(JB)
/CITIGROUP(JB)
/JPM(JB)
BEAR
PIPER-JAFFRAY
FLAGSTONE</t>
  </si>
  <si>
    <t>Credit Suisse
Friedman Billings Ramsey Group
Citigroup
JP Morgan &amp; Co Inc
Bear Stearns &amp; Co Inc
Piper Jaffray Cos
Flagstone Securities Inc</t>
  </si>
  <si>
    <t>Crocs Inc</t>
  </si>
  <si>
    <t>CROX</t>
  </si>
  <si>
    <t>PIPER-JAFFRAY
/THOMAS-WEISEL(JB)</t>
  </si>
  <si>
    <t>Piper Jaffray Cos
Thomas Weisel Partners
SG Cowen Securities Corp
BB&amp;T Capital Markets
DA Davidson &amp; Co Inc
Wedbush Securities</t>
  </si>
  <si>
    <t>05/08/06
08/06/06
08/06/06
08/06/06</t>
  </si>
  <si>
    <t xml:space="preserve">2.433
71.413
</t>
  </si>
  <si>
    <t xml:space="preserve">931003.00
27331402.00
</t>
  </si>
  <si>
    <t>PIPER-JAFFRAY(JB)/THOMAS-WEISEL(JB)
//SG-COWEN/BB-T-CAP/DAVIDSON/WEDBUSH-M</t>
  </si>
  <si>
    <t>PIPER-JAFFRAY/THOMAS-WEISEL</t>
  </si>
  <si>
    <t>PIPER-JAFFRAY
(JB)/THOMAS-WEISEL(JB)
SG-COWEN
BB-T-CAP
DAVIDSON
WEDBUSH-M</t>
  </si>
  <si>
    <t>EXCO Resources Inc</t>
  </si>
  <si>
    <t>XCO</t>
  </si>
  <si>
    <t>JPM/BEAR(JB)/GS(JB)</t>
  </si>
  <si>
    <t>JP Morgan
Bear Stearns &amp; Co Inc
Goldman Sachs &amp; Co
AG Edwards &amp; Sons Inc
Credit Suisse First Boston
KeyCorp/McDonald Investments</t>
  </si>
  <si>
    <t>08/07/06
08/07/06
08/07/06</t>
  </si>
  <si>
    <t>JPM(JB)/BEAR(JB)/GS(JB)//A-G-EDWARDS
/CS-FB-CS/KEY-MCDONALD</t>
  </si>
  <si>
    <t>JPM/BEAR/GS</t>
  </si>
  <si>
    <t>JPM
(JB)/BEAR(JB)
/GS(JB)
A-G-EDWARDS
CS-FB-CS
KEY-MCDONALD</t>
  </si>
  <si>
    <t>JP Morgan &amp; Co Inc
Bear Stearns &amp; Co Inc
Goldman Sachs &amp; Co
AG Edwards &amp; Sons Inc
Credit Suisse First Boston Corp
KeyCorp/McDonald Investments</t>
  </si>
  <si>
    <t>Morton's Restaurant Group Inc</t>
  </si>
  <si>
    <t>MRT</t>
  </si>
  <si>
    <t>Wachovia Securities Inc
Piper Jaffray Cos
RBC Capital Markets
SG Cowen Securities Corp
Jefferies &amp; Co Inc
Doft &amp; Co Inc
AG Edwards &amp; Sons Inc
Jesup &amp; Lamont Securities</t>
  </si>
  <si>
    <t>08/07/06
02/03/07
05/09/06
08/07/06
08/07/06</t>
  </si>
  <si>
    <t xml:space="preserve">40.557
0.274
0.375
</t>
  </si>
  <si>
    <t>180
360
90
180
180</t>
  </si>
  <si>
    <t xml:space="preserve">6529015.00
44118.00
60367.00
</t>
  </si>
  <si>
    <t>WACHOVIA-SEC/PIPER-JAFFRAY(JOINT)
//RBC-CAP-MKTS/SG-COWEN/JEFFERIES//DOFT
/A-G-EDWARDS/JESUP</t>
  </si>
  <si>
    <t>WACHOVIA-SEC
/PIPER-JAFFRAY(JOINT)
RBC-CAP-MKTS
SG-COWEN
JEFFERIES</t>
  </si>
  <si>
    <t>Wachovia Securities Inc
Piper Jaffray Cos
RBC Capital Markets
SG Cowen Securities Corp
Jefferies &amp; Co Inc</t>
  </si>
  <si>
    <t>NightHawk Radiology Hldg Inc</t>
  </si>
  <si>
    <t>NHWK</t>
  </si>
  <si>
    <t>65411N105</t>
  </si>
  <si>
    <t>Morgan Stanley
Banc of America Securities LLC
Piper Jaffray Cos
SG Cowen Securities Corp
Montgomery &amp; Co</t>
  </si>
  <si>
    <t xml:space="preserve">75.696
</t>
  </si>
  <si>
    <t xml:space="preserve">22564571.00
</t>
  </si>
  <si>
    <t>MORGAN-STANLEY//BA-SEC-LLC
/PIPER-JAFFRAY/SG-COWEN/MONTGOMERY-CO</t>
  </si>
  <si>
    <t>MORGAN-STANLEY
BA-SEC-LLC
PIPER-JAFFRAY
SG-COWEN
MONTGOMERY-CO</t>
  </si>
  <si>
    <t>NTELOS Holdings Corp</t>
  </si>
  <si>
    <t>NTLS</t>
  </si>
  <si>
    <t>67020Q107</t>
  </si>
  <si>
    <t>Lehman Brothers
Bear Stearns &amp; Co Inc
UBS Investment Bank
Raymond James &amp; Associates Inc
Wachovia Capital Markets</t>
  </si>
  <si>
    <t>LEH(JB)/BEAR(JB)//UBS-INV-BANK/RAYMOND
/WACHOVIA-CAP</t>
  </si>
  <si>
    <t>LEH
(JB)/BEAR(JB)
UBS-INV-BANK
RAYMOND
WACHOVIA-CAP</t>
  </si>
  <si>
    <t>Acorda Therapeutics Inc</t>
  </si>
  <si>
    <t>ACOR</t>
  </si>
  <si>
    <t>00484M106</t>
  </si>
  <si>
    <t>Banc of America Securities LLC
Lazard Capital Markets
Piper Jaffray Cos
SG Cowen Securities Corp</t>
  </si>
  <si>
    <t>08/08/06
08/08/06
08/08/06</t>
  </si>
  <si>
    <t xml:space="preserve">100.385
</t>
  </si>
  <si>
    <t xml:space="preserve">19698104.00
</t>
  </si>
  <si>
    <t>BA-SEC-LLC//LAZARD-CAP-MKT
/PIPER-JAFFRAY/SG-COWEN</t>
  </si>
  <si>
    <t>BA-SEC-LLC
LAZARD-CAP-MKT
PIPER-JAFFRAY
SG-COWEN</t>
  </si>
  <si>
    <t>AmCOMP Inc</t>
  </si>
  <si>
    <t>AMCP</t>
  </si>
  <si>
    <t>02342J101</t>
  </si>
  <si>
    <t>Friedman Billings Ramsey Group
Raymond James &amp; Associates Inc
BB&amp;T Capital Markets
Cohen Bros &amp; Co
Fox-Pitt Kelton
Piper Jaffray Cos
Stifel Nicolaus &amp; Co Inc</t>
  </si>
  <si>
    <t xml:space="preserve">
31.170
</t>
  </si>
  <si>
    <t xml:space="preserve">
4849561.00
</t>
  </si>
  <si>
    <t>FRIEDMAN-B//RAYMOND/BB-T-CAP
//COHEN-BROS/FOX-PITT/PIPER-JAFFRAY
/STIFEL</t>
  </si>
  <si>
    <t>FRIEDMAN-B
RAYMOND
BB-T-CAP</t>
  </si>
  <si>
    <t>Friedman Billings Ramsey Group
Raymond James &amp; Associates Inc
BB&amp;T Capital Markets</t>
  </si>
  <si>
    <t>Magellan Midstream Hldg LP</t>
  </si>
  <si>
    <t>MGG</t>
  </si>
  <si>
    <t>CITIGROUP/LEH(JB)
/GS(JB)
/WACHOVIA-SEC(JB)</t>
  </si>
  <si>
    <t>55907R108</t>
  </si>
  <si>
    <t>Citigroup
Lehman Brothers
Goldman Sachs &amp; Co
Wachovia Securities Inc
AG Edwards &amp; Sons Inc
Merrill Lynch
Morgan Stanley
Credit Suisse
Deutsche Bank Securities Corp
Oppenheimer &amp; Co Inc
Raymond James &amp; Associates Inc
RBC Capital Markets</t>
  </si>
  <si>
    <t>CITIGROUP(JB)/LEH(JB)/GS(JB)
/WACHOVIA-SEC(JB)//A-G-EDWARDS/MERRILL
/MORGAN-STANLEY/CREDIT-SUISSE
/DEUTSCHE-BK-SEC/OPPENHEIMER-CO/RAYMOND
/RBC-CAP-MKTS</t>
  </si>
  <si>
    <t>CITIGROUP/LEH/GS/WACHOVIA-SEC</t>
  </si>
  <si>
    <t>CITIGROUP
(JB)/LEH(JB)
/GS(JB)
/WACHOVIA-SEC(JB)
A-G-EDWARDS
MERRILL
MORGAN-STANLEY
CREDIT-SUISSE
DEUTSCHE-BK-SEC
OPPENHEIMER-CO
RAYMOND
RBC-CAP-MKTS</t>
  </si>
  <si>
    <t>Citigroup
Lehman Brothers
Goldman Sachs &amp; Co
Wachovia Securities Inc
AG Edwards &amp; Sons Inc
Merrill Lynch &amp; Co Inc
Morgan Stanley
Credit Suisse
Deutsche Bank Securities Corp.
Oppenheimer &amp; Co Inc
Raymond James &amp; Associates Inc
RBC Capital Markets</t>
  </si>
  <si>
    <t>Morgans Hotel Group Co</t>
  </si>
  <si>
    <t>MHGC</t>
  </si>
  <si>
    <t>61748W108</t>
  </si>
  <si>
    <t>Morgan Stanley
Merrill Lynch
Citigroup
Banc of America Securities LLC
Thomas Weisel Partners
Jefferies &amp; Co Inc
JMP Securities LLC
Blaylock &amp; Partners LP
E*Trade Securities Inc
Susquehanna Financial Group</t>
  </si>
  <si>
    <t>08/12/06
08/12/06
08/12/06</t>
  </si>
  <si>
    <t xml:space="preserve">46.152
</t>
  </si>
  <si>
    <t xml:space="preserve">15461013.00
</t>
  </si>
  <si>
    <t>MORGAN-STANLEY(JB)/MERRILL(JB)
//CITIGROUP/BA-SEC-LLC/THOMAS-WEISEL
/JEFFERIES/JMP-SEC//BLAYLOCK-PTRNS
/E*TRADE-SEC/SUSQUEHANNA-FIN</t>
  </si>
  <si>
    <t>MORGAN-STANLEY
(JB)/MERRILL(JB)
CITIGROUP
BA-SEC-LLC
THOMAS-WEISEL
JEFFERIES
JMP-SEC</t>
  </si>
  <si>
    <t>Morgan Stanley
Merrill Lynch &amp; Co Inc
Citigroup
Banc of America Securities LLC
Thomas Weisel Partners
Jefferies &amp; Co Inc
JMP Securities LLC</t>
  </si>
  <si>
    <t>Global Logistics Acq Corp</t>
  </si>
  <si>
    <t>GLA</t>
  </si>
  <si>
    <t>BB&amp;T Capital Markets
Earlybirdcapital Inc
Brean Murray &amp; Co Inc</t>
  </si>
  <si>
    <t>08/14/06
08/14/06</t>
  </si>
  <si>
    <t xml:space="preserve">20.000
</t>
  </si>
  <si>
    <t xml:space="preserve">2500000.00
</t>
  </si>
  <si>
    <t>BB-T-CAP//EARLYBIRD-CAP/BREAN</t>
  </si>
  <si>
    <t>BB-T-CAP
EARLYBIRD-CAP
BREAN</t>
  </si>
  <si>
    <t>Liquidity Services Inc</t>
  </si>
  <si>
    <t>LQDT</t>
  </si>
  <si>
    <t>53635B107</t>
  </si>
  <si>
    <t>Friedman Billings Ramsey Group
RBC Capital Markets
CIBC World Markets Inc
Pacific Crest Securities Inc
Jefferies &amp; Co Inc
Stifel Nicolaus &amp; Co Inc
ThinkEquity Partners</t>
  </si>
  <si>
    <t>05/23/06
08/21/06
08/21/06
08/21/06</t>
  </si>
  <si>
    <t xml:space="preserve">0.793
70.824
</t>
  </si>
  <si>
    <t xml:space="preserve">216721.00
19355909.00
</t>
  </si>
  <si>
    <t>FRIEDMAN-B(JB)/RBC-CAP-MKTS(JB)
//CIBC-WORLD/PACIFIC-CREST//JEFFERIES
/STIFEL/THINK</t>
  </si>
  <si>
    <t>FRIEDMAN-B
(JB)/RBC-CAP-MKTS(JB)
CIBC-WORLD
PACIFIC-CREST</t>
  </si>
  <si>
    <t>Friedman Billings Ramsey Group
RBC Capital Markets
CIBC World Markets Inc
Pacific Crest Securities Inc</t>
  </si>
  <si>
    <t>BlackRock Long-term Muni</t>
  </si>
  <si>
    <t>BTA</t>
  </si>
  <si>
    <t>09250B103</t>
  </si>
  <si>
    <t>Merrill Lynch
Advest Inc
Robert W Baird &amp; Co Inc
Ferris Baker Watts
JJB Hilliard WL Lyons Inc
Janney Montgomery Scott LLC
Ladenburg Thalmann &amp; Co
RBC Capital Markets
Stifel Nicolaus &amp; Co Inc
Wedbush Securities
BB&amp;T Capital Markets
SunTrust Robinson Humphrey
PNC Capital Markets
Axiom Capital Management Inc
William Blair &amp; Co
Crowell Weedon &amp; Co
Doft &amp; Co Inc
Dominick &amp; Dominick Inc
Hongkong &amp; Shanghai Bank (HK)
McDonald Investments
Morgan Keegan Inc
Oppenheimer &amp; Co Inc
Piper Jaffray Inc
Arthurs Lestrange
Bishop, Rosen &amp; Co
Brean Murray &amp; Co Inc
Brookstreet Securities
Capital Growth Financial LLC
Chicago Investment Group LLC
Ehrenkrantz King Nussbaum Inc
First Montauk Securities
First Southwest
GunnAllen Financial Inc
J. B. Hanauer
Hoefer &amp; Arnett Inc
Huntleigh Securities Corp
Jesup &amp; Lamont Securities
Johnston Lemon &amp; Co Inc
McGinn, Smith &amp; Co Inc
Mesirow Financial Corp
Morgan Wilshire Securities
National Securities Corp (US)
Newbridge Securities
David A. Noyes
Peacock Hislop Staley &amp; Given
Regal Securities Inc
Royal Alliance Associates
Sanders Morris Harris Inc
R Seelaus &amp; Company Inc
Source Capital Group Inc
Southwest Securities Inc
Stanford Group Company
M. L. Stern
Sterne Agee &amp; Leach Inc
Stone &amp; Youngberg
Strand,Atkinson,Williams&amp;Yerl
Torrey Pines Securities
JP Turner &amp; Co
Westminster Finl Sec Inc
Wunderlich Securities Inc</t>
  </si>
  <si>
    <t>MERRILL//ADVEST/BAIRD/FERRIS-BAKER
/HILLIARD/JANNEY-LLC/LADENBURG
/RBC-CAP-MKTS/STIFEL/WEDBUSH-M/BB-T-CAP
/SUNTRUST-RH/PNC-CAPITAL//AXIOM-CAP
/WM-BLAIR/CROWELL/DOFT/DOMINICK
/HONG-SHANG-BKG/MCDONALD/MORGAN-KEEGAN
/OPPENHEIMER-CO/PIPER-J/ARTHURS-LES
/BISHOP-ROSEN/BREAN/BROOKSTREET/CGF-SEC
/CHICAGO-INV/EHRENKRANTZ/FIRST-MONTAUK
/FIRST-SW/GUNNALLEN-FINL/J-B-HANAUER
/HOEFER-ARNETT/HUNTLEIGH-SEC/JESUP
/JOHNSTON-LEMON/MCGINN-SMITH
/MESIROW-FIN/MORGAN-WILSHIRE/NATL-SEC
/NEWBRIDGE/D-A-NOYES/PEACOCK-HISLOP
/REGAL-SEC-INC/ROYAL-ALLIANCE
/SANDERS-HARRIS/R-SEELAUS
/SOURCE-CAPITAL/SWS-SEC/STANFORD-GROUP
/M-L-STERN/STERNE-AGEE/STONE-YOUNG
/STRAND-ATKIN/TORREY-PINES/J-P-TURNER
/WEST-FIN-SEC/WUNDERLICH</t>
  </si>
  <si>
    <t>MERRILL
ADVEST
BAIRD
FERRIS-BAKER
HILLIARD
JANNEY-LLC
LADENBURG
RBC-CAP-MKTS
STIFEL
WEDBUSH-M
BB-T-CAP
SUNTRUST-RH
PNC-CAPITAL</t>
  </si>
  <si>
    <t>Merrill Lynch &amp; Co Inc
Advest Inc
Robert W Baird &amp; Co Inc
Ferris Baker Watts Inc
JJB Hilliard WL Lyons Inc
Janney Montgomery Scott LLC
Ladenburg Thalmann &amp; Co
RBC Capital Markets
Stifel Nicolaus &amp; Co Inc
Wedbush Securities
BB&amp;T Capital Markets
SunTrust Robinson Humphrey
PNC Capital Markets</t>
  </si>
  <si>
    <t>GAP</t>
  </si>
  <si>
    <t>PAC</t>
  </si>
  <si>
    <t>CREDIT-SUISSE</t>
  </si>
  <si>
    <t>Credit Suisse
Citigroup
Deutsche Bank Securities Corp
Santander Investment Bank</t>
  </si>
  <si>
    <t>08/22/06
08/22/06</t>
  </si>
  <si>
    <t xml:space="preserve">11.087
</t>
  </si>
  <si>
    <t xml:space="preserve">62197829.00
</t>
  </si>
  <si>
    <t>CREDIT-SUISSE//CITIGROUP
/DEUTSCHE-BK-SEC/SANTANDER-INV</t>
  </si>
  <si>
    <t>CREDIT-SUISSE
CITIGROUP
DEUTSCHE-BK-SEC
SANTANDER-INV</t>
  </si>
  <si>
    <t>Credit Suisse
Citigroup
Deutsche Bank Securities Corp.
Santander Investment Bank</t>
  </si>
  <si>
    <t>Grubb &amp; Ellis Realty Advisors</t>
  </si>
  <si>
    <t>GAV.U</t>
  </si>
  <si>
    <t>Deutsche Bank Securities Corp
GunnAllen Financial Inc
Joseph Gunnar &amp; Co., LLC
Stifel Nicolaus &amp; Co Inc</t>
  </si>
  <si>
    <t>10/25/06
08/26/06</t>
  </si>
  <si>
    <t xml:space="preserve">22.000
</t>
  </si>
  <si>
    <t>240
180</t>
  </si>
  <si>
    <t xml:space="preserve">5876069.00
</t>
  </si>
  <si>
    <t>DEUTSCHE-BK-SEC//GUNNALLEN-FINL/GUNNAR
/STIFEL</t>
  </si>
  <si>
    <t>Deutsche Bank Securities Corp.</t>
  </si>
  <si>
    <t>Oracle Healthcare Acq Corp</t>
  </si>
  <si>
    <t>OHAQ</t>
  </si>
  <si>
    <t>68402M102</t>
  </si>
  <si>
    <t>CRT Capital Group LLC
Ladenburg Thalmann &amp; Co</t>
  </si>
  <si>
    <t>CRT-CAPITAL//LADENBURG</t>
  </si>
  <si>
    <t>CRT-CAPITAL
LADENBURG</t>
  </si>
  <si>
    <t>Alexza Pharmaceuticals Inc</t>
  </si>
  <si>
    <t>ALXA</t>
  </si>
  <si>
    <t>PIPER-JAFFRAY
/PACIFIC-GROWTH(JB)</t>
  </si>
  <si>
    <t>015384100</t>
  </si>
  <si>
    <t>Piper Jaffray Cos
Pacific Growth Equities Inc
RBC Capital Markets
JMP Securities LLC</t>
  </si>
  <si>
    <t>06/06/06
09/04/06
09/04/06
09/04/06</t>
  </si>
  <si>
    <t xml:space="preserve">0.105
75.282
</t>
  </si>
  <si>
    <t xml:space="preserve">23882.00
17048547.00
</t>
  </si>
  <si>
    <t>PIPER-JAFFRAY(JB)/PACIFIC-GROWTH(JB)
//RBC-CAP-MKTS/JMP-SEC</t>
  </si>
  <si>
    <t>PIPER-JAFFRAY/PACIFIC-GROWTH</t>
  </si>
  <si>
    <t>PIPER-JAFFRAY
(JB)/PACIFIC-GROWTH(JB)
RBC-CAP-MKTS
JMP-SEC</t>
  </si>
  <si>
    <t>Eagle Test Systems Inc</t>
  </si>
  <si>
    <t>EGLT</t>
  </si>
  <si>
    <t>Banc of America Securities LLC
Lehman Brothers
Piper Jaffray Cos
Canaccord Capital Corp
AG Edwards &amp; Sons Inc</t>
  </si>
  <si>
    <t>09/04/06
09/04/06
09/04/06</t>
  </si>
  <si>
    <t xml:space="preserve">13298220.00
</t>
  </si>
  <si>
    <t>BA-SEC-LLC(JB)/LEH(JB)//PIPER-JAFFRAY
/CANACCORD/A-G-EDWARDS</t>
  </si>
  <si>
    <t>BA-SEC-LLC
(JB)/LEH(JB)
PIPER-JAFFRAY
CANACCORD
A-G-EDWARDS</t>
  </si>
  <si>
    <t>Good Harbor Partners Acq Corp</t>
  </si>
  <si>
    <t>GHBAA</t>
  </si>
  <si>
    <t>HCFP Brenner Securities LLC
Legend Merchant Group Inc
Ladenburg Thalmann &amp; Co
Maxim Group LLC
I-Bankers Securities Inc
Brean Murray &amp; Co Inc</t>
  </si>
  <si>
    <t>HCFP-BRENNER//LEGEND-MERCHANT
//LADENBURG/MAXIM-GROUP/I-BANKERS-SEC
/BREAN</t>
  </si>
  <si>
    <t>HCFP-BRENNER
LEGEND-MERCHANT</t>
  </si>
  <si>
    <t>HCFP Brenner Securities LLC
Legend Merchant Group Inc</t>
  </si>
  <si>
    <t>TAM SA</t>
  </si>
  <si>
    <t>TAM</t>
  </si>
  <si>
    <t>CS/PACCC(JB)</t>
  </si>
  <si>
    <t>87484D103</t>
  </si>
  <si>
    <t>Credit Suisse
Pactual Capital Corporation
Merrill Lynch, Pierce, Fenner
Citigroup
UBS Investment Bank
JP Morgan</t>
  </si>
  <si>
    <t>CS(JB)/PACCC(JB)//ML/CITIGROUP
/UBS-INV-BANK/JPM</t>
  </si>
  <si>
    <t>CS/PACCC</t>
  </si>
  <si>
    <t>CS
(JB)/PACCC(JB)</t>
  </si>
  <si>
    <t>Credit Suisse
Pactual Capital Corporation</t>
  </si>
  <si>
    <t>TransDigm Group Inc</t>
  </si>
  <si>
    <t>TDG</t>
  </si>
  <si>
    <t>CREDIT-SUISSE/LEH(JB)</t>
  </si>
  <si>
    <t>Credit Suisse
Lehman Brothers
Goldman Sachs &amp; Co
Banc of America Securities LLC
UBS Investment Bank</t>
  </si>
  <si>
    <t>09/10/06
03/09/07
09/10/06
09/10/06</t>
  </si>
  <si>
    <t xml:space="preserve">75.217
75.217
</t>
  </si>
  <si>
    <t xml:space="preserve">33247058.00
33247058.00
</t>
  </si>
  <si>
    <t>CREDIT-SUISSE(JB)/LEH(JB)//GS
/BA-SEC-LLC/UBS-INV-BANK</t>
  </si>
  <si>
    <t>CREDIT-SUISSE/LEH</t>
  </si>
  <si>
    <t>CREDIT-SUISSE
(JB)/LEH(JB)
GS
BA-SEC-LLC
UBS-INV-BANK</t>
  </si>
  <si>
    <t>Acquicor Technology Inc</t>
  </si>
  <si>
    <t>AQR</t>
  </si>
  <si>
    <t>00489A107</t>
  </si>
  <si>
    <t>ThinkEquity Partners
CRT Capital Group LLC
Wedbush Securities
GunnAllen Financial Inc</t>
  </si>
  <si>
    <t>THINK//CRT-CAPITAL/WEDBUSH-M
/GUNNALLEN-FINL</t>
  </si>
  <si>
    <t>THINK
CRT-CAPITAL
WEDBUSH-M
GUNNALLEN-FINL</t>
  </si>
  <si>
    <t>ThinkEquity Partners
CRT Capital Group LLC
Wedbush Securities
GunnAllen Financial, Inc.</t>
  </si>
  <si>
    <t>Echo Healthcare Acquisition</t>
  </si>
  <si>
    <t>EHHA</t>
  </si>
  <si>
    <t>27876C206</t>
  </si>
  <si>
    <t>Morgan Joseph &amp; Co Inc
Roth Capital Partners Inc
Legend Merchant Group Inc
GunnAllen Financial Inc
Southwest Securities Inc</t>
  </si>
  <si>
    <t>MORGAN-JOSEPH/ROTH-CAPITAL(JOINT)
//LEGEND-MERCHANT//GUNNALLEN-FINL
/SWS-SEC</t>
  </si>
  <si>
    <t>MORGAN-JOSEPH/ROTH-CAPITAL</t>
  </si>
  <si>
    <t>MORGAN-JOSEPH
/ROTH-CAPITAL(JOINT)
LEGEND-MERCHANT</t>
  </si>
  <si>
    <t>Morgan Joseph &amp; Co Inc
Roth Capital Partners Inc
Legend Merchant Group Inc</t>
  </si>
  <si>
    <t>Nextest Systems Corp</t>
  </si>
  <si>
    <t>NEXT</t>
  </si>
  <si>
    <t>Merrill Lynch
Needham &amp; Co LLC
SG Cowen Securities Corp
Caris &amp; Company
JMP Securities LLC
Ladenburg Thalmann &amp; Co
Susquehanna Financial Group</t>
  </si>
  <si>
    <t>09/17/06
09/17/06
09/17/06</t>
  </si>
  <si>
    <t xml:space="preserve">65.234
</t>
  </si>
  <si>
    <t xml:space="preserve">11407336.00
</t>
  </si>
  <si>
    <t>MERRILL//NEEDHAM/SG-COWEN//CARIS-CO
/JMP-SEC/LADENBURG/SUSQUEHANNA-FIN</t>
  </si>
  <si>
    <t>MERRILL
NEEDHAM
SG-COWEN</t>
  </si>
  <si>
    <t>Merrill Lynch &amp; Co Inc
Needham &amp; Co LLC
SG Cowen Securities Corp</t>
  </si>
  <si>
    <t>North American Ins Leaders</t>
  </si>
  <si>
    <t>NAO</t>
  </si>
  <si>
    <t>65687M203</t>
  </si>
  <si>
    <t>Banco Macro Bansud SA</t>
  </si>
  <si>
    <t>BMA</t>
  </si>
  <si>
    <t>UBS-INV-BANK
/RAYMOND(JB)</t>
  </si>
  <si>
    <t>05961W105</t>
  </si>
  <si>
    <t>UBS Investment Bank
Raymond James &amp; Associates Inc</t>
  </si>
  <si>
    <t>UBS-INV-BANK(JB)/RAYMOND(JB)</t>
  </si>
  <si>
    <t>UBS-INV-BANK/RAYMOND</t>
  </si>
  <si>
    <t>UBS-INV-BANK
(JB)/RAYMOND(JB)</t>
  </si>
  <si>
    <t>Clayton Holdings Inc</t>
  </si>
  <si>
    <t>CLAY</t>
  </si>
  <si>
    <t>18418N107</t>
  </si>
  <si>
    <t>William Blair &amp; Co
Piper Jaffray Cos
SunTrust Robinson Humphrey
JMP Securities LLC
AGC Partners
Susquehanna Financial Group
Harris Nesbitt</t>
  </si>
  <si>
    <t>09/19/06
09/19/06
09/19/06</t>
  </si>
  <si>
    <t xml:space="preserve">61.323
</t>
  </si>
  <si>
    <t xml:space="preserve">11891306.00
</t>
  </si>
  <si>
    <t>WM-BLAIR//PIPER-JAFFRAY/SUNTRUST-RH
/JMP-SEC/AMERICA-GROWTH
//SUSQUEHANNA-FIN/HARRN</t>
  </si>
  <si>
    <t>WM-BLAIR
PIPER-JAFFRAY
SUNTRUST-RH
JMP-SEC
AMERICA-GROWTH</t>
  </si>
  <si>
    <t>William Blair &amp; Co
Piper Jaffray Cos
SunTrust Robinson Humphrey
JMP Securities LLC
AGC Partners</t>
  </si>
  <si>
    <t>Global Traffic Network Inc</t>
  </si>
  <si>
    <t>GNET</t>
  </si>
  <si>
    <t>37947B103</t>
  </si>
  <si>
    <t>03/18/07
03/18/07
09/19/06</t>
  </si>
  <si>
    <t xml:space="preserve">100.000
</t>
  </si>
  <si>
    <t>360
360
180</t>
  </si>
  <si>
    <t xml:space="preserve">12300000.00
</t>
  </si>
  <si>
    <t>Tim Hortons Inc</t>
  </si>
  <si>
    <t>THI</t>
  </si>
  <si>
    <t>GS/RBC-CAP-MKTS(JB)</t>
  </si>
  <si>
    <t>88706M103</t>
  </si>
  <si>
    <t>Goldman Sachs &amp; Co
RBC Capital Markets
JP Morgan
Scotia Capital (USA) Inc.
Bear Stearns &amp; Co Inc
CIBC World Markets Inc
Harris Nesbitt
Lazard Capital Markets
Merrill Lynch
Cowen
TD Securities (USA) Inc
Huntington Capital Corp
Loop Capital Markets
Natcity Investments Inc.
Williams Capital Group LP</t>
  </si>
  <si>
    <t>WEN</t>
  </si>
  <si>
    <t>Wendy's International Inc</t>
  </si>
  <si>
    <t>GS(JB)/RBC-CAP-MKTS(JB)//JPM/SCOTIA-CAP
/BEAR/CIBC-WORLD/HARRN/LAZARD-CAP-MKT
/MERRILL/COWEN/TD-SEC-USA
//HUNTINGTON-CAP/LOOP/NATCITY-INVEST
/WILLIAMS-CAP</t>
  </si>
  <si>
    <t>GS/RBC-CAP-MKTS</t>
  </si>
  <si>
    <t>GS
(JB)/RBC-CAP-MKTS(JB)
JPM
SCOTIA-CAP
BEAR
CIBC-WORLD
HARRN
LAZARD-CAP-MKT
MERRILL
COWEN
TD-SEC-USA</t>
  </si>
  <si>
    <t>Goldman Sachs &amp; Co
RBC Capital Markets
JP Morgan &amp; Co Inc
Scotia Capital (USA) Inc.
Bear Stearns &amp; Co Inc
CIBC World Markets Inc
Harris Nesbitt
Lazard Capital Markets
Merrill Lynch &amp; Co Inc
Cowen &amp; Co
TD Securities (USA) Inc</t>
  </si>
  <si>
    <t>First Trust Strategic</t>
  </si>
  <si>
    <t>RBC Capital Markets
AG Edwards &amp; Sons Inc
BB&amp;T Capital Markets
Ferris Baker Watts
Fixed Income Securities Inc
Oppenheimer &amp; Co Inc
Ryan Beck &amp; Co
Stifel Nicolaus &amp; Co Inc
Wedbush Securities
Ladenburg Thalmann &amp; Co
Newbridge Securities
Sterne Agee &amp; Leach Inc
Wunderlich Securities Inc</t>
  </si>
  <si>
    <t>RBC-CAP-MKTS//A-G-EDWARDS/BB-T-CAP
/FERRIS-BAKER/FIXED-INC/OPPENHEIMER-CO
/RYAN-BECK/STIFEL/WEDBUSH-M/LADENBURG
/NEWBRIDGE/STERNE-AGEE/WUNDERLICH</t>
  </si>
  <si>
    <t>RBC-CAP-MKTS
A-G-EDWARDS
BB-T-CAP
FERRIS-BAKER
FIXED-INC
OPPENHEIMER-CO
RYAN-BECK
STIFEL
WEDBUSH-M
LADENBURG
NEWBRIDGE
STERNE-AGEE
WUNDERLICH</t>
  </si>
  <si>
    <t>RBC Capital Markets
AG Edwards &amp; Sons Inc
BB&amp;T Capital Markets
Ferris Baker Watts Inc
Fixed Income Securities Inc
Oppenheimer &amp; Co Inc
Ryan Beck &amp; Co
Stifel Nicolaus &amp; Co Inc
Wedbush Securities
Ladenburg Thalmann &amp; Co
Newbridge Securities
Sterne Agee &amp; Leach Inc
Wunderlich Securities Inc</t>
  </si>
  <si>
    <t>China GrenTech Corp Ltd</t>
  </si>
  <si>
    <t>GRRF</t>
  </si>
  <si>
    <t>16938P107</t>
  </si>
  <si>
    <t>Bear Stearns &amp; Co Inc
Piper Jaffray Cos
WR Hambrecht &amp; Co LLC</t>
  </si>
  <si>
    <t>09/25/06
09/25/06
09/25/06</t>
  </si>
  <si>
    <t xml:space="preserve">75.000
</t>
  </si>
  <si>
    <t xml:space="preserve">18750000.00
</t>
  </si>
  <si>
    <t>BEAR//PIPER-JAFFRAY/W-R-HAMBRECHT</t>
  </si>
  <si>
    <t>BEAR
PIPER-JAFFRAY
W-R-HAMBRECHT</t>
  </si>
  <si>
    <t>Himax Technologies Inc</t>
  </si>
  <si>
    <t>HIMX</t>
  </si>
  <si>
    <t>43289P106</t>
  </si>
  <si>
    <t>Morgan Stanley
Credit Suisse
Banc of America Securities LLC
Piper Jaffray Cos
ABN AMRO Incorporated
Hongkong &amp; Shanghai Bank (HK)</t>
  </si>
  <si>
    <t>09/27/06
03/26/07
09/26/06</t>
  </si>
  <si>
    <t xml:space="preserve">35.403
37.883
</t>
  </si>
  <si>
    <t>181
361
180</t>
  </si>
  <si>
    <t xml:space="preserve">68911436.00
73739197.00
</t>
  </si>
  <si>
    <t>Chi Mei Optoelectronics Corp</t>
  </si>
  <si>
    <t>MORGAN-STANLEY/CREDIT-SUISSE(JOINT)
//BA-SEC-LLC/PIPER-JAFFRAY/ABN-AMRO-INC
/HONG-SHANG-BKG</t>
  </si>
  <si>
    <t>MORGAN-STANLEY/CREDIT-SUISSE</t>
  </si>
  <si>
    <t>MORGAN-STANLEY
/CREDIT-SUISSE(JOINT)
BA-SEC-LLC
PIPER-JAFFRAY
ABN-AMRO-INC
HONG-SHANG-BKG</t>
  </si>
  <si>
    <t>Morgan Stanley
Credit Suisse
Banc of America Securities LLC
Piper Jaffray Cos
ABN AMRO Incorporated
Hongkong &amp; Shanghai Banking Corp Ltd</t>
  </si>
  <si>
    <t>Visicu Inc</t>
  </si>
  <si>
    <t>EICU</t>
  </si>
  <si>
    <t>92831L204</t>
  </si>
  <si>
    <t>Morgan Stanley
Wachovia Securities Inc
Thomas Weisel Partners
William Blair &amp; Co</t>
  </si>
  <si>
    <t>10/01/06
10/01/06
10/01/06</t>
  </si>
  <si>
    <t xml:space="preserve">74.998
</t>
  </si>
  <si>
    <t xml:space="preserve">24008567.00
</t>
  </si>
  <si>
    <t>MORGAN-STANLEY//WACHOVIA-SEC
/THOMAS-WEISEL/WM-BLAIR</t>
  </si>
  <si>
    <t>MORGAN-STANLEY
WACHOVIA-SEC
THOMAS-WEISEL
WM-BLAIR</t>
  </si>
  <si>
    <t>Castle Brands Inc</t>
  </si>
  <si>
    <t>ROX</t>
  </si>
  <si>
    <t>Oppenheimer &amp; Co Inc
ThinkEquity Partners
Ladenburg Thalmann &amp; Co</t>
  </si>
  <si>
    <t>10/02/06
10/02/06
10/02/06</t>
  </si>
  <si>
    <t xml:space="preserve">70.842
</t>
  </si>
  <si>
    <t xml:space="preserve">8503539.00
</t>
  </si>
  <si>
    <t>OPPENHEIMER-CO//THINK/LADENBURG</t>
  </si>
  <si>
    <t>OPPENHEIMER-CO
THINK
LADENBURG</t>
  </si>
  <si>
    <t>General Finance Corp</t>
  </si>
  <si>
    <t>GFN</t>
  </si>
  <si>
    <t>Morgan Joseph &amp; Co Inc
Legend Merchant Group Inc
Southwest Securities Inc
Wedbush Securities
GunnAllen Financial Inc
Ryan Beck &amp; Co</t>
  </si>
  <si>
    <t>MORGAN-JOSEPH//LEGEND-MERCHANT/SWS-SEC
/WEDBUSH-M//GUNNALLEN-FINL/RYAN-BECK</t>
  </si>
  <si>
    <t>MORGAN-JOSEPH
LEGEND-MERCHANT
SWS-SEC
WEDBUSH-M</t>
  </si>
  <si>
    <t>Morgan Joseph &amp; Co Inc
Legend Merchant Group Inc
Southwest Securities Inc
Wedbush Securities</t>
  </si>
  <si>
    <t>Goodman Global Inc</t>
  </si>
  <si>
    <t>GGL</t>
  </si>
  <si>
    <t>JPM/MERRILL(JB)/GS(JB)</t>
  </si>
  <si>
    <t>38239A100</t>
  </si>
  <si>
    <t>JP Morgan
Merrill Lynch
Goldman Sachs &amp; Co
Credit Suisse
Deutsche Bank Securities Corp
KeyCorp/McDonald Investments
Lehman Brothers</t>
  </si>
  <si>
    <t xml:space="preserve">60.722
</t>
  </si>
  <si>
    <t xml:space="preserve">41831015.00
</t>
  </si>
  <si>
    <t>JPM(JB)/MERRILL(JB)/GS(JB)
//CREDIT-SUISSE/DEUTSCHE-BK-SEC
/KEY-MCDONALD/LEH</t>
  </si>
  <si>
    <t>JPM/MERRILL/GS</t>
  </si>
  <si>
    <t>JPM
(JB)/MERRILL(JB)
/GS(JB)
CREDIT-SUISSE
DEUTSCHE-BK-SEC
KEY-MCDONALD
LEH</t>
  </si>
  <si>
    <t>JP Morgan &amp; Co Inc
Merrill Lynch &amp; Co Inc
Goldman Sachs &amp; Co
Credit Suisse
Deutsche Bank Securities Corp.
KeyCorp/McDonald Investments
Lehman Brothers</t>
  </si>
  <si>
    <t>Sealy Corp</t>
  </si>
  <si>
    <t>ZZ</t>
  </si>
  <si>
    <t>CITIGROUP/JPM(JB)
/BA-SEC-LLC(JB)/GS(JB)</t>
  </si>
  <si>
    <t>Citigroup
JP Morgan
Banc of America Securities LLC
Goldman Sachs &amp; Co
Wachovia Securities Inc
Lehman Brothers
SunTrust Capital Markets
Ferris Baker Watts</t>
  </si>
  <si>
    <t>10/03/06
10/03/06
10/03/06</t>
  </si>
  <si>
    <t>68.631
9.084</t>
  </si>
  <si>
    <t>62271573.00
8242181.00</t>
  </si>
  <si>
    <t>CITIGROUP(JB)/JPM(JB)/BA-SEC-LLC(JB)
/GS(JB)/WACHOVIA-SEC/LEH(JOINT)
//SUNTRUST-CAP/FERRIS-BAKER</t>
  </si>
  <si>
    <t>CITIGROUP/JPM/BA-SEC-LLC/GS/WACHOVIA-SEC
/LEH</t>
  </si>
  <si>
    <t>CITIGROUP
(JB)/JPM(JB)
/BA-SEC-LLC(JB)
/GS(JB)
/WACHOVIA-SEC
/LEH(JOINT)
SUNTRUST-CAP
FERRIS-BAKER</t>
  </si>
  <si>
    <t>Citigroup
JP Morgan &amp; Co Inc
Banc of America Securities LLC
Goldman Sachs &amp; Co
Wachovia Securities Inc
Lehman Brothers
SunTrust Capital Markets
Ferris Baker Watts Inc</t>
  </si>
  <si>
    <t>Omega Navigation Entrp Inc</t>
  </si>
  <si>
    <t>ONAV</t>
  </si>
  <si>
    <t>JEFFERIES/JPM(JB)</t>
  </si>
  <si>
    <t>Y6476R105</t>
  </si>
  <si>
    <t>Jefferies &amp; Co Inc
JP Morgan
Jefferies &amp; Co Inc</t>
  </si>
  <si>
    <t xml:space="preserve">3150000.00
</t>
  </si>
  <si>
    <t>JEFFERIES(JB)/JPM(JB)//JEFFERIES(GC)</t>
  </si>
  <si>
    <t>JEFFERIES/JPM</t>
  </si>
  <si>
    <t>JEFFERIES
(JB)/JPM(JB)</t>
  </si>
  <si>
    <t>Jefferies &amp; Co Inc
JP Morgan &amp; Co Inc</t>
  </si>
  <si>
    <t>Targacept Inc</t>
  </si>
  <si>
    <t>TRGT</t>
  </si>
  <si>
    <t>87611R306</t>
  </si>
  <si>
    <t>Deutsche Bank Securities Corp
Pacific Growth Equities Inc
CIBC World Markets Inc
Lazard Capital Markets</t>
  </si>
  <si>
    <t>10/08/06
10/08/06
10/08/06</t>
  </si>
  <si>
    <t xml:space="preserve">73.829
</t>
  </si>
  <si>
    <t xml:space="preserve">14104838.00
</t>
  </si>
  <si>
    <t>DEUTSCHE-BK-SEC/PACIFIC-GROWTH(JOINT)
//CIBC-WORLD/LAZARD-CAP-MKT</t>
  </si>
  <si>
    <t>DEUTSCHE-BK-SEC/PACIFIC-GROWTH</t>
  </si>
  <si>
    <t>DEUTSCHE-BK-SEC
/PACIFIC-GROWTH(JOINT)
CIBC-WORLD
LAZARD-CAP-MKT</t>
  </si>
  <si>
    <t>Deutsche Bank Securities Corp.
Pacific Growth Equities Inc
CIBC World Markets Inc
Lazard Capital Markets</t>
  </si>
  <si>
    <t>Vanda Pharmaceuticals Inc</t>
  </si>
  <si>
    <t>VNDA</t>
  </si>
  <si>
    <t>JP Morgan
Banc of America Securities LLC
Thomas Weisel Partners</t>
  </si>
  <si>
    <t>10/09/06
10/09/06
10/09/06</t>
  </si>
  <si>
    <t xml:space="preserve">56.409
</t>
  </si>
  <si>
    <t xml:space="preserve">12208983.00
</t>
  </si>
  <si>
    <t>JPM(JB)/BA-SEC-LLC(JB)//THOMAS-WEISEL</t>
  </si>
  <si>
    <t>JPM
(JB)/BA-SEC-LLC(JB)
THOMAS-WEISEL</t>
  </si>
  <si>
    <t>JP Morgan &amp; Co Inc
Banc of America Securities LLC
Thomas Weisel Partners</t>
  </si>
  <si>
    <t>Global Svcs Partners Acq Corp</t>
  </si>
  <si>
    <t>GSPAA</t>
  </si>
  <si>
    <t>HCFP Brenner Securities LLC
Legend Merchant Group Inc
Ladenburg Thalmann &amp; Co
Maxim Group LLC
I-Bankers Securities Inc</t>
  </si>
  <si>
    <t>HCFP-BRENNER//LEGEND-MERCHANT
//LADENBURG/MAXIM-GROUP/I-BANKERS-SEC</t>
  </si>
  <si>
    <t>Warrior Energy Services Corp</t>
  </si>
  <si>
    <t>WARR</t>
  </si>
  <si>
    <t>RAYMOND/SIMMONS(JB)</t>
  </si>
  <si>
    <t>Raymond James &amp; Associates Inc
Simmons &amp; Co International
Johnson Rice &amp; Co
Miller Johnson Steichen Kinnar
Oppenheimer &amp; Co Inc
Pickering Energy Partners Inc</t>
  </si>
  <si>
    <t>10/15/06
10/15/06
10/15/06</t>
  </si>
  <si>
    <t xml:space="preserve">20.670
</t>
  </si>
  <si>
    <t xml:space="preserve">2176584.00
</t>
  </si>
  <si>
    <t>RAYMOND(JB)/SIMMONS(JB)//JOHNSON-RICE
//MILLER-STEICHEN/OPPENHEIMER-CO
/PICK-ENERGY</t>
  </si>
  <si>
    <t>RAYMOND/SIMMONS</t>
  </si>
  <si>
    <t>RAYMOND
(JB)/SIMMONS(JB)
JOHNSON-RICE</t>
  </si>
  <si>
    <t>Raymond James &amp; Associates Inc
Simmons &amp; Co International
Johnson Rice &amp; Co</t>
  </si>
  <si>
    <t>Complete Production Svcs Inc</t>
  </si>
  <si>
    <t>CPX</t>
  </si>
  <si>
    <t>20453E109</t>
  </si>
  <si>
    <t>Credit Suisse
UBS Investment Bank
Banc of America Securities LLC
Jefferies &amp; Co Inc
Johnson Rice &amp; Co
Raymond James &amp; Associates Inc
Simmons &amp; Co International
Pickering Energy Partners Inc</t>
  </si>
  <si>
    <t>10/17/06
10/17/06
10/17/06</t>
  </si>
  <si>
    <t>CREDIT-SUISSE(JB)/UBS-INV-BANK(JB)
//BA-SEC-LLC/JEFFERIES/JOHNSON-RICE
/RAYMOND/SIMMONS/PICK-ENERGY</t>
  </si>
  <si>
    <t>CREDIT-SUISSE
(JB)/UBS-INV-BANK(JB)
BA-SEC-LLC
JEFFERIES
JOHNSON-RICE
RAYMOND
SIMMONS
PICK-ENERGY</t>
  </si>
  <si>
    <t>Omrix Biopharmaceuticals Inc</t>
  </si>
  <si>
    <t>OMRI</t>
  </si>
  <si>
    <t>UBS Investment Bank
CIBC World Markets Inc
Leerink Swann &amp; Co
Oppenheimer &amp; Co Inc</t>
  </si>
  <si>
    <t xml:space="preserve">75.934
</t>
  </si>
  <si>
    <t xml:space="preserve">10871000.00
</t>
  </si>
  <si>
    <t>UBS-INV-BANK//CIBC-WORLD/LEERINK-SWANN
/OPPENHEIMER-CO</t>
  </si>
  <si>
    <t>UBS-INV-BANK
CIBC-WORLD
LEERINK-SWANN
OPPENHEIMER-CO</t>
  </si>
  <si>
    <t>Clough Global Opportunities</t>
  </si>
  <si>
    <t>GLO</t>
  </si>
  <si>
    <t>18914E106</t>
  </si>
  <si>
    <t>Merrill Lynch
AG Edwards &amp; Sons Inc
Raymond James &amp; Associates Inc
Citigroup
BB&amp;T Capital Markets
H&amp;R Block Financial Advisors
Ferris Baker Watts
Fixed Income Securities Inc
JJB Hilliard WL Lyons Inc
Janney Montgomery Scott LLC
KeyCorp/McDonald Investments
Ladenburg Thalmann &amp; Co
Morgan Keegan Inc
Oppenheimer &amp; Co Inc
RBC Capital Markets
Ryan Beck &amp; Co
Stifel Nicolaus &amp; Co Inc
Wedbush Securities
Wells Fargo Bank NA
Robert W Baird Limited
Crowell Weedon &amp; Co
DA Davidson &amp; Co Inc
Deutsche Bank Securities
Doft &amp; Co Inc
Dominick &amp; Dominick Inc
Hongkong &amp; Shanghai Bank (HK)
SunTrust Capital Markets
Bishop, Rosen &amp; Co
Brean Murray &amp; Co Inc
Capital Growth Financial LLC
GunnAllen Financial Inc
Joseph Gunnar &amp; Co., LLC
J. B. Hanauer
Hoefer &amp; Arnett Inc
Jesup &amp; Lamont Securities
Johnston Lemon &amp; Co Inc
LaSalle Street Securities Inc
Maxim Group LLC
McGinn, Smith &amp; Co Inc
Mesirow Financial Corp
Morgan Wilshire Securities
Newbridge Securities
Northeast Securities Inc.
David A. Noyes
Paulson Investment Co
Regal Securities Inc
Royal Alliance Associates
Sanders Morris Harris Inc
The Seidler Companies Inc
Source Capital Group Inc
Stanford Group Company
Strand,Atkinson,Williams&amp;Yerl
JP Turner &amp; Co</t>
  </si>
  <si>
    <t>MERRILL//A-G-EDWARDS/RAYMOND/CITIGROUP
/BB-T-CAP/HR-BLOCK-FIN/FERRIS-BAKER
/FIXED-INC/HILLIARD/JANNEY-LLC
/KEY-MCDONALD/LADENBURG/MORGAN-KEEGAN
/OPPENHEIMER-CO/RBC-CAP-MKTS/RYAN-BECK
/STIFEL/WEDBUSH-M/WELLS-FARGO//RWB
/CROWELL/DAVIDSON/DBSECU/DOFT/DOMINICK
/HONG-SHANG-BKG/SUNTRUST-CAP
/BISHOP-ROSEN/BREAN/CGF-SEC
/GUNNALLEN-FINL/GUNNAR/J-B-HANAUER
/HOEFER-ARNETT/JESUP/JOHNSTON-LEMON
/LASALLE-SEC/MAXIM-GROUP/MCGINN-SMITH
/MESIROW-FIN/MORGAN-WILSHIRE/NEWBRIDGE
/NORTHEAST-SEC/D-A-NOYES/PAULSON
/REGAL-SEC-INC/ROYAL-ALLIANCE
/SANDERS-HARRIS/SEIDLER-CO-INC
/SOURCE-CAPITAL/STANFORD-GROUP
/STRAND-ATKIN/J-P-TURNER</t>
  </si>
  <si>
    <t>MERRILL
A-G-EDWARDS
RAYMOND
CITIGROUP
BB-T-CAP
HR-BLOCK-FIN
FERRIS-BAKER
FIXED-INC
HILLIARD
JANNEY-LLC
KEY-MCDONALD
LADENBURG
MORGAN-KEEGAN
OPPENHEIMER-CO
RBC-CAP-MKTS
RYAN-BECK
STIFEL
WEDBUSH-M
WELLS-FARGO</t>
  </si>
  <si>
    <t>Merrill Lynch &amp; Co Inc
AG Edwards &amp; Sons Inc
Raymond James &amp; Associates Inc
Citigroup
BB&amp;T Capital Markets
H&amp;R Block Financial Advisors
Ferris Baker Watts Inc
Fixed Income Securities Inc
JJB Hilliard WL Lyons Inc
Janney Montgomery Scott LLC
KeyCorp/McDonald Investments
Ladenburg Thalmann &amp; Co
Morgan Keegan Inc
Oppenheimer &amp; Co Inc
RBC Capital Markets
Ryan Beck &amp; Co
Stifel Nicolaus &amp; Co Inc
Wedbush Securities
Wells Fargo Bank NA</t>
  </si>
  <si>
    <t>Corel Corp</t>
  </si>
  <si>
    <t>CREL</t>
  </si>
  <si>
    <t>21869X103</t>
  </si>
  <si>
    <t>Morgan Stanley
JP Morgan
Deutsche Bank Securities Corp
CIBC World Markets Inc
Piper Jaffray Cos
Canaccord Adams</t>
  </si>
  <si>
    <t>10/22/06
10/22/06
10/22/06</t>
  </si>
  <si>
    <t xml:space="preserve">55.658
</t>
  </si>
  <si>
    <t xml:space="preserve">13631984.00
</t>
  </si>
  <si>
    <t>MORGAN-STANLEY//JPM/DEUTSCHE-BK-SEC
/CIBC-WORLD/PIPER-JAFFRAY/CAN-ADAMS</t>
  </si>
  <si>
    <t>MORGAN-STANLEY
JPM
DEUTSCHE-BK-SEC
CIBC-WORLD
PIPER-JAFFRAY
CAN-ADAMS</t>
  </si>
  <si>
    <t>Morgan Stanley
JP Morgan &amp; Co Inc
Deutsche Bank Securities Corp.
CIBC World Markets Inc
Piper Jaffray Cos
Canaccord Adams</t>
  </si>
  <si>
    <t>Global Income &amp; Currency Fund</t>
  </si>
  <si>
    <t>GCF</t>
  </si>
  <si>
    <t>Merrill Lynch
Citigroup
Nuveen Investments LLC
Ferris Baker Watts
Fixed Income Securities Inc
JJB Hilliard WL Lyons Inc
Ladenburg Thalmann &amp; Co
RBC Capital Markets
Stifel Nicolaus &amp; Co Inc
Wedbush Securities
Wells Fargo Bank NA
BB&amp;T Capital Markets
Robert W Baird &amp; Co Inc
Crowell Weedon &amp; Co
Doft &amp; Co Inc
Dominick &amp; Dominick Inc
Hongkong &amp; Shanghai Bank (HK)
KeyCorp/McDonald Investments
Ryan Beck &amp; Co
Arthurs Lestrange
Bishop, Rosen &amp; Co
Brean Murray Carret &amp; Co LLC
Brookstreet Securities
Capital Growth Financial LLC
Chicago Investment Group LLC
E*Trade Securities Inc
First Montauk Securities
First Southwest
Gilford Securities
GunnAllen Financial Inc
J. B. Hanauer
Hoefer &amp; Arnett Inc
Howe Barnes Investments Inc
Huntleigh Securities Corp
Jesup &amp; Lamont Securities
Johnston Lemon &amp; Co Inc
LaSalle Street Securities Inc
Maxim Group LLC
McGinn, Smith &amp; Co Inc
Mesirow Financial Corp
Morgan Wilshire Securities
National Securities Corp (US)
Northeast Securities Inc.
David A. Noyes
Pacific Crest Securities Inc
Peacock Hislop Staley &amp; Given
Regal Securities Inc
Royal Alliance Associates
Sanders Morris Harris Inc
Source Capital Group Inc
Southwest Securities Inc
Stanford Group Company
M. L. Stern
Sterne Agee &amp; Leach Inc
Strand,Atkinson,Williams&amp;Yerl
Torrey Pines Securities</t>
  </si>
  <si>
    <t>MERRILL//CITIGROUP/NUVEEN-INV
/FERRIS-BAKER/FIXED-INC/HILLIARD
/LADENBURG/RBC-CAP-MKTS/STIFEL
/WEDBUSH-M/WELLS-FARGO//BB-T-CAP/BAIRD
/CROWELL/DOFT/DOMINICK/HONG-SHANG-BKG
/KEY-MCDONALD/RYAN-BECK/ARTHURS-LES
/BISHOP-ROSEN/BREANMUR-CARRET
/BROOKSTREET/CGF-SEC/CHICAGO-INV
/E*TRADE-SEC/FIRST-MONTAUK/FIRST-SW
/GILFORD/GUNNALLEN-FINL/J-B-HANAUER
/HOEFER-ARNETT/HOWE-BARNES
/HUNTLEIGH-SEC/JESUP/JOHNSTON-LEMON
/LASALLE-SEC/MAXIM-GROUP/MCGINN-SMITH
/MESIROW-FIN/MORGAN-WILSHIRE/NATL-SEC
/NORTHEAST-SEC/D-A-NOYES/PACIFIC-CREST
/PEACOCK-HISLOP/REGAL-SEC-INC
/ROYAL-ALLIANCE/SANDERS-HARRIS
/SOURCE-CAPITAL/SWS-SEC/STANFORD-GROUP
/M-L-STERN/STERNE-AGEE/STRAND-ATKIN
/TORREY-PINES</t>
  </si>
  <si>
    <t>MERRILL
CITIGROUP
NUVEEN-INV
FERRIS-BAKER
FIXED-INC
HILLIARD
LADENBURG
RBC-CAP-MKTS
STIFEL
WEDBUSH-M
WELLS-FARGO</t>
  </si>
  <si>
    <t>Merrill Lynch &amp; Co Inc
Citigroup
Nuveen Investments LLC
Ferris Baker Watts Inc
Fixed Income Securities Inc
JJB Hilliard WL Lyons Inc
Ladenburg Thalmann &amp; Co
RBC Capital Markets
Stifel Nicolaus &amp; Co Inc
Wedbush Securities
Wells Fargo Bank NA</t>
  </si>
  <si>
    <t>Shanghai Century Acq Corp</t>
  </si>
  <si>
    <t>SHA</t>
  </si>
  <si>
    <t>I-Bankers Securities Inc
WR Hambrecht &amp; Co LLC
Ladenburg Thalmann &amp; Co
Maxim Group LLC
Dominick &amp; Dominick Inc
Legend Merchant Group Inc</t>
  </si>
  <si>
    <t>I-BANKERS-SEC//W-R-HAMBRECHT/LADENBURG
//MAXIM-GROUP/DOMINICK/LEGEND-MERCHANT</t>
  </si>
  <si>
    <t>I-BANKERS-SEC
W-R-HAMBRECHT
LADENBURG</t>
  </si>
  <si>
    <t>I-Bankers Securities Inc
WR Hambrecht &amp; Co LLC
Ladenburg Thalmann &amp; Co</t>
  </si>
  <si>
    <t>American Mold Guard Inc</t>
  </si>
  <si>
    <t>AMGIU</t>
  </si>
  <si>
    <t>02756R102</t>
  </si>
  <si>
    <t>Paulson Investment Co
Capital Growth Financial LLC
Chicago Investment Group LLC
JP Turner &amp; Co</t>
  </si>
  <si>
    <t>04/21/07
04/21/07
04/21/07</t>
  </si>
  <si>
    <t xml:space="preserve">36.678
</t>
  </si>
  <si>
    <t>360
360
360</t>
  </si>
  <si>
    <t xml:space="preserve">1563895.00
</t>
  </si>
  <si>
    <t>PAULSON//CGF-SEC/CHICAGO-INV
//J-P-TURNER</t>
  </si>
  <si>
    <t>PAULSON
CGF-SEC
CHICAGO-INV</t>
  </si>
  <si>
    <t>Paulson Investment Co
Capital Growth Financial LLC
Chicago Investment Group LLC</t>
  </si>
  <si>
    <t>CPI International Inc</t>
  </si>
  <si>
    <t>CPII</t>
  </si>
  <si>
    <t>12618M100</t>
  </si>
  <si>
    <t>UBS Investment Bank
Bear Stearns &amp; Co Inc
Banc of America Securities LLC
Wachovia Capital Markets</t>
  </si>
  <si>
    <t>10/24/06
10/24/06
10/24/06</t>
  </si>
  <si>
    <t xml:space="preserve">55.938
</t>
  </si>
  <si>
    <t xml:space="preserve">8961284.00
</t>
  </si>
  <si>
    <t>UBS-INV-BANK(JB)/BEAR(JB)//BA-SEC-LLC
/WACHOVIA-CAP</t>
  </si>
  <si>
    <t>UBS-INV-BANK
(JB)/BEAR(JB)
BA-SEC-LLC
WACHOVIA-CAP</t>
  </si>
  <si>
    <t>RAM Holdings Ltd</t>
  </si>
  <si>
    <t>RAMR</t>
  </si>
  <si>
    <t>Sub Notes</t>
  </si>
  <si>
    <t>G7368R104</t>
  </si>
  <si>
    <t>Banc of America Securities LLC
Merrill Lynch
Keefe Bruyette &amp; Woods Inc
William Blair &amp; Co
Fox-Pitt Kelton
Piper Jaffray Cos</t>
  </si>
  <si>
    <t xml:space="preserve">60.268
</t>
  </si>
  <si>
    <t xml:space="preserve">16413939.00
</t>
  </si>
  <si>
    <t>BA-SEC-LLC(JB)/MERRILL(JB)//KEEFE
//WM-BLAIR/FOX-PITT/PIPER-JAFFRAY</t>
  </si>
  <si>
    <t>BA-SEC-LLC
(JB)/MERRILL(JB)
KEEFE</t>
  </si>
  <si>
    <t>Banc of America Securities LLC
Merrill Lynch &amp; Co Inc
Keefe Bruyette &amp; Woods Inc</t>
  </si>
  <si>
    <t>Labopharm Inc</t>
  </si>
  <si>
    <t>DDS</t>
  </si>
  <si>
    <t>MERRILL/BA-SEC-LLC(JB)</t>
  </si>
  <si>
    <t>Merrill Lynch
Banc of America Securities LLC
Canaccord Capital Corp
Leerink Swann &amp; Co
Orion Securities
Dundee Securities Corporation
Westwind Partners Inc</t>
  </si>
  <si>
    <t>07/27/06
07/27/06
07/27/06</t>
  </si>
  <si>
    <t>MERRILL(JB)/BA-SEC-LLC(JB)//CANACCORD
/LEERINK-SWANN/ORION-SEC/DUNDEE-SEC
/WESTWIND</t>
  </si>
  <si>
    <t>MERRILL/BA-SEC-LLC</t>
  </si>
  <si>
    <t>MERRILL
(JB)/BA-SEC-LLC(JB)
CANACCORD
LEERINK-SWANN
ORION-SEC
DUNDEE-SEC
WESTWIND</t>
  </si>
  <si>
    <t>Merrill Lynch &amp; Co Inc
Banc of America Securities LLC
Canaccord Capital Corp
Leerink Swann &amp; Co
Orion Securities
Dundee Securities Corporation
Westwind Partners Inc</t>
  </si>
  <si>
    <t>Delek US Holdings Inc</t>
  </si>
  <si>
    <t>DK</t>
  </si>
  <si>
    <t>Lehman Brothers
Citigroup
Credit Suisse
Hongkong &amp; Shanghai Bank (HK)
Morgan Keegan Inc
William Blair &amp; Co
Israel Discount Bank of NY
SunTrust Capital Markets</t>
  </si>
  <si>
    <t>10/30/06
10/30/06
10/30/06</t>
  </si>
  <si>
    <t xml:space="preserve">77.402
</t>
  </si>
  <si>
    <t xml:space="preserve">39389869.00
</t>
  </si>
  <si>
    <t>DLEKG</t>
  </si>
  <si>
    <t>Delek Group Ltd</t>
  </si>
  <si>
    <t>LEH(JB)/CITIGROUP(JB)//CREDIT-SUISSE
/HONG-SHANG-BKG/MORGAN-KEEGAN/WM-BLAIR
/ISRAEL-DISC-NY//SUNTRUST-CAP</t>
  </si>
  <si>
    <t>LEH
(JB)/CITIGROUP(JB)
CREDIT-SUISSE
HONG-SHANG-BKG
MORGAN-KEEGAN
WM-BLAIR
ISRAEL-DISC-NY</t>
  </si>
  <si>
    <t>Lehman Brothers
Citigroup
Credit Suisse
Hongkong &amp; Shanghai Banking Corp Ltd
Morgan Keegan Inc
William Blair &amp; Co
Israel Discount Bank of New York</t>
  </si>
  <si>
    <t>DynCorp International LLC</t>
  </si>
  <si>
    <t>DCP</t>
  </si>
  <si>
    <t>CREDIT-SUISSE/GS(JB)</t>
  </si>
  <si>
    <t>26817C101</t>
  </si>
  <si>
    <t>Credit Suisse
Goldman Sachs &amp; Co
Bear Stearns &amp; Co Inc
CIBC World Markets Inc
Jefferies Quarterdeck LLC
UBS Investment Bank
Wachovia Securities Inc</t>
  </si>
  <si>
    <t xml:space="preserve">56.140
</t>
  </si>
  <si>
    <t xml:space="preserve">32000000.00
</t>
  </si>
  <si>
    <t>CREDIT-SUISSE(JB)/GS(JB)/BEAR(JOINT)
//CIBC-WORLD/JEFFERIES-QUART
/UBS-INV-BANK/WACHOVIA-SEC</t>
  </si>
  <si>
    <t>CREDIT-SUISSE/GS/BEAR</t>
  </si>
  <si>
    <t>CREDIT-SUISSE
(JB)/GS(JB)
/BEAR(JOINT)
CIBC-WORLD
JEFFERIES-QUART
UBS-INV-BANK
WACHOVIA-SEC</t>
  </si>
  <si>
    <t>Northstar Neuroscience Inc</t>
  </si>
  <si>
    <t>NSTR</t>
  </si>
  <si>
    <t>CITIGROUP/COWEN(JB)</t>
  </si>
  <si>
    <t>66704V101</t>
  </si>
  <si>
    <t>Citigroup
Cowen
First Albany Capital Inc
Leerink Swann &amp; Co</t>
  </si>
  <si>
    <t>10/31/06
10/31/06
10/31/06</t>
  </si>
  <si>
    <t>CITIGROUP(JB)/COWEN(JB)//FIRST-AL-CAP
/LEERINK-SWANN</t>
  </si>
  <si>
    <t>CITIGROUP/COWEN</t>
  </si>
  <si>
    <t>CITIGROUP
(JB)/COWEN(JB)
FIRST-AL-CAP
LEERINK-SWANN</t>
  </si>
  <si>
    <t>Citigroup
Cowen &amp; Co
First Albany Capital Inc
Leerink Swann &amp; Co</t>
  </si>
  <si>
    <t>Alliance Holdings GP LP</t>
  </si>
  <si>
    <t>AHGP</t>
  </si>
  <si>
    <t>01861G100</t>
  </si>
  <si>
    <t>Lehman Brothers
Citigroup
AG Edwards &amp; Sons Inc
UBS Investment Bank
Wachovia Securities Inc
Raymond James &amp; Associates Inc
RBC Capital Markets
Credit Suisse
Stifel Nicolaus &amp; Co Inc</t>
  </si>
  <si>
    <t>11/05/06
11/05/06
11/05/06</t>
  </si>
  <si>
    <t>LEH/CITIGROUP(JOINT)//A-G-EDWARDS
/UBS-INV-BANK/WACHOVIA-SEC/RAYMOND
/RBC-CAP-MKTS/CREDIT-SUISSE/STIFEL</t>
  </si>
  <si>
    <t>LEH
/CITIGROUP(JOINT)
A-G-EDWARDS
UBS-INV-BANK
WACHOVIA-SEC
RAYMOND
RBC-CAP-MKTS
CREDIT-SUISSE
STIFEL</t>
  </si>
  <si>
    <t>Novacea Inc</t>
  </si>
  <si>
    <t>NOVC</t>
  </si>
  <si>
    <t>BEAR/COWEN(JB)</t>
  </si>
  <si>
    <t>66987B103</t>
  </si>
  <si>
    <t>Bear Stearns &amp; Co Inc
Cowen
Pacific Growth Equities Inc
Hongkong &amp; Shanghai Bank (HK)</t>
  </si>
  <si>
    <t xml:space="preserve">69.939
</t>
  </si>
  <si>
    <t xml:space="preserve">16070473.00
</t>
  </si>
  <si>
    <t>BEAR(JB)/COWEN(JB)//PACIFIC-GROWTH
/HONG-SHANG-BKG</t>
  </si>
  <si>
    <t>BEAR/COWEN</t>
  </si>
  <si>
    <t>BEAR
(JB)/COWEN(JB)
PACIFIC-GROWTH
HONG-SHANG-BKG</t>
  </si>
  <si>
    <t>Bear Stearns &amp; Co Inc
Cowen &amp; Co
Pacific Growth Equities Inc
Hongkong &amp; Shanghai Banking Corp Ltd</t>
  </si>
  <si>
    <t>Compass Diversified Trust</t>
  </si>
  <si>
    <t>CODI</t>
  </si>
  <si>
    <t>20451Q104</t>
  </si>
  <si>
    <t>Ferris Baker Watts
BB&amp;T Capital Markets
JJB Hilliard WL Lyons Inc
Oppenheimer &amp; Co Inc
SMH Capital Inc
Ladenburg Thalmann &amp; Co
Maxim Group LLC</t>
  </si>
  <si>
    <t>11/06/06
11/06/06
11/06/06</t>
  </si>
  <si>
    <t xml:space="preserve">30.769
</t>
  </si>
  <si>
    <t xml:space="preserve">6000000.00
</t>
  </si>
  <si>
    <t>FERRIS-BAKER//BB-T-CAP/HILLIARD
/OPPENHEIMER-CO/SMH-CAPITAL/LADENBURG
/MAXIM-GROUP</t>
  </si>
  <si>
    <t>FERRIS-BAKER
BB-T-CAP
HILLIARD
OPPENHEIMER-CO
SMH-CAPITAL
LADENBURG
MAXIM-GROUP</t>
  </si>
  <si>
    <t>Ferris Baker Watts Inc
BB&amp;T Capital Markets
JJB Hilliard WL Lyons Inc
Oppenheimer &amp; Co Inc
SMH Capital Inc
Ladenburg Thalmann &amp; Co
Maxim Group LLC</t>
  </si>
  <si>
    <t>Ascend Acquisition Corp</t>
  </si>
  <si>
    <t>ASAQ</t>
  </si>
  <si>
    <t>04350H209</t>
  </si>
  <si>
    <t>Basin Water Inc</t>
  </si>
  <si>
    <t>BWTR</t>
  </si>
  <si>
    <t>07011T306</t>
  </si>
  <si>
    <t>Janney Montgomery Scott LLC
AG Edwards &amp; Sons Inc
Canaccord Adams</t>
  </si>
  <si>
    <t>11/07/06
11/07/06
11/07/06</t>
  </si>
  <si>
    <t>42.881
24.516</t>
  </si>
  <si>
    <t>8009095.00
4579039.00</t>
  </si>
  <si>
    <t>JANNEY-LLC//A-G-EDWARDS/CAN-ADAMS</t>
  </si>
  <si>
    <t>JANNEY-LLC
A-G-EDWARDS
CAN-ADAMS</t>
  </si>
  <si>
    <t>BioMimetic Therapeutics Inc</t>
  </si>
  <si>
    <t>BMTI</t>
  </si>
  <si>
    <t>09064X101</t>
  </si>
  <si>
    <t>Deutsche Bank Securities Corp
Pacific Growth Equities Inc
First Albany Capital Inc
AG Edwards &amp; Sons Inc
Joseph Gunnar &amp; Co., LLC
WBB Securities LLC
Stephens Inc
Avondale Partners</t>
  </si>
  <si>
    <t>11/08/06
11/08/06
11/08/06</t>
  </si>
  <si>
    <t xml:space="preserve">46.253
</t>
  </si>
  <si>
    <t xml:space="preserve">7200300.00
</t>
  </si>
  <si>
    <t>DEUTSCHE-BK-SEC//PACIFIC-GROWTH
/FIRST-AL-CAP/A-G-EDWARDS//GUNNAR
/WBB-SECURITIES/STEPHENS/AVONDALE</t>
  </si>
  <si>
    <t>DEUTSCHE-BK-SEC
PACIFIC-GROWTH
FIRST-AL-CAP
A-G-EDWARDS</t>
  </si>
  <si>
    <t>Deutsche Bank Securities Corp.
Pacific Growth Equities Inc
First Albany Capital Inc
AG Edwards &amp; Sons Inc</t>
  </si>
  <si>
    <t>Restore Medical Inc</t>
  </si>
  <si>
    <t>REST</t>
  </si>
  <si>
    <t>76128C100</t>
  </si>
  <si>
    <t>Deutsche Bank Securities Corp
RBC Capital Markets
First Albany Capital Inc
Dominick &amp; Dominick Inc
Joseph Gunnar &amp; Co., LLC</t>
  </si>
  <si>
    <t>11/12/06
11/12/06
11/12/06</t>
  </si>
  <si>
    <t xml:space="preserve">73.773
</t>
  </si>
  <si>
    <t xml:space="preserve">11251225.00
</t>
  </si>
  <si>
    <t>DEUTSCHE-BK-SEC//RBC-CAP-MKTS
/FIRST-AL-CAP//DOMINICK/GUNNAR</t>
  </si>
  <si>
    <t>DEUTSCHE-BK-SEC
RBC-CAP-MKTS
FIRST-AL-CAP</t>
  </si>
  <si>
    <t>Deutsche Bank Securities Corp.
RBC Capital Markets
First Albany Capital Inc</t>
  </si>
  <si>
    <t>Burger King Holdings Inc</t>
  </si>
  <si>
    <t>JPM/CITIGROUP(JB)
/GS(JB)
/MORGAN-STANLEY(JB)</t>
  </si>
  <si>
    <t>JP Morgan
Citigroup
Goldman Sachs &amp; Co
Morgan Stanley
Wachovia Securities Inc
Bear Stearns &amp; Co Inc
Credit Suisse
Lehman Brothers
Loop Capital Markets
RBC Capital Markets
Alta Capital Group LLC
Blaylock &amp; Co Inc
Samuel A. Ramirez &amp; Co.
Williams Capital Group LP</t>
  </si>
  <si>
    <t>11/13/06
11/13/06
11/13/06</t>
  </si>
  <si>
    <t xml:space="preserve">81.210
</t>
  </si>
  <si>
    <t xml:space="preserve">108048840.00
</t>
  </si>
  <si>
    <t>JPM(JB)/CITIGROUP(JB)/GS(JB)
/MORGAN-STANLEY(JB)//WACHOVIA-SEC/BEAR
/CREDIT-SUISSE/LEH/LOOP//RBC-CAP-MKTS
/ALTA-CAPITAL/BLAYLOCK-CO/RAMIREZ
/WILLIAMS-CAP</t>
  </si>
  <si>
    <t>JPM/CITIGROUP/GS/MORGAN-STANLEY</t>
  </si>
  <si>
    <t>JPM
(JB)/CITIGROUP(JB)
/GS(JB)
/MORGAN-STANLEY(JB)
WACHOVIA-SEC
BEAR
CREDIT-SUISSE
LEH
LOOP</t>
  </si>
  <si>
    <t>JP Morgan &amp; Co Inc
Citigroup
Goldman Sachs &amp; Co
Morgan Stanley
Wachovia Securities Inc
Bear Stearns &amp; Co Inc
Credit Suisse
Lehman Brothers
Loop Capital Markets</t>
  </si>
  <si>
    <t>Penson Worldwide Inc</t>
  </si>
  <si>
    <t>PNSN</t>
  </si>
  <si>
    <t>JPM/CREDIT-SUISSE(JB)</t>
  </si>
  <si>
    <t>JP Morgan
Credit Suisse
Banc of America Securities LLC
Raymond James &amp; Associates Inc
Sandler O'Neill Partners</t>
  </si>
  <si>
    <t>JPM(JB)/CREDIT-SUISSE(JB)//BA-SEC-LLC
/RAYMOND/SANDLER-ONEILL</t>
  </si>
  <si>
    <t>JPM/CREDIT-SUISSE</t>
  </si>
  <si>
    <t>JPM
(JB)/CREDIT-SUISSE(JB)
BA-SEC-LLC
RAYMOND
SANDLER-ONEILL</t>
  </si>
  <si>
    <t>JP Morgan &amp; Co Inc
Credit Suisse
Banc of America Securities LLC
Raymond James &amp; Associates Inc
Sandler O'Neill Partners  L.P.</t>
  </si>
  <si>
    <t>Darwin Professional</t>
  </si>
  <si>
    <t>DR</t>
  </si>
  <si>
    <t>MERRILL
/CREDIT-SUISSE(JB)</t>
  </si>
  <si>
    <t>Merrill Lynch
Credit Suisse
Dowling &amp; Partners Securities
Cochran Caronia Waller
Keefe Bruyette &amp; Woods Inc</t>
  </si>
  <si>
    <t>11/14/06
11/14/06
11/14/06</t>
  </si>
  <si>
    <t xml:space="preserve">61.228
</t>
  </si>
  <si>
    <t xml:space="preserve">10891694.00
</t>
  </si>
  <si>
    <t>MERRILL(JB)/CREDIT-SUISSE(JB)//DOWL
/COCHRAN-CARWAL/KEEFE</t>
  </si>
  <si>
    <t>MERRILL/CREDIT-SUISSE</t>
  </si>
  <si>
    <t>MERRILL
(JB)/CREDIT-SUISSE(JB)
DOWL
COCHRAN-CARWAL
KEEFE</t>
  </si>
  <si>
    <t>Merrill Lynch &amp; Co Inc
Credit Suisse
Dowling &amp; Partners Securities LLC
Cochran Caronia Waller
Keefe Bruyette &amp; Woods Inc</t>
  </si>
  <si>
    <t>Claymore/Raymond James S-B1</t>
  </si>
  <si>
    <t>RYJ</t>
  </si>
  <si>
    <t>Vonage Holdings Corp</t>
  </si>
  <si>
    <t>92886T201</t>
  </si>
  <si>
    <t>Citigroup
Deutsche Bank Securities Corp
UBS Investment Bank
Bear Stearns &amp; Co Inc
Piper Jaffray Cos
Thomas Weisel Partners</t>
  </si>
  <si>
    <t>11/19/06
11/19/06
11/19/06</t>
  </si>
  <si>
    <t xml:space="preserve">79.647
</t>
  </si>
  <si>
    <t xml:space="preserve">124036520.00
</t>
  </si>
  <si>
    <t>CITIGROUP(JB)/DEUTSCHE-BK-SEC(JB)
/UBS-INV-BANK(JB)//BEAR/PIPER-JAFFRAY
/THOMAS-WEISEL</t>
  </si>
  <si>
    <t>CITIGROUP
(JB)/DEUTSCHE-BK-SEC(JB)
/UBS-INV-BANK(JB)
BEAR
PIPER-JAFFRAY
THOMAS-WEISEL</t>
  </si>
  <si>
    <t>Citigroup
Deutsche Bank Securities Corp.
UBS Investment Bank
Bear Stearns &amp; Co Inc
Piper Jaffray Cos
Thomas Weisel Partners</t>
  </si>
  <si>
    <t>MasterCard Inc</t>
  </si>
  <si>
    <t>MA</t>
  </si>
  <si>
    <t>GS/CITIGROUP(JB)
/HONG-SHANG-BKG(JB)
/JPM(JB)</t>
  </si>
  <si>
    <t>57636Q104</t>
  </si>
  <si>
    <t>Goldman Sachs &amp; Co
Citigroup
Hongkong &amp; Shanghai Bank (HK)
JP Morgan
Bear Stearns &amp; Co Inc
Cowen
Deutsche Bank Securities Corp
Harris Nesbitt
KeyCorp/McDonald Investments
Santander Investment Secs
ABN AMRO Incorporated
Barclays
Calyon Securities USA Inc
Credit Suisse
Daiwa Capital Markets America
ING Bank NV
Mitsubishi UFJ Sec Intl Plc
Mizuho Intl PLC
Piper Jaffray Cos
Samuel A. Ramirez &amp; Co.
Wells Fargo Bank NA
William Blair &amp; Co
Williams Capital Group LP
Goldman Sachs &amp; Co</t>
  </si>
  <si>
    <t>11/20/06
11/20/06
11/20/06</t>
  </si>
  <si>
    <t>GS(JB)/CITIGROUP(JB)/HONG-SHANG-BKG(JB)
/JPM(JB)//BEAR/COWEN/DEUTSCHE-BK-SEC
/HARRN/KEY-MCDONALD/SANTUS
//ABN-AMRO-INC/BARCLAYS-CAP/CALYON-SEC
/CREDIT-SUISSE/DAIWA-SEC-AMER/ING-NV
/MIT-UFJ-SEC-INT/MILTD/PIPER-JAFFRAY
/RAMIREZ/WELLS-FARGO/WM-BLAIR
/WILLIAMS-CAP//GS(GC)</t>
  </si>
  <si>
    <t>GS/CITIGROUP/HONG-SHANG-BKG/JPM</t>
  </si>
  <si>
    <t>GS
(JB)/CITIGROUP(JB)
/HONG-SHANG-BKG(JB)
/JPM(JB)
BEAR
COWEN
DEUTSCHE-BK-SEC
HARRN
KEY-MCDONALD
SANTUS</t>
  </si>
  <si>
    <t>Goldman Sachs &amp; Co
Citigroup
Hongkong &amp; Shanghai Banking Corp Ltd
JP Morgan &amp; Co Inc
Bear Stearns &amp; Co Inc
Cowen &amp; Co
Deutsche Bank Securities Corp.
Harris Nesbitt
KeyCorp/McDonald Investments
Santander Investment Securities Inc</t>
  </si>
  <si>
    <t>Mueller Water Products Inc</t>
  </si>
  <si>
    <t>MWA</t>
  </si>
  <si>
    <t>BA-SEC-LLC
/MORGAN-STANLEY(JB)
/LEH(JB)</t>
  </si>
  <si>
    <t>Banc of America Securities LLC
Morgan Stanley
Lehman Brothers
SunTrust Capital Markets
Goldman Sachs &amp; Co
Avondale Partners
Calyon Securities USA Inc</t>
  </si>
  <si>
    <t>11/21/06
11/21/06
11/21/06</t>
  </si>
  <si>
    <t>WLT</t>
  </si>
  <si>
    <t>Walter Industries Inc</t>
  </si>
  <si>
    <t>BA-SEC-LLC(JB)/MORGAN-STANLEY(JB)
/LEH(JB)//SUNTRUST-CAP/GS/AVONDALE
/CALYON-SEC</t>
  </si>
  <si>
    <t>BA-SEC-LLC/MORGAN-STANLEY/LEH</t>
  </si>
  <si>
    <t>BA-SEC-LLC
(JB)/MORGAN-STANLEY(JB)
/LEH(JB)
SUNTRUST-CAP
GS
AVONDALE
CALYON-SEC</t>
  </si>
  <si>
    <t>Eaton Vance Credit</t>
  </si>
  <si>
    <t>EOE</t>
  </si>
  <si>
    <t>UBS Investment Bank
Merrill Lynch
AG Edwards &amp; Sons Inc
RBC Capital Markets
Wells Fargo Bank NA
Janney Montgomery Scott LLC
Ferris Baker Watts
JJB Hilliard WL Lyons Inc
Wedbush Securities
Robert W Baird &amp; Co Inc
BB&amp;T Capital Markets
GunnAllen Financial Inc
Morgan Keegan Inc
Hennion &amp; Walsh, Inc
Oppenheimer &amp; Co Inc
Axiom Capital Management Inc
Capital Growth Financial LLC
Huntleigh Securities Corp
Maxim Group LLC
McDonald Investments
Piper Jaffray Cos
Ryan Beck &amp; Co
M. L. Stern
SunTrust Capital Markets
Bernard Herold &amp; Co
Bishop, Rosen &amp; Co
Brean Murray &amp; Co Inc
Brookstreet Securities
Commonwealth Financial Svcs
Dawson James Securities
First Southwest
Hongkong &amp; Shanghai Bank (HK)
Jesup &amp; Lamont Securities
Johnston Lemon &amp; Co Inc
Mesirow Financial Corp
David A. Noyes
Regal Securities Inc
Royal Alliance Associates
Sanders Morris Harris Inc
Stanford Group Company
BC Ziegler &amp; Co
JP Turner &amp; Co
Southwest Securities Inc</t>
  </si>
  <si>
    <t>UBS-INV-BANK//MERRILL/A-G-EDWARDS
/RBC-CAP-MKTS/WELLS-FARGO/JANNEY-LLC
/FERRIS-BAKER/HILLIARD/WEDBUSH-M//BAIRD
/BB-T-CAP/GUNNALLEN-FINL/MORGAN-KEEGAN
/HENNION-WALSH/OPPENHEIMER-CO/AXIOM-CAP
/CGF-SEC/HUNTLEIGH-SEC/MAXIM-GROUP
/MCDONALD/PIPER-JAFFRAY/RYAN-BECK
/M-L-STERN/SUNTRUST-CAP/BERNARD-HER
/BISHOP-ROSEN/BREAN/BROOKSTREET/CFINSE
/DAWSON-JAMES/FIRST-SW/HONG-SHANG-BKG
/JESUP/JOHNSTON-LEMON/MESIROW-FIN
/D-A-NOYES/REGAL-SEC-INC/ROYAL-ALLIANCE
/SANDERS-HARRIS/STANFORD-GROUP/ZIEGLER
/J-P-TURNER/SWS-SEC</t>
  </si>
  <si>
    <t>UBS-INV-BANK
MERRILL
A-G-EDWARDS
RBC-CAP-MKTS
WELLS-FARGO
JANNEY-LLC
FERRIS-BAKER
HILLIARD
WEDBUSH-M</t>
  </si>
  <si>
    <t>UBS Investment Bank
Merrill Lynch &amp; Co Inc
AG Edwards &amp; Sons Inc
RBC Capital Markets
Wells Fargo Bank NA
Janney Montgomery Scott LLC
Ferris Baker Watts Inc
JJB Hilliard WL Lyons Inc
Wedbush Securities</t>
  </si>
  <si>
    <t>CTC Media Inc</t>
  </si>
  <si>
    <t>MORGAN-STANLEY
/DEUTSCHE-BK-SEC(JB)</t>
  </si>
  <si>
    <t>12642X106</t>
  </si>
  <si>
    <t>Morgan Stanley
Deutsche Bank Securities Corp
JP Morgan</t>
  </si>
  <si>
    <t>11/28/06
11/28/06
11/28/06</t>
  </si>
  <si>
    <t xml:space="preserve">81.562
</t>
  </si>
  <si>
    <t xml:space="preserve">125000000.00
</t>
  </si>
  <si>
    <t>MORGAN-STANLEY(JB)/DEUTSCHE-BK-SEC(JB)
//JPM</t>
  </si>
  <si>
    <t>MORGAN-STANLEY
(JB)/DEUTSCHE-BK-SEC(JB)
JPM</t>
  </si>
  <si>
    <t>Morgan Stanley
Deutsche Bank Securities Corp.
JP Morgan &amp; Co Inc</t>
  </si>
  <si>
    <t>Town Sports Int Holdings Inc</t>
  </si>
  <si>
    <t>CLUB</t>
  </si>
  <si>
    <t>CREDIT-SUISSE
/DEUTSCHE-BK-SEC(JB)</t>
  </si>
  <si>
    <t>89214A102</t>
  </si>
  <si>
    <t>Credit Suisse
Deutsche Bank Securities Corp
William Blair &amp; Co
Piper Jaffray Inc
RBC Capital Markets</t>
  </si>
  <si>
    <t xml:space="preserve">65.546
</t>
  </si>
  <si>
    <t xml:space="preserve">17026602.00
</t>
  </si>
  <si>
    <t>CREDIT-SUISSE(JB)/DEUTSCHE-BK-SEC(JB)
//WM-BLAIR/PIPER-J/RBC-CAP-MKTS</t>
  </si>
  <si>
    <t>CREDIT-SUISSE/DEUTSCHE-BK-SEC</t>
  </si>
  <si>
    <t>CREDIT-SUISSE
(JB)/DEUTSCHE-BK-SEC(JB)
WM-BLAIR
PIPER-J
RBC-CAP-MKTS</t>
  </si>
  <si>
    <t>Credit Suisse
Deutsche Bank Securities Corp.
William Blair &amp; Co
Piper Jaffray Inc
RBC Capital Markets</t>
  </si>
  <si>
    <t>Alphatec Holdings Inc</t>
  </si>
  <si>
    <t>ATEC</t>
  </si>
  <si>
    <t>DEUTSCHE-BK-SEC
/FIRST-AL-CAP(JB)</t>
  </si>
  <si>
    <t>02081G102</t>
  </si>
  <si>
    <t>Deutsche Bank Securities Corp
First Albany Capital Inc
RBC Capital Markets
Joseph Gunnar &amp; Co., LLC</t>
  </si>
  <si>
    <t>11/29/06
11/29/06
11/29/06</t>
  </si>
  <si>
    <t xml:space="preserve">73.024
</t>
  </si>
  <si>
    <t xml:space="preserve">25383296.00
</t>
  </si>
  <si>
    <t>DEUTSCHE-BK-SEC(JB)/FIRST-AL-CAP(JB)
//RBC-CAP-MKTS//GUNNAR</t>
  </si>
  <si>
    <t>DEUTSCHE-BK-SEC/FIRST-AL-CAP</t>
  </si>
  <si>
    <t>DEUTSCHE-BK-SEC
(JB)/FIRST-AL-CAP(JB)
RBC-CAP-MKTS</t>
  </si>
  <si>
    <t>Deutsche Bank Securities Corp.
First Albany Capital Inc
RBC Capital Markets</t>
  </si>
  <si>
    <t>Luna Innovations Inc</t>
  </si>
  <si>
    <t>LUNA</t>
  </si>
  <si>
    <t>ThinkEquity Partners
WR Hambrecht &amp; Co LLC
Merriman Curhan Ford &amp; Co</t>
  </si>
  <si>
    <t xml:space="preserve">41.079
</t>
  </si>
  <si>
    <t xml:space="preserve">3998777.00
</t>
  </si>
  <si>
    <t>THINK//W-R-HAMBRECHT/MERR-CUR</t>
  </si>
  <si>
    <t>THINK
W-R-HAMBRECHT
MERR-CUR</t>
  </si>
  <si>
    <t>HD Partners Acquisition Corp</t>
  </si>
  <si>
    <t>HDP</t>
  </si>
  <si>
    <t>40415K100</t>
  </si>
  <si>
    <t>Morgan Joseph &amp; Co Inc
Southwest Securities Inc
GunnAllen Financial Inc
Legend Merchant Group Inc</t>
  </si>
  <si>
    <t>MORGAN-JOSEPH//SWS-SEC/GUNNALLEN-FINL
/LEGEND-MERCHANT</t>
  </si>
  <si>
    <t>MORGAN-JOSEPH
SWS-SEC
GUNNALLEN-FINL
LEGEND-MERCHANT</t>
  </si>
  <si>
    <t>Morgan Joseph &amp; Co Inc
Southwest Securities Inc
GunnAllen Financial, Inc.
Legend Merchant Group Inc</t>
  </si>
  <si>
    <t>Affinity Media Intl Corp</t>
  </si>
  <si>
    <t>AFMI</t>
  </si>
  <si>
    <t>00828Q102</t>
  </si>
  <si>
    <t>Maxim Group LLC
Legend Merchant Group Inc</t>
  </si>
  <si>
    <t>MAXIM-GROUP//LEGEND-MERCHANT</t>
  </si>
  <si>
    <t>MAXIM-GROUP
LEGEND-MERCHANT</t>
  </si>
  <si>
    <t>LoopNet Inc</t>
  </si>
  <si>
    <t>LOOP</t>
  </si>
  <si>
    <t>Credit Suisse
Thomas Weisel Partners
Pacific Crest Securities Inc
Pacific Growth Equities Inc</t>
  </si>
  <si>
    <t>12/03/06
12/03/06
12/03/06</t>
  </si>
  <si>
    <t xml:space="preserve">80.479
</t>
  </si>
  <si>
    <t xml:space="preserve">27968257.00
</t>
  </si>
  <si>
    <t>CREDIT-SUISSE//THOMAS-WEISEL
/PACIFIC-CREST/PACIFIC-GROWTH</t>
  </si>
  <si>
    <t>CREDIT-SUISSE
THOMAS-WEISEL
PACIFIC-CREST
PACIFIC-GROWTH</t>
  </si>
  <si>
    <t>Verigy Ltd</t>
  </si>
  <si>
    <t>Singapore</t>
  </si>
  <si>
    <t>VRGY</t>
  </si>
  <si>
    <t>Y93691106</t>
  </si>
  <si>
    <t>Goldman Sachs &amp; Co
Credit Suisse
Cowen
Thomas Weisel Partners</t>
  </si>
  <si>
    <t>12/09/06
12/09/06
12/09/06</t>
  </si>
  <si>
    <t xml:space="preserve">85.470
</t>
  </si>
  <si>
    <t xml:space="preserve">50000000.00
</t>
  </si>
  <si>
    <t>A</t>
  </si>
  <si>
    <t>Agilent Technologies Inc</t>
  </si>
  <si>
    <t>GS/CREDIT-SUISSE(JOINT)//COWEN
/THOMAS-WEISEL</t>
  </si>
  <si>
    <t>GS/CREDIT-SUISSE</t>
  </si>
  <si>
    <t>GS
/CREDIT-SUISSE(JOINT)
COWEN
THOMAS-WEISEL</t>
  </si>
  <si>
    <t>Goldman Sachs &amp; Co
Credit Suisse
Cowen &amp; Co
Thomas Weisel Partners</t>
  </si>
  <si>
    <t>Verasun Energy Corp</t>
  </si>
  <si>
    <t>VSE</t>
  </si>
  <si>
    <t>92336G106</t>
  </si>
  <si>
    <t>Morgan Stanley
Lehman Brothers
AG Edwards Inc</t>
  </si>
  <si>
    <t>12/10/06
12/10/06
12/10/06</t>
  </si>
  <si>
    <t xml:space="preserve">75.581
</t>
  </si>
  <si>
    <t xml:space="preserve">56487428.00
</t>
  </si>
  <si>
    <t>MORGAN-STANLEY(JB)/LEH(JB)
//AG-EDWARDS-INC</t>
  </si>
  <si>
    <t>MORGAN-STANLEY
(JB)/LEH(JB)
AG-EDWARDS-INC</t>
  </si>
  <si>
    <t>Golfsmith Intl Hldg Inc</t>
  </si>
  <si>
    <t>GOLF</t>
  </si>
  <si>
    <t>38168Y103</t>
  </si>
  <si>
    <t>Merrill Lynch
JP Morgan
Lazard Capital Markets
Barrington Research Inc.
Janney Montgomery Scott LLC
Wedbush Securities</t>
  </si>
  <si>
    <t>12/11/06
12/11/06
12/11/06</t>
  </si>
  <si>
    <t xml:space="preserve">62.045
</t>
  </si>
  <si>
    <t xml:space="preserve">9600000.00
</t>
  </si>
  <si>
    <t>MERRILL(JB)/JPM(JB)//LAZARD-CAP-MKT
//BARRINGTON-RES/JANNEY-LLC/WEDBUSH-M</t>
  </si>
  <si>
    <t>MERRILL
(JB)/JPM(JB)
LAZARD-CAP-MKT</t>
  </si>
  <si>
    <t>Merrill Lynch &amp; Co Inc
JP Morgan &amp; Co Inc
Lazard Capital Markets</t>
  </si>
  <si>
    <t>Houston Wire &amp; Cable Co</t>
  </si>
  <si>
    <t>HWCC</t>
  </si>
  <si>
    <t>44244K109</t>
  </si>
  <si>
    <t>William Blair &amp; Co
Robert W Baird &amp; Co Inc
BB&amp;T Capital Markets</t>
  </si>
  <si>
    <t xml:space="preserve">59.266
</t>
  </si>
  <si>
    <t xml:space="preserve">12367172.00
</t>
  </si>
  <si>
    <t>WM-BLAIR//BAIRD/BB-T-CAP</t>
  </si>
  <si>
    <t>WM-BLAIR
BAIRD
BB-T-CAP</t>
  </si>
  <si>
    <t>Volcano Corp</t>
  </si>
  <si>
    <t>VOLC</t>
  </si>
  <si>
    <t>JP Morgan
Piper Jaffray Cos
Bear Stearns &amp; Co Inc
Cowen</t>
  </si>
  <si>
    <t xml:space="preserve">78.717
</t>
  </si>
  <si>
    <t xml:space="preserve">25116567.00
</t>
  </si>
  <si>
    <t>JPM(JB)/PIPER-JAFFRAY(JB)//BEAR/COWEN</t>
  </si>
  <si>
    <t>JPM
(JB)/PIPER-JAFFRAY(JB)
BEAR
COWEN</t>
  </si>
  <si>
    <t>JP Morgan &amp; Co Inc
Piper Jaffray Cos
Bear Stearns &amp; Co Inc
Cowen &amp; Co</t>
  </si>
  <si>
    <t>Synchronoss Technologies Inc</t>
  </si>
  <si>
    <t>SNCR</t>
  </si>
  <si>
    <t>87157B103</t>
  </si>
  <si>
    <t>Goldman Sachs &amp; Co
Deutsche Bank Securities Corp
Thomas Weisel Partners</t>
  </si>
  <si>
    <t>12/12/06
12/12/06
12/12/06</t>
  </si>
  <si>
    <t xml:space="preserve">75.796
</t>
  </si>
  <si>
    <t xml:space="preserve">23437704.00
</t>
  </si>
  <si>
    <t>GS/DEUTSCHE-BK-SEC(JOINT)
//THOMAS-WEISEL</t>
  </si>
  <si>
    <t>GS
/DEUTSCHE-BK-SEC(JOINT)
THOMAS-WEISEL</t>
  </si>
  <si>
    <t>Goldman Sachs &amp; Co
Deutsche Bank Securities Corp.
Thomas Weisel Partners</t>
  </si>
  <si>
    <t>Techwell Inc</t>
  </si>
  <si>
    <t>TWLL</t>
  </si>
  <si>
    <t>87874D101</t>
  </si>
  <si>
    <t>Lehman Brothers
Cowen
Needham &amp; Co LLC
Piper Jaffray Cos
Pacific Growth Equities Inc</t>
  </si>
  <si>
    <t>12/18/06
12/18/06
12/18/06</t>
  </si>
  <si>
    <t xml:space="preserve">72.526
</t>
  </si>
  <si>
    <t xml:space="preserve">14465502.00
</t>
  </si>
  <si>
    <t>LEH/COWEN(JOINT)//NEEDHAM/PIPER-JAFFRAY
/PACIFIC-GROWTH</t>
  </si>
  <si>
    <t>LEH/COWEN</t>
  </si>
  <si>
    <t>LEH
/COWEN(JOINT)
NEEDHAM
PIPER-JAFFRAY
PACIFIC-GROWTH</t>
  </si>
  <si>
    <t>Lehman Brothers
Cowen &amp; Co
Needham &amp; Co LLC
Piper Jaffray Cos
Pacific Growth Equities Inc</t>
  </si>
  <si>
    <t>Home BancShares Inc,Conway,AR</t>
  </si>
  <si>
    <t>HOMB</t>
  </si>
  <si>
    <t>Stephens Inc
Piper Jaffray Cos
Sandler O'Neill Partners
Stifel Nicolaus &amp; Co Inc</t>
  </si>
  <si>
    <t>12/19/06
12/19/06
12/19/06</t>
  </si>
  <si>
    <t xml:space="preserve">45.798
</t>
  </si>
  <si>
    <t xml:space="preserve">6700000.00
</t>
  </si>
  <si>
    <t>STEPHENS//PIPER-JAFFRAY/SANDLER-ONEILL
//STIFEL</t>
  </si>
  <si>
    <t>STEPHENS
PIPER-JAFFRAY
SANDLER-ONEILL</t>
  </si>
  <si>
    <t>Stephens Inc
Piper Jaffray Cos
Sandler O'Neill Partners  L.P.</t>
  </si>
  <si>
    <t>Systems Xcellence Inc</t>
  </si>
  <si>
    <t>SXC</t>
  </si>
  <si>
    <t>UBS Investment Bank
JP Morgan
William Blair &amp; Co
SunTrust Capital Markets
Sprott Securities Ltd
Orion Securities
Clarus Securities Inc.</t>
  </si>
  <si>
    <t>09/20/06
09/20/06</t>
  </si>
  <si>
    <t>UBS-INV-BANK//JPM/WM-BLAIR/SUNTRUST-CAP
/SPROTT-SEC/ORION-SEC/CLARUS</t>
  </si>
  <si>
    <t>UBS-INV-BANK
JPM
WM-BLAIR
SUNTRUST-CAP
SPROTT-SEC
ORION-SEC
CLARUS</t>
  </si>
  <si>
    <t>UBS Investment Bank
JP Morgan &amp; Co Inc
William Blair &amp; Co
SunTrust Capital Markets
Sprott Securities Ltd
Orion Securities
Clarus Securities Inc.</t>
  </si>
  <si>
    <t>Highland Credit Strategies</t>
  </si>
  <si>
    <t>HCF</t>
  </si>
  <si>
    <t>43005Q107</t>
  </si>
  <si>
    <t>Morgan Stanley
E*Trade Securities Inc
Oppenheimer &amp; Co Inc
Robert W Baird &amp; Co Inc
Stephens Inc
Wells Fargo Bank NA</t>
  </si>
  <si>
    <t>MORGAN-STANLEY//E*TRADE-SEC
/OPPENHEIMER-CO/BAIRD/STEPHENS
/WELLS-FARGO</t>
  </si>
  <si>
    <t>MORGAN-STANLEY
E*TRADE-SEC
OPPENHEIMER-CO
BAIRD
STEPHENS
WELLS-FARGO</t>
  </si>
  <si>
    <t>First Trust Tax-Advantaged</t>
  </si>
  <si>
    <t>RBC Capital Markets
Ferris Baker Watts
BB&amp;T Capital Markets
Key Banc Capital Markets
Stifel Nicolaus &amp; Co Inc
Wedbush Securities
Wells Fargo Bank NA
GMS Group
Morgan Keegan Inc
Newbridge Securities
Oppenheimer &amp; Co Inc
Robert W Baird &amp; Co Inc
Ryan Beck &amp; Co
SunTrust Capital Markets</t>
  </si>
  <si>
    <t>RBC-CAP-MKTS//FERRIS-BAKER/BB-T-CAP
/KEY-BANC-CAP/STIFEL/WEDBUSH-M
/WELLS-FARGO/GMS-GROUP/MORGAN-KEEGAN
/NEWBRIDGE/OPPENHEIMER-CO/BAIRD
/RYAN-BECK/SUNTRUST-CAP</t>
  </si>
  <si>
    <t>RBC-CAP-MKTS
FERRIS-BAKER
BB-T-CAP
KEY-BANC-CAP
STIFEL
WEDBUSH-M
WELLS-FARGO
GMS-GROUP
MORGAN-KEEGAN
NEWBRIDGE
OPPENHEIMER-CO
BAIRD
RYAN-BECK
SUNTRUST-CAP</t>
  </si>
  <si>
    <t>RBC Capital Markets
Ferris Baker Watts Inc
BB&amp;T Capital Markets
Key Banc Capital Markets
Stifel Nicolaus &amp; Co Inc
Wedbush Securities
Wells Fargo Bank NA
GMS Group
Morgan Keegan Inc
Newbridge Securities
Oppenheimer &amp; Co Inc
Robert W Baird &amp; Co Inc
Ryan Beck &amp; Co
SunTrust Capital Markets</t>
  </si>
  <si>
    <t>J Crew Group Inc</t>
  </si>
  <si>
    <t>JCG</t>
  </si>
  <si>
    <t>GS/BEAR(JB)</t>
  </si>
  <si>
    <t>46612H402</t>
  </si>
  <si>
    <t>Goldman Sachs &amp; Co
Bear Stearns &amp; Co Inc
Banc of America Securities LLC
Citigroup
Credit Suisse
JP Morgan
Lehman Brothers
Wachovia Capital Markets</t>
  </si>
  <si>
    <t>12/24/06
12/24/06
12/24/06</t>
  </si>
  <si>
    <t>GS(JB)/BEAR(JB)//BA-SEC-LLC/CITIGROUP
/CREDIT-SUISSE/JPM/LEH/WACHOVIA-CAP</t>
  </si>
  <si>
    <t>GS
(JB)/BEAR(JB)
BA-SEC-LLC
CITIGROUP
CREDIT-SUISSE
JPM
LEH
WACHOVIA-CAP</t>
  </si>
  <si>
    <t>Goldman Sachs &amp; Co
Bear Stearns &amp; Co Inc
Banc of America Securities LLC
Citigroup
Credit Suisse
JP Morgan &amp; Co Inc
Lehman Brothers
Wachovia Capital Markets</t>
  </si>
  <si>
    <t>Nuveen Global Government</t>
  </si>
  <si>
    <t>JGG</t>
  </si>
  <si>
    <t>67073C104</t>
  </si>
  <si>
    <t>Merrill Lynch
Citigroup
AG Edwards &amp; Sons Inc
Nuveen Investments LLC
Robert W Baird &amp; Co Inc
Banc of America Securities LLC
H&amp;R Block Financial Advisors
Ferris Baker Watts
JJB Hilliard WL Lyons Inc
Janney Montgomery Scott LLC
Key Banc Capital Markets
Ladenburg Thalmann &amp; Co
Oppenheimer &amp; Co Inc
RBC Capital Markets
Ryan Beck &amp; Co
Stifel Nicolaus &amp; Co Inc
Wells Fargo Bank NA
Wedbush Securities
BB&amp;T Capital Markets
Crowell Weedon &amp; Co
DA Davidson &amp; Co Inc
Deutsche Bank Securities
Doft &amp; Co Inc
Hongkong &amp; Shanghai Bank (HK)
Dominick &amp; Dominick Inc
Piper Jaffray Cos
SunTrust Capital Markets
Anderson &amp; Strudwick
Brean Murray Carret &amp; Co LLC
Brookstreet Securities
Capital Growth Financial LLC
First Montauk Securities
First Southwest
GunnAllen Financial Inc
Huntleigh Securities Corp
J. B. Hanauer
Jesup &amp; Lamont Securities
Johnston Lemon &amp; Co Inc
LaSalle Street Securities Inc
Maxim Group LLC
McGinn, Smith &amp; Co Inc
Mesirow Financial Corp
Morgan Wilshire Securities
Northeast Securities Inc.
David A. Noyes
Regal Securities Inc
Royal Alliance Associates
Southwest Securities Inc
Stanford Group Company
M. L. Stern
Torrey Pines Securities
JP Turner &amp; Co
Westminster Finl Sec Inc
Wunderlich Securities Inc</t>
  </si>
  <si>
    <t>MERRILL//CITIGROUP/A-G-EDWARDS
/NUVEEN-INV/BAIRD/BA-SEC-LLC
/HR-BLOCK-FIN/FERRIS-BAKER/HILLIARD
/JANNEY-LLC/KEY-BANC-CAP/LADENBURG
/OPPENHEIMER-CO/RBC-CAP-MKTS/RYAN-BECK
/STIFEL/WELLS-FARGO/WEDBUSH-M//BB-T-CAP
/CROWELL/DAVIDSON/DBSECU/DOFT
/HONG-SHANG-BKG/DOMINICK/PIPER-JAFFRAY
/SUNTRUST-CAP/ANDERSON/BREANMUR-CARRET
/BROOKSTREET/CGF-SEC/FIRST-MONTAUK
/FIRST-SW/GUNNALLEN-FINL/HUNTLEIGH-SEC
/J-B-HANAUER/JESUP/JOHNSTON-LEMON
/LASALLE-SEC/MAXIM-GROUP/MCGINN-SMITH
/MESIROW-FIN/MORGAN-WILSHIRE
/NORTHEAST-SEC/D-A-NOYES/REGAL-SEC-INC
/ROYAL-ALLIANCE/SWS-SEC/STANFORD-GROUP
/M-L-STERN/TORREY-PINES/J-P-TURNER
/WEST-FIN-SEC/WUNDERLICH</t>
  </si>
  <si>
    <t>MERRILL
CITIGROUP
A-G-EDWARDS
NUVEEN-INV
BAIRD
BA-SEC-LLC
HR-BLOCK-FIN
FERRIS-BAKER
HILLIARD
JANNEY-LLC
KEY-BANC-CAP
LADENBURG
OPPENHEIMER-CO
RBC-CAP-MKTS
RYAN-BECK
STIFEL
WELLS-FARGO
WEDBUSH-M</t>
  </si>
  <si>
    <t>Merrill Lynch &amp; Co Inc
Citigroup
AG Edwards &amp; Sons Inc
Nuveen Investments LLC
Robert W Baird &amp; Co Inc
Banc of America Securities LLC
H&amp;R Block Financial Advisors
Ferris Baker Watts Inc
JJB Hilliard WL Lyons Inc
Janney Montgomery Scott LLC
Key Banc Capital Markets
Ladenburg Thalmann &amp; Co
Oppenheimer &amp; Co Inc
RBC Capital Markets
Ryan Beck &amp; Co
Stifel Nicolaus &amp; Co Inc
Wells Fargo Bank NA
Wedbush Securities</t>
  </si>
  <si>
    <t>Omniture Inc</t>
  </si>
  <si>
    <t>OMTR</t>
  </si>
  <si>
    <t>68212S109</t>
  </si>
  <si>
    <t>Morgan Stanley
Credit Suisse
Deutsche Bank Securities Corp
JP Morgan
JMP Securities LLC
Montgomery &amp; Co</t>
  </si>
  <si>
    <t>12/25/06
12/24/06
12/24/06</t>
  </si>
  <si>
    <t xml:space="preserve">76.266
</t>
  </si>
  <si>
    <t>181
180
180</t>
  </si>
  <si>
    <t xml:space="preserve">34400300.00
</t>
  </si>
  <si>
    <t>MORGAN-STANLEY/CREDIT-SUISSE(JOINT)
//DEUTSCHE-BK-SEC/JPM//JMP-SEC
/MONTGOMERY-CO</t>
  </si>
  <si>
    <t>MORGAN-STANLEY
/CREDIT-SUISSE(JOINT)
DEUTSCHE-BK-SEC
JPM</t>
  </si>
  <si>
    <t>Morgan Stanley
Credit Suisse
Deutsche Bank Securities Corp.
JP Morgan &amp; Co Inc</t>
  </si>
  <si>
    <t>PGT Inc</t>
  </si>
  <si>
    <t>PGTI</t>
  </si>
  <si>
    <t>69336V101</t>
  </si>
  <si>
    <t>Deutsche Bank Securities Corp
JP Morgan
JMP Securities LLC
Raymond James &amp; Associates Inc
SunTrust Capital Markets</t>
  </si>
  <si>
    <t xml:space="preserve">
63.109</t>
  </si>
  <si>
    <t xml:space="preserve">
15507687.00</t>
  </si>
  <si>
    <t>DEUTSCHE-BK-SEC(JB)/JPM(JB)//JMP-SEC
/RAYMOND/SUNTRUST-CAP</t>
  </si>
  <si>
    <t>DEUTSCHE-BK-SEC
(JB)/JPM(JB)
JMP-SEC
RAYMOND
SUNTRUST-CAP</t>
  </si>
  <si>
    <t>Deutsche Bank Securities Corp.
JP Morgan &amp; Co Inc
JMP Securities LLC
Raymond James &amp; Associates Inc
SunTrust Capital Markets</t>
  </si>
  <si>
    <t>Replidyne Inc</t>
  </si>
  <si>
    <t>RDYN</t>
  </si>
  <si>
    <t>76028W107</t>
  </si>
  <si>
    <t>Merrill Lynch
Morgan Stanley
Cowen
Pacific Growth Equities Inc</t>
  </si>
  <si>
    <t xml:space="preserve">73.305
</t>
  </si>
  <si>
    <t xml:space="preserve">19372003.00
</t>
  </si>
  <si>
    <t>MERRILL(JB)/MORGAN-STANLEY(JB)//COWEN
/PACIFIC-GROWTH</t>
  </si>
  <si>
    <t>MERRILL
(JB)/MORGAN-STANLEY(JB)
COWEN
PACIFIC-GROWTH</t>
  </si>
  <si>
    <t>Merrill Lynch &amp; Co Inc
Morgan Stanley
Cowen &amp; Co
Pacific Growth Equities Inc</t>
  </si>
  <si>
    <t>Tennessee Commerce Bancorp Inc</t>
  </si>
  <si>
    <t>TNCC</t>
  </si>
  <si>
    <t>FTN-MIDWEST</t>
  </si>
  <si>
    <t>88043P108</t>
  </si>
  <si>
    <t>FTN MIDWEST RESEARCH SECURITIE
Sterne Agee &amp; Leach Inc</t>
  </si>
  <si>
    <t>FTN-MIDWEST//STERNE-AGEE</t>
  </si>
  <si>
    <t>FTN-MIDWEST
STERNE-AGEE</t>
  </si>
  <si>
    <t>Aventine Renewable Energy Hldg</t>
  </si>
  <si>
    <t>AVR</t>
  </si>
  <si>
    <t>BA-SEC-LLC
/FRIEDMAN-B-CO(JB)
/GS(JB)</t>
  </si>
  <si>
    <t>05356X403</t>
  </si>
  <si>
    <t>Banc of America Securities LLC
Friedman Billings Ramsey &amp; Co
Goldman Sachs &amp; Co
BMO Capital Markets
JP Morgan
UBS Investment Bank</t>
  </si>
  <si>
    <t>12/25/06
12/25/06
12/25/06</t>
  </si>
  <si>
    <t xml:space="preserve">78.342
</t>
  </si>
  <si>
    <t xml:space="preserve">32765766.00
</t>
  </si>
  <si>
    <t>BA-SEC-LLC(JB)/FRIEDMAN-B-CO(JB)/GS(JB)
//BMO-CAPITAL/JPM/UBS-INV-BANK</t>
  </si>
  <si>
    <t>BA-SEC-LLC/FRIEDMAN-B-CO/GS</t>
  </si>
  <si>
    <t>BA-SEC-LLC
(JB)/FRIEDMAN-B-CO(JB)
/GS(JB)
BMO-CAPITAL
JPM
UBS-INV-BANK</t>
  </si>
  <si>
    <t>Banc of America Securities LLC
Friedman Billings Ramsey &amp; Co Inc
Goldman Sachs &amp; Co
BMO Capital Markets
JP Morgan &amp; Co Inc
UBS Investment Bank</t>
  </si>
  <si>
    <t>GMarket Inc</t>
  </si>
  <si>
    <t>GMKT</t>
  </si>
  <si>
    <t>GS/COWEN(JB)</t>
  </si>
  <si>
    <t>38012G100</t>
  </si>
  <si>
    <t>Goldman Sachs &amp; Co
Cowen
Thomas Weisel Partners</t>
  </si>
  <si>
    <t>GS(JB)/COWEN(JB)//THOMAS-WEISEL</t>
  </si>
  <si>
    <t>GS/COWEN</t>
  </si>
  <si>
    <t>GS
(JB)/COWEN(JB)
THOMAS-WEISEL</t>
  </si>
  <si>
    <t>Goldman Sachs &amp; Co
Cowen &amp; Co
Thomas Weisel Partners</t>
  </si>
  <si>
    <t>Ascent Solar Technologies Inc</t>
  </si>
  <si>
    <t>ASTI</t>
  </si>
  <si>
    <t>043635101</t>
  </si>
  <si>
    <t>Paulson Investment Co
Chicago Investment Group LLC
Joseph Gunnar &amp; Co., LLC
I-Bankers Securities Inc
JP Turner &amp; Co
Pali Capital LLC
Newbridge Securities</t>
  </si>
  <si>
    <t>07/05/07
07/05/07
06/29/08
06/24/09</t>
  </si>
  <si>
    <t>23.841
18.343
1.115</t>
  </si>
  <si>
    <t>360
360
720
1080</t>
  </si>
  <si>
    <t>1261409.00
970500.00
59000.00</t>
  </si>
  <si>
    <t>PAULSON//CHICAGO-INV/GUNNAR
/I-BANKERS-SEC/J-P-TURNER/PALI-CAPITAL
/NEWBRIDGE</t>
  </si>
  <si>
    <t>Allied World Assur Co Hldgs</t>
  </si>
  <si>
    <t>AWH</t>
  </si>
  <si>
    <t>G0219G203</t>
  </si>
  <si>
    <t>Goldman Sachs &amp; Co
Citigroup
JP Morgan
Thomas Weisel Partners
Banc of America Securities LLC
Credit Suisse
Fox-Pitt Kelton
Lehman Brothers
Wachovia Securities Inc
ABN AMRO Rothschild
Calyon Securities USA Inc
Dowling &amp; Partners Securities
Hongkong &amp; Shanghai Bank (HK)
Keefe Bruyette &amp; Woods Inc
Williams Capital Group LP</t>
  </si>
  <si>
    <t>01/07/07
01/07/07
01/07/07</t>
  </si>
  <si>
    <t xml:space="preserve">85.075
</t>
  </si>
  <si>
    <t xml:space="preserve">50162842.00
</t>
  </si>
  <si>
    <t>GS//CITIGROUP/JPM/THOMAS-WEISEL
/BA-SEC-LLC/CREDIT-SUISSE/FOX-PITT/LEH
/WACHOVIA-SEC//ABN-ROTHSCHILD
/CALYON-SEC/DOWL/HONG-SHANG-BKG/KEEFE
/WILLIAMS-CAP</t>
  </si>
  <si>
    <t>GS
CITIGROUP
JPM
THOMAS-WEISEL
BA-SEC-LLC
CREDIT-SUISSE
FOX-PITT
LEH
WACHOVIA-SEC</t>
  </si>
  <si>
    <t>Goldman Sachs &amp; Co
Citigroup
JP Morgan &amp; Co Inc
Thomas Weisel Partners
Banc of America Securities LLC
Credit Suisse
Fox-Pitt Kelton
Lehman Brothers
Wachovia Securities Inc</t>
  </si>
  <si>
    <t>Israel Growth Partners</t>
  </si>
  <si>
    <t>IGPBU</t>
  </si>
  <si>
    <t>HCFP Brenner Securities LLC
Ladenburg Thalmann &amp; Co
Legend Merchant Group Inc
Maxim Group LLC
I-Bankers Securities Inc</t>
  </si>
  <si>
    <t>HCFP-BRENNER//LADENBURG/LEGEND-MERCHANT
//MAXIM-GROUP/I-BANKERS-SEC</t>
  </si>
  <si>
    <t>HCFP-BRENNER
LADENBURG
LEGEND-MERCHANT</t>
  </si>
  <si>
    <t>HCFP Brenner Securities LLC
Ladenburg Thalmann &amp; Co
Legend Merchant Group Inc</t>
  </si>
  <si>
    <t>Cowen Group Inc</t>
  </si>
  <si>
    <t>COWN</t>
  </si>
  <si>
    <t>COWEN/CREDIT-SUISSE(JB)
/MERRILL(JB)</t>
  </si>
  <si>
    <t>Cowen
Credit Suisse
Merrill Lynch
Keefe Bruyette &amp; Woods Inc
Sandler O'Neill Partners
Fox-Pitt Kelton</t>
  </si>
  <si>
    <t>01/08/07
01/08/07
01/08/07</t>
  </si>
  <si>
    <t>SG Americas Securities LLC</t>
  </si>
  <si>
    <t>COWEN(JB)/CREDIT-SUISSE(JB)/MERRILL(JB)
//KEEFE/SANDLER-ONEILL//FOX-PITT</t>
  </si>
  <si>
    <t>COWEN/CREDIT-SUISSE/MERRILL</t>
  </si>
  <si>
    <t>COWEN
(JB)/CREDIT-SUISSE(JB)
/MERRILL(JB)
KEEFE
SANDLER-ONEILL</t>
  </si>
  <si>
    <t>Cowen &amp; Co
Credit Suisse
Merrill Lynch &amp; Co Inc
Keefe Bruyette &amp; Woods Inc
Sandler O'Neill Partners  L.P.</t>
  </si>
  <si>
    <t>Summit State Bank,CA</t>
  </si>
  <si>
    <t>Raymond James &amp; Associates Inc
JJB Hilliard WL Lyons Inc
WL Lyons</t>
  </si>
  <si>
    <t>RAYMOND//HILLIARD/LYONS</t>
  </si>
  <si>
    <t>RAYMOND
HILLIARD
LYONS</t>
  </si>
  <si>
    <t>Valero GP Holdings LLC</t>
  </si>
  <si>
    <t>VEH</t>
  </si>
  <si>
    <t>91914G108</t>
  </si>
  <si>
    <t>Lehman Brothers
Citigroup
Goldman Sachs &amp; Co
Morgan Stanley
RBC Capital Markets
UBS Investment Bank
AG Edwards &amp; Sons Inc
Wachovia Securities Inc
Credit Suisse
Deutsche Bank Securities Corp
JP Morgan
KeyCorp/McDonald Investments
Raymond James &amp; Associates Inc
Oppenheimer &amp; Co Inc
Petrie Parkman &amp; Co Inc
SMH Capital Inc</t>
  </si>
  <si>
    <t>01/09/07
01/09/07
01/09/07</t>
  </si>
  <si>
    <t>LEH//CITIGROUP/GS/MORGAN-STANLEY
/RBC-CAP-MKTS/UBS-INV-BANK/A-G-EDWARDS
/WACHOVIA-SEC/CREDIT-SUISSE
/DEUTSCHE-BK-SEC/JPM/KEY-MCDONALD
/RAYMOND/OPPENHEIMER-CO/PETRIE-PARKMAN
/SMH-CAPITAL</t>
  </si>
  <si>
    <t>LEH
CITIGROUP
GS
MORGAN-STANLEY
RBC-CAP-MKTS
UBS-INV-BANK
A-G-EDWARDS
WACHOVIA-SEC
CREDIT-SUISSE
DEUTSCHE-BK-SEC
JPM
KEY-MCDONALD
RAYMOND
OPPENHEIMER-CO
PETRIE-PARKMAN
SMH-CAPITAL</t>
  </si>
  <si>
    <t>Lehman Brothers
Citigroup
Goldman Sachs &amp; Co
Morgan Stanley
RBC Capital Markets
UBS Investment Bank
AG Edwards &amp; Sons Inc
Wachovia Securities Inc
Credit Suisse
Deutsche Bank Securities Corp.
JP Morgan &amp; Co Inc
KeyCorp/McDonald Investments
Raymond James &amp; Associates Inc
Oppenheimer &amp; Co Inc
Petrie Parkman &amp; Co Inc
SMH Capital Inc</t>
  </si>
  <si>
    <t>Energy Infrastructure</t>
  </si>
  <si>
    <t>EII</t>
  </si>
  <si>
    <t>29269P109</t>
  </si>
  <si>
    <t>Maxim Group LLC
Ferris Baker Watts
Ladenburg Thalmann &amp; Co
I-Bankers Securities Inc
Wunderlich Securities Inc
Legend Merchant Group Inc
HC Wainwright &amp; Co Inc
Chardan Capital Markets LLC</t>
  </si>
  <si>
    <t>MAXIM-GROUP//FERRIS-BAKER//LADENBURG
/I-BANKERS-SEC/WUNDERLICH
/LEGEND-MERCHANT/H-C-WAINWRIGHT
/CHARDAN-CAP-MKT</t>
  </si>
  <si>
    <t>MAXIM-GROUP
FERRIS-BAKER</t>
  </si>
  <si>
    <t>Maxim Group LLC
Ferris Baker Watts Inc</t>
  </si>
  <si>
    <t>Atlas Pipeline Holdings LP</t>
  </si>
  <si>
    <t>AHD</t>
  </si>
  <si>
    <t>04939R108</t>
  </si>
  <si>
    <t>Lehman Brothers
Citigroup
AG Edwards &amp; Sons Inc
Wachovia Securities Inc
Friedman Billings Ramsey Group
Credit Suisse
SMH Capital Inc</t>
  </si>
  <si>
    <t>01/16/07
01/16/07</t>
  </si>
  <si>
    <t>LEH/CITIGROUP/A-G-EDWARDS
/WACHOVIA-SEC(JOINT)//FRIEDMAN-B
/CREDIT-SUISSE/SMH-CAPITAL</t>
  </si>
  <si>
    <t>LEH/CITIGROUP/A-G-EDWARDS/WACHOVIA-SEC</t>
  </si>
  <si>
    <t>LEH
/CITIGROUP
/A-G-EDWARDS
/WACHOVIA-SEC(JOINT)
FRIEDMAN-B
CREDIT-SUISSE
SMH-CAPITAL</t>
  </si>
  <si>
    <t>Cleveland Biolabs Inc</t>
  </si>
  <si>
    <t>CBLI</t>
  </si>
  <si>
    <t>Sunrise Securities
Roth Capital Partners Inc</t>
  </si>
  <si>
    <t>01/16/07
07/19/08</t>
  </si>
  <si>
    <t xml:space="preserve">35.164
50.447
</t>
  </si>
  <si>
    <t xml:space="preserve">180
730
</t>
  </si>
  <si>
    <t xml:space="preserve">4154349.00
5960000.00
</t>
  </si>
  <si>
    <t>SSEC//ROTH-CAPITAL</t>
  </si>
  <si>
    <t>SSEC
ROTH-CAPITAL</t>
  </si>
  <si>
    <t>Millennium India Acquisition</t>
  </si>
  <si>
    <t>MQC</t>
  </si>
  <si>
    <t>60039Q101</t>
  </si>
  <si>
    <t>Ladenburg Thalmann &amp; Co
Ferris Baker Watts
Maxim Group LLC
I-Bankers Securities Inc</t>
  </si>
  <si>
    <t>LADENBURG//FERRIS-BAKER/MAXIM-GROUP
//I-BANKERS-SEC</t>
  </si>
  <si>
    <t>LADENBURG
FERRIS-BAKER
MAXIM-GROUP</t>
  </si>
  <si>
    <t>Ladenburg Thalmann &amp; Co
Ferris Baker Watts Inc
Maxim Group LLC</t>
  </si>
  <si>
    <t>Nuveen Global Value</t>
  </si>
  <si>
    <t>JGV</t>
  </si>
  <si>
    <t>6706EH103</t>
  </si>
  <si>
    <t>Morgan Stanley
Citigroup
Merrill Lynch
AG Edwards &amp; Sons Inc
Nuveen Investments LLC
Doft &amp; Co Inc
H&amp;R Block Financial Advisors
Oppenheimer &amp; Co Inc
RBC Capital Markets
Wedbush Securities
Wells Fargo Bank NA
E*Trade Securities Inc
Ferris Baker Watts
GunnAllen Financial Inc
Janney Montgomery Scott LLC
Muriel Siebert &amp; Co
Crowell Weedon &amp; Co
Robert W Baird &amp; Co Inc
BB&amp;T Capital Markets
DA Davidson &amp; Co Inc
J. B. Hanauer
Hongkong &amp; Shanghai Bank (HK)
JJB Hilliard WL Lyons Inc
Ladenburg Thalmann &amp; Co
LaSalle Street Securities Inc
M. L. Stern
David A. Noyes
Ryan Beck &amp; Co
Southwest Securities Inc
SunTrust Capital Markets</t>
  </si>
  <si>
    <t>MORGAN-STANLEY//CITIGROUP/MERRILL
/A-G-EDWARDS/NUVEEN-INV/DOFT
/HR-BLOCK-FIN/OPPENHEIMER-CO
/RBC-CAP-MKTS/WEDBUSH-M/WELLS-FARGO
//E*TRADE-SEC/FERRIS-BAKER
/GUNNALLEN-FINL/JANNEY-LLC/MURIEL
/CROWELL/BAIRD/BB-T-CAP/DAVIDSON
/J-B-HANAUER/HONG-SHANG-BKG/HILLIARD
/LADENBURG/LASALLE-SEC/M-L-STERN
/D-A-NOYES/RYAN-BECK/SWS-SEC
/SUNTRUST-CAP</t>
  </si>
  <si>
    <t>MORGAN-STANLEY
CITIGROUP
MERRILL
A-G-EDWARDS
NUVEEN-INV
DOFT
HR-BLOCK-FIN
OPPENHEIMER-CO
RBC-CAP-MKTS
WEDBUSH-M
WELLS-FARGO</t>
  </si>
  <si>
    <t>Morgan Stanley
Citigroup
Merrill Lynch &amp; Co Inc
AG Edwards &amp; Sons Inc
Nuveen Investments LLC
Doft &amp; Co Inc
H&amp;R Block Financial Advisors
Oppenheimer &amp; Co Inc
RBC Capital Markets
Wedbush Securities
Wells Fargo Bank NA</t>
  </si>
  <si>
    <t>Alpine Global Dynamic</t>
  </si>
  <si>
    <t>AGD</t>
  </si>
  <si>
    <t>02082E106</t>
  </si>
  <si>
    <t>Citigroup
Wachovia Securities Inc
AG Edwards &amp; Sons Inc
Robert W Baird &amp; Co Inc
Banc of America Securities LLC
Ferris Baker Watts
Janney Montgomery Scott LLC
Oppenheimer &amp; Co Inc
Raymond James &amp; Associates Inc
RBC Capital Markets
Ryan Beck &amp; Co
Stifel Nicolaus &amp; Co Inc
Wedbush Securities
Wells Fargo Bank NA
David A. Noyes
Newbridge Securities
Southwest Securities Inc
BB&amp;T Capital Markets
Doft &amp; Co Inc
Hongkong &amp; Shanghai Bank (HK)
J. B. Hanauer
Ladenburg Thalmann &amp; Co
Mesirow Financial Corp
Morgan Keegan Inc
SunTrust Capital Markets
Axiom Capital Management Inc
Brookstreet Securities
Capital Growth Financial LLC
First Montauk Securities
First Southwest
Gilford Securities
GunnAllen Financial Inc
Howe Barnes Investments Inc
Huntleigh Securities Corp
Johnston Lemon &amp; Co Inc
Joseph Gunnar &amp; Co., LLC
Maxim Group LLC
National Securities Corp (US)
Sanders Morris Harris Inc
Sterne Agee &amp; Leach Inc</t>
  </si>
  <si>
    <t>CITIGROUP//WACHOVIA-SEC/A-G-EDWARDS
/BAIRD/BA-SEC-LLC/FERRIS-BAKER
/JANNEY-LLC/OPPENHEIMER-CO/RAYMOND
/RBC-CAP-MKTS/RYAN-BECK/STIFEL
/WEDBUSH-M/WELLS-FARGO//D-A-NOYES
/NEWBRIDGE/SWS-SEC/BB-T-CAP/DOFT
/HONG-SHANG-BKG/J-B-HANAUER/LADENBURG
/MESIROW-FIN/MORGAN-KEEGAN/SUNTRUST-CAP
/AXIOM-CAP/BROOKSTREET/CGF-SEC
/FIRST-MONTAUK/FIRST-SW/GILFORD
/GUNNALLEN-FINL/HOWE-BARNES
/HUNTLEIGH-SEC/JOHNSTON-LEMON/GUNNAR
/MAXIM-GROUP/NATL-SEC/SANDERS-HARRIS
/STERNE-AGEE</t>
  </si>
  <si>
    <t>CITIGROUP
WACHOVIA-SEC
A-G-EDWARDS
BAIRD
BA-SEC-LLC
FERRIS-BAKER
JANNEY-LLC
OPPENHEIMER-CO
RAYMOND
RBC-CAP-MKTS
RYAN-BECK
STIFEL
WEDBUSH-M
WELLS-FARGO</t>
  </si>
  <si>
    <t>Citigroup
Wachovia Securities Inc
AG Edwards &amp; Sons Inc
Robert W Baird &amp; Co Inc
Banc of America Securities LLC
Ferris Baker Watts Inc
Janney Montgomery Scott LLC
Oppenheimer &amp; Co Inc
Raymond James &amp; Associates Inc
RBC Capital Markets
Ryan Beck &amp; Co
Stifel Nicolaus &amp; Co Inc
Wedbush Securities
Wells Fargo Bank NA</t>
  </si>
  <si>
    <t>Chart Industries Inc</t>
  </si>
  <si>
    <t>GTLS</t>
  </si>
  <si>
    <t>MORGAN-STANLEY/LEH(JB)
/UBS-INV-BANK(JB)</t>
  </si>
  <si>
    <t>16115Q308</t>
  </si>
  <si>
    <t>Morgan Stanley
Lehman Brothers
UBS Investment Bank
Natexis Bleichroeder Inc
Simmons &amp; Co International
Howard Weil Financial Corp</t>
  </si>
  <si>
    <t>01/21/07
01/21/07</t>
  </si>
  <si>
    <t xml:space="preserve">51.149
</t>
  </si>
  <si>
    <t xml:space="preserve">180
180
</t>
  </si>
  <si>
    <t xml:space="preserve">13088043.00
</t>
  </si>
  <si>
    <t>MORGAN-STANLEY(JB)/LEH(JB)
/UBS-INV-BANK(JB)//NATEXIS/SIMMONS
/HOWARD-WEIL-FIN</t>
  </si>
  <si>
    <t>MORGAN-STANLEY/LEH/UBS-INV-BANK</t>
  </si>
  <si>
    <t>MORGAN-STANLEY
(JB)/LEH(JB)
/UBS-INV-BANK(JB)
NATEXIS
SIMMONS
HOWARD-WEIL-FIN</t>
  </si>
  <si>
    <t>WNS(Holdings)Ltd</t>
  </si>
  <si>
    <t>WNS</t>
  </si>
  <si>
    <t>MORGAN-STANLEY
/DEUTSCHE-BK-SEC(JB)
/MERRILL(JB)</t>
  </si>
  <si>
    <t>92932M101</t>
  </si>
  <si>
    <t>Morgan Stanley
Deutsche Bank Securities Corp
Merrill Lynch
Citigroup
UBS Investment Bank</t>
  </si>
  <si>
    <t>01/21/07
01/21/07
01/21/07</t>
  </si>
  <si>
    <t xml:space="preserve">71.767
</t>
  </si>
  <si>
    <t xml:space="preserve">28564487.00
</t>
  </si>
  <si>
    <t>MORGAN-STANLEY(JB)/DEUTSCHE-BK-SEC(JB)
/MERRILL(JB)//CITIGROUP/UBS-INV-BANK</t>
  </si>
  <si>
    <t>MORGAN-STANLEY/DEUTSCHE-BK-SEC/MERRILL</t>
  </si>
  <si>
    <t>MORGAN-STANLEY
(JB)/DEUTSCHE-BK-SEC(JB)
/MERRILL(JB)
CITIGROUP
UBS-INV-BANK</t>
  </si>
  <si>
    <t>Morgan Stanley
Deutsche Bank Securities Corp.
Merrill Lynch &amp; Co Inc
Citigroup
UBS Investment Bank</t>
  </si>
  <si>
    <t>Crystal River Capital Inc</t>
  </si>
  <si>
    <t>CYRV</t>
  </si>
  <si>
    <t>DEUTSCHE-BK-SEC
/WACHOVIA-SEC(JB)</t>
  </si>
  <si>
    <t>Deutsche Bank Securities Corp
Wachovia Securities Inc
Banc of America Securities LLC
UBS Investment Bank
Credit Suisse
AG Edwards &amp; Sons Inc
RBC Capital Markets</t>
  </si>
  <si>
    <t>01/23/07
01/23/07
01/23/07
09/25/06</t>
  </si>
  <si>
    <t xml:space="preserve">
69.154</t>
  </si>
  <si>
    <t>180
180
180
60</t>
  </si>
  <si>
    <t xml:space="preserve">
17304700.00</t>
  </si>
  <si>
    <t>DEUTSCHE-BK-SEC(JB)/WACHOVIA-SEC(JB)
//BA-SEC-LLC/UBS-INV-BANK/CREDIT-SUISSE
/A-G-EDWARDS/RBC-CAP-MKTS</t>
  </si>
  <si>
    <t>DEUTSCHE-BK-SEC/WACHOVIA-SEC</t>
  </si>
  <si>
    <t>DEUTSCHE-BK-SEC
(JB)/WACHOVIA-SEC(JB)
BA-SEC-LLC
UBS-INV-BANK
CREDIT-SUISSE
A-G-EDWARDS
RBC-CAP-MKTS</t>
  </si>
  <si>
    <t>Deutsche Bank Securities Corp.
Wachovia Securities Inc
Banc of America Securities LLC
UBS Investment Bank
Credit Suisse
AG Edwards &amp; Sons Inc
RBC Capital Markets</t>
  </si>
  <si>
    <t>Geomet Inc</t>
  </si>
  <si>
    <t>GMET</t>
  </si>
  <si>
    <t>37250U201</t>
  </si>
  <si>
    <t>Banc of America Securities LLC
AG Edwards &amp; Sons Inc
Raymond James &amp; Associates Inc</t>
  </si>
  <si>
    <t>01/23/07
01/23/07</t>
  </si>
  <si>
    <t xml:space="preserve">98.008
</t>
  </si>
  <si>
    <t xml:space="preserve">37600000.00
</t>
  </si>
  <si>
    <t>BA-SEC-LLC//A-G-EDWARDS/RAYMOND</t>
  </si>
  <si>
    <t>BA-SEC-LLC
A-G-EDWARDS
RAYMOND</t>
  </si>
  <si>
    <t>Security Capital Assurance Ltd</t>
  </si>
  <si>
    <t>SCA</t>
  </si>
  <si>
    <t>GS/JPM(JB)/MERRILL(JB)</t>
  </si>
  <si>
    <t>G8018D107</t>
  </si>
  <si>
    <t>Goldman Sachs &amp; Co
JP Morgan
Merrill Lynch
Citigroup
Deutsche Bank Securities Corp
UBS Investment Bank
Banc of America Securities LLC
Barclays
Bear Stearns &amp; Co Inc
William Blair &amp; Co
Calyon Securities USA Inc
Dowling &amp; Partners Securities
Fox-Pitt Kelton SA
Hongkong &amp; Shanghai Bank (HK)
Keefe Bruyette &amp; Woods Inc
Wachovia Securities Inc</t>
  </si>
  <si>
    <t>01/28/07
01/28/07
01/28/07</t>
  </si>
  <si>
    <t xml:space="preserve">
65.000
</t>
  </si>
  <si>
    <t xml:space="preserve">
41688636.00
</t>
  </si>
  <si>
    <t>GS(JB)/JPM(JB)/MERRILL(JB)//CITIGROUP
/DEUTSCHE-BK-SEC/UBS-INV-BANK
/BA-SEC-LLC/BARCLAYS-CAP/BEAR/WM-BLAIR
/CALYON-SEC/DOWL/FOX-PITT-NV
/HONG-SHANG-BKG/KEEFE/WACHOVIA-SEC</t>
  </si>
  <si>
    <t>GS/JPM/MERRILL</t>
  </si>
  <si>
    <t>GS
(JB)/JPM(JB)
/MERRILL(JB)
CITIGROUP
DEUTSCHE-BK-SEC
UBS-INV-BANK
BA-SEC-LLC
BARCLAYS-CAP
BEAR
WM-BLAIR
CALYON-SEC
DOWL
FOX-PITT-NV
HONG-SHANG-BKG
KEEFE
WACHOVIA-SEC</t>
  </si>
  <si>
    <t>Goldman Sachs &amp; Co
JP Morgan &amp; Co Inc
Merrill Lynch &amp; Co Inc
Citigroup
Deutsche Bank Securities Corp.
UBS Investment Bank
Banc of America Securities LLC
Barclays
Bear Stearns &amp; Co Inc
William Blair &amp; Co
Calyon Securities USA Inc
Dowling &amp; Partners Securities LLC
Fox-Pitt Kelton SA
Hongkong &amp; Shanghai Banking Corp Ltd
Keefe Bruyette &amp; Woods Inc
Wachovia Securities Inc</t>
  </si>
  <si>
    <t>Buckeye GP Holdings LP</t>
  </si>
  <si>
    <t>BGH</t>
  </si>
  <si>
    <t>GS/MERRILL(JB)
/CITIGROUP(JB)</t>
  </si>
  <si>
    <t>Goldman Sachs &amp; Co
Merrill Lynch
Citigroup
UBS Investment Bank
Lehman Brothers
Wachovia Securities Inc
Deutsche Bank Securities Corp
KeyCorp/McDonald Investments
RBC Capital Markets</t>
  </si>
  <si>
    <t>GS(JB)/MERRILL(JB)/CITIGROUP(JB)
/UBS-INV-BANK(JOINT)//LEH/WACHOVIA-SEC
/DEUTSCHE-BK-SEC/KEY-MCDONALD
/RBC-CAP-MKTS</t>
  </si>
  <si>
    <t>GS/MERRILL/CITIGROUP/UBS-INV-BANK</t>
  </si>
  <si>
    <t>GS
(JB)/MERRILL(JB)
/CITIGROUP(JB)
/UBS-INV-BANK(JOINT)
LEH
WACHOVIA-SEC
DEUTSCHE-BK-SEC
KEY-MCDONALD
RBC-CAP-MKTS</t>
  </si>
  <si>
    <t>Goldman Sachs &amp; Co
Merrill Lynch &amp; Co Inc
Citigroup
UBS Investment Bank
Lehman Brothers
Wachovia Securities Inc
Deutsche Bank Securities Corp.
KeyCorp/McDonald Investments
RBC Capital Markets</t>
  </si>
  <si>
    <t>Osiris Therapeutics Inc</t>
  </si>
  <si>
    <t>OSIR</t>
  </si>
  <si>
    <t>68827R108</t>
  </si>
  <si>
    <t>Jefferies &amp; Co Inc
Lazard Capital Markets
Leerink Swann &amp; Co</t>
  </si>
  <si>
    <t>01/30/07
01/30/07
01/30/07</t>
  </si>
  <si>
    <t xml:space="preserve">84.755
</t>
  </si>
  <si>
    <t xml:space="preserve">23002123.00
</t>
  </si>
  <si>
    <t>JEFFERIES//LAZARD-CAP-MKT/LEERINK-SWANN</t>
  </si>
  <si>
    <t>JEFFERIES
LAZARD-CAP-MKT
LEERINK-SWANN</t>
  </si>
  <si>
    <t>Aircastle Ltd</t>
  </si>
  <si>
    <t>AYR</t>
  </si>
  <si>
    <t>JPM/BEAR(JB)
/CITIGROUP(JB)</t>
  </si>
  <si>
    <t>G0129K104</t>
  </si>
  <si>
    <t>JP Morgan
Bear Stearns &amp; Co Inc
Citigroup
Calyon Securities USA Inc
Deutsche Bank Securities Corp</t>
  </si>
  <si>
    <t>12/05/06
12/05/06
12/05/06</t>
  </si>
  <si>
    <t>JPM(JB)/BEAR(JB)/CITIGROUP(JB)
//CALYON-SEC/DEUTSCHE-BK-SEC</t>
  </si>
  <si>
    <t>JPM/BEAR/CITIGROUP</t>
  </si>
  <si>
    <t>JPM
(JB)/BEAR(JB)
/CITIGROUP(JB)
CALYON-SEC
DEUTSCHE-BK-SEC</t>
  </si>
  <si>
    <t>JP Morgan &amp; Co Inc
Bear Stearns &amp; Co Inc
Citigroup
Calyon Securities USA Inc
Deutsche Bank Securities Corp.</t>
  </si>
  <si>
    <t>Qimonda AG</t>
  </si>
  <si>
    <t>QMNDQ</t>
  </si>
  <si>
    <t>CREDIT-SUISSE
/CITIGROUP(JB)/JPM(JB)</t>
  </si>
  <si>
    <t>Credit Suisse
Citigroup
JP Morgan
ABN AMRO Rothschild
Bayerische Hypo Vereinsbank,NY
Deutsche Bank Securities Corp</t>
  </si>
  <si>
    <t>02/14/07
02/14/07</t>
  </si>
  <si>
    <t>190
190</t>
  </si>
  <si>
    <t>CREDIT-SUISSE(JB)/CITIGROUP(JB)/JPM(JB)
//ABN-ROTHSCHILD/HYPVER-NY
/DEUTSCHE-BK-SEC</t>
  </si>
  <si>
    <t>CREDIT-SUISSE/CITIGROUP/JPM</t>
  </si>
  <si>
    <t>CREDIT-SUISSE
(JB)/CITIGROUP(JB)
/JPM(JB)
ABN-ROTHSCHILD
HYPVER-NY
DEUTSCHE-BK-SEC</t>
  </si>
  <si>
    <t>Credit Suisse
Citigroup
JP Morgan &amp; Co Inc
ABN AMRO Rothschild
Bayerische Hypo-und Vereinsbank AG, New York Branch
Deutsche Bank Securities Corp.</t>
  </si>
  <si>
    <t>Evercore Partners Inc</t>
  </si>
  <si>
    <t>EVR</t>
  </si>
  <si>
    <t>29977A105</t>
  </si>
  <si>
    <t>Lehman Brothers
Goldman Sachs &amp; Co
JP Morgan
Keefe Bruyette &amp; Woods Inc
Fox-Pitt Kelton
E*Trade Securities Inc</t>
  </si>
  <si>
    <t>02/06/07
02/06/07</t>
  </si>
  <si>
    <t>LEH/GS/JPM(JOINT)//KEEFE/FOX-PITT
/E*TRADE-SEC</t>
  </si>
  <si>
    <t>LEH/GS/JPM</t>
  </si>
  <si>
    <t>LEH
/GS
/JPM(JOINT)
KEEFE
FOX-PITT
E*TRADE-SEC</t>
  </si>
  <si>
    <t>Lehman Brothers
Goldman Sachs &amp; Co
JP Morgan &amp; Co Inc
Keefe Bruyette &amp; Woods Inc
Fox-Pitt Kelton
E*Trade Securities Inc</t>
  </si>
  <si>
    <t>InnerWorkings Inc</t>
  </si>
  <si>
    <t>INWK</t>
  </si>
  <si>
    <t>45773Y105</t>
  </si>
  <si>
    <t>Morgan Stanley
Jefferies &amp; Co Inc
Piper Jaffray Cos
William Blair &amp; Co
Morgan Joseph &amp; Co Inc</t>
  </si>
  <si>
    <t>02/11/07
02/11/07
02/11/07</t>
  </si>
  <si>
    <t xml:space="preserve">75.362
</t>
  </si>
  <si>
    <t xml:space="preserve">33170254.00
</t>
  </si>
  <si>
    <t>MORGAN-STANLEY//JEFFERIES/PIPER-JAFFRAY
/WM-BLAIR/MORGAN-JOSEPH</t>
  </si>
  <si>
    <t>MORGAN-STANLEY
JEFFERIES
PIPER-JAFFRAY
WM-BLAIR
MORGAN-JOSEPH</t>
  </si>
  <si>
    <t>Marathon Acquisition Corp</t>
  </si>
  <si>
    <t>MAQ</t>
  </si>
  <si>
    <t>Citigroup
Ladenburg Thalmann &amp; Co
UBS Investment Bank</t>
  </si>
  <si>
    <t>CITIGROUP//LADENBURG/UBS-INV-BANK</t>
  </si>
  <si>
    <t>CITIGROUP
LADENBURG
UBS-INV-BANK</t>
  </si>
  <si>
    <t>First Trust/Aberdeen Emerging</t>
  </si>
  <si>
    <t>FEO</t>
  </si>
  <si>
    <t>33731K102</t>
  </si>
  <si>
    <t>Merrill Lynch
Citigroup
Robert W Baird &amp; Co Inc
Ferris Baker Watts
Janney Montgomery Scott LLC
Oppenheimer &amp; Co Inc
RBC Capital Markets
Ryan Beck &amp; Co
Stifel Nicolaus &amp; Co Inc
Wedbush Securities
Wells Fargo Bank NA
Axiom Capital Management Inc
BB&amp;T Capital Markets
William Blair &amp; Co
Crowell Weedon &amp; Co
DA Davidson &amp; Co Inc
Deutsche Bank Securities
Dominick &amp; Dominick Inc
Hongkong &amp; Shanghai Bank (HK)
Key Banc Capital Markets
Ladenburg Thalmann &amp; Co
Maxim Group LLC
Morgan Keegan Inc
Sanders Morris Harris Inc
Southwest Securities Inc
Anderson &amp; Strudwick
Bishop, Rosen &amp; Co
Brean Murray Carret &amp; Co LLC
GunnAllen Financial Inc
Joseph Gunnar &amp; Co., LLC
J. B. Hanauer
Howe Barnes Investments Inc
Huntleigh Securities Corp
Jesup &amp; Lamont Securities
Johnston Lemon &amp; Co Inc
LaSalle Street Securities Inc
McGinn, Smith &amp; Co Inc
Mesirow Financial Corp
Miller Johnson Steichen Kinnar
Morgan Wilshire Securities
National Securities Corp (US)
Newbridge Securities
David A. Noyes
Peacock Hislop Staley &amp; Given
Regal Securities Inc
Royal Alliance Associates
Stanford Group Company
M. L. Stern
Sterne Agee &amp; Leach Inc
Torrey Pines Securities
JP Turner &amp; Co
Westminster Finl Sec Inc
Wunderlich Securities Inc</t>
  </si>
  <si>
    <t>MERRILL//CITIGROUP/BAIRD/FERRIS-BAKER
/JANNEY-LLC/OPPENHEIMER-CO/RBC-CAP-MKTS
/RYAN-BECK/STIFEL/WEDBUSH-M/WELLS-FARGO
//AXIOM-CAP/BB-T-CAP/WM-BLAIR/CROWELL
/DAVIDSON/DBSECU/DOMINICK
/HONG-SHANG-BKG/KEY-BANC-CAP/LADENBURG
/MAXIM-GROUP/MORGAN-KEEGAN
/SANDERS-HARRIS/SWS-SEC/ANDERSON
/BISHOP-ROSEN/BREANMUR-CARRET
/GUNNALLEN-FINL/GUNNAR/J-B-HANAUER
/HOWE-BARNES/HUNTLEIGH-SEC/JESUP
/JOHNSTON-LEMON/LASALLE-SEC
/MCGINN-SMITH/MESIROW-FIN
/MILLER-STEICHEN/MORGAN-WILSHIRE
/NATL-SEC/NEWBRIDGE/D-A-NOYES
/PEACOCK-HISLOP/REGAL-SEC-INC
/ROYAL-ALLIANCE/STANFORD-GROUP
/M-L-STERN/STERNE-AGEE/TORREY-PINES
/J-P-TURNER/WEST-FIN-SEC/WUNDERLICH</t>
  </si>
  <si>
    <t>MERRILL
CITIGROUP
BAIRD
FERRIS-BAKER
JANNEY-LLC
OPPENHEIMER-CO
RBC-CAP-MKTS
RYAN-BECK
STIFEL
WEDBUSH-M
WELLS-FARGO</t>
  </si>
  <si>
    <t>Merrill Lynch &amp; Co Inc
Citigroup
Robert W Baird &amp; Co Inc
Ferris Baker Watts Inc
Janney Montgomery Scott LLC
Oppenheimer &amp; Co Inc
RBC Capital Markets
Ryan Beck &amp; Co
Stifel Nicolaus &amp; Co Inc
Wedbush Securities
Wells Fargo Bank NA</t>
  </si>
  <si>
    <t>Energy Services Acquisition</t>
  </si>
  <si>
    <t>ESA.U</t>
  </si>
  <si>
    <t>29271Q202</t>
  </si>
  <si>
    <t>New Oriental Educ &amp; Tech Grp</t>
  </si>
  <si>
    <t>EDU</t>
  </si>
  <si>
    <t>Credit Suisse
Goldman Sachs &amp; Co
Piper Jaffray Cos
Credit Suisse</t>
  </si>
  <si>
    <t>03/05/07
03/05/07
03/05/07</t>
  </si>
  <si>
    <t xml:space="preserve">70.657
</t>
  </si>
  <si>
    <t xml:space="preserve">99704285.00
</t>
  </si>
  <si>
    <t>CREDIT-SUISSE(JB)/GS(JB)//PIPER-JAFFRAY
//CREDIT-SUISSE(GC)</t>
  </si>
  <si>
    <t>CREDIT-SUISSE/GS</t>
  </si>
  <si>
    <t>CREDIT-SUISSE
(JB)/GS(JB)
PIPER-JAFFRAY</t>
  </si>
  <si>
    <t>Credit Suisse
Goldman Sachs &amp; Co
Piper Jaffray Cos</t>
  </si>
  <si>
    <t>Hiland Holdings GP LP</t>
  </si>
  <si>
    <t>HPGP</t>
  </si>
  <si>
    <t>43129M107</t>
  </si>
  <si>
    <t>Lehman Brothers
AG Edwards &amp; Sons Inc
Wachovia Securities Inc
Raymond James &amp; Associates Inc
RBC Capital Markets
Sanders Morris Harris Inc</t>
  </si>
  <si>
    <t>03/18/07
03/18/07
03/18/07</t>
  </si>
  <si>
    <t xml:space="preserve">
100.000</t>
  </si>
  <si>
    <t xml:space="preserve">
21612000.00</t>
  </si>
  <si>
    <t>LEH/A-G-EDWARDS(JOINT)//WACHOVIA-SEC
/RAYMOND/RBC-CAP-MKTS/SANDERS-HARRIS</t>
  </si>
  <si>
    <t>LEH
/A-G-EDWARDS(JOINT)
WACHOVIA-SEC
RAYMOND
RBC-CAP-MKTS
SANDERS-HARRIS</t>
  </si>
  <si>
    <t>Home Diagnostics Inc</t>
  </si>
  <si>
    <t>HDIX</t>
  </si>
  <si>
    <t>JP Morgan
Piper Jaffray Cos
Deutsche Bank Securities Corp
William Blair &amp; Co</t>
  </si>
  <si>
    <t>03/19/07
03/19/07
03/19/07</t>
  </si>
  <si>
    <t>JPM/PIPER-JAFFRAY(JOINT)
//DEUTSCHE-BK-SEC/WM-BLAIR</t>
  </si>
  <si>
    <t>JPM
/PIPER-JAFFRAY(JOINT)
DEUTSCHE-BK-SEC
WM-BLAIR</t>
  </si>
  <si>
    <t>JP Morgan &amp; Co Inc
Piper Jaffray Cos
Deutsche Bank Securities Corp.
William Blair &amp; Co</t>
  </si>
  <si>
    <t>Kayne Anderson Energy Dvlp Co</t>
  </si>
  <si>
    <t>KED</t>
  </si>
  <si>
    <t>48660Q102</t>
  </si>
  <si>
    <t>Citigroup
UBS Investment Bank
Merrill Lynch
AG Edwards &amp; Sons Inc
Wachovia Securities Inc
RBC Capital Markets
Sanders Morris Harris Inc</t>
  </si>
  <si>
    <t>CITIGROUP(JB)/UBS-INV-BANK(JB)//MERRILL
/A-G-EDWARDS/WACHOVIA-SEC/RBC-CAP-MKTS
/SANDERS-HARRIS</t>
  </si>
  <si>
    <t>CITIGROUP
(JB)/UBS-INV-BANK(JB)
MERRILL
A-G-EDWARDS
WACHOVIA-SEC
RBC-CAP-MKTS
SANDERS-HARRIS</t>
  </si>
  <si>
    <t>Citigroup
UBS Investment Bank
Merrill Lynch &amp; Co Inc
AG Edwards &amp; Sons Inc
Wachovia Securities Inc
RBC Capital Markets
Sanders Morris Harris Inc</t>
  </si>
  <si>
    <t>Riverbed Technology Inc</t>
  </si>
  <si>
    <t>RVBD</t>
  </si>
  <si>
    <t>Goldman Sachs &amp; Co
Citigroup
Deutsche Bank Securities Corp
Thomas Weisel Partners
JMP Securities LLC
CE Unterberg Towbin</t>
  </si>
  <si>
    <t xml:space="preserve">84.724
</t>
  </si>
  <si>
    <t xml:space="preserve">55963701.00
</t>
  </si>
  <si>
    <t>GS/CITIGROUP/DEUTSCHE-BK-SEC(JOINT)
//THOMAS-WEISEL//JMP-SEC/UNTERBERG</t>
  </si>
  <si>
    <t>GS/CITIGROUP/DEUTSCHE-BK-SEC</t>
  </si>
  <si>
    <t>GS
/CITIGROUP
/DEUTSCHE-BK-SEC(JOINT)
THOMAS-WEISEL</t>
  </si>
  <si>
    <t>Goldman Sachs &amp; Co
Citigroup
Deutsche Bank Securities Corp.
Thomas Weisel Partners</t>
  </si>
  <si>
    <t>Warner Chilcott Holdings Co</t>
  </si>
  <si>
    <t>WCRX</t>
  </si>
  <si>
    <t>GS/CREDIT-SUISSE(JB)
/JPM(JB)
/MORGAN-STANLEY(JB)</t>
  </si>
  <si>
    <t>G9435N108</t>
  </si>
  <si>
    <t>Goldman Sachs &amp; Co
Credit Suisse
JP Morgan
Morgan Stanley
Deutsche Bank Securities Corp
Merrill Lynch
Bear Stearns &amp; Co Inc
UBS Investment Bank
Wachovia Securities Inc</t>
  </si>
  <si>
    <t xml:space="preserve">71.823
</t>
  </si>
  <si>
    <t xml:space="preserve">179958276.00
</t>
  </si>
  <si>
    <t>GS(JB)/CREDIT-SUISSE(JB)/JPM(JB)
/MORGAN-STANLEY(JB)//DEUTSCHE-BK-SEC
/MERRILL/BEAR/UBS-INV-BANK/WACHOVIA-SEC</t>
  </si>
  <si>
    <t>GS/CREDIT-SUISSE/JPM/MORGAN-STANLEY</t>
  </si>
  <si>
    <t>GS
(JB)/CREDIT-SUISSE(JB)
/JPM(JB)
/MORGAN-STANLEY(JB)
DEUTSCHE-BK-SEC
MERRILL
BEAR
UBS-INV-BANK
WACHOVIA-SEC</t>
  </si>
  <si>
    <t>Goldman Sachs &amp; Co
Credit Suisse
JP Morgan &amp; Co Inc
Morgan Stanley
Deutsche Bank Securities Corp.
Merrill Lynch &amp; Co Inc
Bear Stearns &amp; Co Inc
UBS Investment Bank
Wachovia Securities Inc</t>
  </si>
  <si>
    <t>CommVault Systems Inc</t>
  </si>
  <si>
    <t>CVLT</t>
  </si>
  <si>
    <t>Credit Suisse
Goldman Sachs &amp; Co
Merrill Lynch
Thomas Weisel Partners
RBC Capital Markets
CE Unterberg Towbin</t>
  </si>
  <si>
    <t>12/30/06
03/20/07
03/20/07
03/20/07</t>
  </si>
  <si>
    <t xml:space="preserve">16.746
69.368
</t>
  </si>
  <si>
    <t>100
180
180
180</t>
  </si>
  <si>
    <t xml:space="preserve">6974748.00
28892582.00
</t>
  </si>
  <si>
    <t>CREDIT-SUISSE(JB)/GS(JB)//MERRILL
/THOMAS-WEISEL/RBC-CAP-MKTS/UNTERBERG</t>
  </si>
  <si>
    <t>CREDIT-SUISSE
(JB)/GS(JB)
MERRILL
THOMAS-WEISEL
RBC-CAP-MKTS
UNTERBERG</t>
  </si>
  <si>
    <t>Credit Suisse
Goldman Sachs &amp; Co
Merrill Lynch &amp; Co Inc
Thomas Weisel Partners
RBC Capital Markets
CE Unterberg Towbin</t>
  </si>
  <si>
    <t>DivX Inc</t>
  </si>
  <si>
    <t>DIVX</t>
  </si>
  <si>
    <t>JP Morgan
Banc of America Securities LLC
Cowen
Canaccord Adams
Montgomery &amp; Co</t>
  </si>
  <si>
    <t>03/20/07
03/20/07
03/20/07</t>
  </si>
  <si>
    <t xml:space="preserve">71.064
</t>
  </si>
  <si>
    <t xml:space="preserve">23757631.00
</t>
  </si>
  <si>
    <t>JPM//BA-SEC-LLC/COWEN/CAN-ADAMS
/MONTGOMERY-CO</t>
  </si>
  <si>
    <t>JPM
BA-SEC-LLC
COWEN
CAN-ADAMS
MONTGOMERY-CO</t>
  </si>
  <si>
    <t>JP Morgan &amp; Co Inc
Banc of America Securities LLC
Cowen &amp; Co
Canaccord Adams
Montgomery &amp; Co</t>
  </si>
  <si>
    <t>Porter Bancorp Inc</t>
  </si>
  <si>
    <t>PBIB</t>
  </si>
  <si>
    <t>Sandler O'Neill Partners
Keefe Bruyette &amp; Woods Inc</t>
  </si>
  <si>
    <t>09/16/07
03/20/07
03/20/07
03/20/07</t>
  </si>
  <si>
    <t xml:space="preserve">68.746
</t>
  </si>
  <si>
    <t>360
180
180
180</t>
  </si>
  <si>
    <t xml:space="preserve">5238815.00
</t>
  </si>
  <si>
    <t>SANDLER-ONEILL//KEEFE</t>
  </si>
  <si>
    <t>Mindray Med Intl Ltd</t>
  </si>
  <si>
    <t>MR</t>
  </si>
  <si>
    <t>Goldman Sachs &amp; Co
UBS Investment Bank
JP Morgan Secs (Asia) (HK)
CIBC World Markets Inc
First Shanghai Sec Ltd
Piper Jaffray Cos</t>
  </si>
  <si>
    <t>03/24/07
03/24/07
03/24/07</t>
  </si>
  <si>
    <t>GS(JB)/UBS-INV-BANK(JB)//MORGAN-A
/CIBC-WORLD/FIRST-SHANG-SEC
/PIPER-JAFFRAY</t>
  </si>
  <si>
    <t>GS
(JB)/UBS-INV-BANK(JB)
MORGAN-A
CIBC-WORLD
FIRST-SHANG-SEC
PIPER-JAFFRAY</t>
  </si>
  <si>
    <t>Goldman Sachs &amp; Co
UBS Investment Bank
JP Morgan Securities (Asia) Ltd (Hong Kong)
CIBC World Markets Inc
First Shanghai Sec Ltd
Piper Jaffray Cos</t>
  </si>
  <si>
    <t>BlackRock Real Asset Equity Tr</t>
  </si>
  <si>
    <t>BCF</t>
  </si>
  <si>
    <t>09254B109</t>
  </si>
  <si>
    <t>Wachovia Securities Inc
Citigroup
Merrill Lynch
UBS Investment Bank
AG Edwards &amp; Sons Inc
Banc of America Securities LLC
Crowell Weedon &amp; Co
Ferris Baker Watts
H&amp;R Block Financial Advisors
JJB Hilliard WL Lyons Inc
Janney Montgomery Scott LLC
Morgan Keegan Inc
Oppenheimer &amp; Co Inc
PNC Capital Markets
Raymond James &amp; Associates Inc
RBC Capital Markets
Robert W Baird &amp; Co Inc
Ryan Beck &amp; Co
Stifel Nicolaus &amp; Co Inc
SunTrust Capital Markets
Wedbush Securities
Wells Fargo Securities LLC
Axiom Capital Management Inc
BB&amp;T Capital Markets
William Blair &amp; Co
Brookstreet Securities
DA Davidson &amp; Co Inc
David A. Noyes
Deutsche Bank Securities
Dominick &amp; Dominick Inc
First Allied Securities, Inc.
Huntleigh Securities Corp
J. B. Hanauer
Johnston Lemon &amp; Co Inc
KeyCorp/McDonald Investments
Ladenburg Thalmann &amp; Co
Mesirow Financial Corp
M. L. Stern
Southwest Securities Inc
Stephens Inc
Strand,Atkinson,Williams&amp;Yerl
AIG Financial Advisors Inc
Bishop, Rosen &amp; Co
Chester Harris &amp; Co
Doft &amp; Co Inc
E*Trade Securities Inc
Fifth Third Securities Inc
First Montauk Securities
First Southwest
Gilford Securities
Hennion &amp; Walsh, Inc
Howe Barnes Hoefer Arnett Inc
LaSalle Street Securities Inc
Maxim Group LLC
McGinn, Smith &amp; Co Inc
Newbridge Securities
Paulson Investment Co
Regal Securities Inc
Royal Alliance Associates
Sanders Morris Harris Inc
Sterne Agee &amp; Leach Inc
Wunderlich Securities Inc</t>
  </si>
  <si>
    <t>WACHOVIA-SEC//CITIGROUP/MERRILL
/UBS-INV-BANK/A-G-EDWARDS/BA-SEC-LLC
/CROWELL/FERRIS-BAKER/HR-BLOCK-FIN
/HILLIARD/JANNEY-LLC/MORGAN-KEEGAN
/OPPENHEIMER-CO/PNC-CAPITAL/RAYMOND
/RBC-CAP-MKTS/BAIRD/RYAN-BECK/STIFEL
/SUNTRUST-CAP/WEDBUSH-M/WELLS-FARGO-SEC
//AXIOM-CAP/BB-T-CAP/WM-BLAIR
/BROOKSTREET/DAVIDSON/D-A-NOYES/DBSECU
/DOMINICK/FIRST-ALLIED/HUNTLEIGH-SEC
/J-B-HANAUER/JOHNSTON-LEMON
/KEY-MCDONALD/LADENBURG/MESIROW-FIN
/M-L-STERN/SWS-SEC/STEPHENS
/STRAND-ATKIN/AIG-FINANCIAL
/BISHOP-ROSEN/CHESTER-HARRIS/DOFT
/E*TRADE-SEC/FIFTH-THIRD-SEC
/FIRST-MONTAUK/FIRST-SW/GILFORD
/HENNION-WALSH/HBHOEFER-ARNETT
/LASALLE-SEC/MAXIM-GROUP/MCGINN-SMITH
/NEWBRIDGE/PAULSON/REGAL-SEC-INC
/ROYAL-ALLIANCE/SANDERS-HARRIS
/STERNE-AGEE/WUNDERLICH</t>
  </si>
  <si>
    <t>WACHOVIA-SEC
CITIGROUP
MERRILL
UBS-INV-BANK
A-G-EDWARDS
BA-SEC-LLC
CROWELL
FERRIS-BAKER
HR-BLOCK-FIN
HILLIARD
JANNEY-LLC
MORGAN-KEEGAN
OPPENHEIMER-CO
PNC-CAPITAL
RAYMOND
RBC-CAP-MKTS
BAIRD
RYAN-BECK
STIFEL
SUNTRUST-CAP
WEDBUSH-M
WELLS-FARGO-SEC</t>
  </si>
  <si>
    <t>Wachovia Securities Inc
Citigroup
Merrill Lynch &amp; Co Inc
UBS Investment Bank
AG Edwards &amp; Sons Inc
Banc of America Securities LLC
Crowell Weedon &amp; Co
Ferris Baker Watts Inc
H&amp;R Block Financial Advisors
JJB Hilliard WL Lyons Inc
Janney Montgomery Scott LLC
Morgan Keegan Inc
Oppenheimer &amp; Co Inc
PNC Capital Markets
Raymond James &amp; Associates Inc
RBC Capital Markets
Robert W Baird &amp; Co Inc
Ryan Beck &amp; Co
Stifel Nicolaus &amp; Co Inc
SunTrust Capital Markets
Wedbush Securities
Wells Fargo Securities LLC</t>
  </si>
  <si>
    <t>EV Energy Partners LP</t>
  </si>
  <si>
    <t>EVEP</t>
  </si>
  <si>
    <t>26926V107</t>
  </si>
  <si>
    <t>AG Edwards &amp; Sons Inc
Raymond James &amp; Associates Inc
Wachovia Securities Inc
Oppenheimer &amp; Co Inc</t>
  </si>
  <si>
    <t>03/25/07
03/25/07
03/25/07</t>
  </si>
  <si>
    <t>A-G-EDWARDS//RAYMOND/WACHOVIA-SEC
/OPPENHEIMER-CO</t>
  </si>
  <si>
    <t>A-G-EDWARDS
RAYMOND
WACHOVIA-SEC
OPPENHEIMER-CO</t>
  </si>
  <si>
    <t>CBRE Realty Finance Inc</t>
  </si>
  <si>
    <t>CBF</t>
  </si>
  <si>
    <t>CREDIT-SUISSE
/DEUTSCHE-BK-SEC(JB)
/CITIGROUP(JB)
/WACHOVIA-SEC(JB)</t>
  </si>
  <si>
    <t>12498B307</t>
  </si>
  <si>
    <t>Credit Suisse
Deutsche Bank Securities Corp
Citigroup
Wachovia Securities Inc
JMP Securities LLC</t>
  </si>
  <si>
    <t>03/26/07
03/26/07
11/26/06</t>
  </si>
  <si>
    <t>CREDIT-SUISSE(JB)/DEUTSCHE-BK-SEC(JB)
/CITIGROUP(JB)/WACHOVIA-SEC(JB)
//JMP-SEC</t>
  </si>
  <si>
    <t>CREDIT-SUISSE/DEUTSCHE-BK-SEC/CITIGROUP
/WACHOVIA-SEC</t>
  </si>
  <si>
    <t>CREDIT-SUISSE
(JB)/DEUTSCHE-BK-SEC(JB)
/CITIGROUP(JB)
/WACHOVIA-SEC(JB)
JMP-SEC</t>
  </si>
  <si>
    <t>Credit Suisse
Deutsche Bank Securities Corp.
Citigroup
Wachovia Securities Inc
JMP Securities LLC</t>
  </si>
  <si>
    <t>ICF International Inc</t>
  </si>
  <si>
    <t>ICFI</t>
  </si>
  <si>
    <t>44925C103</t>
  </si>
  <si>
    <t>UBS Investment Bank
Stifel Nicolaus &amp; Co Inc
William Blair &amp; Co
Jefferies Quarterdeck LLC</t>
  </si>
  <si>
    <t>03/26/07
03/26/07
03/26/07</t>
  </si>
  <si>
    <t xml:space="preserve">63.741
</t>
  </si>
  <si>
    <t xml:space="preserve">8251935.00
</t>
  </si>
  <si>
    <t>UBS-INV-BANK/STIFEL(JOINT)//WM-BLAIR
/JEFFERIES-QUART</t>
  </si>
  <si>
    <t>UBS-INV-BANK/STIFEL</t>
  </si>
  <si>
    <t>UBS-INV-BANK
/STIFEL(JOINT)
WM-BLAIR
JEFFERIES-QUART</t>
  </si>
  <si>
    <t>Morgan Stanley China A Share</t>
  </si>
  <si>
    <t>CAF</t>
  </si>
  <si>
    <t>Morgan Stanley</t>
  </si>
  <si>
    <t>Bare Escentuals Inc</t>
  </si>
  <si>
    <t>BARE</t>
  </si>
  <si>
    <t>067511105</t>
  </si>
  <si>
    <t>Goldman Sachs &amp; Co
CIBC World Markets Inc
Banc of America Securities LLC
Piper Jaffray Cos
Thomas Weisel Partners
SunTrust Capital Markets
SMH Capital Inc</t>
  </si>
  <si>
    <t>03/27/07
03/27/07
03/27/07</t>
  </si>
  <si>
    <t xml:space="preserve">79.715
</t>
  </si>
  <si>
    <t xml:space="preserve">69374619.00
</t>
  </si>
  <si>
    <t>GS/CIBC-WORLD(JOINT)//BA-SEC-LLC
/PIPER-JAFFRAY/THOMAS-WEISEL
/SUNTRUST-CAP/SMH-CAPITAL</t>
  </si>
  <si>
    <t>GS/CIBC-WORLD</t>
  </si>
  <si>
    <t>GS
/CIBC-WORLD(JOINT)
BA-SEC-LLC
PIPER-JAFFRAY
THOMAS-WEISEL
SUNTRUST-CAP
SMH-CAPITAL</t>
  </si>
  <si>
    <t>Omni Financial Services Inc</t>
  </si>
  <si>
    <t>OFSI</t>
  </si>
  <si>
    <t>68214U102</t>
  </si>
  <si>
    <t xml:space="preserve">
48.831</t>
  </si>
  <si>
    <t xml:space="preserve">
5286575.00</t>
  </si>
  <si>
    <t>Shutterfly Inc</t>
  </si>
  <si>
    <t>SFLY</t>
  </si>
  <si>
    <t>82568P304</t>
  </si>
  <si>
    <t>JP Morgan
Piper Jaffray Cos
Jefferies &amp; Co Inc</t>
  </si>
  <si>
    <t>11/12/06
12/27/06
03/27/07
03/27/07
03/27/07</t>
  </si>
  <si>
    <t xml:space="preserve">0.553
0.553
74.242
</t>
  </si>
  <si>
    <t>45
90
180
180
180</t>
  </si>
  <si>
    <t xml:space="preserve">130566.00
130567.00
17529337.00
</t>
  </si>
  <si>
    <t>JPM//PIPER-JAFFRAY/JEFFERIES</t>
  </si>
  <si>
    <t>JPM
PIPER-JAFFRAY
JEFFERIES</t>
  </si>
  <si>
    <t>JP Morgan &amp; Co Inc
Piper Jaffray Cos
Jefferies &amp; Co Inc</t>
  </si>
  <si>
    <t>e-Future Information Tech Inc</t>
  </si>
  <si>
    <t>EFUT</t>
  </si>
  <si>
    <t>Rhapsody Acquisition Corp</t>
  </si>
  <si>
    <t>RPSD</t>
  </si>
  <si>
    <t>74164F202</t>
  </si>
  <si>
    <t>BreitBurn Energy Partners LP</t>
  </si>
  <si>
    <t>BBEP</t>
  </si>
  <si>
    <t>RBC-CAP-MKTS
/CITIGROUP(JB)</t>
  </si>
  <si>
    <t>RBC Capital Markets
Citigroup
Credit Suisse
AG Edwards &amp; Sons Inc
Wachovia Securities Inc
Deutsche Bank Securities Corp
Canaccord Adams</t>
  </si>
  <si>
    <t>04/02/07
04/02/07
04/02/07</t>
  </si>
  <si>
    <t>RBC-CAP-MKTS(JB)/CITIGROUP(JB)
//CREDIT-SUISSE/A-G-EDWARDS
/WACHOVIA-SEC/DEUTSCHE-BK-SEC/CAN-ADAMS</t>
  </si>
  <si>
    <t>RBC-CAP-MKTS/CITIGROUP</t>
  </si>
  <si>
    <t>RBC-CAP-MKTS
(JB)/CITIGROUP(JB)
CREDIT-SUISSE
A-G-EDWARDS
WACHOVIA-SEC
DEUTSCHE-BK-SEC
CAN-ADAMS</t>
  </si>
  <si>
    <t>RBC Capital Markets
Citigroup
Credit Suisse
AG Edwards &amp; Sons Inc
Wachovia Securities Inc
Deutsche Bank Securities Corp.
Canaccord Adams</t>
  </si>
  <si>
    <t>Danaos Corp</t>
  </si>
  <si>
    <t>DAC</t>
  </si>
  <si>
    <t>Y1968P105</t>
  </si>
  <si>
    <t>Merrill Lynch
Citigroup
Dahlman Rose Weiss LLC
Jefferies &amp; Co Inc
Fortis Securities Inc
Nomura International PLC</t>
  </si>
  <si>
    <t>04/03/07
10/04/08
04/03/07
10/04/08
04/03/07</t>
  </si>
  <si>
    <t xml:space="preserve">1.137
81.212
</t>
  </si>
  <si>
    <t>180
730
180
730
180</t>
  </si>
  <si>
    <t xml:space="preserve">620305.00
44307500.00
</t>
  </si>
  <si>
    <t>MERRILL(JB)/CITIGROUP(JB)//DAHLMAN-ROSE
/JEFFERIES/FORTIS-SEC/NOMURA-INT</t>
  </si>
  <si>
    <t>MERRILL
(JB)/CITIGROUP(JB)
DAHLMAN-ROSE
JEFFERIES
FORTIS-SEC
NOMURA-INT</t>
  </si>
  <si>
    <t>Merrill Lynch &amp; Co Inc
Citigroup
Dahlman Rose Weiss LLC
Jefferies &amp; Co Inc
Fortis Securities Inc
Nomura International PLC</t>
  </si>
  <si>
    <t>Fortissimo Acquisition Corp</t>
  </si>
  <si>
    <t>FSMO</t>
  </si>
  <si>
    <t>34958F107</t>
  </si>
  <si>
    <t>Acme Packet Inc</t>
  </si>
  <si>
    <t>APKT</t>
  </si>
  <si>
    <t>004764106</t>
  </si>
  <si>
    <t>Goldman Sachs &amp; Co
Credit Suisse
JP Morgan
ThinkEquity Partners</t>
  </si>
  <si>
    <t>04/10/07
04/10/07
04/10/07</t>
  </si>
  <si>
    <t xml:space="preserve">12.877
</t>
  </si>
  <si>
    <t xml:space="preserve">7302276.00
</t>
  </si>
  <si>
    <t>GS//CREDIT-SUISSE/JPM/THINK</t>
  </si>
  <si>
    <t>GS
CREDIT-SUISSE
JPM
THINK</t>
  </si>
  <si>
    <t>Goldman Sachs &amp; Co
Credit Suisse
JP Morgan &amp; Co Inc
ThinkEquity Partners</t>
  </si>
  <si>
    <t>eHealth Inc</t>
  </si>
  <si>
    <t>EHTH</t>
  </si>
  <si>
    <t>28238P109</t>
  </si>
  <si>
    <t>Morgan Stanley
Merrill Lynch
Thomas Weisel Partners
JMP Securities LLC
Allen &amp; Co Inc</t>
  </si>
  <si>
    <t xml:space="preserve">73.501
</t>
  </si>
  <si>
    <t xml:space="preserve">15948545.00
</t>
  </si>
  <si>
    <t>MORGAN-STANLEY(JB)/MERRILL(JB)
//THOMAS-WEISEL/JMP-SEC//ALLEN</t>
  </si>
  <si>
    <t>MORGAN-STANLEY
(JB)/MERRILL(JB)
THOMAS-WEISEL
JMP-SEC</t>
  </si>
  <si>
    <t>Morgan Stanley
Merrill Lynch &amp; Co Inc
Thomas Weisel Partners
JMP Securities LLC</t>
  </si>
  <si>
    <t>SAIC Inc</t>
  </si>
  <si>
    <t>SBM</t>
  </si>
  <si>
    <t>MORGAN-STANLEY/BEAR(JB)</t>
  </si>
  <si>
    <t>Morgan Stanley
Bear Stearns &amp; Co Inc
Citigroup
Wachovia Securities Inc
Banc of America Securities LLC
Cowen &amp; Co
Jefferies &amp; Co Inc
Stifel Nicolaus &amp; Co Inc
William Blair &amp; Co
KeyCorp/McDonald Investments
Mellon Financial Markets, Inc.
Stephens Inc
Pacific Crest Securities Inc
Williams Capital Group LP</t>
  </si>
  <si>
    <t>01/10/07
04/10/07
07/09/07
10/07/07
04/10/07
04/10/07</t>
  </si>
  <si>
    <t xml:space="preserve">15.816
15.816
23.725
23.725
</t>
  </si>
  <si>
    <t>90
180
270
360
180
180</t>
  </si>
  <si>
    <t xml:space="preserve">65214563.00
65214563.00
97821845.00
97821845.00
</t>
  </si>
  <si>
    <t>MORGAN-STANLEY(JB)/BEAR(JB)//CITIGROUP
/WACHOVIA-SEC/BA-SEC-LLC/COWEN-CO
/JEFFERIES/STIFEL/WM-BLAIR/KEY-MCDONALD
/MELLON-FIN-MKTS/STEPHENS
//PACIFIC-CREST/WILLIAMS-CAP</t>
  </si>
  <si>
    <t>MORGAN-STANLEY
(JB)/BEAR(JB)
CITIGROUP
WACHOVIA-SEC
BA-SEC-LLC
COWEN-CO
JEFFERIES
STIFEL
WM-BLAIR
KEY-MCDONALD
MELLON-FIN-MKTS
STEPHENS</t>
  </si>
  <si>
    <t>Morgan Stanley
Bear Stearns &amp; Co Inc
Citigroup
Wachovia Securities Inc
Banc of America Securities LLC
Cowen &amp; Co
Jefferies &amp; Co Inc
Stifel Nicolaus &amp; Co Inc
William Blair &amp; Co
KeyCorp/McDonald Investments
Mellon Financial Markets, Inc.
Stephens Inc</t>
  </si>
  <si>
    <t>Ultrapetrol(Bahamas)Ltd</t>
  </si>
  <si>
    <t>Bahamas</t>
  </si>
  <si>
    <t>ULTR</t>
  </si>
  <si>
    <t>P94398107</t>
  </si>
  <si>
    <t>UBS Investment Bank
Bear Stearns &amp; Co Inc
Merrill Lynch
Jefferies &amp; Co Inc
Raymond James &amp; Associates Inc
DVB BANK AG</t>
  </si>
  <si>
    <t xml:space="preserve">55.357
</t>
  </si>
  <si>
    <t xml:space="preserve">15500000.00
</t>
  </si>
  <si>
    <t>UBS-INV-BANK(JB)/BEAR(JB)//MERRILL
/JEFFERIES/RAYMOND/DVB-BANK-AG</t>
  </si>
  <si>
    <t>UBS-INV-BANK
(JB)/BEAR(JB)
MERRILL
JEFFERIES
RAYMOND
DVB-BANK-AG</t>
  </si>
  <si>
    <t>UBS Investment Bank
Bear Stearns &amp; Co Inc
Merrill Lynch &amp; Co Inc
Jefferies &amp; Co Inc
Raymond James &amp; Associates Inc
DVB BANK AG</t>
  </si>
  <si>
    <t>Universal Compression Partners</t>
  </si>
  <si>
    <t>UCLP</t>
  </si>
  <si>
    <t>MERRILL/LEH(JB)</t>
  </si>
  <si>
    <t>Merrill Lynch
Lehman Brothers
Wachovia Securities Inc
AG Edwards &amp; Sons Inc
Deutsche Bank Securities Corp</t>
  </si>
  <si>
    <t>04/14/07
04/14/07
04/14/07</t>
  </si>
  <si>
    <t>MERRILL(JB)/LEH(JB)/WACHOVIA-SEC(JOINT)
//A-G-EDWARDS/DEUTSCHE-BK-SEC</t>
  </si>
  <si>
    <t>MERRILL/LEH/WACHOVIA-SEC</t>
  </si>
  <si>
    <t>MERRILL
(JB)/LEH(JB)
/WACHOVIA-SEC(JOINT)
A-G-EDWARDS
DEUTSCHE-BK-SEC</t>
  </si>
  <si>
    <t>Merrill Lynch &amp; Co Inc
Lehman Brothers
Wachovia Securities Inc
AG Edwards &amp; Sons Inc
Deutsche Bank Securities Corp.</t>
  </si>
  <si>
    <t>First Mercury Financial Corp</t>
  </si>
  <si>
    <t>FMR</t>
  </si>
  <si>
    <t>JPM/KEEFE(JB)</t>
  </si>
  <si>
    <t>JP Morgan
Keefe Bruyette &amp; Woods Inc
William Blair &amp; Co
Cochran Caronia Waller
Dowling &amp; Partners Securities
AG Edwards &amp; Sons Inc
Ferris Baker Watts</t>
  </si>
  <si>
    <t>04/15/07
04/15/07
04/15/07</t>
  </si>
  <si>
    <t xml:space="preserve">41.909
</t>
  </si>
  <si>
    <t xml:space="preserve">6653024.00
</t>
  </si>
  <si>
    <t>JPM(JB)/KEEFE(JB)//WM-BLAIR
/COCHRAN-CARWAL/DOWL/A-G-EDWARDS
/FERRIS-BAKER</t>
  </si>
  <si>
    <t>JPM/KEEFE</t>
  </si>
  <si>
    <t>JPM
(JB)/KEEFE(JB)
WM-BLAIR
COCHRAN-CARWAL
DOWL
A-G-EDWARDS
FERRIS-BAKER</t>
  </si>
  <si>
    <t>JP Morgan &amp; Co Inc
Keefe Bruyette &amp; Woods Inc
William Blair &amp; Co
Cochran Caronia Waller
Dowling &amp; Partners Securities LLC
AG Edwards &amp; Sons Inc
Ferris Baker Watts Inc</t>
  </si>
  <si>
    <t>Stanley Inc</t>
  </si>
  <si>
    <t>SXE</t>
  </si>
  <si>
    <t>Citigroup
Wachovia Securities Inc
Raymond James &amp; Associates Inc
Cowen &amp; Co
Stifel Nicolaus &amp; Co Inc</t>
  </si>
  <si>
    <t>04/15/07
10/12/07
04/15/07
04/15/07</t>
  </si>
  <si>
    <t xml:space="preserve">2.820
25.384
</t>
  </si>
  <si>
    <t xml:space="preserve">589656.00
5306904.00
</t>
  </si>
  <si>
    <t>CITIGROUP/WACHOVIA-SEC(JOINT)//RAYMOND
/COWEN-CO/STIFEL</t>
  </si>
  <si>
    <t>CITIGROUP/WACHOVIA-SEC</t>
  </si>
  <si>
    <t>CITIGROUP
/WACHOVIA-SEC(JOINT)
RAYMOND
COWEN-CO
STIFEL</t>
  </si>
  <si>
    <t>Trubion Pharmaceuticals Inc</t>
  </si>
  <si>
    <t>TRBN</t>
  </si>
  <si>
    <t>89778N102</t>
  </si>
  <si>
    <t>Morgan Stanley
Banc of America Securities LLC
Pacific Growth Equities Inc
Lazard Capital Markets
McAdams Wright Ragen Inc</t>
  </si>
  <si>
    <t>MORGAN-STANLEY//BA-SEC-LLC
/PACIFIC-GROWTH/LAZARD-CAP-MKT
//MCADAMS-WRIGHT</t>
  </si>
  <si>
    <t>MORGAN-STANLEY
BA-SEC-LLC
PACIFIC-GROWTH
LAZARD-CAP-MKT</t>
  </si>
  <si>
    <t>Morgan Stanley
Banc of America Securities LLC
Pacific Growth Equities Inc
Lazard Capital Markets</t>
  </si>
  <si>
    <t>Granahan McCourt Acquisition</t>
  </si>
  <si>
    <t>GHN</t>
  </si>
  <si>
    <t>Deutsche Bank Securities Corp</t>
  </si>
  <si>
    <t>Ivivi Technologies Inc</t>
  </si>
  <si>
    <t>II</t>
  </si>
  <si>
    <t>46589F108</t>
  </si>
  <si>
    <t>Maxim Group LLC
Brean Murray Carret &amp; Co LLC</t>
  </si>
  <si>
    <t>10/13/07
10/13/07</t>
  </si>
  <si>
    <t xml:space="preserve">50.837
</t>
  </si>
  <si>
    <t xml:space="preserve">4745000.00
</t>
  </si>
  <si>
    <t>MAXIM-GROUP//BREANMUR-CARRET</t>
  </si>
  <si>
    <t>MAXIM-GROUP
BREANMUR-CARRET</t>
  </si>
  <si>
    <t>Susser Holdings Corp</t>
  </si>
  <si>
    <t>SUSS</t>
  </si>
  <si>
    <t>Merrill Lynch
JP Morgan
Jefferies &amp; Co Inc
Morgan Keegan Inc</t>
  </si>
  <si>
    <t>04/16/07
10/13/07
04/16/07
04/16/07</t>
  </si>
  <si>
    <t xml:space="preserve">55.228
</t>
  </si>
  <si>
    <t xml:space="preserve">9291695.00
</t>
  </si>
  <si>
    <t>Wellspring Capital Partners</t>
  </si>
  <si>
    <t>MERRILL/JPM(JOINT)//JEFFERIES
/MORGAN-KEEGAN</t>
  </si>
  <si>
    <t>MERRILL
/JPM(JOINT)
JEFFERIES
MORGAN-KEEGAN</t>
  </si>
  <si>
    <t>Merrill Lynch &amp; Co Inc
JP Morgan &amp; Co Inc
Jefferies &amp; Co Inc
Morgan Keegan Inc</t>
  </si>
  <si>
    <t>ExlService Holdings Inc</t>
  </si>
  <si>
    <t>EXLS</t>
  </si>
  <si>
    <t>CITIGROUP/GS(JB)</t>
  </si>
  <si>
    <t>Citigroup
Goldman Sachs &amp; Co
Merrill Lynch
Thomas Weisel Partners</t>
  </si>
  <si>
    <t>04/17/07
04/17/07
04/17/07</t>
  </si>
  <si>
    <t xml:space="preserve">75.421
</t>
  </si>
  <si>
    <t xml:space="preserve">21184792.00
</t>
  </si>
  <si>
    <t>CITIGROUP(JB)/GS(JB)//MERRILL
/THOMAS-WEISEL</t>
  </si>
  <si>
    <t>CITIGROUP/GS</t>
  </si>
  <si>
    <t>CITIGROUP
(JB)/GS(JB)
MERRILL
THOMAS-WEISEL</t>
  </si>
  <si>
    <t>Citigroup
Goldman Sachs &amp; Co
Merrill Lynch &amp; Co Inc
Thomas Weisel Partners</t>
  </si>
  <si>
    <t>LeMaitre Vascular Inc</t>
  </si>
  <si>
    <t>LMAT</t>
  </si>
  <si>
    <t>Goldman Sachs &amp; Co
CIBC World Markets Inc
Cowen
Thomas Weisel Partners</t>
  </si>
  <si>
    <t xml:space="preserve">55.360
</t>
  </si>
  <si>
    <t xml:space="preserve">8454647.00
</t>
  </si>
  <si>
    <t>GS//CIBC-WORLD/COWEN/THOMAS-WEISEL</t>
  </si>
  <si>
    <t>GS
CIBC-WORLD
COWEN
THOMAS-WEISEL</t>
  </si>
  <si>
    <t>Goldman Sachs &amp; Co
CIBC World Markets Inc
Cowen &amp; Co
Thomas Weisel Partners</t>
  </si>
  <si>
    <t>Douglas Emmett Inc</t>
  </si>
  <si>
    <t>DEI</t>
  </si>
  <si>
    <t>MERRILL/LEH(JB)
/CITIGROUP(JB)</t>
  </si>
  <si>
    <t>25960P109</t>
  </si>
  <si>
    <t>Merrill Lynch
Lehman Brothers
Citigroup
Wachovia Securities Inc
UBS Investment Bank
Banc of America Securities LLC
AG Edwards &amp; Sons Inc
Raymond James &amp; Associates Inc
Wells Fargo Securities LLC
BMO Capital Markets
Robert W Baird &amp; Co Inc
Oppenheimer &amp; Co Inc
Stifel Nicolaus &amp; Co Inc
Susquehanna Financial Group
Blaylock &amp; Co Inc
Chatsworth Securities LLC
CL King &amp; Associates Inc
Samuel A. Ramirez &amp; Co.
Toussaint Capital Partners</t>
  </si>
  <si>
    <t>04/21/07
10/18/07
10/18/07</t>
  </si>
  <si>
    <t xml:space="preserve">23.689
</t>
  </si>
  <si>
    <t>180
360
360</t>
  </si>
  <si>
    <t xml:space="preserve">39086603.00
</t>
  </si>
  <si>
    <t>MERRILL(JB)/LEH(JB)/CITIGROUP(JB)
//WACHOVIA-SEC/UBS-INV-BANK/BA-SEC-LLC
/A-G-EDWARDS/RAYMOND/WELLS-FARGO-SEC
/BMO-CAPITAL//BAIRD/OPPENHEIMER-CO
/STIFEL/SUSQUEHANNA-FIN/BLAYLOCK-CO
/CHATSWORTH/CL-KING/RAMIREZ/TOUSSAINT</t>
  </si>
  <si>
    <t>MERRILL/LEH/CITIGROUP</t>
  </si>
  <si>
    <t>MERRILL
(JB)/LEH(JB)
/CITIGROUP(JB)
WACHOVIA-SEC
UBS-INV-BANK
BA-SEC-LLC
A-G-EDWARDS
RAYMOND
WELLS-FARGO-SEC
BMO-CAPITAL</t>
  </si>
  <si>
    <t>Merrill Lynch &amp; Co Inc
Lehman Brothers
Citigroup
Wachovia Securities Inc
UBS Investment Bank
Banc of America Securities LLC
AG Edwards &amp; Sons Inc
Raymond James &amp; Associates Inc
Wells Fargo Securities LLC
BMO Capital Markets</t>
  </si>
  <si>
    <t>Cadence Pharmaceuticals Inc</t>
  </si>
  <si>
    <t>CADX</t>
  </si>
  <si>
    <t>12738T100</t>
  </si>
  <si>
    <t>Merrill Lynch
Deutsche Bank Securities Corp
Pacific Growth Equities Inc
JMP Securities LLC
Susquehanna Financial Group</t>
  </si>
  <si>
    <t>04/22/07
04/22/07
04/22/07</t>
  </si>
  <si>
    <t xml:space="preserve">78.606
</t>
  </si>
  <si>
    <t xml:space="preserve">22045540.00
</t>
  </si>
  <si>
    <t>MERRILL/DEUTSCHE-BK-SEC(JOINT)
//PACIFIC-GROWTH/JMP-SEC
//SUSQUEHANNA-FIN</t>
  </si>
  <si>
    <t>MERRILL/DEUTSCHE-BK-SEC</t>
  </si>
  <si>
    <t>MERRILL
/DEUTSCHE-BK-SEC(JOINT)
PACIFIC-GROWTH
JMP-SEC</t>
  </si>
  <si>
    <t>Merrill Lynch &amp; Co Inc
Deutsche Bank Securities Corp.
Pacific Growth Equities Inc
JMP Securities LLC</t>
  </si>
  <si>
    <t>Eagle Rock Energy Partners LP</t>
  </si>
  <si>
    <t>EROC</t>
  </si>
  <si>
    <t>UBS-INV-BANK/LEH(JB)
/GS(JB)</t>
  </si>
  <si>
    <t>26985R104</t>
  </si>
  <si>
    <t>UBS Investment Bank
Lehman Brothers
Goldman Sachs &amp; Co
AG Edwards &amp; Sons Inc
Wachovia Securities Inc
Credit Suisse
Raymond James &amp; Associates Inc
RBC Capital Markets</t>
  </si>
  <si>
    <t>UBS-INV-BANK(JB)/LEH(JB)/GS(JB)
//A-G-EDWARDS/WACHOVIA-SEC
/CREDIT-SUISSE/RAYMOND/RBC-CAP-MKTS</t>
  </si>
  <si>
    <t>UBS-INV-BANK/LEH/GS</t>
  </si>
  <si>
    <t>UBS-INV-BANK
(JB)/LEH(JB)
/GS(JB)
A-G-EDWARDS
WACHOVIA-SEC
CREDIT-SUISSE
RAYMOND
RBC-CAP-MKTS</t>
  </si>
  <si>
    <t>GateHouse Media Inc</t>
  </si>
  <si>
    <t>GHS</t>
  </si>
  <si>
    <t>GS/WACHOVIA-SEC(JB)</t>
  </si>
  <si>
    <t>Goldman Sachs &amp; Co
Wachovia Securities Inc
Bear Stearns &amp; Co Inc
Allen &amp; Co Inc
Lazard Capital Markets</t>
  </si>
  <si>
    <t>02/21/07
02/21/07
02/21/07</t>
  </si>
  <si>
    <t xml:space="preserve">59.072
</t>
  </si>
  <si>
    <t xml:space="preserve">22963000.00
</t>
  </si>
  <si>
    <t>GS(JB)/WACHOVIA-SEC(JB)//BEAR/ALLEN
/LAZARD-CAP-MKT</t>
  </si>
  <si>
    <t>GS/WACHOVIA-SEC</t>
  </si>
  <si>
    <t>GS
(JB)/WACHOVIA-SEC(JB)
BEAR
ALLEN
LAZARD-CAP-MKT</t>
  </si>
  <si>
    <t>Achillion Pharmaceuticals Inc</t>
  </si>
  <si>
    <t>ACHN</t>
  </si>
  <si>
    <t>00448Q201</t>
  </si>
  <si>
    <t>SG Cowen Securities Corp
CIBC World Markets Inc
JMP Securities LLC
Maxim Group LLC</t>
  </si>
  <si>
    <t>01/23/07
04/23/07
04/23/07
04/23/07</t>
  </si>
  <si>
    <t xml:space="preserve">0.366
59.574
</t>
  </si>
  <si>
    <t xml:space="preserve">54304.00
8845974.00
</t>
  </si>
  <si>
    <t>SG-COWEN//CIBC-WORLD/JMP-SEC
//MAXIM-GROUP</t>
  </si>
  <si>
    <t>SG-COWEN
CIBC-WORLD
JMP-SEC</t>
  </si>
  <si>
    <t>SG Cowen Securities Corp
CIBC World Markets Inc
JMP Securities LLC</t>
  </si>
  <si>
    <t>Home Inns &amp; Hotels Mgmt Inc</t>
  </si>
  <si>
    <t>HMIN</t>
  </si>
  <si>
    <t>CREDIT-SUISSE
/ML-ASIA(JB)</t>
  </si>
  <si>
    <t>43713W107</t>
  </si>
  <si>
    <t>Credit Suisse
Merrill Lynch Intl (Asia)
Deutsche Bank Asia</t>
  </si>
  <si>
    <t>CREDIT-SUISSE(JB)/ML-ASIA(JB)
//DEUTSCHE-A</t>
  </si>
  <si>
    <t>CREDIT-SUISSE/ML-ASIA</t>
  </si>
  <si>
    <t>CREDIT-SUISSE
(JB)/ML-ASIA(JB)</t>
  </si>
  <si>
    <t>Credit Suisse
Merrill Lynch International (Asia)</t>
  </si>
  <si>
    <t>Optium Corp</t>
  </si>
  <si>
    <t>OPTM</t>
  </si>
  <si>
    <t>MORGAN-STANLEY
/CREDIT-SUISSE(JB)</t>
  </si>
  <si>
    <t>68402T107</t>
  </si>
  <si>
    <t>Morgan Stanley
Credit Suisse
Cowen &amp; Co
Jefferies &amp; Co Inc</t>
  </si>
  <si>
    <t>04/24/07
04/24/07
04/24/07</t>
  </si>
  <si>
    <t xml:space="preserve">76.261
</t>
  </si>
  <si>
    <t xml:space="preserve">19284384.00
</t>
  </si>
  <si>
    <t>MORGAN-STANLEY(JB)/CREDIT-SUISSE(JB)
//COWEN-CO/JEFFERIES</t>
  </si>
  <si>
    <t>MORGAN-STANLEY
(JB)/CREDIT-SUISSE(JB)
COWEN-CO
JEFFERIES</t>
  </si>
  <si>
    <t>Exotacar Inc</t>
  </si>
  <si>
    <t>EXOT</t>
  </si>
  <si>
    <t>NOT-AVAILABLE</t>
  </si>
  <si>
    <t>30210L106</t>
  </si>
  <si>
    <t>Not Available</t>
  </si>
  <si>
    <t>01/28/07
01/28/07</t>
  </si>
  <si>
    <t>RRSat Global Communications</t>
  </si>
  <si>
    <t>RRST</t>
  </si>
  <si>
    <t>CIBC World Markets Inc
Thomas Weisel Partners
William Blair &amp; Co
CE Unterberg Towbin
Maxim Group LLC</t>
  </si>
  <si>
    <t>04/29/07
04/29/07
04/29/07</t>
  </si>
  <si>
    <t xml:space="preserve">77.208
</t>
  </si>
  <si>
    <t xml:space="preserve">12872300.00
</t>
  </si>
  <si>
    <t>CIBC-WORLD//THOMAS-WEISEL/WM-BLAIR
/UNTERBERG/MAXIM-GROUP</t>
  </si>
  <si>
    <t>CIBC-WORLD
THOMAS-WEISEL
WM-BLAIR
UNTERBERG
MAXIM-GROUP</t>
  </si>
  <si>
    <t>Debt Resolve Inc</t>
  </si>
  <si>
    <t>DRV</t>
  </si>
  <si>
    <t>EKN-BANK</t>
  </si>
  <si>
    <t>24276R206</t>
  </si>
  <si>
    <t>EKN Bank
National Securities Corp (US)
Joseph Stevens &amp; Company
Maxim Group LLC</t>
  </si>
  <si>
    <t>10/27/07
04/30/07
10/27/07
10/27/07</t>
  </si>
  <si>
    <t xml:space="preserve">28.664
14.523
</t>
  </si>
  <si>
    <t>360
180
360
360</t>
  </si>
  <si>
    <t xml:space="preserve">1850850.00
937745.00
</t>
  </si>
  <si>
    <t>EKN-BANK//NATL-SEC//JOSEPH-STEVENS
/MAXIM-GROUP</t>
  </si>
  <si>
    <t>EKN-BANK
NATL-SEC</t>
  </si>
  <si>
    <t>EKN Bank
National Securities Corp (US)</t>
  </si>
  <si>
    <t>Globalstar Inc</t>
  </si>
  <si>
    <t>GSAT</t>
  </si>
  <si>
    <t>WACHOVIA-SEC/JPM(JB)</t>
  </si>
  <si>
    <t>Wachovia Securities Inc
JP Morgan
Jefferies &amp; Co Inc</t>
  </si>
  <si>
    <t>04/30/07
04/30/07
04/30/07</t>
  </si>
  <si>
    <t xml:space="preserve">74.212
</t>
  </si>
  <si>
    <t xml:space="preserve">52227060.00
</t>
  </si>
  <si>
    <t>WACHOVIA-SEC(JB)/JPM(JB)//JEFFERIES</t>
  </si>
  <si>
    <t>WACHOVIA-SEC/JPM</t>
  </si>
  <si>
    <t>WACHOVIA-SEC
(JB)/JPM(JB)
JEFFERIES</t>
  </si>
  <si>
    <t>Wachovia Securities Inc
JP Morgan &amp; Co Inc
Jefferies &amp; Co Inc</t>
  </si>
  <si>
    <t>Innophos Holdings Inc</t>
  </si>
  <si>
    <t>IPHS</t>
  </si>
  <si>
    <t>CREDIT-SUISSE/BEAR(JB)
/UBS-INV-BANK(JB)</t>
  </si>
  <si>
    <t>45774N108</t>
  </si>
  <si>
    <t>Credit Suisse
Bear Stearns &amp; Co Inc
UBS Investment Bank
CIBC World Markets Inc</t>
  </si>
  <si>
    <t>05/01/07
05/01/07
05/01/07</t>
  </si>
  <si>
    <t>CREDIT-SUISSE(JB)/BEAR(JB)
/UBS-INV-BANK(JB)//CIBC-WORLD</t>
  </si>
  <si>
    <t>CREDIT-SUISSE/BEAR/UBS-INV-BANK</t>
  </si>
  <si>
    <t>CREDIT-SUISSE
(JB)/BEAR(JB)
/UBS-INV-BANK(JB)
CIBC-WORLD</t>
  </si>
  <si>
    <t>ORBCOMM Inc</t>
  </si>
  <si>
    <t>ORBC</t>
  </si>
  <si>
    <t>68555P100</t>
  </si>
  <si>
    <t>UBS Investment Bank
Morgan Stanley
Banc of America Securities LLC
Cowen &amp; Co</t>
  </si>
  <si>
    <t>UBS-INV-BANK/MORGAN-STANLEY(JOINT)
//BA-SEC-LLC/COWEN-CO</t>
  </si>
  <si>
    <t>UBS-INV-BANK/MORGAN-STANLEY</t>
  </si>
  <si>
    <t>UBS-INV-BANK
/MORGAN-STANLEY(JOINT)
BA-SEC-LLC
COWEN-CO</t>
  </si>
  <si>
    <t>Catalyst Pharmaceutical</t>
  </si>
  <si>
    <t>CPRX</t>
  </si>
  <si>
    <t>FIRST-AL-CAP</t>
  </si>
  <si>
    <t>14888U101</t>
  </si>
  <si>
    <t>First Albany Capital Inc
Stifel Nicolaus &amp; Co Inc</t>
  </si>
  <si>
    <t>05/06/07
05/06/07
05/06/07</t>
  </si>
  <si>
    <t xml:space="preserve">40.882
32.353
</t>
  </si>
  <si>
    <t xml:space="preserve">5117116.00
4049551.00
</t>
  </si>
  <si>
    <t>FIRST-AL-CAP//STIFEL</t>
  </si>
  <si>
    <t>FIRST-AL-CAP
STIFEL</t>
  </si>
  <si>
    <t>OneBeacon Insurance Group Ltd</t>
  </si>
  <si>
    <t>OB</t>
  </si>
  <si>
    <t>G67742109</t>
  </si>
  <si>
    <t>Lehman Brothers
Banc of America Securities LLC
Merrill Lynch
Deutsche Bank Securities Corp
JP Morgan
Cochran Caronia Waller
Dowling &amp; Partners Securities
Fox-Pitt Kelton
Janney Montgomery Scott LLC
Keefe Bruyette &amp; Woods Inc
Sandler O'Neill Partners
Hongkong &amp; Shanghai Bank (HK)
Wachovia Capital Markets
BNY Capital Markets Inc
Lazard Capital Markets
PNC Capital Markets</t>
  </si>
  <si>
    <t>05/07/07
05/07/07
05/07/07</t>
  </si>
  <si>
    <t>LEH/BA-SEC-LLC(JOINT)//MERRILL
/DEUTSCHE-BK-SEC/JPM/COCHRAN-CARWAL
/DOWL/FOX-PITT/JANNEY-LLC/KEEFE
/SANDLER-ONEILL//HONG-SHANG-BKG
/WACHOVIA-CAP/BNY-CAP/LAZARD-CAP-MKT
/PNC-CAPITAL</t>
  </si>
  <si>
    <t>LEH
/BA-SEC-LLC(JOINT)
MERRILL
DEUTSCHE-BK-SEC
JPM
COCHRAN-CARWAL
DOWL
FOX-PITT
JANNEY-LLC
KEEFE
SANDLER-ONEILL</t>
  </si>
  <si>
    <t>Lehman Brothers
Banc of America Securities LLC
Merrill Lynch &amp; Co Inc
Deutsche Bank Securities Corp.
JP Morgan &amp; Co Inc
Cochran Caronia Waller
Dowling &amp; Partners Securities LLC
Fox-Pitt Kelton
Janney Montgomery Scott LLC
Keefe Bruyette &amp; Woods Inc
Sandler O'Neill Partners  L.P.</t>
  </si>
  <si>
    <t>Canadian Solar Inc</t>
  </si>
  <si>
    <t>DEUTSCHE-BK-SEC
/LEH-ASIA(JB)</t>
  </si>
  <si>
    <t>Deutsche Bank Securities Corp
Lehman Brothers Asia
CIBC World Markets Inc
Piper Jaffray Cos</t>
  </si>
  <si>
    <t>DEUTSCHE-BK-SEC(JB)/LEH-ASIA(JB)
//CIBC-WORLD/PIPER-JAFFRAY</t>
  </si>
  <si>
    <t>DEUTSCHE-BK-SEC/LEH-ASIA</t>
  </si>
  <si>
    <t>DEUTSCHE-BK-SEC
(JB)/LEH-ASIA(JB)
CIBC-WORLD
PIPER-JAFFRAY</t>
  </si>
  <si>
    <t>Deutsche Bank Securities Corp.
Lehman Brothers Asia
CIBC World Markets Inc
Piper Jaffray Cos</t>
  </si>
  <si>
    <t>KBW Inc</t>
  </si>
  <si>
    <t>KBW</t>
  </si>
  <si>
    <t>KEEFE/MERRILL(JB)</t>
  </si>
  <si>
    <t>Keefe Bruyette &amp; Woods Inc
Merrill Lynch
Banc of America Securities LLC
Fox-Pitt Kelton
JMP Securities LLC
Thomas Weisel Partners
BNY Capital Markets Inc
FTN MIDWEST RESEARCH SECURITIE
Morgan Keegan Inc</t>
  </si>
  <si>
    <t xml:space="preserve">78.743
</t>
  </si>
  <si>
    <t xml:space="preserve">24078908.00
</t>
  </si>
  <si>
    <t>KEEFE(JB)/MERRILL(JB)/BA-SEC-LLC(JOINT)
//FOX-PITT/JMP-SEC/THOMAS-WEISEL
/BNY-CAP/FTN-MIDWEST/MORGAN-KEEGAN</t>
  </si>
  <si>
    <t>KEEFE/MERRILL/BA-SEC-LLC</t>
  </si>
  <si>
    <t>KEEFE
(JB)/MERRILL(JB)
/BA-SEC-LLC(JOINT)
FOX-PITT
JMP-SEC
THOMAS-WEISEL
BNY-CAP
FTN-MIDWEST
MORGAN-KEEGAN</t>
  </si>
  <si>
    <t>Keefe Bruyette &amp; Woods Inc
Merrill Lynch &amp; Co Inc
Banc of America Securities LLC
Fox-Pitt Kelton
JMP Securities LLC
Thomas Weisel Partners
BNY Capital Markets Inc
FTN MIDWEST RESEARCH SECURITIE
Morgan Keegan Inc</t>
  </si>
  <si>
    <t>Physicians Formula Holdings</t>
  </si>
  <si>
    <t>FACE</t>
  </si>
  <si>
    <t>DEUTSCHE-BK-SEC
/CITIGROUP(JB)</t>
  </si>
  <si>
    <t>Deutsche Bank Securities Corp
Citigroup
Banc of America Securities LLC
Cowen &amp; Co
Piper Jaffray Cos</t>
  </si>
  <si>
    <t xml:space="preserve">45.281
</t>
  </si>
  <si>
    <t xml:space="preserve">6206376.00
</t>
  </si>
  <si>
    <t>DEUTSCHE-BK-SEC(JB)/CITIGROUP(JB)
//BA-SEC-LLC/COWEN-CO/PIPER-JAFFRAY</t>
  </si>
  <si>
    <t>DEUTSCHE-BK-SEC/CITIGROUP</t>
  </si>
  <si>
    <t>DEUTSCHE-BK-SEC
(JB)/CITIGROUP(JB)
BA-SEC-LLC
COWEN-CO
PIPER-JAFFRAY</t>
  </si>
  <si>
    <t>Deutsche Bank Securities Corp.
Citigroup
Banc of America Securities LLC
Cowen &amp; Co
Piper Jaffray Cos</t>
  </si>
  <si>
    <t>ACA Capital Holdings Inc</t>
  </si>
  <si>
    <t>ACAH</t>
  </si>
  <si>
    <t>CREDIT-SUISSE/JPM(JB)
/BEAR(JB)</t>
  </si>
  <si>
    <t>000833103</t>
  </si>
  <si>
    <t>Credit Suisse
JP Morgan
Bear Stearns &amp; Co Inc
Stephens Inc
Keefe Bruyette &amp; Woods Inc</t>
  </si>
  <si>
    <t>05/08/07
05/08/07
05/08/07</t>
  </si>
  <si>
    <t xml:space="preserve">76.797
</t>
  </si>
  <si>
    <t xml:space="preserve">28232208.00
</t>
  </si>
  <si>
    <t>CREDIT-SUISSE(JB)/JPM(JB)/BEAR(JB)
//STEPHENS/KEEFE</t>
  </si>
  <si>
    <t>CREDIT-SUISSE/JPM/BEAR</t>
  </si>
  <si>
    <t>CREDIT-SUISSE
(JB)/JPM(JB)
/BEAR(JB)
STEPHENS
KEEFE</t>
  </si>
  <si>
    <t>Credit Suisse
JP Morgan &amp; Co Inc
Bear Stearns &amp; Co Inc
Stephens Inc
Keefe Bruyette &amp; Woods Inc</t>
  </si>
  <si>
    <t>Capella Education Co</t>
  </si>
  <si>
    <t>CPLA</t>
  </si>
  <si>
    <t>Credit Suisse
Banc of America Securities LLC
Piper Jaffray Cos
Stifel Nicolaus &amp; Co Inc
Signal Hill Capital Group LLC</t>
  </si>
  <si>
    <t xml:space="preserve">70.190
</t>
  </si>
  <si>
    <t xml:space="preserve">10785195.00
</t>
  </si>
  <si>
    <t>CREDIT-SUISSE//BA-SEC-LLC/PIPER-JAFFRAY
/STIFEL//SIGNAL-HILL</t>
  </si>
  <si>
    <t>CREDIT-SUISSE
BA-SEC-LLC
PIPER-JAFFRAY
STIFEL</t>
  </si>
  <si>
    <t>Credit Suisse
Banc of America Securities LLC
Piper Jaffray Cos
Stifel Nicolaus &amp; Co Inc</t>
  </si>
  <si>
    <t>Thermage Inc</t>
  </si>
  <si>
    <t>THRM</t>
  </si>
  <si>
    <t>88343R101</t>
  </si>
  <si>
    <t>Merrill Lynch
Thomas Weisel Partners
Wachovia Securities Inc
CE Unterberg Towbin
Maxim Group LLC</t>
  </si>
  <si>
    <t xml:space="preserve">73.179
</t>
  </si>
  <si>
    <t xml:space="preserve">16370450.00
</t>
  </si>
  <si>
    <t>MERRILL//THOMAS-WEISEL/WACHOVIA-SEC
/UNTERBERG/MAXIM-GROUP</t>
  </si>
  <si>
    <t>MERRILL
THOMAS-WEISEL
WACHOVIA-SEC
UNTERBERG
MAXIM-GROUP</t>
  </si>
  <si>
    <t>Merrill Lynch &amp; Co Inc
Thomas Weisel Partners
Wachovia Securities Inc
CE Unterberg Towbin
Maxim Group LLC</t>
  </si>
  <si>
    <t>Metabolix Inc</t>
  </si>
  <si>
    <t>MBLX</t>
  </si>
  <si>
    <t>Piper Jaffray Cos
Jefferies &amp; Co Inc
Thomas Weisel Partners
Ardour Capital Investments LLC</t>
  </si>
  <si>
    <t>05/09/07
05/09/07
05/09/07</t>
  </si>
  <si>
    <t xml:space="preserve">60.398
</t>
  </si>
  <si>
    <t xml:space="preserve">11713763.00
</t>
  </si>
  <si>
    <t>PIPER-JAFFRAY//JEFFERIES/THOMAS-WEISEL
/ARDOUR-CAPITAL</t>
  </si>
  <si>
    <t>PIPER-JAFFRAY
JEFFERIES
THOMAS-WEISEL
ARDOUR-CAPITAL</t>
  </si>
  <si>
    <t>Emergent BioSolutions Inc</t>
  </si>
  <si>
    <t>EBS</t>
  </si>
  <si>
    <t>29089Q105</t>
  </si>
  <si>
    <t>JP Morgan
Cowen &amp; Co
Hongkong &amp; Shanghai Bank (HK)</t>
  </si>
  <si>
    <t>05/13/07
05/13/07
05/13/07</t>
  </si>
  <si>
    <t xml:space="preserve">81.393
</t>
  </si>
  <si>
    <t xml:space="preserve">22318281.00
</t>
  </si>
  <si>
    <t>JPM/COWEN-CO(JOINT)//HONG-SHANG-BKG</t>
  </si>
  <si>
    <t>JPM/COWEN-CO</t>
  </si>
  <si>
    <t>JPM
/COWEN-CO(JOINT)
HONG-SHANG-BKG</t>
  </si>
  <si>
    <t>JP Morgan &amp; Co Inc
Cowen &amp; Co
Hongkong &amp; Shanghai Banking Corp Ltd</t>
  </si>
  <si>
    <t>Constellation Energy Partners</t>
  </si>
  <si>
    <t>CEP</t>
  </si>
  <si>
    <t>21038E101</t>
  </si>
  <si>
    <t>Citigroup
Lehman Brothers
UBS Investment Bank
Wachovia Securities Inc
Scotia Capital (USA) Inc.</t>
  </si>
  <si>
    <t>05/14/07
05/14/07
05/14/07</t>
  </si>
  <si>
    <t>CITIGROUP(JB)/LEH(JB)//UBS-INV-BANK
/WACHOVIA-SEC/SCOTIA-CAP</t>
  </si>
  <si>
    <t>CITIGROUP
(JB)/LEH(JB)
UBS-INV-BANK
WACHOVIA-SEC
SCOTIA-CAP</t>
  </si>
  <si>
    <t>Hansen Medical Inc</t>
  </si>
  <si>
    <t>HNSN</t>
  </si>
  <si>
    <t>Morgan Stanley
JP Morgan
Thomas Weisel Partners
Leerink Swann &amp; Co</t>
  </si>
  <si>
    <t xml:space="preserve">3.280
</t>
  </si>
  <si>
    <t xml:space="preserve">674214.00
</t>
  </si>
  <si>
    <t>MORGAN-STANLEY(JB)/JPM(JB)
//THOMAS-WEISEL/LEERINK-SWANN</t>
  </si>
  <si>
    <t>MORGAN-STANLEY
(JB)/JPM(JB)
THOMAS-WEISEL
LEERINK-SWANN</t>
  </si>
  <si>
    <t>Morgan Stanley
JP Morgan &amp; Co Inc
Thomas Weisel Partners
Leerink Swann &amp; Co</t>
  </si>
  <si>
    <t>Hertz Global Holdings Inc</t>
  </si>
  <si>
    <t>HTZ</t>
  </si>
  <si>
    <t>GS/LEH(JB)/MERRILL(JB)
/JPM(JB)</t>
  </si>
  <si>
    <t>42805T105</t>
  </si>
  <si>
    <t>Goldman Sachs &amp; Co
Lehman Brothers
Merrill Lynch
JP Morgan
Morgan Stanley
Credit Suisse
UBS Investment Bank
Wachovia Securities Inc
Robert W Baird &amp; Co Inc
BNP Paribas Securities Corp
Calyon Securities USA Inc
Daiwa Capital Markets America
Fortis Securities Inc
Hongkong &amp; Shanghai Bank (HK)
HVB Capital
CL King &amp; Associates Inc
Lazard Capital Markets
Mizuho Intl PLC
RBC Capital Markets
Muriel Siebert &amp; Co
Williams Capital Group LP
Cabrera Capital Markets Inc
Natexis Bleichroeder Inc
Susquehanna Financial Group
Utendahl Capital Partners
Goldman Sachs &amp; Co
Lehman Brothers
Merrill Lynch</t>
  </si>
  <si>
    <t xml:space="preserve">71.580
</t>
  </si>
  <si>
    <t xml:space="preserve">229500000.00
</t>
  </si>
  <si>
    <t>GS(JB)/LEH(JB)/MERRILL(JB)/JPM(JB)
//MORGAN-STANLEY/CREDIT-SUISSE
/UBS-INV-BANK/WACHOVIA-SEC//BAIRD
/BNP-CA/CALYON-SEC/DAIWA-SEC-AMER
/FORTIS-SEC/HONG-SHANG-BKG/HVB-CAPITAL
/CL-KING/LAZARD-CAP-MKT/MILTD
/RBC-CAP-MKTS/MURIEL/WILLIAMS-CAP
/CABRERA-CAPITAL/NATEXIS
/SUSQUEHANNA-FIN/UTENDAHL-CAP//GS(GC)
/LEH(GC)/MERRILL(GC)</t>
  </si>
  <si>
    <t>GS/LEH/MERRILL/JPM</t>
  </si>
  <si>
    <t>GS
(JB)/LEH(JB)
/MERRILL(JB)
/JPM(JB)
MORGAN-STANLEY
CREDIT-SUISSE
UBS-INV-BANK
WACHOVIA-SEC</t>
  </si>
  <si>
    <t>Goldman Sachs &amp; Co
Lehman Brothers
Merrill Lynch &amp; Co Inc
JP Morgan &amp; Co Inc
Morgan Stanley
Credit Suisse
UBS Investment Bank
Wachovia Securities Inc</t>
  </si>
  <si>
    <t>KBR Inc</t>
  </si>
  <si>
    <t>KBR</t>
  </si>
  <si>
    <t>CREDIT-SUISSE/GS(JB)
/UBS-INV-BANK(JB)</t>
  </si>
  <si>
    <t>48242W106</t>
  </si>
  <si>
    <t>Credit Suisse
Goldman Sachs &amp; Co
UBS Investment Bank
Citigroup
Merrill Lynch
Hongkong &amp; Shanghai Bank (HK)
Scotia Capital (USA) Inc.
Wachovia Securities Inc
Lehman Brothers
DA Davidson &amp; Co Inc
Pickering Energy Partners Inc
Simmons &amp; Co International</t>
  </si>
  <si>
    <t>HAL</t>
  </si>
  <si>
    <t>Halliburton Co</t>
  </si>
  <si>
    <t>CREDIT-SUISSE(JB)/GS(JB)
/UBS-INV-BANK(JB)//CITIGROUP/MERRILL
/HONG-SHANG-BKG/SCOTIA-CAP/WACHOVIA-SEC
/LEH/DAVIDSON/PICK-ENERGY/SIMMONS</t>
  </si>
  <si>
    <t>CREDIT-SUISSE/GS/UBS-INV-BANK</t>
  </si>
  <si>
    <t>CREDIT-SUISSE
(JB)/GS(JB)
/UBS-INV-BANK(JB)
CITIGROUP
MERRILL
HONG-SHANG-BKG
SCOTIA-CAP
WACHOVIA-SEC
LEH
DAVIDSON
PICK-ENERGY
SIMMONS</t>
  </si>
  <si>
    <t>Credit Suisse
Goldman Sachs &amp; Co
UBS Investment Bank
Citigroup
Merrill Lynch &amp; Co Inc
Hongkong &amp; Shanghai Banking Corp Ltd
Scotia Capital (USA) Inc.
Wachovia Securities Inc
Lehman Brothers
DA Davidson &amp; Co Inc
Pickering Energy Partners Inc
Simmons &amp; Co International</t>
  </si>
  <si>
    <t>Allot Communications Ltd</t>
  </si>
  <si>
    <t>ALLT</t>
  </si>
  <si>
    <t>M0854Q105</t>
  </si>
  <si>
    <t>Lehman Brothers
Deutsche Bank Securities Corp
CIBC World Markets Inc
RBC Capital Markets</t>
  </si>
  <si>
    <t>05/14/07
05/14/07
05/14/07
02/13/07</t>
  </si>
  <si>
    <t>66.539
0.772</t>
  </si>
  <si>
    <t>180
180
180
90</t>
  </si>
  <si>
    <t>13899972.00
161302.00</t>
  </si>
  <si>
    <t>LEH/DEUTSCHE-BK-SEC(JOINT)//CIBC-WORLD
/RBC-CAP-MKTS</t>
  </si>
  <si>
    <t>LEH
/DEUTSCHE-BK-SEC(JOINT)
CIBC-WORLD
RBC-CAP-MKTS</t>
  </si>
  <si>
    <t>Lehman Brothers
Deutsche Bank Securities Corp.
CIBC World Markets Inc
RBC Capital Markets</t>
  </si>
  <si>
    <t>First Solar Inc</t>
  </si>
  <si>
    <t>FSLR</t>
  </si>
  <si>
    <t>CREDIT-SUISSE
/MORGAN-STANLEY(JB)</t>
  </si>
  <si>
    <t>Credit Suisse
Morgan Stanley
Piper Jaffray Cos
Cowen &amp; Co
First Albany Capital Inc
ThinkEquity Partners</t>
  </si>
  <si>
    <t>05/15/07
05/15/07
05/15/07</t>
  </si>
  <si>
    <t xml:space="preserve">53.179
</t>
  </si>
  <si>
    <t xml:space="preserve">38464319.00
</t>
  </si>
  <si>
    <t>CREDIT-SUISSE(JB)/MORGAN-STANLEY(JB)
//PIPER-JAFFRAY/COWEN-CO/FIRST-AL-CAP
/THINK</t>
  </si>
  <si>
    <t>CREDIT-SUISSE/MORGAN-STANLEY</t>
  </si>
  <si>
    <t>CREDIT-SUISSE
(JB)/MORGAN-STANLEY(JB)
PIPER-JAFFRAY
COWEN-CO
FIRST-AL-CAP
THINK</t>
  </si>
  <si>
    <t>NYMEX Holdings Inc</t>
  </si>
  <si>
    <t>NMX</t>
  </si>
  <si>
    <t>62948N104</t>
  </si>
  <si>
    <t>JP Morgan
Merrill Lynch
Banc of America Securities LLC
Citigroup
Lehman Brothers
Sandler O'Neill Partners</t>
  </si>
  <si>
    <t>05/15/07
11/11/07
05/09/08
05/15/07</t>
  </si>
  <si>
    <t xml:space="preserve">30.884
30.414
30.204
</t>
  </si>
  <si>
    <t>180
360
540
180</t>
  </si>
  <si>
    <t xml:space="preserve">27167000.00
26754000.00
26569000.00
</t>
  </si>
  <si>
    <t>JPM(JB)/MERRILL(JB)//BA-SEC-LLC
/CITIGROUP/LEH/SANDLER-ONEILL</t>
  </si>
  <si>
    <t>JPM
(JB)/MERRILL(JB)
BA-SEC-LLC
CITIGROUP
LEH
SANDLER-ONEILL</t>
  </si>
  <si>
    <t>JP Morgan &amp; Co Inc
Merrill Lynch &amp; Co Inc
Banc of America Securities LLC
Citigroup
Lehman Brothers
Sandler O'Neill Partners  L.P.</t>
  </si>
  <si>
    <t>Venoco Inc</t>
  </si>
  <si>
    <t>VQ</t>
  </si>
  <si>
    <t>CREDIT-SUISSE/LEH(JB)
/JPM(JB)</t>
  </si>
  <si>
    <t>92275P307</t>
  </si>
  <si>
    <t>Credit Suisse
Lehman Brothers
JP Morgan
AG Edwards &amp; Sons Inc
BMO Capital Markets</t>
  </si>
  <si>
    <t>CREDIT-SUISSE(JB)/LEH(JB)/JPM(JB)
//A-G-EDWARDS/BMO-CAPITAL</t>
  </si>
  <si>
    <t>CREDIT-SUISSE/LEH/JPM</t>
  </si>
  <si>
    <t>CREDIT-SUISSE
(JB)/LEH(JB)
/JPM(JB)
A-G-EDWARDS
BMO-CAPITAL</t>
  </si>
  <si>
    <t>Credit Suisse
Lehman Brothers
JP Morgan &amp; Co Inc
AG Edwards &amp; Sons Inc
BMO Capital Markets</t>
  </si>
  <si>
    <t>Cohen &amp; Steers Closed-End</t>
  </si>
  <si>
    <t>FOF</t>
  </si>
  <si>
    <t>19248P106</t>
  </si>
  <si>
    <t>Merrill Lynch
BB&amp;T Capital Markets
Robert W Baird &amp; Co Inc
Banc of America Securities LLC
H&amp;R Block Financial Advisors
Crowell Weedon &amp; Co
Deutsche Bank Securities Corp
Ferris Baker Watts
JJB Hilliard WL Lyons Inc
KeyCorp/McDonald Investments
Ladenburg Thalmann &amp; Co
RBC Capital Markets
Stifel Nicolaus &amp; Co Inc
Wedbush Securities
Wells Fargo Bank NA
William Blair &amp; Co
Chatsworth Securities LLC
DA Davidson &amp; Co Inc
Dominick &amp; Dominick Inc
Morgan Keegan Inc
Ryan Beck &amp; Co
Stephens Inc
SunTrust Capital Markets
TD Ameritrade
Anderson &amp; Strudwick
Bishop, Rosen &amp; Co
Brean Murray Carret &amp; Co LLC
Brookstreet Securities
First Montauk Securities
First Southwest
Gilford Securities
GunnAllen Financial Inc
Joseph Gunnar &amp; Co., LLC
J. B. Hanauer
Huntleigh Securities Corp
Jesup &amp; Lamont Securities
Johnston Lemon &amp; Co Inc
LaSalle Street Securities Inc
Maxim Group LLC
Mesirow Financial Corp
Morgan Wilshire Securities
National Securities Corp (US)
Northeast Securities Inc.
Paulson Investment Co
Peacock Hislop Staley &amp; Given
Sanders Morris Harris Inc
Source Capital Group Inc
Southwest Securities Inc
Stanford Group Company
Strand,Atkinson,Williams&amp;Yerl
Torrey Pines Securities
JP Turner &amp; Co
Westminster Finl Sec Inc
Wunderlich Securities Inc</t>
  </si>
  <si>
    <t>MERRILL//BB-T-CAP/BAIRD/BA-SEC-LLC
/HR-BLOCK-FIN/CROWELL/DEUTSCHE-BK-SEC
/FERRIS-BAKER/HILLIARD/KEY-MCDONALD
/LADENBURG/RBC-CAP-MKTS/STIFEL
/WEDBUSH-M/WELLS-FARGO//WM-BLAIR
/CHATSWORTH/DAVIDSON/DOMINICK
/MORGAN-KEEGAN/RYAN-BECK/STEPHENS
/SUNTRUST-CAP/TD-AMER/ANDERSON
/BISHOP-ROSEN/BREANMUR-CARRET
/BROOKSTREET/FIRST-MONTAUK/FIRST-SW
/GILFORD/GUNNALLEN-FINL/GUNNAR
/J-B-HANAUER/HUNTLEIGH-SEC/JESUP
/JOHNSTON-LEMON/LASALLE-SEC/MAXIM-GROUP
/MESIROW-FIN/MORGAN-WILSHIRE/NATL-SEC
/NORTHEAST-SEC/PAULSON/PEACOCK-HISLOP
/SANDERS-HARRIS/SOURCE-CAPITAL/SWS-SEC
/STANFORD-GROUP/STRAND-ATKIN
/TORREY-PINES/J-P-TURNER/WEST-FIN-SEC
/WUNDERLICH</t>
  </si>
  <si>
    <t>MERRILL
BB-T-CAP
BAIRD
BA-SEC-LLC
HR-BLOCK-FIN
CROWELL
DEUTSCHE-BK-SEC
FERRIS-BAKER
HILLIARD
KEY-MCDONALD
LADENBURG
RBC-CAP-MKTS
STIFEL
WEDBUSH-M
WELLS-FARGO</t>
  </si>
  <si>
    <t>Merrill Lynch &amp; Co Inc
BB&amp;T Capital Markets
Robert W Baird &amp; Co Inc
Banc of America Securities LLC
H&amp;R Block Financial Advisors
Crowell Weedon &amp; Co
Deutsche Bank Securities Corp.
Ferris Baker Watts Inc
JJB Hilliard WL Lyons Inc
KeyCorp/McDonald Investments
Ladenburg Thalmann &amp; Co
RBC Capital Markets
Stifel Nicolaus &amp; Co Inc
Wedbush Securities
Wells Fargo Bank NA</t>
  </si>
  <si>
    <t>Spirit AeroSystems Holdings</t>
  </si>
  <si>
    <t>SPR</t>
  </si>
  <si>
    <t>CREDIT-SUISSE/GS(JB)
/MORGAN-STANLEY(JB)</t>
  </si>
  <si>
    <t>Credit Suisse
Goldman Sachs &amp; Co
Morgan Stanley
Banc of America Securities LLC
Citigroup
Cowen &amp; Co
Deutsche Bank Securities Corp
GMP Securities Ltd.
Jefferies &amp; Co Inc
Lehman Brothers
Merrill Lynch
RBC Capital Markets
Scotia Capital (USA) Inc.
UBS Investment Bank
Westwind Partners Inc</t>
  </si>
  <si>
    <t>05/19/07
05/19/07
05/19/07</t>
  </si>
  <si>
    <t xml:space="preserve">59.122
</t>
  </si>
  <si>
    <t xml:space="preserve">75671517.00
</t>
  </si>
  <si>
    <t>CREDIT-SUISSE(JB)/GS(JB)
/MORGAN-STANLEY(JB)//BA-SEC-LLC
/CITIGROUP/COWEN-CO/DEUTSCHE-BK-SEC
/GMP-SEC/JEFFERIES/LEH/MERRILL
/RBC-CAP-MKTS/SCOTIA-CAP/UBS-INV-BANK
/WESTWIND</t>
  </si>
  <si>
    <t>CREDIT-SUISSE/GS/MORGAN-STANLEY</t>
  </si>
  <si>
    <t>CREDIT-SUISSE
(JB)/GS(JB)
/MORGAN-STANLEY(JB)
BA-SEC-LLC
CITIGROUP
COWEN-CO
DEUTSCHE-BK-SEC
GMP-SEC
JEFFERIES
LEH
MERRILL
RBC-CAP-MKTS
SCOTIA-CAP
UBS-INV-BANK
WESTWIND</t>
  </si>
  <si>
    <t>Credit Suisse
Goldman Sachs &amp; Co
Morgan Stanley
Banc of America Securities LLC
Citigroup
Cowen &amp; Co
Deutsche Bank Securities Corp.
GMP Securities Ltd.
Jefferies &amp; Co Inc
Lehman Brothers
Merrill Lynch &amp; Co Inc
RBC Capital Markets
Scotia Capital (USA) Inc.
UBS Investment Bank
Westwind Partners Inc</t>
  </si>
  <si>
    <t>Willdan Group Inc</t>
  </si>
  <si>
    <t>WLDN</t>
  </si>
  <si>
    <t>96924N100</t>
  </si>
  <si>
    <t>Wedbush Securities</t>
  </si>
  <si>
    <t xml:space="preserve">56.798
</t>
  </si>
  <si>
    <t xml:space="preserve">3812640.00
</t>
  </si>
  <si>
    <t>AerCap Holdings NV</t>
  </si>
  <si>
    <t>AER</t>
  </si>
  <si>
    <t>MORGAN-STANLEY/GS(JB)
/LEHMAN-I(JB)
/MERRILL(JB)</t>
  </si>
  <si>
    <t>N00985106</t>
  </si>
  <si>
    <t>Morgan Stanley
Goldman Sachs &amp; Co
Lehman Brothers International
Merrill Lynch
UBS Investment Bank
Wachovia Securities Inc
JP Morgan
Citigroup
Calyon Securities USA Inc</t>
  </si>
  <si>
    <t>05/19/07
05/19/07
05/19/07
11/09/08</t>
  </si>
  <si>
    <t xml:space="preserve">
</t>
  </si>
  <si>
    <t>180
180
180
720</t>
  </si>
  <si>
    <t>MORGAN-STANLEY(JB)/GS(JB)/LEHMAN-I(JB)
/MERRILL(JB)/UBS-INV-BANK
/WACHOVIA-SEC(JOINT)//JPM/CITIGROUP
/CALYON-SEC</t>
  </si>
  <si>
    <t>MORGAN-STANLEY/GS/LEHMAN-I/MERRILL
/UBS-INV-BANK/WACHOVIA-SEC</t>
  </si>
  <si>
    <t>MORGAN-STANLEY
(JB)/GS(JB)
/LEHMAN-I(JB)
/MERRILL(JB)
/UBS-INV-BANK
/WACHOVIA-SEC(JOINT)
JPM
CITIGROUP
CALYON-SEC</t>
  </si>
  <si>
    <t>Morgan Stanley
Goldman Sachs &amp; Co
Lehman Brothers International
Merrill Lynch &amp; Co Inc
UBS Investment Bank
Wachovia Securities Inc
JP Morgan &amp; Co Inc
Citigroup
Calyon Securities USA Inc</t>
  </si>
  <si>
    <t>DWS Dreman Value IncomEdge</t>
  </si>
  <si>
    <t>DHG</t>
  </si>
  <si>
    <t>23339M105</t>
  </si>
  <si>
    <t>Morgan Stanley
AG Edwards &amp; Sons Inc
Deutsche Bank Securities Corp
H&amp;R Block Financial Advisors
Ferris Baker Watts
JJB Hilliard WL Lyons Inc
Janney Montgomery Scott LLC
Oppenheimer &amp; Co Inc
RBC Capital Markets
Stifel Nicolaus &amp; Co Inc
Wells Fargo Bank NA
M. L. Stern
Southwest Securities Inc
Axiom Capital Management Inc
Robert W Baird &amp; Co Inc
Doft &amp; Co Inc
GunnAllen Financial Inc
Morgan Keegan Inc
Ryan Beck &amp; Co
Crowell Weedon &amp; Co
David A. Noyes
E*Trade Securities Inc
Mesirow Financial Corp
JP Turner &amp; Co
Wedbush Securities</t>
  </si>
  <si>
    <t>MORGAN-STANLEY//A-G-EDWARDS
/DEUTSCHE-BK-SEC/HR-BLOCK-FIN
/FERRIS-BAKER/HILLIARD/JANNEY-LLC
/OPPENHEIMER-CO/RBC-CAP-MKTS/STIFEL
/WELLS-FARGO//M-L-STERN/SWS-SEC
/AXIOM-CAP/BAIRD/DOFT/GUNNALLEN-FINL
/MORGAN-KEEGAN/RYAN-BECK/CROWELL
/D-A-NOYES/E*TRADE-SEC/MESIROW-FIN
/J-P-TURNER/WEDBUSH-M</t>
  </si>
  <si>
    <t>MORGAN-STANLEY
A-G-EDWARDS
DEUTSCHE-BK-SEC
HR-BLOCK-FIN
FERRIS-BAKER
HILLIARD
JANNEY-LLC
OPPENHEIMER-CO
RBC-CAP-MKTS
STIFEL
WELLS-FARGO</t>
  </si>
  <si>
    <t>Morgan Stanley
AG Edwards &amp; Sons Inc
Deutsche Bank Securities Corp.
H&amp;R Block Financial Advisors
Ferris Baker Watts Inc
JJB Hilliard WL Lyons Inc
Janney Montgomery Scott LLC
Oppenheimer &amp; Co Inc
RBC Capital Markets
Stifel Nicolaus &amp; Co Inc
Wells Fargo Bank NA</t>
  </si>
  <si>
    <t>North Amer Energy Partners Inc</t>
  </si>
  <si>
    <t>NOA</t>
  </si>
  <si>
    <t>CREDIT-SUISSE
/UBS-INV-BANK(JB)
/JEFFERIES(JB)</t>
  </si>
  <si>
    <t>Credit Suisse
UBS Investment Bank
Jefferies &amp; Co Inc
CIBC World Markets Inc
Simmons &amp; Co International
Stephens Inc
Peters &amp; Co Ltd</t>
  </si>
  <si>
    <t>05/20/07
05/20/07
05/20/07</t>
  </si>
  <si>
    <t xml:space="preserve">64.201
</t>
  </si>
  <si>
    <t xml:space="preserve">22417160.00
</t>
  </si>
  <si>
    <t>CREDIT-SUISSE(JB)/UBS-INV-BANK(JB)
/JEFFERIES(JB)//CIBC-WORLD/SIMMONS
/STEPHENS//PETERS</t>
  </si>
  <si>
    <t>CREDIT-SUISSE/UBS-INV-BANK/JEFFERIES</t>
  </si>
  <si>
    <t>CREDIT-SUISSE
(JB)/UBS-INV-BANK(JB)
/JEFFERIES(JB)
CIBC-WORLD
SIMMONS
STEPHENS</t>
  </si>
  <si>
    <t>Credit Suisse
UBS Investment Bank
Jefferies &amp; Co Inc
CIBC World Markets Inc
Simmons &amp; Co International
Stephens Inc</t>
  </si>
  <si>
    <t>Eaton Vance Tax-Managed</t>
  </si>
  <si>
    <t>ETY</t>
  </si>
  <si>
    <t>WACHOVIA-SEC
/CITIGROUP(JB)
/UBS-INV-BANK(JB)
/A-G-EDWARDS(JB)</t>
  </si>
  <si>
    <t>27828N102</t>
  </si>
  <si>
    <t>Wachovia Securities Inc
Citigroup
UBS Investment Bank
AG Edwards &amp; Sons Inc
Robert W Baird &amp; Co Inc
Banc of America Securities LLC
BB&amp;T Capital Markets
Ferris Baker Watts
H&amp;R Block Financial Advisors
JJB Hilliard WL Lyons Inc
Janney Montgomery Scott LLC
KeyCorp/McDonald Investments
Morgan Keegan Inc
Oppenheimer &amp; Co Inc
Raymond James &amp; Associates Inc
RBC Capital Markets
Ryan Beck &amp; Co
Stephens Inc
Stifel Nicolaus &amp; Co Inc
SunTrust Capital Markets
Wedbush Securities
Wells Fargo Bank NA
Merrill Lynch, Pierce, Fenner
Crowell Weedon &amp; Co
DA Davidson &amp; Co Inc
David A. Noyes
Deutsche Bank Securities
Doft &amp; Co Inc
First Allied Securities, Inc.
GMS Group
GunnAllen Financial Inc
J. B. Hanauer
Maxim Group LLC
M. L. Stern
Newbridge Securities
Royal Alliance Associates
R Seelaus &amp; Company Inc
Sterne Agee &amp; Leach Inc
TD Ameritrade
William Blair &amp; Co
Dominick &amp; Dominick Inc
Hennion &amp; Walsh, Inc
Herbert J. Sims
Howe Barnes Hoefer Arnett Inc
Huntleigh Securities Corp
Joseph Gunnar &amp; Co., LLC
Mesirow Financial Corp
Natcity Investments Inc.
Southwest Securities Inc
Strand,Atkinson,Williams&amp;Yerl
AIG Financial Advisors Inc
Bernard Herold &amp; Co
Bishop, Rosen &amp; Co
Brookstreet Securities
E*Trade Securities Inc
First Southwest
Gilford Securities
Hazlett, Burt &amp; Watson
Investors Capital Corp
Johnston Lemon &amp; Co Inc
McGinn, Smith &amp; Co Inc
Regal Securities Inc
Sanders Morris Harris Inc
Wayne Hummer &amp; Co
Wunderlich Securities Inc
1st Discount Brokerage Inc
FMS Bonds Inc
Stonnington Group LLC
Milkie/Ferguson Investments
Summit Brokerage Services Inc</t>
  </si>
  <si>
    <t>WACHOVIA-SEC(JB)/CITIGROUP(JB)
/UBS-INV-BANK(JB)/A-G-EDWARDS(JB)
//BAIRD/BA-SEC-LLC/BB-T-CAP
/FERRIS-BAKER/HR-BLOCK-FIN/HILLIARD
/JANNEY-LLC/KEY-MCDONALD/MORGAN-KEEGAN
/OPPENHEIMER-CO/RAYMOND/RBC-CAP-MKTS
/RYAN-BECK/STEPHENS/STIFEL/SUNTRUST-CAP
/WEDBUSH-M/WELLS-FARGO//ML/CROWELL
/DAVIDSON/D-A-NOYES/DBSECU/DOFT
/FIRST-ALLIED/GMS-GROUP/GUNNALLEN-FINL
/J-B-HANAUER/MAXIM-GROUP/M-L-STERN
/NEWBRIDGE/ROYAL-ALLIANCE/R-SEELAUS
/STERNE-AGEE/TD-AMER/WM-BLAIR/DOMINICK
/HENNION-WALSH/HERBERT-SIMS
/HBHOEFER-ARNETT/HUNTLEIGH-SEC/GUNNAR
/MESIROW-FIN/NATCITY-INVEST/SWS-SEC
/STRAND-ATKIN/AIG-FINANCIAL/BERNARD-HER
/BISHOP-ROSEN/BROOKSTREET/E*TRADE-SEC
/FIRST-SW/GILFORD/HAZLETT
/INVEST-CAPITAL/JOHNSTON-LEMON
/MCGINN-SMITH/REGAL-SEC-INC
/SANDERS-HARRIS/HUMMER/WUNDERLICH
/FD-BROKERAGE/FMS-BONDS/STONNINGTON-LLC
/MILKIE-FERGUSON/SUMMIT-BROKER</t>
  </si>
  <si>
    <t>WACHOVIA-SEC/CITIGROUP/UBS-INV-BANK
/A-G-EDWARDS</t>
  </si>
  <si>
    <t>WACHOVIA-SEC
(JB)/CITIGROUP(JB)
/UBS-INV-BANK(JB)
/A-G-EDWARDS(JB)
BAIRD
BA-SEC-LLC
BB-T-CAP
FERRIS-BAKER
HR-BLOCK-FIN
HILLIARD
JANNEY-LLC
KEY-MCDONALD
MORGAN-KEEGAN
OPPENHEIMER-CO
RAYMOND
RBC-CAP-MKTS
RYAN-BECK
STEPHENS
STIFEL
SUNTRUST-CAP
WEDBUSH-M
WELLS-FARGO</t>
  </si>
  <si>
    <t>Wachovia Securities Inc
Citigroup
UBS Investment Bank
AG Edwards &amp; Sons Inc
Robert W Baird &amp; Co Inc
Banc of America Securities LLC
BB&amp;T Capital Markets
Ferris Baker Watts Inc
H&amp;R Block Financial Advisors
JJB Hilliard WL Lyons Inc
Janney Montgomery Scott LLC
KeyCorp/McDonald Investments
Morgan Keegan Inc
Oppenheimer &amp; Co Inc
Raymond James &amp; Associates Inc
RBC Capital Markets
Ryan Beck &amp; Co
Stephens Inc
Stifel Nicolaus &amp; Co Inc
SunTrust Capital Markets
Wedbush Securities
Wells Fargo Bank NA</t>
  </si>
  <si>
    <t>Grupo Aeroportuario del Centro</t>
  </si>
  <si>
    <t>OMAB</t>
  </si>
  <si>
    <t>Citigroup
UBS Investment Bank
Scotia Capital (USA) Inc.
Citigroup Global Markets Inc
Grupo Financiero Banamex Acc</t>
  </si>
  <si>
    <t>05/27/07
05/27/07
05/27/07</t>
  </si>
  <si>
    <t xml:space="preserve">
23.488</t>
  </si>
  <si>
    <t xml:space="preserve">
93952176.00</t>
  </si>
  <si>
    <t>CITIGROUP//UBS-INV-BANK/SCOTIA-CAP
//CITIGROUP-GM(GC)/GRUPO-BANAMEX(GC)</t>
  </si>
  <si>
    <t>CITIGROUP
UBS-INV-BANK
SCOTIA-CAP</t>
  </si>
  <si>
    <t>Citigroup
UBS Investment Bank
Scotia Capital (USA) Inc.</t>
  </si>
  <si>
    <t>Wireless Ronin Technologies</t>
  </si>
  <si>
    <t>RNIN</t>
  </si>
  <si>
    <t>97652A203</t>
  </si>
  <si>
    <t>05/27/07
11/23/07
05/27/07</t>
  </si>
  <si>
    <t xml:space="preserve">35.255
</t>
  </si>
  <si>
    <t xml:space="preserve">2577415.00
</t>
  </si>
  <si>
    <t>Netlist Inc</t>
  </si>
  <si>
    <t>NLST</t>
  </si>
  <si>
    <t>64118P109</t>
  </si>
  <si>
    <t>Thomas Weisel Partners
Needham &amp; Co LLC
WR Hambrecht &amp; Co LLC</t>
  </si>
  <si>
    <t>05/28/07
05/28/07
05/28/07</t>
  </si>
  <si>
    <t xml:space="preserve">67.897
</t>
  </si>
  <si>
    <t xml:space="preserve">13270000.00
</t>
  </si>
  <si>
    <t>THOMAS-WEISEL//NEEDHAM/W-R-HAMBRECHT</t>
  </si>
  <si>
    <t>THOMAS-WEISEL
NEEDHAM
W-R-HAMBRECHT</t>
  </si>
  <si>
    <t>Penn Virginia GP Holdings LP</t>
  </si>
  <si>
    <t>PVG</t>
  </si>
  <si>
    <t>LEH/UBS-INV-BANK(JB)</t>
  </si>
  <si>
    <t>70788P105</t>
  </si>
  <si>
    <t>Lehman Brothers
UBS Investment Bank
AG Edwards &amp; Sons Inc
RBC Capital Markets
Wachovia Securities Inc
JP Morgan
BMO Capital Markets
Stifel Nicolaus &amp; Co Inc</t>
  </si>
  <si>
    <t>06/02/07
06/02/07
06/02/07</t>
  </si>
  <si>
    <t>LEH(JB)/UBS-INV-BANK(JB)//A-G-EDWARDS
/RBC-CAP-MKTS/WACHOVIA-SEC/JPM
/BMO-CAPITAL/STIFEL</t>
  </si>
  <si>
    <t>LEH
(JB)/UBS-INV-BANK(JB)
A-G-EDWARDS
RBC-CAP-MKTS
WACHOVIA-SEC
JPM
BMO-CAPITAL
STIFEL</t>
  </si>
  <si>
    <t>Lehman Brothers
UBS Investment Bank
AG Edwards &amp; Sons Inc
RBC Capital Markets
Wachovia Securities Inc
JP Morgan &amp; Co Inc
BMO Capital Markets
Stifel Nicolaus &amp; Co Inc</t>
  </si>
  <si>
    <t>Allegiant Travel Co</t>
  </si>
  <si>
    <t>ALGT</t>
  </si>
  <si>
    <t>01748X102</t>
  </si>
  <si>
    <t>Merrill Lynch
Bear Stearns &amp; Co Inc
Raymond James &amp; Associates Inc</t>
  </si>
  <si>
    <t>06/05/07
06/05/07
06/05/07</t>
  </si>
  <si>
    <t xml:space="preserve">61.608
</t>
  </si>
  <si>
    <t xml:space="preserve">12195933.00
</t>
  </si>
  <si>
    <t>MERRILL//BEAR/RAYMOND</t>
  </si>
  <si>
    <t>MERRILL
BEAR
RAYMOND</t>
  </si>
  <si>
    <t>Merrill Lynch &amp; Co Inc
Bear Stearns &amp; Co Inc
Raymond James &amp; Associates Inc</t>
  </si>
  <si>
    <t>Heelys Inc</t>
  </si>
  <si>
    <t>HLYS</t>
  </si>
  <si>
    <t>BEAR/WACHOVIA-SEC(JB)</t>
  </si>
  <si>
    <t>42279M107</t>
  </si>
  <si>
    <t>Bear Stearns &amp; Co Inc
Wachovia Securities Inc
JP Morgan
CIBC World Markets Inc</t>
  </si>
  <si>
    <t xml:space="preserve">76.229
</t>
  </si>
  <si>
    <t xml:space="preserve">20603875.00
</t>
  </si>
  <si>
    <t>BEAR(JB)/WACHOVIA-SEC(JB)//JPM
/CIBC-WORLD</t>
  </si>
  <si>
    <t>BEAR/WACHOVIA-SEC</t>
  </si>
  <si>
    <t>BEAR
(JB)/WACHOVIA-SEC(JB)
JPM
CIBC-WORLD</t>
  </si>
  <si>
    <t>Bear Stearns &amp; Co Inc
Wachovia Securities Inc
JP Morgan &amp; Co Inc
CIBC World Markets Inc</t>
  </si>
  <si>
    <t>Smart Move Inc</t>
  </si>
  <si>
    <t>MVE</t>
  </si>
  <si>
    <t>Newbridge Securities
I-Bankers Securities Inc
Neidiger, Tucker, Bruner Inc.
Bathgate Capital Partners LLC</t>
  </si>
  <si>
    <t>NEWBRIDGE(JB)/I-BANKERS-SEC(JB)
//NEIDIGER/BATHGATE-CAP</t>
  </si>
  <si>
    <t>NEWBRIDGE
(JB)/I-BANKERS-SEC(JB)
NEIDIGER
BATHGATE-CAP</t>
  </si>
  <si>
    <t>Aegean Marine Petro Net Inc</t>
  </si>
  <si>
    <t>ANW</t>
  </si>
  <si>
    <t>007601107</t>
  </si>
  <si>
    <t>Bear Stearns &amp; Co Inc
Johnson Rice &amp; Co
Simmons &amp; Co International
Dahlman Rose Weiss LLC</t>
  </si>
  <si>
    <t>06/06/07
06/06/07
06/06/07
11/22/09</t>
  </si>
  <si>
    <t xml:space="preserve">
55.330
13.832</t>
  </si>
  <si>
    <t>180
180
180
1080</t>
  </si>
  <si>
    <t xml:space="preserve">
22428000.00
5607000.00</t>
  </si>
  <si>
    <t>BEAR//JOHNSON-RICE/SIMMONS/DAHLMAN-ROSE</t>
  </si>
  <si>
    <t>BEAR
JOHNSON-RICE
SIMMONS
DAHLMAN-ROSE</t>
  </si>
  <si>
    <t>Kohlberg Capital LLC</t>
  </si>
  <si>
    <t>KCAP</t>
  </si>
  <si>
    <t>Lehman Brothers
Merrill Lynch
BMO Capital Markets
Bear Stearns &amp; Co Inc
AG Edwards &amp; Sons Inc
Stifel Nicolaus &amp; Co Inc</t>
  </si>
  <si>
    <t>03/11/07
12/06/07
12/06/07
06/09/07
06/09/07</t>
  </si>
  <si>
    <t>2.415
10.932
8.484</t>
  </si>
  <si>
    <t>90
360
360
180
180</t>
  </si>
  <si>
    <t>433333.00
1961840.00
1522493.00</t>
  </si>
  <si>
    <t>LEH(JB)/MERRILL(JB)//BMO-CAPITAL/BEAR
/A-G-EDWARDS/STIFEL</t>
  </si>
  <si>
    <t>LEH
(JB)/MERRILL(JB)
BMO-CAPITAL
BEAR
A-G-EDWARDS
STIFEL</t>
  </si>
  <si>
    <t>Lehman Brothers
Merrill Lynch &amp; Co Inc
BMO Capital Markets
Bear Stearns &amp; Co Inc
AG Edwards &amp; Sons Inc
Stifel Nicolaus &amp; Co Inc</t>
  </si>
  <si>
    <t>Atlas Energy Resources LLC</t>
  </si>
  <si>
    <t>ATN</t>
  </si>
  <si>
    <t>049303100</t>
  </si>
  <si>
    <t>UBS Investment Bank
Wachovia Securities Inc
AG Edwards &amp; Sons Inc
RBC Capital Markets
Friedman Billings Ramsey &amp; Co
KeyCorp/McDonald Investments
Credit Suisse
SMH Capital Inc
Stifel Nicolaus &amp; Co Inc</t>
  </si>
  <si>
    <t>06/10/07
06/10/07
06/10/07</t>
  </si>
  <si>
    <t>UBS-INV-BANK/WACHOVIA-SEC
/A-G-EDWARDS(JOINT)//RBC-CAP-MKTS
/FRIEDMAN-B-CO/KEY-MCDONALD
/CREDIT-SUISSE/SMH-CAPITAL/STIFEL</t>
  </si>
  <si>
    <t>UBS-INV-BANK/WACHOVIA-SEC/A-G-EDWARDS</t>
  </si>
  <si>
    <t>UBS-INV-BANK
/WACHOVIA-SEC
/A-G-EDWARDS(JOINT)
RBC-CAP-MKTS
FRIEDMAN-B-CO
KEY-MCDONALD
CREDIT-SUISSE
SMH-CAPITAL
STIFEL</t>
  </si>
  <si>
    <t>UBS Investment Bank
Wachovia Securities Inc
AG Edwards &amp; Sons Inc
RBC Capital Markets
Friedman Billings Ramsey &amp; Co Inc
KeyCorp/McDonald Investments
Credit Suisse
SMH Capital Inc
Stifel Nicolaus &amp; Co Inc</t>
  </si>
  <si>
    <t>DCT Industrial Trust Inc</t>
  </si>
  <si>
    <t>DCT</t>
  </si>
  <si>
    <t>Merrill Lynch
Wachovia Securities Inc
Banc of America Securities LLC
JP Morgan
Morgan Keegan Inc
Wells Fargo Bank NA</t>
  </si>
  <si>
    <t>06/10/07
06/10/07</t>
  </si>
  <si>
    <t>MERRILL(JB)/WACHOVIA-SEC(JB)
//BA-SEC-LLC/JPM/MORGAN-KEEGAN
/WELLS-FARGO</t>
  </si>
  <si>
    <t>MERRILL
(JB)/WACHOVIA-SEC(JB)
BA-SEC-LLC
JPM
MORGAN-KEEGAN
WELLS-FARGO</t>
  </si>
  <si>
    <t>Merrill Lynch &amp; Co Inc
Wachovia Securities Inc
Banc of America Securities LLC
JP Morgan &amp; Co Inc
Morgan Keegan Inc
Wells Fargo Bank NA</t>
  </si>
  <si>
    <t>Guidance Software Inc</t>
  </si>
  <si>
    <t>GUID</t>
  </si>
  <si>
    <t>Morgan Stanley
Lehman Brothers
Wachovia Securities Inc
AG Edwards &amp; Sons Inc
Avondale Partners
Maxim Group LLC</t>
  </si>
  <si>
    <t>MORGAN-STANLEY//LEH/WACHOVIA-SEC
/A-G-EDWARDS//AVONDALE/MAXIM-GROUP</t>
  </si>
  <si>
    <t>MORGAN-STANLEY
LEH
WACHOVIA-SEC
A-G-EDWARDS</t>
  </si>
  <si>
    <t>Morgan Stanley
Lehman Brothers
Wachovia Securities Inc
AG Edwards &amp; Sons Inc</t>
  </si>
  <si>
    <t>IPG Photonics Corp</t>
  </si>
  <si>
    <t>IPGP</t>
  </si>
  <si>
    <t>44980X109</t>
  </si>
  <si>
    <t>Merrill Lynch
Lehman Brothers
Needham &amp; Co LLC
Jefferies &amp; Co Inc
Thomas Weisel Partners</t>
  </si>
  <si>
    <t xml:space="preserve">78.856
</t>
  </si>
  <si>
    <t xml:space="preserve">33813601.00
</t>
  </si>
  <si>
    <t>MERRILL(JB)/LEH(JB)//NEEDHAM/JEFFERIES
/THOMAS-WEISEL</t>
  </si>
  <si>
    <t>MERRILL
(JB)/LEH(JB)
NEEDHAM
JEFFERIES
THOMAS-WEISEL</t>
  </si>
  <si>
    <t>Merrill Lynch &amp; Co Inc
Lehman Brothers
Needham &amp; Co LLC
Jefferies &amp; Co Inc
Thomas Weisel Partners</t>
  </si>
  <si>
    <t>CEDC</t>
  </si>
  <si>
    <t>Poland</t>
  </si>
  <si>
    <t>ING</t>
  </si>
  <si>
    <t>Genesis Lease Ltd</t>
  </si>
  <si>
    <t>GLS</t>
  </si>
  <si>
    <t>37183T107</t>
  </si>
  <si>
    <t>Citigroup
JP Morgan
Merrill Lynch
Wachovia Securities Inc</t>
  </si>
  <si>
    <t>06/11/07
06/11/07
06/11/07</t>
  </si>
  <si>
    <t>CITIGROUP(JB)/JPM(JB)//MERRILL
/WACHOVIA-SEC</t>
  </si>
  <si>
    <t>CITIGROUP
(JB)/JPM(JB)
MERRILL
WACHOVIA-SEC</t>
  </si>
  <si>
    <t>Citigroup
JP Morgan &amp; Co Inc
Merrill Lynch &amp; Co Inc
Wachovia Securities Inc</t>
  </si>
  <si>
    <t>MEDecision Inc</t>
  </si>
  <si>
    <t>MEDE</t>
  </si>
  <si>
    <t>COWEN-CO</t>
  </si>
  <si>
    <t>58406P102</t>
  </si>
  <si>
    <t>Cowen &amp; Co
CIBC World Markets Inc
Pacific Growth Equities Inc</t>
  </si>
  <si>
    <t xml:space="preserve">68.148
</t>
  </si>
  <si>
    <t xml:space="preserve">10182474.00
</t>
  </si>
  <si>
    <t>COWEN-CO//CIBC-WORLD/PACIFIC-GROWTH</t>
  </si>
  <si>
    <t>COWEN-CO
CIBC-WORLD
PACIFIC-GROWTH</t>
  </si>
  <si>
    <t>Middle Kingdom Alliance Corp</t>
  </si>
  <si>
    <t>MKGD</t>
  </si>
  <si>
    <t>I-Bankers Securities Inc
Newbridge Securities
Westminster Securities
Joseph Gunnar &amp; Co., LLC
Legend Merchant Group Inc
Dominick and Dominick Holdings
Dawson James Securities
Maxim Group LLC</t>
  </si>
  <si>
    <t>12/12/09
12/12/09</t>
  </si>
  <si>
    <t>1095
1095</t>
  </si>
  <si>
    <t>I-BANKERS-SEC(JB)/NEWBRIDGE(JB)
//WESTMINSTER/GUNNAR/LEGEND-MERCHANT
/DOM-DOM-INC/DAWSON-JAMES/MAXIM-GROUP</t>
  </si>
  <si>
    <t>I-BANKERS-SEC
(JB)/NEWBRIDGE(JB)
WESTMINSTER
GUNNAR
LEGEND-MERCHANT
DOM-DOM-INC
DAWSON-JAMES
MAXIM-GROUP</t>
  </si>
  <si>
    <t>I-Bankers Securities Inc
Newbridge Securities
Westminster Securities Corporation
Joseph Gunnar &amp; Co., LLC
Legend Merchant Group Inc
Dominick and Dominick Holdings
Dawson James Securities
Maxim Group LLC</t>
  </si>
  <si>
    <t>NewStar Financial Inc</t>
  </si>
  <si>
    <t>65251F105</t>
  </si>
  <si>
    <t>Goldman Sachs &amp; Co
Morgan Stanley
Citigroup
Wachovia Securities Inc
Banc of America Securities LLC
JMP Securities LLC
JP Morgan
Keefe Bruyette &amp; Woods Inc
BMO Capital Markets
CRT Capital Group LLC
Raymond James &amp; Associates Inc
William Blair &amp; Co</t>
  </si>
  <si>
    <t>GS(JB)/MORGAN-STANLEY(JB)/CITIGROUP
/WACHOVIA-SEC(JOINT)//BA-SEC-LLC
/JMP-SEC/JPM/KEEFE//BMO-CAPITAL
/CRT-CAPITAL/RAYMOND/WM-BLAIR</t>
  </si>
  <si>
    <t>GS/MORGAN-STANLEY/CITIGROUP/WACHOVIA-SEC</t>
  </si>
  <si>
    <t>GS
(JB)/MORGAN-STANLEY(JB)
/CITIGROUP
/WACHOVIA-SEC(JOINT)
BA-SEC-LLC
JMP-SEC
JPM
KEEFE</t>
  </si>
  <si>
    <t>Goldman Sachs &amp; Co
Morgan Stanley
Citigroup
Wachovia Securities Inc
Banc of America Securities LLC
JMP Securities LLC
JP Morgan &amp; Co Inc
Keefe Bruyette &amp; Woods Inc</t>
  </si>
  <si>
    <t>Obagi Medical Products Inc</t>
  </si>
  <si>
    <t>OMPI</t>
  </si>
  <si>
    <t>67423R108</t>
  </si>
  <si>
    <t>JP Morgan
CIBC World Markets Inc
Thomas Weisel Partners
Robert W Baird &amp; Co Inc</t>
  </si>
  <si>
    <t>06/11/07
03/13/07
06/11/07
06/11/07</t>
  </si>
  <si>
    <t xml:space="preserve">75.379
0.079
</t>
  </si>
  <si>
    <t>180
90
180
180</t>
  </si>
  <si>
    <t xml:space="preserve">16431898.00
17285.00
</t>
  </si>
  <si>
    <t>JPM//CIBC-WORLD/THOMAS-WEISEL/BAIRD</t>
  </si>
  <si>
    <t>JPM
CIBC-WORLD
THOMAS-WEISEL
BAIRD</t>
  </si>
  <si>
    <t>JP Morgan &amp; Co Inc
CIBC World Markets Inc
Thomas Weisel Partners
Robert W Baird &amp; Co Inc</t>
  </si>
  <si>
    <t>Reservoir Exploration</t>
  </si>
  <si>
    <t>RXT</t>
  </si>
  <si>
    <t>PARETO-SEC</t>
  </si>
  <si>
    <t>Pareto Securities</t>
  </si>
  <si>
    <t>Teekay Offshore Partners LP</t>
  </si>
  <si>
    <t>TOO</t>
  </si>
  <si>
    <t>Y8565J101</t>
  </si>
  <si>
    <t>Citigroup
Merrill Lynch
Morgan Stanley
AG Edwards &amp; Sons Inc
Deutsche Bank Securities Corp
Raymond James &amp; Associates Inc
Simmons &amp; Co International
DnB NOR BANK ASA
Fortis Securities Inc</t>
  </si>
  <si>
    <t>CITIGROUP(JB)/MERRILL(JB)
/MORGAN-STANLEY(JOINT)//A-G-EDWARDS
/DEUTSCHE-BK-SEC/RAYMOND/SIMMONS
/DNB-NOR/FORTIS-SEC</t>
  </si>
  <si>
    <t>CITIGROUP
(JB)/MERRILL(JB)
/MORGAN-STANLEY(JOINT)
A-G-EDWARDS
DEUTSCHE-BK-SEC
RAYMOND
SIMMONS
DNB-NOR
FORTIS-SEC</t>
  </si>
  <si>
    <t>Citigroup
Merrill Lynch &amp; Co Inc
Morgan Stanley
AG Edwards &amp; Sons Inc
Deutsche Bank Securities Corp.
Raymond James &amp; Associates Inc
Simmons &amp; Co International
DnB NOR BANK ASA
Fortis Securities Inc</t>
  </si>
  <si>
    <t>Affymax Inc</t>
  </si>
  <si>
    <t>AFFY</t>
  </si>
  <si>
    <t>00826A109</t>
  </si>
  <si>
    <t>Morgan Stanley
Cowen &amp; Co
Thomas Weisel Partners
RBC Capital Markets</t>
  </si>
  <si>
    <t>06/12/07
06/12/07
06/12/07</t>
  </si>
  <si>
    <t xml:space="preserve">71.376
</t>
  </si>
  <si>
    <t xml:space="preserve">10610258.00
</t>
  </si>
  <si>
    <t>MORGAN-STANLEY//COWEN-CO/THOMAS-WEISEL
/RBC-CAP-MKTS</t>
  </si>
  <si>
    <t>MORGAN-STANLEY
COWEN-CO
THOMAS-WEISEL
RBC-CAP-MKTS</t>
  </si>
  <si>
    <t>Altra Holdings Inc</t>
  </si>
  <si>
    <t>AIMC</t>
  </si>
  <si>
    <t>02208R106</t>
  </si>
  <si>
    <t>Merrill Lynch
Jefferies &amp; Co Inc
Robert W Baird &amp; Co Inc
Wachovia Securities Inc</t>
  </si>
  <si>
    <t xml:space="preserve">56.687
</t>
  </si>
  <si>
    <t xml:space="preserve">13087591.00
</t>
  </si>
  <si>
    <t>MERRILL//JEFFERIES/BAIRD/WACHOVIA-SEC</t>
  </si>
  <si>
    <t>MERRILL
JEFFERIES
BAIRD
WACHOVIA-SEC</t>
  </si>
  <si>
    <t>Merrill Lynch &amp; Co Inc
Jefferies &amp; Co Inc
Robert W Baird &amp; Co Inc
Wachovia Securities Inc</t>
  </si>
  <si>
    <t>Cal Dive International Inc</t>
  </si>
  <si>
    <t>DVR</t>
  </si>
  <si>
    <t>12802T101</t>
  </si>
  <si>
    <t>Banc of America Securities LLC
JP Morgan
Johnson Rice &amp; Co
Raymond James &amp; Associates Inc
Simmons &amp; Co International
Natexis Bleichroeder Inc</t>
  </si>
  <si>
    <t>BA-SEC-LLC(JB)/JPM(JB)//JOHNSON-RICE
/RAYMOND/SIMMONS/NATEXIS</t>
  </si>
  <si>
    <t>BA-SEC-LLC
(JB)/JPM(JB)
JOHNSON-RICE
RAYMOND
SIMMONS
NATEXIS</t>
  </si>
  <si>
    <t>Banc of America Securities LLC
JP Morgan &amp; Co Inc
Johnson Rice &amp; Co
Raymond James &amp; Associates Inc
Simmons &amp; Co International
Natexis Bleichroeder Inc</t>
  </si>
  <si>
    <t>Carrols Restaurant Group Inc</t>
  </si>
  <si>
    <t>TAST</t>
  </si>
  <si>
    <t>14574X104</t>
  </si>
  <si>
    <t>Wachovia Securities Inc
Banc of America Securities LLC
RBC Capital Markets
Raymond James &amp; Associates Inc
Blaylock &amp; Co Inc
Ladenburg Thalmann &amp; Co
Loop Capital Markets
Muriel Siebert &amp; Co
Ryan Beck &amp; Co</t>
  </si>
  <si>
    <t xml:space="preserve">51.601
</t>
  </si>
  <si>
    <t xml:space="preserve">11159019.00
</t>
  </si>
  <si>
    <t>WACHOVIA-SEC(JB)/BA-SEC-LLC(JB)
//RBC-CAP-MKTS/RAYMOND//BLAYLOCK-CO
/LADENBURG/LOOP/MURIEL/RYAN-BECK</t>
  </si>
  <si>
    <t>WACHOVIA-SEC
(JB)/BA-SEC-LLC(JB)
RBC-CAP-MKTS
RAYMOND</t>
  </si>
  <si>
    <t>Wachovia Securities Inc
Banc of America Securities LLC
RBC Capital Markets
Raymond James &amp; Associates Inc</t>
  </si>
  <si>
    <t>Isilon Systems Inc</t>
  </si>
  <si>
    <t>ISLN</t>
  </si>
  <si>
    <t>46432L104</t>
  </si>
  <si>
    <t>Morgan Stanley
Merrill Lynch
Needham &amp; Co LLC
RBC Capital Markets</t>
  </si>
  <si>
    <t xml:space="preserve">85.363
</t>
  </si>
  <si>
    <t xml:space="preserve">52143187.00
</t>
  </si>
  <si>
    <t>MORGAN-STANLEY(JB)/MERRILL(JB)//NEEDHAM
/RBC-CAP-MKTS</t>
  </si>
  <si>
    <t>MORGAN-STANLEY
(JB)/MERRILL(JB)
NEEDHAM
RBC-CAP-MKTS</t>
  </si>
  <si>
    <t>Morgan Stanley
Merrill Lynch &amp; Co Inc
Needham &amp; Co LLC
RBC Capital Markets</t>
  </si>
  <si>
    <t>Pantheon China Acquisition</t>
  </si>
  <si>
    <t>PCQC</t>
  </si>
  <si>
    <t>Earlybirdcapital Inc
Legend Merchant Group Inc</t>
  </si>
  <si>
    <t>EARLYBIRD-CAP//LEGEND-MERCHANT</t>
  </si>
  <si>
    <t>EARLYBIRD-CAP
LEGEND-MERCHANT</t>
  </si>
  <si>
    <t>US BioEnergy Corp</t>
  </si>
  <si>
    <t>USBE</t>
  </si>
  <si>
    <t>90342V109</t>
  </si>
  <si>
    <t>UBS Investment Bank
Piper Jaffray Cos
William Blair &amp; Co
AG Edwards &amp; Sons Inc</t>
  </si>
  <si>
    <t xml:space="preserve">79.034
</t>
  </si>
  <si>
    <t xml:space="preserve">52348000.00
</t>
  </si>
  <si>
    <t>UBS-INV-BANK(JB)/PIPER-JAFFRAY(JB)
//WM-BLAIR/A-G-EDWARDS</t>
  </si>
  <si>
    <t>UBS-INV-BANK
(JB)/PIPER-JAFFRAY(JB)
WM-BLAIR
A-G-EDWARDS</t>
  </si>
  <si>
    <t>Double-Take Software Inc</t>
  </si>
  <si>
    <t>DBTK</t>
  </si>
  <si>
    <t>COWEN-CO
/THOMAS-WEISEL(JB)</t>
  </si>
  <si>
    <t>Cowen &amp; Co
Thomas Weisel Partners
CIBC World Markets Inc
Pacific Crest Securities Inc</t>
  </si>
  <si>
    <t>06/13/07
06/13/07
06/13/07</t>
  </si>
  <si>
    <t xml:space="preserve">54.699
</t>
  </si>
  <si>
    <t xml:space="preserve">11214806.00
</t>
  </si>
  <si>
    <t>COWEN-CO(JB)/THOMAS-WEISEL(JB)
//CIBC-WORLD/PACIFIC-CREST</t>
  </si>
  <si>
    <t>COWEN-CO/THOMAS-WEISEL</t>
  </si>
  <si>
    <t>COWEN-CO
(JB)/THOMAS-WEISEL(JB)
CIBC-WORLD
PACIFIC-CREST</t>
  </si>
  <si>
    <t>Restaurant Acq Partners Inc</t>
  </si>
  <si>
    <t>RAQP</t>
  </si>
  <si>
    <t>Capital Growth Financial LLC
Tejas Securities Inc
Rodman &amp; Renshaw Inc
Forge Financial Group Inc
vFinance Investments Inc</t>
  </si>
  <si>
    <t>CGF-SEC//TEJAS-SEC/RODMAN
/FORGE-FINANCIAL/VFINANCE</t>
  </si>
  <si>
    <t>CGF-SEC
TEJAS-SEC
RODMAN
FORGE-FINANCIAL
VFINANCE</t>
  </si>
  <si>
    <t>Capital Growth Financial LLC
Tejas Securities, Inc.
Rodman &amp; Renshaw Inc
Forge Financial Group Inc
vFinance Investments Inc</t>
  </si>
  <si>
    <t>WSB Financial Group Inc</t>
  </si>
  <si>
    <t>WSFG</t>
  </si>
  <si>
    <t>DAVIDSON</t>
  </si>
  <si>
    <t>92933E108</t>
  </si>
  <si>
    <t>DA Davidson &amp; Co Inc</t>
  </si>
  <si>
    <t>06/13/07
06/13/07
06/13/07
02/13/07</t>
  </si>
  <si>
    <t xml:space="preserve">
5.312</t>
  </si>
  <si>
    <t xml:space="preserve">
275362.00</t>
  </si>
  <si>
    <t>Claymont Steel Holdings Inc</t>
  </si>
  <si>
    <t>PLTE</t>
  </si>
  <si>
    <t>18382P104</t>
  </si>
  <si>
    <t>Jefferies &amp; Co Inc
CIBC World Markets Inc
KeyCorp/McDonald Investments
Morgan Joseph &amp; Co Inc</t>
  </si>
  <si>
    <t>06/16/07
06/16/07
06/16/07</t>
  </si>
  <si>
    <t xml:space="preserve">50.152
</t>
  </si>
  <si>
    <t xml:space="preserve">8810165.00
</t>
  </si>
  <si>
    <t>JEFFERIES//CIBC-WORLD/KEY-MCDONALD
/MORGAN-JOSEPH</t>
  </si>
  <si>
    <t>JEFFERIES
CIBC-WORLD
KEY-MCDONALD
MORGAN-JOSEPH</t>
  </si>
  <si>
    <t>Fuwei Films(Holdings)Co Ltd</t>
  </si>
  <si>
    <t>FFHL</t>
  </si>
  <si>
    <t>Maxim Group LLC
WR Hambrecht &amp; Co LLC
Chardan Capital Markets LLC</t>
  </si>
  <si>
    <t>06/16/07
09/14/07
12/13/07</t>
  </si>
  <si>
    <t>MAXIM-GROUP//W-R-HAMBRECHT
/CHARDAN-CAP-MKT</t>
  </si>
  <si>
    <t>MAXIM-GROUP
W-R-HAMBRECHT
CHARDAN-CAP-MKT</t>
  </si>
  <si>
    <t>Melco PBL Ent (Macau) Ltd</t>
  </si>
  <si>
    <t>MPEL</t>
  </si>
  <si>
    <t>CREDIT-SUISSE
/CITIGROUP(JB)
/UBS-INV-BANK(JB)</t>
  </si>
  <si>
    <t>Credit Suisse
Citigroup
UBS Investment Bank
CLSA
JP Morgan
CIBC World Markets Inc
Deutsche Bank Securities Corp</t>
  </si>
  <si>
    <t xml:space="preserve">
84.692
</t>
  </si>
  <si>
    <t xml:space="preserve">
1000000000.0
</t>
  </si>
  <si>
    <t>CREDIT-SUISSE(JB)/CITIGROUP(JB)
/UBS-INV-BANK(JB)//CLSA-HK/JPM
/CIBC-WORLD/DEUTSCHE-BK-SEC</t>
  </si>
  <si>
    <t>CREDIT-SUISSE/CITIGROUP/UBS-INV-BANK</t>
  </si>
  <si>
    <t>CREDIT-SUISSE
(JB)/CITIGROUP(JB)
/UBS-INV-BANK(JB)
CLSA-HK
JPM
CIBC-WORLD
DEUTSCHE-BK-SEC</t>
  </si>
  <si>
    <t>Credit Suisse
Citigroup
UBS Investment Bank
CLSA Asia-Pacific Markets Ltd
JP Morgan &amp; Co Inc
CIBC World Markets Inc
Deutsche Bank Securities Corp.</t>
  </si>
  <si>
    <t>Trina Solar Ltd</t>
  </si>
  <si>
    <t>TSL</t>
  </si>
  <si>
    <t>89628E104</t>
  </si>
  <si>
    <t>Merrill Lynch
Cowen &amp; Co
CLSA</t>
  </si>
  <si>
    <t>MERRILL/COWEN-CO(JOINT)//CLSA-HK</t>
  </si>
  <si>
    <t>MERRILL/COWEN-CO</t>
  </si>
  <si>
    <t>MERRILL
/COWEN-CO(JOINT)
CLSA-HK</t>
  </si>
  <si>
    <t>Merrill Lynch &amp; Co Inc
Cowen &amp; Co
CLSA Asia-Pacific Markets Ltd</t>
  </si>
  <si>
    <t>Artes Medical Inc</t>
  </si>
  <si>
    <t>ARTE</t>
  </si>
  <si>
    <t>COWEN-CO
/LAZARD-CAP-MKT(JB)</t>
  </si>
  <si>
    <t>04301Q100</t>
  </si>
  <si>
    <t>Cowen &amp; Co
Lazard Capital Markets
Stifel Nicolaus &amp; Co Inc
National Securities Corp (US)
Maxim Group LLC
WBB Securities LLC</t>
  </si>
  <si>
    <t>06/17/07
06/17/07
06/17/07</t>
  </si>
  <si>
    <t xml:space="preserve">68.519
</t>
  </si>
  <si>
    <t xml:space="preserve">10712520.00
</t>
  </si>
  <si>
    <t>COWEN-CO(JB)/LAZARD-CAP-MKT(JB)//STIFEL
//NATL-SEC/MAXIM-GROUP/WBB-SECURITIES</t>
  </si>
  <si>
    <t>COWEN-CO/LAZARD-CAP-MKT</t>
  </si>
  <si>
    <t>COWEN-CO
(JB)/LAZARD-CAP-MKT(JB)
STIFEL</t>
  </si>
  <si>
    <t>Cowen &amp; Co
Lazard Capital Markets
Stifel Nicolaus &amp; Co Inc</t>
  </si>
  <si>
    <t>Dayton Superior Corp</t>
  </si>
  <si>
    <t>Robert W Baird &amp; Co Inc
CIBC World Markets Inc
KeyCorp/McDonald Investments
BB&amp;T Capital Markets</t>
  </si>
  <si>
    <t xml:space="preserve">7.385
</t>
  </si>
  <si>
    <t xml:space="preserve">1386415.00
</t>
  </si>
  <si>
    <t>BAIRD//CIBC-WORLD/KEY-MCDONALD/BB-T-CAP</t>
  </si>
  <si>
    <t>BAIRD
CIBC-WORLD
KEY-MCDONALD
BB-T-CAP</t>
  </si>
  <si>
    <t>Solarfun Power Hldgs Ltd</t>
  </si>
  <si>
    <t>SOLF</t>
  </si>
  <si>
    <t>83415U108</t>
  </si>
  <si>
    <t>Goldman Sachs &amp; Co
CIBC World Markets Inc
Goldman Sachs &amp; Co</t>
  </si>
  <si>
    <t>GS//CIBC-WORLD//GS(GC)</t>
  </si>
  <si>
    <t>GS
CIBC-WORLD</t>
  </si>
  <si>
    <t>Goldman Sachs &amp; Co
CIBC World Markets Inc</t>
  </si>
  <si>
    <t>Shine Media Acquisition Corp</t>
  </si>
  <si>
    <t>SHND</t>
  </si>
  <si>
    <t>MERR-CUR</t>
  </si>
  <si>
    <t>Merriman Curhan Ford &amp; Co
Montgomery &amp; Co
LaSalle Street Securities Inc
Maxim Group LLC</t>
  </si>
  <si>
    <t>MERR-CUR//MONTGOMERY-CO//LASALLE-SEC
/MAXIM-GROUP</t>
  </si>
  <si>
    <t>MERR-CUR
MONTGOMERY-CO</t>
  </si>
  <si>
    <t>Merriman Curhan Ford &amp; Co
Montgomery &amp; Co</t>
  </si>
  <si>
    <t>Transforma Acq Grp Inc</t>
  </si>
  <si>
    <t>TAQ</t>
  </si>
  <si>
    <t>BA-SEC-LLC
/CRT-CAPITAL(JB)</t>
  </si>
  <si>
    <t>89366E209</t>
  </si>
  <si>
    <t>Banc of America Securities LLC
CRT Capital Group LLC</t>
  </si>
  <si>
    <t>06/18/07
06/18/07</t>
  </si>
  <si>
    <t>BA-SEC-LLC(JB)/CRT-CAPITAL(JB)</t>
  </si>
  <si>
    <t>BA-SEC-LLC/CRT-CAPITAL</t>
  </si>
  <si>
    <t>BA-SEC-LLC
(JB)/CRT-CAPITAL(JB)</t>
  </si>
  <si>
    <t>Universal Power Group Inc</t>
  </si>
  <si>
    <t>UPG</t>
  </si>
  <si>
    <t>LADENBURG
/WUNDERLICH(JB)</t>
  </si>
  <si>
    <t>LADENBURG(JB)/WUNDERLICH(JB)</t>
  </si>
  <si>
    <t>LADENBURG/WUNDERLICH</t>
  </si>
  <si>
    <t>LADENBURG
(JB)/WUNDERLICH(JB)</t>
  </si>
  <si>
    <t>Blackrock Preferred and Equity</t>
  </si>
  <si>
    <t>BTZ</t>
  </si>
  <si>
    <t>092508100</t>
  </si>
  <si>
    <t>Merrill Lynch
Citigroup
AG Edwards &amp; Sons Inc
Wachovia Securities Inc
BB&amp;T Capital Markets
Robert W Baird &amp; Co Inc
Ferris Baker Watts
H&amp;R Block Financial Advisors
Crowell Weedon &amp; Co
JJB Hilliard WL Lyons Inc
Janney Montgomery Scott LLC
Ladenburg Thalmann &amp; Co
Morgan Keegan Inc
Oppenheimer &amp; Co Inc
PNC Capital Markets
RBC Capital Markets
Raymond James &amp; Associates Inc
Ryan Beck &amp; Co
Stephens Inc
Stifel Nicolaus &amp; Co Inc
SunTrust Capital Markets
Wedbush Securities
Wells Fargo Bank NA</t>
  </si>
  <si>
    <t>MERRILL//CITIGROUP/A-G-EDWARDS
/WACHOVIA-SEC/BB-T-CAP/BAIRD
/FERRIS-BAKER/HR-BLOCK-FIN/CROWELL
/HILLIARD/JANNEY-LLC/LADENBURG
/MORGAN-KEEGAN/OPPENHEIMER-CO
/PNC-CAPITAL/RBC-CAP-MKTS/RAYMOND
/RYAN-BECK/STEPHENS/STIFEL/SUNTRUST-CAP
/WEDBUSH-M/WELLS-FARGO</t>
  </si>
  <si>
    <t>MERRILL
CITIGROUP
A-G-EDWARDS
WACHOVIA-SEC
BB-T-CAP
BAIRD
FERRIS-BAKER
HR-BLOCK-FIN
CROWELL
HILLIARD
JANNEY-LLC
LADENBURG
MORGAN-KEEGAN
OPPENHEIMER-CO
PNC-CAPITAL
RBC-CAP-MKTS
RAYMOND
RYAN-BECK
STEPHENS
STIFEL
SUNTRUST-CAP
WEDBUSH-M
WELLS-FARGO</t>
  </si>
  <si>
    <t>Merrill Lynch &amp; Co Inc
Citigroup
AG Edwards &amp; Sons Inc
Wachovia Securities Inc
BB&amp;T Capital Markets
Robert W Baird &amp; Co Inc
Ferris Baker Watts Inc
H&amp;R Block Financial Advisors
Crowell Weedon &amp; Co
JJB Hilliard WL Lyons Inc
Janney Montgomery Scott LLC
Ladenburg Thalmann &amp; Co
Morgan Keegan Inc
Oppenheimer &amp; Co Inc
PNC Capital Markets
RBC Capital Markets
Raymond James &amp; Associates Inc
Ryan Beck &amp; Co
Stephens Inc
Stifel Nicolaus &amp; Co Inc
SunTrust Capital Markets
Wedbush Securities
Wells Fargo Bank NA</t>
  </si>
  <si>
    <t>Freedom Acquisition Holdings</t>
  </si>
  <si>
    <t>FRH</t>
  </si>
  <si>
    <t>Citigroup
Ladenburg Thalmann &amp; Co</t>
  </si>
  <si>
    <t>06/19/07
12/16/07
12/16/07</t>
  </si>
  <si>
    <t>CITIGROUP//LADENBURG</t>
  </si>
  <si>
    <t>CITIGROUP
LADENBURG</t>
  </si>
  <si>
    <t>Legacy Reserves LP</t>
  </si>
  <si>
    <t>LGCY</t>
  </si>
  <si>
    <t>WACHOVIA-CAP
/FRIEDMAN-B-CO(JB)</t>
  </si>
  <si>
    <t>Wachovia Capital Markets
Friedman Billings Ramsey &amp; Co
Raymond James &amp; Associates Inc
RBC Capital Markets
Oppenheimer &amp; Co Inc
Stifel Nicolaus &amp; Co Inc</t>
  </si>
  <si>
    <t>07/10/07
07/10/07
07/10/07</t>
  </si>
  <si>
    <t>WACHOVIA-CAP(JB)/FRIEDMAN-B-CO(JB)
//RAYMOND/RBC-CAP-MKTS/OPPENHEIMER-CO
/STIFEL</t>
  </si>
  <si>
    <t>WACHOVIA-CAP/FRIEDMAN-B-CO</t>
  </si>
  <si>
    <t>WACHOVIA-CAP
(JB)/FRIEDMAN-B-CO(JB)
RAYMOND
RBC-CAP-MKTS
OPPENHEIMER-CO
STIFEL</t>
  </si>
  <si>
    <t>Wachovia Capital Markets
Friedman Billings Ramsey &amp; Co Inc
Raymond James &amp; Associates Inc
RBC Capital Markets
Oppenheimer &amp; Co Inc
Stifel Nicolaus &amp; Co Inc</t>
  </si>
  <si>
    <t>MV Oil Trust</t>
  </si>
  <si>
    <t>MVO</t>
  </si>
  <si>
    <t>Raymond James &amp; Associates Inc
AG Edwards &amp; Sons Inc
RBC Capital Markets
Oppenheimer &amp; Co Inc</t>
  </si>
  <si>
    <t>RAYMOND//A-G-EDWARDS/RBC-CAP-MKTS
/OPPENHEIMER-CO</t>
  </si>
  <si>
    <t>RAYMOND
A-G-EDWARDS
RBC-CAP-MKTS
OPPENHEIMER-CO</t>
  </si>
  <si>
    <t>AeroVironment Inc</t>
  </si>
  <si>
    <t>AVAV</t>
  </si>
  <si>
    <t>008073108</t>
  </si>
  <si>
    <t>Goldman Sachs &amp; Co
Friedman Billings Ramsey &amp; Co
Jefferies &amp; Co Inc
Raymond James &amp; Associates Inc
Stifel Nicolaus &amp; Co Inc
Thomas Weisel Partners</t>
  </si>
  <si>
    <t>07/21/07
07/21/07
07/21/07</t>
  </si>
  <si>
    <t xml:space="preserve">60.593
</t>
  </si>
  <si>
    <t xml:space="preserve">11435370.00
</t>
  </si>
  <si>
    <t>GS//FRIEDMAN-B-CO/JEFFERIES/RAYMOND
/STIFEL/THOMAS-WEISEL</t>
  </si>
  <si>
    <t>GS
FRIEDMAN-B-CO
JEFFERIES
RAYMOND
STIFEL
THOMAS-WEISEL</t>
  </si>
  <si>
    <t>Goldman Sachs &amp; Co
Friedman Billings Ramsey &amp; Co Inc
Jefferies &amp; Co Inc
Raymond James &amp; Associates Inc
Stifel Nicolaus &amp; Co Inc
Thomas Weisel Partners</t>
  </si>
  <si>
    <t>ChinaGrowth North Acq Corp</t>
  </si>
  <si>
    <t>CGNUF</t>
  </si>
  <si>
    <t>Morgan Joseph &amp; Co Inc
GunnAllen Financial Inc</t>
  </si>
  <si>
    <t>MORGAN-JOSEPH//GUNNALLEN-FINL</t>
  </si>
  <si>
    <t>MORGAN-JOSEPH
GUNNALLEN-FINL</t>
  </si>
  <si>
    <t>Morgan Joseph &amp; Co Inc
GunnAllen Financial, Inc.</t>
  </si>
  <si>
    <t>Chinagrowth South Acq Corp</t>
  </si>
  <si>
    <t>CGSAC</t>
  </si>
  <si>
    <t>G21117109</t>
  </si>
  <si>
    <t>Meruelo Maddux Properties Inc</t>
  </si>
  <si>
    <t>MMPI</t>
  </si>
  <si>
    <t>FRIEDMAN-B-CO
/UBS-INV-BANK(JB)</t>
  </si>
  <si>
    <t>Friedman Billings Ramsey &amp; Co
UBS Investment Bank
Key Banc Capital Markets
RBC Capital Markets
Blaylock &amp; Co Inc
Cabrera Capital Markets Inc
De La Rosa &amp; Co</t>
  </si>
  <si>
    <t>01/19/08
01/19/08</t>
  </si>
  <si>
    <t>FRIEDMAN-B-CO(JB)/UBS-INV-BANK(JB)
//KEY-BANC-CAP/RBC-CAP-MKTS/BLAYLOCK-CO
/CABRERA-CAPITAL/EJ-ROSA</t>
  </si>
  <si>
    <t>FRIEDMAN-B-CO/UBS-INV-BANK</t>
  </si>
  <si>
    <t>FRIEDMAN-B-CO
(JB)/UBS-INV-BANK(JB)
KEY-BANC-CAP
RBC-CAP-MKTS
BLAYLOCK-CO
CABRERA-CAPITAL
EJ-ROSA</t>
  </si>
  <si>
    <t>Friedman Billings Ramsey &amp; Co Inc
UBS Investment Bank
Key Banc Capital Markets
RBC Capital Markets
Blaylock &amp; Co Inc
Cabrera Capital Markets Inc
De La Rosa &amp; Co</t>
  </si>
  <si>
    <t>Alpine Total Dynamic</t>
  </si>
  <si>
    <t>AOD</t>
  </si>
  <si>
    <t>021060108</t>
  </si>
  <si>
    <t>Wachovia Securities Inc
Citigroup
AG Edwards &amp; Sons Inc
BB&amp;T Capital Markets
Robert W Baird &amp; Co Inc
Ferris Baker Watts
H&amp;R Block Financial Advisors
Janney Montgomery Scott LLC
Oppenheimer &amp; Co Inc
Raymond James &amp; Associates Inc
RBC Capital Markets
Ryan Beck &amp; Co
Southwest Securities Inc
Stifel Nicolaus &amp; Co Inc
SunTrust Capital Markets
Wedbush Securities
Wells Fargo Bank NA
Doft &amp; Co Inc
Morgan Keegan Inc
Crowell Weedon &amp; Co
DA Davidson &amp; Co Inc
David A. Noyes
Deutsche Bank Securities
GunnAllen Financial Inc
J. B. Hanauer
Key Banc Capital Markets
M. L. Stern
Sterne Agee &amp; Leach Inc
1st Discount Brokerage Inc
Bishop, Rosen &amp; Co
Dominick &amp; Dominick Inc
Joseph Gunnar &amp; Co., LLC
Hennion &amp; Walsh, Inc
Howe Barnes Hoefer Arnett Inc
Huntleigh Securities Corp
Natcity Investments Inc.
Paulson Investment Co
Sanders Morris Harris Inc
Herbert J. Sims
Stockcross Inc
Stonnington Group LLC
Wunderlich Securities Inc
Aegis Capital
Axiom Capital Management Inc
Brookstreet Securities
Butler, Wick &amp; Co.
Capital Growth Financial LLC
Chester Harris &amp; Co
Dawson James Securities
E*Trade Securities Inc
Finance 500 Inc
First Allied Securities, Inc.
First Montauk Securities
FMS Bonds Inc
Gilford Securities
GMS Group
JP Turner &amp; Co
LaSalle Street Securities Inc
Maxim Group LLC
McGinn, Smith &amp; Co Inc
Mesirow Financial Corp
National Securities Corp (US)
Newbridge Securities
Strand,Atkinson,Williams&amp;Yerl
Summit Brokerage Services Inc
Synovus Securities Inc
Wayne Hummer &amp; Co</t>
  </si>
  <si>
    <t>WACHOVIA-SEC//CITIGROUP/A-G-EDWARDS
/BB-T-CAP/BAIRD/FERRIS-BAKER
/HR-BLOCK-FIN/JANNEY-LLC/OPPENHEIMER-CO
/RAYMOND/RBC-CAP-MKTS/RYAN-BECK/SWS-SEC
/STIFEL/SUNTRUST-CAP/WEDBUSH-M
/WELLS-FARGO//DOFT/MORGAN-KEEGAN
/CROWELL/DAVIDSON/D-A-NOYES/DBSECU
/GUNNALLEN-FINL/J-B-HANAUER
/KEY-BANC-CAP/M-L-STERN/STERNE-AGEE
/FD-BROKERAGE/BISHOP-ROSEN/DOMINICK
/GUNNAR/HENNION-WALSH/HBHOEFER-ARNETT
/HUNTLEIGH-SEC/NATCITY-INVEST/PAULSON
/SANDERS-HARRIS/HERBERT-SIMS/STOCK-INC
/STONNINGTON-LLC/WUNDERLICH/AEGIS-CAP
/AXIOM-CAP/BROOKSTREET/BUTLER-WICK
/CGF-SEC/CHESTER-HARRIS/DAWSON-JAMES
/E*TRADE-SEC/FINANCE-INC/FIRST-ALLIED
/FIRST-MONTAUK/FMS-BONDS/GILFORD
/GMS-GROUP/J-P-TURNER/LASALLE-SEC
/MAXIM-GROUP/MCGINN-SMITH/MESIROW-FIN
/NATL-SEC/NEWBRIDGE/STRAND-ATKIN
/SUMMIT-BROKER/SYNOVUS-SEC/HUMMER</t>
  </si>
  <si>
    <t>WACHOVIA-SEC
CITIGROUP
A-G-EDWARDS
BB-T-CAP
BAIRD
FERRIS-BAKER
HR-BLOCK-FIN
JANNEY-LLC
OPPENHEIMER-CO
RAYMOND
RBC-CAP-MKTS
RYAN-BECK
SWS-SEC
STIFEL
SUNTRUST-CAP
WEDBUSH-M
WELLS-FARGO</t>
  </si>
  <si>
    <t>Wachovia Securities Inc
Citigroup
AG Edwards &amp; Sons Inc
BB&amp;T Capital Markets
Robert W Baird &amp; Co Inc
Ferris Baker Watts Inc
H&amp;R Block Financial Advisors
Janney Montgomery Scott LLC
Oppenheimer &amp; Co Inc
Raymond James &amp; Associates Inc
RBC Capital Markets
Ryan Beck &amp; Co
Southwest Securities Inc
Stifel Nicolaus &amp; Co Inc
SunTrust Capital Markets
Wedbush Securities
Wells Fargo Bank NA</t>
  </si>
  <si>
    <t>NASDAQ Premium Income &amp; Growth</t>
  </si>
  <si>
    <t>QQQX</t>
  </si>
  <si>
    <t>63110R105</t>
  </si>
  <si>
    <t>Merrill Lynch
BB&amp;T Capital Markets
Robert W Baird &amp; Co Inc
Banc of America Securities LLC
Deutsche Bank Securities Corp
Ferris Baker Watts
JJB Hilliard WL Lyons Inc
Janney Montgomery Scott LLC
Key Banc Capital Markets
Ladenburg Thalmann &amp; Co
Nuveen Investments LLC
RBC Capital Markets
Raymond James &amp; Associates Inc
Ryan Beck &amp; Co
Stifel Nicolaus &amp; Co Inc
Wedbush Securities
Wells Fargo Bank NA
William Blair &amp; Co
Chatsworth Securities LLC
Crowell Weedon &amp; Co
DA Davidson &amp; Co Inc
AG Edwards &amp; Sons Inc
Hongkong &amp; Shanghai Bank (HK)
J. B. Hanauer
Royal Alliance Associates
Stephens Inc
SunTrust Capital Markets
Anderson &amp; Strudwick
Axiom Capital Management Inc
Bishop, Rosen &amp; Co
Brean Murray Carret &amp; Co LLC
Brookstreet Securities
E*Trade Securities Inc
Fifth Third Securities Inc
First Montauk Securities
First Southwest
Andrew Garrett Group
Gilford Securities
GunnAllen Financial Inc
Hazlett, Burt &amp; Watson
Howe Barnes Investments Inc
Wayne Hummer &amp; Co
Huntleigh Securities Corp
Jesup &amp; Lamont Securities
Johnston Lemon &amp; Co Inc
LaSalle Street Securities Inc
Maxim Group LLC
McGinn, Smith &amp; Co Inc
Mesirow Financial Corp
Morgan Wilshire Securities
National Securities Corp (US)
Northeast Securities Inc.
Peacock Hislop Staley &amp; Given
Samuel A. Ramirez &amp; Co.
Redwine &amp; Company Inc
Regal Securities Inc
Sanders Morris Harris Inc
Source Capital Group Inc
Southwest Securities Group Inc
Stanford Group Company
Sterne Agee &amp; Leach Inc
Stone &amp; Youngberg
Strand,Atkinson,Williams&amp;Yerl
Torrey Pines Securities
JP Turner &amp; Co</t>
  </si>
  <si>
    <t>MERRILL//BB-T-CAP/BAIRD/BA-SEC-LLC
/DEUTSCHE-BK-SEC/FERRIS-BAKER/HILLIARD
/JANNEY-LLC/KEY-BANC-CAP/LADENBURG
/NUVEEN-INV/RBC-CAP-MKTS/RAYMOND
/RYAN-BECK/STIFEL/WEDBUSH-M/WELLS-FARGO
//WM-BLAIR/CHATSWORTH/CROWELL/DAVIDSON
/A-G-EDWARDS/HONG-SHANG-BKG/J-B-HANAUER
/ROYAL-ALLIANCE/STEPHENS/SUNTRUST-CAP
/ANDERSON/AXIOM-CAP/BISHOP-ROSEN
/BREANMUR-CARRET/BROOKSTREET
/E*TRADE-SEC/FIFTH-THIRD-SEC
/FIRST-MONTAUK/FIRST-SW/ANDREW-GARRETT
/GILFORD/GUNNALLEN-FINL/HAZLETT
/HOWE-BARNES/HUMMER/HUNTLEIGH-SEC/JESUP
/JOHNSTON-LEMON/LASALLE-SEC/MAXIM-GROUP
/MCGINN-SMITH/MESIROW-FIN
/MORGAN-WILSHIRE/NATL-SEC/NORTHEAST-SEC
/PEACOCK-HISLOP/RAMIREZ/REDWINE-CO
/REGAL-SEC-INC/SANDERS-HARRIS
/SOURCE-CAPITAL/SOUTHWEST-SEC
/STANFORD-GROUP/STERNE-AGEE/STONE-YOUNG
/STRAND-ATKIN/TORREY-PINES/J-P-TURNER</t>
  </si>
  <si>
    <t>MERRILL
BB-T-CAP
BAIRD
BA-SEC-LLC
DEUTSCHE-BK-SEC
FERRIS-BAKER
HILLIARD
JANNEY-LLC
KEY-BANC-CAP
LADENBURG
NUVEEN-INV
RBC-CAP-MKTS
RAYMOND
RYAN-BECK
STIFEL
WEDBUSH-M
WELLS-FARGO</t>
  </si>
  <si>
    <t>Merrill Lynch &amp; Co Inc
BB&amp;T Capital Markets
Robert W Baird &amp; Co Inc
Banc of America Securities LLC
Deutsche Bank Securities Corp.
Ferris Baker Watts Inc
JJB Hilliard WL Lyons Inc
Janney Montgomery Scott LLC
Key Banc Capital Markets
Ladenburg Thalmann &amp; Co
Nuveen Investments LLC
RBC Capital Markets
Raymond James &amp; Associates Inc
Ryan Beck &amp; Co
Stifel Nicolaus &amp; Co Inc
Wedbush Securities
Wells Fargo Bank NA</t>
  </si>
  <si>
    <t>Gabelli Global Deal Fund</t>
  </si>
  <si>
    <t>GDL</t>
  </si>
  <si>
    <t>36245G103</t>
  </si>
  <si>
    <t>Merrill Lynch
Citigroup
AG Edwards &amp; Sons Inc
Gabelli &amp; Co Inc
BB&amp;T Capital Markets
Robert W Baird &amp; Co Inc
Deutsche Bank Securities Corp
Ferris Baker Watts
JJB Hilliard WL Lyons Inc
Ladenburg Thalmann &amp; Co
Oppenheimer &amp; Co Inc
Raymond James &amp; Associates Inc
Wells Fargo Bank NA
Stifel Nicolaus &amp; Co Inc
William Blair &amp; Co
Chatsworth Securities LLC
Crowell Weedon &amp; Co
DA Davidson &amp; Co Inc
Key Banc Capital Markets
Morgan Keegan Inc
RBC Capital Markets
Ryan Beck &amp; Co
Stanford Group Company
M. L. Stern
SunTrust Capital Markets
Wedbush Securities
Anderson &amp; Strudwick
Axiom Capital Management Inc
Bishop, Rosen &amp; Co
Brean Murray Carret &amp; Co LLC
Brookstreet Securities
First Montauk Securities
First Southwest
Gilford Securities
GunnAllen Financial Inc
Hazlett, Burt &amp; Watson
Howe Barnes Investments Inc
Wayne Hummer &amp; Co
Huntleigh Securities Corp
Jesup &amp; Lamont Securities
Johnston Lemon &amp; Co Inc
LaSalle Street Securities Inc
Maxim Group LLC
McGinn, Smith &amp; Co Inc
Mesirow Financial Corp
Morgan Wilshire Securities
National Securities Corp (US)
Newbridge Securities
Northeast Securities Inc.
Pacific Crest Securities Inc
Peacock Hislop Staley &amp; Given
Regal Securities Inc
Sanders Morris Harris Inc
Source Capital Group Inc
Southwest Securities Inc
Strand,Atkinson,Williams&amp;Yerl
Torrey Pines Securities</t>
  </si>
  <si>
    <t>MERRILL//CITIGROUP/A-G-EDWARDS/GABELLI
/BB-T-CAP/BAIRD/DEUTSCHE-BK-SEC
/FERRIS-BAKER/HILLIARD/LADENBURG
/OPPENHEIMER-CO/RAYMOND/WELLS-FARGO
//STIFEL/WM-BLAIR/CHATSWORTH/CROWELL
/DAVIDSON/KEY-BANC-CAP/MORGAN-KEEGAN
/RBC-CAP-MKTS/RYAN-BECK/STANFORD-GROUP
/M-L-STERN/SUNTRUST-CAP/WEDBUSH-M
/ANDERSON/AXIOM-CAP/BISHOP-ROSEN
/BREANMUR-CARRET/BROOKSTREET
/FIRST-MONTAUK/FIRST-SW/GILFORD
/GUNNALLEN-FINL/HAZLETT/HOWE-BARNES
/HUMMER/HUNTLEIGH-SEC/JESUP
/JOHNSTON-LEMON/LASALLE-SEC/MAXIM-GROUP
/MCGINN-SMITH/MESIROW-FIN
/MORGAN-WILSHIRE/NATL-SEC/NEWBRIDGE
/NORTHEAST-SEC/PACIFIC-CREST
/PEACOCK-HISLOP/REGAL-SEC-INC
/SANDERS-HARRIS/SOURCE-CAPITAL/SWS-SEC
/STRAND-ATKIN/TORREY-PINES</t>
  </si>
  <si>
    <t>MERRILL
CITIGROUP
A-G-EDWARDS
GABELLI
BB-T-CAP
BAIRD
DEUTSCHE-BK-SEC
FERRIS-BAKER
HILLIARD
LADENBURG
OPPENHEIMER-CO
RAYMOND
WELLS-FARGO</t>
  </si>
  <si>
    <t>Merrill Lynch &amp; Co Inc
Citigroup
AG Edwards &amp; Sons Inc
Gabelli &amp; Co Inc
BB&amp;T Capital Markets
Robert W Baird &amp; Co Inc
Deutsche Bank Securities Corp.
Ferris Baker Watts Inc
JJB Hilliard WL Lyons Inc
Ladenburg Thalmann &amp; Co
Oppenheimer &amp; Co Inc
Raymond James &amp; Associates Inc
Wells Fargo Bank NA</t>
  </si>
  <si>
    <t>Oculus Innovative Sciences Inc</t>
  </si>
  <si>
    <t>OCLS</t>
  </si>
  <si>
    <t>67575P108</t>
  </si>
  <si>
    <t>Roth Capital Partners Inc
Brookstreet Securities
Maxim Group LLC</t>
  </si>
  <si>
    <t>07/25/07
07/25/07
07/25/07</t>
  </si>
  <si>
    <t>ROTH-CAPITAL//BROOKSTREET/MAXIM-GROUP</t>
  </si>
  <si>
    <t>ROTH-CAPITAL
BROOKSTREET
MAXIM-GROUP</t>
  </si>
  <si>
    <t>Renaissance Acquisition Corp</t>
  </si>
  <si>
    <t>RAK</t>
  </si>
  <si>
    <t>75966C206</t>
  </si>
  <si>
    <t>Ladenburg Thalmann &amp; Co
Earlybirdcapital Inc</t>
  </si>
  <si>
    <t>LADENBURG//EARLYBIRD-CAP</t>
  </si>
  <si>
    <t>LADENBURG
EARLYBIRD-CAP</t>
  </si>
  <si>
    <t>Animal Health International</t>
  </si>
  <si>
    <t>AHII</t>
  </si>
  <si>
    <t>03525N109</t>
  </si>
  <si>
    <t>JP Morgan
William Blair &amp; Co
Piper Jaffray Cos
Robert W Baird &amp; Co Inc</t>
  </si>
  <si>
    <t>07/29/07
07/29/07
07/29/07</t>
  </si>
  <si>
    <t>JPM//WM-BLAIR/PIPER-JAFFRAY/BAIRD</t>
  </si>
  <si>
    <t>JPM
WM-BLAIR
PIPER-JAFFRAY
BAIRD</t>
  </si>
  <si>
    <t>JP Morgan &amp; Co Inc
William Blair &amp; Co
Piper Jaffray Cos
Robert W Baird &amp; Co Inc</t>
  </si>
  <si>
    <t>Duncan Energy Partners LP</t>
  </si>
  <si>
    <t>DEP</t>
  </si>
  <si>
    <t>Lehman Brothers
UBS Investment Bank
Citigroup
Goldman Sachs &amp; Co
Morgan Stanley
Wachovia Securities Inc
AG Edwards &amp; Sons Inc
JP Morgan
Merrill Lynch
Raymond James &amp; Associates Inc
RBC Capital Markets
SMH Capital Inc
Scotia Capital (USA) Inc.
Natexis Bleichroeder Inc
Banc of America Securities LLC</t>
  </si>
  <si>
    <t>07/29/07
07/29/07</t>
  </si>
  <si>
    <t>LEH(JB)/UBS-INV-BANK(JB)//CITIGROUP/GS
/MORGAN-STANLEY/WACHOVIA-SEC
/A-G-EDWARDS/JPM/MERRILL/RAYMOND
/RBC-CAP-MKTS/SMH-CAPITAL/SCOTIA-CAP
/NATEXIS/BA-SEC-LLC</t>
  </si>
  <si>
    <t>LEH
(JB)/UBS-INV-BANK(JB)
CITIGROUP
GS
MORGAN-STANLEY
WACHOVIA-SEC
A-G-EDWARDS
JPM
MERRILL
RAYMOND
RBC-CAP-MKTS
SMH-CAPITAL
SCOTIA-CAP
NATEXIS
BA-SEC-LLC</t>
  </si>
  <si>
    <t>Lehman Brothers
UBS Investment Bank
Citigroup
Goldman Sachs &amp; Co
Morgan Stanley
Wachovia Securities Inc
AG Edwards &amp; Sons Inc
JP Morgan &amp; Co Inc
Merrill Lynch &amp; Co Inc
Raymond James &amp; Associates Inc
RBC Capital Markets
SMH Capital Inc
Scotia Capital (USA) Inc.
Natexis Bleichroeder Inc
Banc of America Securities LLC</t>
  </si>
  <si>
    <t>Employers Holdings Inc</t>
  </si>
  <si>
    <t>EIG</t>
  </si>
  <si>
    <t>Morgan Stanley
Cochran Caronia Waller
Fox-Pitt Kelton
Keefe Bruyette &amp; Woods Inc
E*Trade Securities Inc
Raymond James Ltd
Stifel Nicolaus &amp; Co Inc
Wachovia Capital Markets</t>
  </si>
  <si>
    <t>MORGAN-STANLEY//COCHRAN-CARWAL/FOX-PITT
/KEEFE//E*TRADE-SEC/RAYMOND-CA/STIFEL
/WACHOVIA-CAP</t>
  </si>
  <si>
    <t>MORGAN-STANLEY
COCHRAN-CARWAL
FOX-PITT
KEEFE</t>
  </si>
  <si>
    <t>Morgan Stanley
Cochran Caronia Waller
Fox-Pitt Kelton
Keefe Bruyette &amp; Woods Inc</t>
  </si>
  <si>
    <t>HFF Inc</t>
  </si>
  <si>
    <t>HF</t>
  </si>
  <si>
    <t>40418F108</t>
  </si>
  <si>
    <t>Goldman Sachs &amp; Co
Morgan Stanley
Banc of America Securities LLC
Wachovia Securities Inc
JP Morgan
Lehman Brothers</t>
  </si>
  <si>
    <t>GS(JB)/MORGAN-STANLEY(JB)//BA-SEC-LLC
/WACHOVIA-SEC/JPM/LEH</t>
  </si>
  <si>
    <t>GS
(JB)/MORGAN-STANLEY(JB)
BA-SEC-LLC
WACHOVIA-SEC
JPM
LEH</t>
  </si>
  <si>
    <t>Goldman Sachs &amp; Co
Morgan Stanley
Banc of America Securities LLC
Wachovia Securities Inc
JP Morgan &amp; Co Inc
Lehman Brothers</t>
  </si>
  <si>
    <t>NTR Acquisition Co</t>
  </si>
  <si>
    <t>NTQ</t>
  </si>
  <si>
    <t>Information Services Group Inc</t>
  </si>
  <si>
    <t>III</t>
  </si>
  <si>
    <t>45675Y203</t>
  </si>
  <si>
    <t>Deutsche Bank Securities Corp
Morgan Joseph &amp; Co Inc
Lazard Capital Markets</t>
  </si>
  <si>
    <t>01/26/08
01/26/08</t>
  </si>
  <si>
    <t>DEUTSCHE-BK-SEC//MORGAN-JOSEPH
/LAZARD-CAP-MKT</t>
  </si>
  <si>
    <t>DEUTSCHE-BK-SEC
MORGAN-JOSEPH
LAZARD-CAP-MKT</t>
  </si>
  <si>
    <t>Deutsche Bank Securities Corp.
Morgan Joseph &amp; Co Inc
Lazard Capital Markets</t>
  </si>
  <si>
    <t>XTENT Inc</t>
  </si>
  <si>
    <t>XTNT</t>
  </si>
  <si>
    <t>Piper Jaffray Cos
SG Cowen Securities Corp
Lazard Capital Markets
RBC Capital Markets</t>
  </si>
  <si>
    <t>07/30/07
07/30/07</t>
  </si>
  <si>
    <t>PIPER-JAFFRAY//SG-COWEN/LAZARD-CAP-MKT
/RBC-CAP-MKTS</t>
  </si>
  <si>
    <t>PIPER-JAFFRAY
SG-COWEN
LAZARD-CAP-MKT
RBC-CAP-MKTS</t>
  </si>
  <si>
    <t>Dekania Corp</t>
  </si>
  <si>
    <t>DEK</t>
  </si>
  <si>
    <t>MERRILL/MAXIM-GROUP(JB)</t>
  </si>
  <si>
    <t>24488U104</t>
  </si>
  <si>
    <t>Merrill Lynch
Maxim Group LLC</t>
  </si>
  <si>
    <t>MERRILL(JB)/MAXIM-GROUP(JB)</t>
  </si>
  <si>
    <t>MERRILL/MAXIM-GROUP</t>
  </si>
  <si>
    <t>MERRILL
(JB)/MAXIM-GROUP(JB)</t>
  </si>
  <si>
    <t>Merrill Lynch &amp; Co Inc
Maxim Group LLC</t>
  </si>
  <si>
    <t>Molecular Insight Pharm Inc</t>
  </si>
  <si>
    <t>MIPI</t>
  </si>
  <si>
    <t>RBC-CAP-MKTS
/JEFFERIES(JB)</t>
  </si>
  <si>
    <t>60852M104</t>
  </si>
  <si>
    <t>RBC Capital Markets
Jefferies &amp; Co Inc
AG Edwards &amp; Sons Inc
Oppenheimer &amp; Co Inc</t>
  </si>
  <si>
    <t>07/31/07
07/31/07
07/31/07</t>
  </si>
  <si>
    <t>RBC-CAP-MKTS(JB)/JEFFERIES(JB)
//A-G-EDWARDS/OPPENHEIMER-CO</t>
  </si>
  <si>
    <t>RBC-CAP-MKTS/JEFFERIES</t>
  </si>
  <si>
    <t>RBC-CAP-MKTS
(JB)/JEFFERIES(JB)
A-G-EDWARDS
OPPENHEIMER-CO</t>
  </si>
  <si>
    <t>Tortoise Capital Resources</t>
  </si>
  <si>
    <t>TTO</t>
  </si>
  <si>
    <t>89147N304</t>
  </si>
  <si>
    <t>Merrill Lynch
Stifel Nicolaus &amp; Co Inc
Wachovia Securities Inc
Oppenheimer &amp; Co Inc
Ferris Baker Watts</t>
  </si>
  <si>
    <t>07/31/07
07/31/07</t>
  </si>
  <si>
    <t>MERRILL/STIFEL/WACHOVIA-SEC(JOINT)
//OPPENHEIMER-CO//FERRIS-BAKER</t>
  </si>
  <si>
    <t>MERRILL/STIFEL/WACHOVIA-SEC</t>
  </si>
  <si>
    <t>MERRILL
/STIFEL
/WACHOVIA-SEC(JOINT)
OPPENHEIMER-CO</t>
  </si>
  <si>
    <t>Merrill Lynch &amp; Co Inc
Stifel Nicolaus &amp; Co Inc
Wachovia Securities Inc
Oppenheimer &amp; Co Inc</t>
  </si>
  <si>
    <t>Union Street Acquisition Corp</t>
  </si>
  <si>
    <t>USQ</t>
  </si>
  <si>
    <t>Banc of America Securities LLC
Morgan Joseph &amp; Co Inc</t>
  </si>
  <si>
    <t>02/22/07
02/22/07</t>
  </si>
  <si>
    <t>17
17</t>
  </si>
  <si>
    <t>BA-SEC-LLC//MORGAN-JOSEPH</t>
  </si>
  <si>
    <t>BA-SEC-LLC
MORGAN-JOSEPH</t>
  </si>
  <si>
    <t>Cellcom Israel Ltd</t>
  </si>
  <si>
    <t>CEL</t>
  </si>
  <si>
    <t>GS/CITIGROUP(JB)
/DEUTSCHE-BK-SEC(JB)</t>
  </si>
  <si>
    <t>M2196U109</t>
  </si>
  <si>
    <t>Goldman Sachs &amp; Co
Citigroup
Deutsche Bank Securities Corp
Merrill Lynch
Jefferies &amp; Co Inc
William Blair &amp; Co</t>
  </si>
  <si>
    <t>08/04/07
08/04/07
08/04/07</t>
  </si>
  <si>
    <t>GS(JB)/CITIGROUP(JB)
/DEUTSCHE-BK-SEC(JB)/MERRILL(JOINT)
//JEFFERIES/WM-BLAIR</t>
  </si>
  <si>
    <t>GS/CITIGROUP/DEUTSCHE-BK-SEC/MERRILL</t>
  </si>
  <si>
    <t>GS
(JB)/CITIGROUP(JB)
/DEUTSCHE-BK-SEC(JB)
/MERRILL(JOINT)
JEFFERIES
WM-BLAIR</t>
  </si>
  <si>
    <t>Goldman Sachs &amp; Co
Citigroup
Deutsche Bank Securities Corp.
Merrill Lynch &amp; Co Inc
Jefferies &amp; Co Inc
William Blair &amp; Co</t>
  </si>
  <si>
    <t>JA Solar Holdings Co Ltd</t>
  </si>
  <si>
    <t>JASO</t>
  </si>
  <si>
    <t>CIBC World Markets Inc
Piper Jaffray Cos
Needham &amp; Co LLC
RBC Capital Markets</t>
  </si>
  <si>
    <t>08/05/07
08/05/07
08/05/07</t>
  </si>
  <si>
    <t>CIBC-WORLD(JB)/PIPER-JAFFRAY(JB)
//NEEDHAM/RBC-CAP-MKTS</t>
  </si>
  <si>
    <t>CIBC-WORLD
(JB)/PIPER-JAFFRAY(JB)
NEEDHAM
RBC-CAP-MKTS</t>
  </si>
  <si>
    <t>Synta Pharmaceuticals Corp</t>
  </si>
  <si>
    <t>SNTA</t>
  </si>
  <si>
    <t>BEAR/LEH(JB)</t>
  </si>
  <si>
    <t>87162T206</t>
  </si>
  <si>
    <t>Bear Stearns &amp; Co Inc
Lehman Brothers
Lazard Capital Markets
Montgomery &amp; Co</t>
  </si>
  <si>
    <t>BEAR(JB)/LEH(JB)//LAZARD-CAP-MKT
/MONTGOMERY-CO</t>
  </si>
  <si>
    <t>BEAR
(JB)/LEH(JB)
LAZARD-CAP-MKT
MONTGOMERY-CO</t>
  </si>
  <si>
    <t>3SBio Inc</t>
  </si>
  <si>
    <t>SSRX</t>
  </si>
  <si>
    <t>88575Y105</t>
  </si>
  <si>
    <t>UBS Investment Bank
CIBC World Markets Inc
Pacific Growth Equities Inc
UBS Investment Bank</t>
  </si>
  <si>
    <t>UBS-INV-BANK//CIBC-WORLD/PACIFIC-GROWTH
//UBS-INV-BANK(GC)</t>
  </si>
  <si>
    <t>UBS-INV-BANK
CIBC-WORLD
PACIFIC-GROWTH</t>
  </si>
  <si>
    <t>UBS Investment Bank
CIBC World Markets Inc
Pacific Growth Equities Inc</t>
  </si>
  <si>
    <t>Accuray Inc</t>
  </si>
  <si>
    <t>ARAY</t>
  </si>
  <si>
    <t>004397105</t>
  </si>
  <si>
    <t>JP Morgan
UBS Investment Bank
Piper Jaffray Cos
Jefferies &amp; Co Inc</t>
  </si>
  <si>
    <t>08/06/07
08/06/07
08/06/07</t>
  </si>
  <si>
    <t>JPM(JB)/UBS-INV-BANK(JB)
/PIPER-JAFFRAY(JOINT)//JEFFERIES</t>
  </si>
  <si>
    <t>JPM/UBS-INV-BANK/PIPER-JAFFRAY</t>
  </si>
  <si>
    <t>JPM
(JB)/UBS-INV-BANK(JB)
/PIPER-JAFFRAY(JOINT)
JEFFERIES</t>
  </si>
  <si>
    <t>JP Morgan &amp; Co Inc
UBS Investment Bank
Piper Jaffray Cos
Jefferies &amp; Co Inc</t>
  </si>
  <si>
    <t>Mellanox Technologies Ltd</t>
  </si>
  <si>
    <t>MLNX</t>
  </si>
  <si>
    <t>CREDIT-SUISSE/JPM(JB)</t>
  </si>
  <si>
    <t>Credit Suisse
JP Morgan
Thomas Weisel Partners
Jefferies &amp; Co Inc</t>
  </si>
  <si>
    <t>08/06/07
08/06/07</t>
  </si>
  <si>
    <t>CREDIT-SUISSE(JB)/JPM(JB)
//THOMAS-WEISEL/JEFFERIES</t>
  </si>
  <si>
    <t>CREDIT-SUISSE/JPM</t>
  </si>
  <si>
    <t>CREDIT-SUISSE
(JB)/JPM(JB)
THOMAS-WEISEL
JEFFERIES</t>
  </si>
  <si>
    <t>Credit Suisse
JP Morgan &amp; Co Inc
Thomas Weisel Partners
Jefferies &amp; Co Inc</t>
  </si>
  <si>
    <t>National CineMedia Inc</t>
  </si>
  <si>
    <t>NCMI</t>
  </si>
  <si>
    <t>CREDIT-SUISSE/JPM(JB)
/LEH(JB)
/MORGAN-STANLEY(JB)</t>
  </si>
  <si>
    <t>Credit Suisse
JP Morgan
Lehman Brothers
Morgan Stanley
AGM Partners LLC
Allen &amp; Co Inc
Banc of America Securities LLC
Bear Stearns &amp; Co Inc
Citigroup
Deutsche Bank Securities Corp
Goldman Sachs &amp; Co
Merrill Lynch
UBS Investment Bank
Janco Partners</t>
  </si>
  <si>
    <t>CREDIT-SUISSE(JB)/JPM(JB)/LEH(JB)
/MORGAN-STANLEY(JB)//AGM-LLP/ALLEN
/BA-SEC-LLC/BEAR/CITIGROUP
/DEUTSCHE-BK-SEC/GS/MERRILL
/UBS-INV-BANK//JANCO-PARTNERS</t>
  </si>
  <si>
    <t>CREDIT-SUISSE/JPM/LEH/MORGAN-STANLEY</t>
  </si>
  <si>
    <t>CREDIT-SUISSE
(JB)/JPM(JB)
/LEH(JB)
/MORGAN-STANLEY(JB)
AGM-LLP
ALLEN
BA-SEC-LLC
BEAR
CITIGROUP
DEUTSCHE-BK-SEC
GS
MERRILL
UBS-INV-BANK</t>
  </si>
  <si>
    <t>Credit Suisse
JP Morgan &amp; Co Inc
Lehman Brothers
Morgan Stanley
AGM Partners LLC
Allen &amp; Co Inc
Banc of America Securities LLC
Bear Stearns &amp; Co Inc
Citigroup
Deutsche Bank Securities Corp.
Goldman Sachs &amp; Co
Merrill Lynch &amp; Co Inc
UBS Investment Bank</t>
  </si>
  <si>
    <t>Switch &amp; Data Facilities Co</t>
  </si>
  <si>
    <t>SDXC</t>
  </si>
  <si>
    <t>DEUTSCHE-BK-SEC
/JEFFERIES(JB)</t>
  </si>
  <si>
    <t>Deutsche Bank Securities Corp
Jefferies &amp; Co Inc
CIBC World Markets Inc
RBC Capital Markets
Raymond James &amp; Associates Inc
Lazard Capital Markets
Merriman Curhan Ford &amp; Co
Signal Hill Capital Group LLC
Kaufman Brothers LP</t>
  </si>
  <si>
    <t>DEUTSCHE-BK-SEC(JB)/JEFFERIES(JB)
//CIBC-WORLD/RBC-CAP-MKTS/RAYMOND
/LAZARD-CAP-MKT/MERR-CUR//SIGNAL-HILL
/KAUFMAN-BROS</t>
  </si>
  <si>
    <t>DEUTSCHE-BK-SEC/JEFFERIES</t>
  </si>
  <si>
    <t>DEUTSCHE-BK-SEC
(JB)/JEFFERIES(JB)
CIBC-WORLD
RBC-CAP-MKTS
RAYMOND
LAZARD-CAP-MKT
MERR-CUR</t>
  </si>
  <si>
    <t>Deutsche Bank Securities Corp.
Jefferies &amp; Co Inc
CIBC World Markets Inc
RBC Capital Markets
Raymond James &amp; Associates Inc
Lazard Capital Markets
Merriman Curhan Ford &amp; Co</t>
  </si>
  <si>
    <t>FIG</t>
  </si>
  <si>
    <t>GS/LEH(JB)
/BA-SEC-LLC(JB)
/CITIGROUP(JB)
/DEUTSCHE-BK-SEC(JB)</t>
  </si>
  <si>
    <t>34958B106</t>
  </si>
  <si>
    <t>Goldman Sachs &amp; Co
Lehman Brothers
Banc of America Securities LLC
Citigroup
Deutsche Bank Securities Corp
Bear Stearns &amp; Co Inc
Lazard Capital Markets
Merrill Lynch
Morgan Stanley
Wells Fargo Bank NA
Friedman Billings Ramsey Group
Jefferies &amp; Co Inc
JMP Securities LLC
Key Banc Capital Markets
Sandler O'Neill Partners</t>
  </si>
  <si>
    <t>06/08/07
06/08/07
06/08/07</t>
  </si>
  <si>
    <t>GS(JB)/LEH(JB)/BA-SEC-LLC(JB)
/CITIGROUP(JB)/DEUTSCHE-BK-SEC(JB)
//BEAR/LAZARD-CAP-MKT/MERRILL
/MORGAN-STANLEY/WELLS-FARGO//FRIEDMAN-B
/JEFFERIES/JMP-SEC/KEY-BANC-CAP
/SANDLER-ONEILL</t>
  </si>
  <si>
    <t>GS/LEH/BA-SEC-LLC/CITIGROUP
/DEUTSCHE-BK-SEC</t>
  </si>
  <si>
    <t>GS
(JB)/LEH(JB)
/BA-SEC-LLC(JB)
/CITIGROUP(JB)
/DEUTSCHE-BK-SEC(JB)
BEAR
LAZARD-CAP-MKT
MERRILL
MORGAN-STANLEY
WELLS-FARGO</t>
  </si>
  <si>
    <t>Goldman Sachs &amp; Co
Lehman Brothers
Banc of America Securities LLC
Citigroup
Deutsche Bank Securities Corp.
Bear Stearns &amp; Co Inc
Lazard Capital Markets
Merrill Lynch &amp; Co Inc
Morgan Stanley
Wells Fargo Bank NA</t>
  </si>
  <si>
    <t>Targa Resources Partners LP</t>
  </si>
  <si>
    <t>NGLS</t>
  </si>
  <si>
    <t>CITIGROUP/GS(JB)
/UBS-INV-BANK(JB)
/MERRILL(JB)</t>
  </si>
  <si>
    <t>87611X105</t>
  </si>
  <si>
    <t>Citigroup
Goldman Sachs &amp; Co
UBS Investment Bank
Merrill Lynch
AG Edwards &amp; Sons Inc
Credit Suisse
Lehman Brothers
Wachovia Securities Inc
Raymond James &amp; Associates Inc
RBC Capital Markets
SMH Capital Inc</t>
  </si>
  <si>
    <t>08/07/07
08/07/07</t>
  </si>
  <si>
    <t>CITIGROUP(JB)/GS(JB)/UBS-INV-BANK(JB)
/MERRILL(JB)//A-G-EDWARDS/CREDIT-SUISSE
/LEH/WACHOVIA-SEC/RAYMOND/RBC-CAP-MKTS
/SMH-CAPITAL</t>
  </si>
  <si>
    <t>CITIGROUP/GS/UBS-INV-BANK/MERRILL</t>
  </si>
  <si>
    <t>CITIGROUP
(JB)/GS(JB)
/UBS-INV-BANK(JB)
/MERRILL(JB)
A-G-EDWARDS
CREDIT-SUISSE
LEH
WACHOVIA-SEC
RAYMOND
RBC-CAP-MKTS
SMH-CAPITAL</t>
  </si>
  <si>
    <t>Citigroup
Goldman Sachs &amp; Co
UBS Investment Bank
Merrill Lynch &amp; Co Inc
AG Edwards &amp; Sons Inc
Credit Suisse
Lehman Brothers
Wachovia Securities Inc
Raymond James &amp; Associates Inc
RBC Capital Markets
SMH Capital Inc</t>
  </si>
  <si>
    <t>Trans-India Acquisition Corp</t>
  </si>
  <si>
    <t>TIL</t>
  </si>
  <si>
    <t>I-BANKERS-SEC
/CRT-CAPITAL(JB)</t>
  </si>
  <si>
    <t>I-Bankers Securities Inc
CRT Capital Group LLC
Ramius Capital Group LLC
Maxim Group LLC
Legend Merchant Group Inc
Dominick &amp; Dominick Inc
Dawson James Securities
Joseph Gunnar &amp; Co., LLC</t>
  </si>
  <si>
    <t>I-BANKERS-SEC(JB)/CRT-CAPITAL(JB)
//RAMIUS-CAP/MAXIM-GROUP
/LEGEND-MERCHANT/DOMINICK/DAWSON-JAMES
/GUNNAR</t>
  </si>
  <si>
    <t>I-BANKERS-SEC/CRT-CAPITAL</t>
  </si>
  <si>
    <t>I-BANKERS-SEC
(JB)/CRT-CAPITAL(JB)</t>
  </si>
  <si>
    <t>I-Bankers Securities Inc
CRT Capital Group LLC</t>
  </si>
  <si>
    <t>US Auto Parts Networks Inc</t>
  </si>
  <si>
    <t>RBC-CAP-MKTS
/THOMAS-WEISEL(JB)</t>
  </si>
  <si>
    <t>90343C100</t>
  </si>
  <si>
    <t>RBC Capital Markets
Thomas Weisel Partners
Piper Jaffray Cos
JMP Securities LLC</t>
  </si>
  <si>
    <t>08/07/07
08/07/07
08/07/07</t>
  </si>
  <si>
    <t>RBC-CAP-MKTS(JB)/THOMAS-WEISEL(JB)
//PIPER-JAFFRAY/JMP-SEC</t>
  </si>
  <si>
    <t>RBC-CAP-MKTS/THOMAS-WEISEL</t>
  </si>
  <si>
    <t>RBC-CAP-MKTS
(JB)/THOMAS-WEISEL(JB)
PIPER-JAFFRAY
JMP-SEC</t>
  </si>
  <si>
    <t>Optimer Pharmaceuticals Inc</t>
  </si>
  <si>
    <t>OPTR</t>
  </si>
  <si>
    <t>68401H104</t>
  </si>
  <si>
    <t>Piper Jaffray Cos
Jefferies &amp; Co Inc
JMP Securities LLC
Rodman &amp; Renshaw Inc</t>
  </si>
  <si>
    <t>08/08/07
08/08/07
08/08/07</t>
  </si>
  <si>
    <t>PIPER-JAFFRAY(JB)/JEFFERIES(JB)
//JMP-SEC/RODMAN</t>
  </si>
  <si>
    <t>PIPER-JAFFRAY
(JB)/JEFFERIES(JB)
JMP-SEC
RODMAN</t>
  </si>
  <si>
    <t>VeriChip Corp</t>
  </si>
  <si>
    <t>CHIP</t>
  </si>
  <si>
    <t>92342V105</t>
  </si>
  <si>
    <t>Merriman Curhan Ford &amp; Co
CE Unterberg Towbin
Kaufman Brothers LP
LaSalle Capital
Jesup &amp; Lamont Securities</t>
  </si>
  <si>
    <t>08/08/07
08/08/07</t>
  </si>
  <si>
    <t>MERR-CUR//UNTERBERG/KAUFMAN-BROS
//LASALLE-CAPITAL/JESUP</t>
  </si>
  <si>
    <t>MERR-CUR
UNTERBERG
KAUFMAN-BROS</t>
  </si>
  <si>
    <t>Merriman Curhan Ford &amp; Co
CE Unterberg Towbin
Kaufman Brothers LP</t>
  </si>
  <si>
    <t>Geneva Acquisition Corp</t>
  </si>
  <si>
    <t>GAC</t>
  </si>
  <si>
    <t>LAZARD-CAP-MKT</t>
  </si>
  <si>
    <t>37185Y203</t>
  </si>
  <si>
    <t>Lazard Capital Markets
Ladenburg Thalmann &amp; Co
Ferris Baker Watts</t>
  </si>
  <si>
    <t>LAZARD-CAP-MKT//LADENBURG/FERRIS-BAKER</t>
  </si>
  <si>
    <t>LAZARD-CAP-MKT
LADENBURG
FERRIS-BAKER</t>
  </si>
  <si>
    <t>Lazard Capital Markets
Ladenburg Thalmann &amp; Co
Ferris Baker Watts Inc</t>
  </si>
  <si>
    <t>Converted Organics Inc</t>
  </si>
  <si>
    <t>COIN</t>
  </si>
  <si>
    <t>21254S107</t>
  </si>
  <si>
    <t>Paulson Investment Co
Investors Capital Corp
EKN Bank</t>
  </si>
  <si>
    <t>02/08/08
02/08/08</t>
  </si>
  <si>
    <t>PAULSON//INVEST-CAPITAL/EKN-BANK</t>
  </si>
  <si>
    <t>PAULSON
INVEST-CAPITAL
EKN-BANK</t>
  </si>
  <si>
    <t>Opnext Inc</t>
  </si>
  <si>
    <t>OPXT</t>
  </si>
  <si>
    <t>68375V105</t>
  </si>
  <si>
    <t>Goldman Sachs &amp; Co
JP Morgan
CIBC World Markets Inc
SG Cowen Securities Corp
Jefferies &amp; Co Inc</t>
  </si>
  <si>
    <t>08/13/07
08/13/07
08/13/07</t>
  </si>
  <si>
    <t>GS//JPM/CIBC-WORLD/SG-COWEN/JEFFERIES</t>
  </si>
  <si>
    <t>GS
JPM
CIBC-WORLD
SG-COWEN
JEFFERIES</t>
  </si>
  <si>
    <t>Goldman Sachs &amp; Co
JP Morgan &amp; Co Inc
CIBC World Markets Inc
SG Cowen Securities Corp
Jefferies &amp; Co Inc</t>
  </si>
  <si>
    <t>Quadra Realty Trust Inc</t>
  </si>
  <si>
    <t>QRR</t>
  </si>
  <si>
    <t>CREDIT-SUISSE
/WACHOVIA-SEC(JB)</t>
  </si>
  <si>
    <t>Credit Suisse
Wachovia Securities Inc
AG Edwards &amp; Sons Inc
Key Banc Capital Markets
Stifel Nicolaus &amp; Co Inc</t>
  </si>
  <si>
    <t>08/13/07
08/13/07</t>
  </si>
  <si>
    <t>CREDIT-SUISSE(JB)/WACHOVIA-SEC(JB)
//A-G-EDWARDS/KEY-BANC-CAP/STIFEL</t>
  </si>
  <si>
    <t>CREDIT-SUISSE/WACHOVIA-SEC</t>
  </si>
  <si>
    <t>CREDIT-SUISSE
(JB)/WACHOVIA-SEC(JB)
A-G-EDWARDS
KEY-BANC-CAP
STIFEL</t>
  </si>
  <si>
    <t>Triangle Capital Corp</t>
  </si>
  <si>
    <t>TCAP</t>
  </si>
  <si>
    <t>Morgan Keegan Inc
BB&amp;T Capital Markets
Avondale Partners
Sterne Agee &amp; Leach Inc</t>
  </si>
  <si>
    <t>02/14/08
02/14/08</t>
  </si>
  <si>
    <t>365
365</t>
  </si>
  <si>
    <t>MORGAN-KEEGAN//BB-T-CAP/AVONDALE
/STERNE-AGEE</t>
  </si>
  <si>
    <t>MORGAN-KEEGAN
BB-T-CAP
AVONDALE
STERNE-AGEE</t>
  </si>
  <si>
    <t>Salary.com Inc</t>
  </si>
  <si>
    <t>Thomas Weisel Partners
William Blair &amp; Co
Needham &amp; Co LLC
Wachovia Securities Inc
Pacific Crest Securities Inc</t>
  </si>
  <si>
    <t>08/14/07
08/14/07
08/14/07</t>
  </si>
  <si>
    <t>THOMAS-WEISEL//WM-BLAIR/NEEDHAM
/WACHOVIA-SEC/PACIFIC-CREST</t>
  </si>
  <si>
    <t>THOMAS-WEISEL
WM-BLAIR
NEEDHAM
WACHOVIA-SEC
PACIFIC-CREST</t>
  </si>
  <si>
    <t>Highland Distressed Opportunti</t>
  </si>
  <si>
    <t>HCD</t>
  </si>
  <si>
    <t>CITIGROUP/MERRILL(JB)
/WACHOVIA-SEC(JB)</t>
  </si>
  <si>
    <t>Citigroup
Merrill Lynch
Wachovia Securities Inc
AG Edwards &amp; Sons Inc
Banc of America Securities LLC
Deutsche Bank Securities Corp
Oppenheimer &amp; Co Inc
Stifel Nicolaus &amp; Co Inc</t>
  </si>
  <si>
    <t>08/20/07
08/20/07</t>
  </si>
  <si>
    <t>CITIGROUP(JB)/MERRILL(JB)
/WACHOVIA-SEC(JB)//A-G-EDWARDS
/BA-SEC-LLC/DEUTSCHE-BK-SEC
/OPPENHEIMER-CO/STIFEL</t>
  </si>
  <si>
    <t>CITIGROUP/MERRILL/WACHOVIA-SEC</t>
  </si>
  <si>
    <t>CITIGROUP
(JB)/MERRILL(JB)
/WACHOVIA-SEC(JB)
A-G-EDWARDS
BA-SEC-LLC
DEUTSCHE-BK-SEC
OPPENHEIMER-CO
STIFEL</t>
  </si>
  <si>
    <t>Citigroup
Merrill Lynch &amp; Co Inc
Wachovia Securities Inc
AG Edwards &amp; Sons Inc
Banc of America Securities LLC
Deutsche Bank Securities Corp.
Oppenheimer &amp; Co Inc
Stifel Nicolaus &amp; Co Inc</t>
  </si>
  <si>
    <t>Eaton Vance Tax-Managed Global</t>
  </si>
  <si>
    <t>EXG</t>
  </si>
  <si>
    <t>27829F108</t>
  </si>
  <si>
    <t>Wachovia Securities Inc
Citigroup
Merrill Lynch
Morgan Stanley
UBS Investment Bank
AG Edwards &amp; Sons Inc
Robert W Baird &amp; Co Inc
Banc of America Securities LLC
BB&amp;T Capital Markets
Crowell Weedon &amp; Co
Deutsche Bank Securities
Doft &amp; Co Inc
Ferris Baker Watts
H&amp;R Block Financial Advisors
JJB Hilliard WL Lyons Inc
Janney Montgomery Scott LLC
Morgan Keegan Inc
Oppenheimer &amp; Co Inc
Raymond James &amp; Associates Inc
RBC Capital Markets
Ryan Beck &amp; Co
Southwest Securities Inc
Stifel Nicolaus &amp; Co Inc
SunTrust Capital Markets
Wedbush Securities
Wells Fargo Bank NA
DA Davidson &amp; Co Inc
Dominick &amp; Dominick Inc
First Allied Securities, Inc.
FMS Bonds Inc
GMS Group
Ladenburg Thalmann &amp; Co
GunnAllen Financial Inc
Hongkong &amp; Shanghai Bank (HK)
J. B. Hanauer
Maxim Group LLC
David A. Noyes
Royal Alliance Associates
Sanders Morris Harris Inc
R Seelaus &amp; Company Inc
Stephens Inc
M. L. Stern
Sterne Agee &amp; Leach Inc
Stockcross Inc
TD Ameritrade
Wunderlich Securities Inc
1st Discount Brokerage Inc
Aegis Capital
Axiom Capital Management Inc
Bishop, Rosen &amp; Co
Howe Barnes Investments Inc
Huntleigh Securities Corp
Johnston Lemon &amp; Co Inc
Mesirow Financial Corp
Natcity Investments Inc.
Herbert J. Sims
Stonnington Group LLC
Strand,Atkinson,Williams&amp;Yerl
AIG Financial Advisors Inc
Bernard Herold &amp; Co
Brookstreet Securities
Cadaret Grant &amp; Co
Capital Growth Financial LLC
Chicago Investment Group LLC
City Securities
Commonwealth Securities Inv
Dawson James Securities
E*Trade Securities Inc
Finance 500 Inc
First Montauk Securities
Gilford Securities
Joseph Gunnar &amp; Co., LLC
Chester Harris &amp; Co
Hazlett, Burt &amp; Watson
Wayne Hummer &amp; Co
Investors Capital Corp
McGinn, Smith &amp; Co Inc
Newbridge Securities
Paulson Investment Co
Regal Securities Inc
R. M. Stark &amp; Co
Source Capital Group Inc
Summit Brokerage Services Inc
Synovus Securities Inc
Stone &amp; Youngberg
JP Turner &amp; Co
Westminster Financial Mgmt</t>
  </si>
  <si>
    <t>WACHOVIA-SEC//CITIGROUP/MERRILL
/MORGAN-STANLEY/UBS-INV-BANK
/A-G-EDWARDS/BAIRD/BA-SEC-LLC/BB-T-CAP
/CROWELL/DBSECU/DOFT/FERRIS-BAKER
/HR-BLOCK-FIN/HILLIARD/JANNEY-LLC
/MORGAN-KEEGAN/OPPENHEIMER-CO/RAYMOND
/RBC-CAP-MKTS/RYAN-BECK/SWS-SEC/STIFEL
/SUNTRUST-CAP/WEDBUSH-M/WELLS-FARGO
//DAVIDSON/DOMINICK/FIRST-ALLIED
/FMS-BONDS/GMS-GROUP/LADENBURG
/GUNNALLEN-FINL/HONG-SHANG-BKG
/J-B-HANAUER/MAXIM-GROUP/D-A-NOYES
/ROYAL-ALLIANCE/SANDERS-HARRIS
/R-SEELAUS/STEPHENS/M-L-STERN
/STERNE-AGEE/STOCK-INC/TD-AMER
/WUNDERLICH/FD-BROKERAGE/AEGIS-CAP
/AXIOM-CAP/BISHOP-ROSEN/HOWE-BARNES
/HUNTLEIGH-SEC/JOHNSTON-LEMON
/MESIROW-FIN/NATCITY-INVEST
/HERBERT-SIMS/STONNINGTON-LLC
/STRAND-ATKIN/AIG-FINANCIAL/BERNARD-HER
/BROOKSTREET/CADARET-GRANT/CGF-SEC
/CHICAGO-INV/CITY-SEC/COM-SEC-INV
/DAWSON-JAMES/E*TRADE-SEC/FINANCE-INC
/FIRST-MONTAUK/GILFORD/GUNNAR
/CHESTER-HARRIS/HAZLETT/HUMMER
/INVEST-CAPITAL/MCGINN-SMITH/NEWBRIDGE
/PAULSON/REGAL-SEC-INC/R-M-STARK
/SOURCE-CAPITAL/SUMMIT-BROKER
/SYNOVUS-SEC/STONE-YOUNG/J-P-TURNER
/WESTMINSTER-FIN</t>
  </si>
  <si>
    <t>WACHOVIA-SEC
CITIGROUP
MERRILL
MORGAN-STANLEY
UBS-INV-BANK
A-G-EDWARDS
BAIRD
BA-SEC-LLC
BB-T-CAP
CROWELL
DBSECU
DOFT
FERRIS-BAKER
HR-BLOCK-FIN
HILLIARD
JANNEY-LLC
MORGAN-KEEGAN
OPPENHEIMER-CO
RAYMOND
RBC-CAP-MKTS
RYAN-BECK
SWS-SEC
STIFEL
SUNTRUST-CAP
WEDBUSH-M
WELLS-FARGO</t>
  </si>
  <si>
    <t>Wachovia Securities Inc
Citigroup
Merrill Lynch &amp; Co Inc
Morgan Stanley
UBS Investment Bank
AG Edwards &amp; Sons Inc
Robert W Baird &amp; Co Inc
Banc of America Securities LLC
BB&amp;T Capital Markets
Crowell Weedon &amp; Co
Deutsche Bank Securities Inc
Doft &amp; Co Inc
Ferris Baker Watts Inc
H&amp;R Block Financial Advisors
JJB Hilliard WL Lyons Inc
Janney Montgomery Scott LLC
Morgan Keegan Inc
Oppenheimer &amp; Co Inc
Raymond James &amp; Associates Inc
RBC Capital Markets
Ryan Beck &amp; Co
Southwest Securities Inc
Stifel Nicolaus &amp; Co Inc
SunTrust Capital Markets
Wedbush Securities
Wells Fargo Bank NA</t>
  </si>
  <si>
    <t>Nicholas-Applegate Eq &amp; Cvt Fd</t>
  </si>
  <si>
    <t>NIE</t>
  </si>
  <si>
    <t>CITIGROUP
/A-G-EDWARDS(JB)</t>
  </si>
  <si>
    <t>65370K100</t>
  </si>
  <si>
    <t>Citigroup
AG Edwards &amp; Sons Inc
Robert W Baird &amp; Co Inc
Banc of America Securities LLC
BB&amp;T Capital Markets
H&amp;R Block Financial Advisors
Hongkong &amp; Shanghai Bank (HK)
JJB Hilliard WL Lyons Inc
Janney Montgomery Scott LLC
Oppenheimer &amp; Co Inc
RBC Capital Markets
Ryan Beck &amp; Co
Stifel Nicolaus &amp; Co Inc
Wedbush Securities
Wells Fargo Bank NA
Crowell Weedon &amp; Co
Deutsche Bank Securities
Morgan Keegan Inc
1st Discount Brokerage Inc
Ferris Baker Watts
J. B. Hanauer
M. L. Stern
Maxim Group LLC
Bishop, Rosen &amp; Co
Brean Murray Carret &amp; Co LLC
Brookstreet Securities
Cadaret Grant &amp; Co
City Securities
DA Davidson &amp; Co Inc
David A. Noyes
Doft &amp; Co Inc
Dominick &amp; Dominick Inc
E*Trade Securities Inc
First Allied Securities, Inc.
First Montauk Securities
Gilford Securities
GunnAllen Financial Inc
Huntleigh Securities Corp
Johnston Lemon &amp; Co Inc
Ladenburg Thalmann &amp; Co
McGinn, Smith &amp; Co Inc
Mesirow Financial Corp
Morgan Wilshire Securities
Natcity Investments Inc.
National Securities Corp (US)
Newbridge Securities
Peacock Hislop Staley &amp; Given
Regal Securities Inc
Sanders Morris Harris Inc
Southwest Securities Inc
Sterne Agee &amp; Leach Inc
Stonnington Group LLC
SunTrust Capital Markets
Torrey Pines Securities
Wayne Hummer &amp; Co</t>
  </si>
  <si>
    <t>CITIGROUP(JB)/A-G-EDWARDS(JB)//BAIRD
/BA-SEC-LLC/BB-T-CAP/HR-BLOCK-FIN
/HONG-SHANG-BKG/HILLIARD/JANNEY-LLC
/OPPENHEIMER-CO/RBC-CAP-MKTS/RYAN-BECK
/STIFEL/WEDBUSH-M/WELLS-FARGO//CROWELL
/DBSECU/MORGAN-KEEGAN/FD-BROKERAGE
/FERRIS-BAKER/J-B-HANAUER/M-L-STERN
/MAXIM-GROUP/BISHOP-ROSEN
/BREANMUR-CARRET/BROOKSTREET
/CADARET-GRANT/CITY-SEC/DAVIDSON
/D-A-NOYES/DOFT/DOMINICK/E*TRADE-SEC
/FIRST-ALLIED/FIRST-MONTAUK/GILFORD
/GUNNALLEN-FINL/HUNTLEIGH-SEC
/JOHNSTON-LEMON/LADENBURG/MCGINN-SMITH
/MESIROW-FIN/MORGAN-WILSHIRE
/NATCITY-INVEST/NATL-SEC/NEWBRIDGE
/PEACOCK-HISLOP/REGAL-SEC-INC
/SANDERS-HARRIS/SWS-SEC/STERNE-AGEE
/STONNINGTON-LLC/SUNTRUST-CAP
/TORREY-PINES/HUMMER</t>
  </si>
  <si>
    <t>CITIGROUP
(JB)/A-G-EDWARDS(JB)
BAIRD
BA-SEC-LLC
BB-T-CAP
HR-BLOCK-FIN
HONG-SHANG-BKG
HILLIARD
JANNEY-LLC
OPPENHEIMER-CO
RBC-CAP-MKTS
RYAN-BECK
STIFEL
WEDBUSH-M
WELLS-FARGO</t>
  </si>
  <si>
    <t>Citigroup
AG Edwards &amp; Sons Inc
Robert W Baird &amp; Co Inc
Banc of America Securities LLC
BB&amp;T Capital Markets
H&amp;R Block Financial Advisors
Hongkong &amp; Shanghai Banking Corp Ltd
JJB Hilliard WL Lyons Inc
Janney Montgomery Scott LLC
Oppenheimer &amp; Co Inc
RBC Capital Markets
Ryan Beck &amp; Co
Stifel Nicolaus &amp; Co Inc
Wedbush Securities
Wells Fargo Bank NA</t>
  </si>
  <si>
    <t>Rosetta Genomics Ltd</t>
  </si>
  <si>
    <t>ROSG</t>
  </si>
  <si>
    <t>CE Unterberg Towbin
Oppenheimer &amp; Co Inc</t>
  </si>
  <si>
    <t>08/25/07
08/25/07</t>
  </si>
  <si>
    <t>UNTERBERG//OPPENHEIMER-CO</t>
  </si>
  <si>
    <t>UNTERBERG
OPPENHEIMER-CO</t>
  </si>
  <si>
    <t>Coleman Cable Inc</t>
  </si>
  <si>
    <t>CCIX</t>
  </si>
  <si>
    <t>08/27/07
08/27/07</t>
  </si>
  <si>
    <t>Churchill Ventures Ltd</t>
  </si>
  <si>
    <t>CHV</t>
  </si>
  <si>
    <t>17157P109</t>
  </si>
  <si>
    <t>Banc of America Securities LLC
GunnAllen Financial Inc
Legend Merchant Group Inc
Pali Capital LLC
Maxim Group LLC</t>
  </si>
  <si>
    <t>02/24/08
02/24/08</t>
  </si>
  <si>
    <t>BA-SEC-LLC//GUNNALLEN-FINL
/LEGEND-MERCHANT/PALI-CAPITAL
/MAXIM-GROUP</t>
  </si>
  <si>
    <t>Banc of America Securities LLC</t>
  </si>
  <si>
    <t>Oceanaut Inc</t>
  </si>
  <si>
    <t>OKN</t>
  </si>
  <si>
    <t>Citigroup
Maxim Group LLC</t>
  </si>
  <si>
    <t>08/28/07
08/28/07
08/28/07</t>
  </si>
  <si>
    <t>CITIGROUP//MAXIM-GROUP</t>
  </si>
  <si>
    <t>CITIGROUP
MAXIM-GROUP</t>
  </si>
  <si>
    <t>Hyde Park Acquisition Corp</t>
  </si>
  <si>
    <t>HYDQ</t>
  </si>
  <si>
    <t>Earlybirdcapital Inc
Legend Merchant Group Inc
Ladenburg Thalmann &amp; Co
Southwest Securities Inc</t>
  </si>
  <si>
    <t>EARLYBIRD-CAP//LEGEND-MERCHANT
/LADENBURG/SWS-SEC</t>
  </si>
  <si>
    <t>EARLYBIRD-CAP
LEGEND-MERCHANT
LADENBURG
SWS-SEC</t>
  </si>
  <si>
    <t>Clearwire Corp</t>
  </si>
  <si>
    <t>CLWR</t>
  </si>
  <si>
    <t>MERRILL
/MORGAN-STANLEY(JB)
/JPM(JB)</t>
  </si>
  <si>
    <t>Merrill Lynch
Morgan Stanley
JP Morgan
Wachovia Securities Inc
Bear Stearns &amp; Co Inc
Citigroup
Jefferies &amp; Co Inc
Raymond James &amp; Associates Inc
ThinkEquity Partners
Stifel Nicolaus &amp; Co Inc
DA Davidson &amp; Co Inc
JMP Securities LLC
McAdams Wright Ragen Inc
Morgan Keegan Inc
Susquehanna Financial Group
Wedbush Securities
Wells Fargo Securities LLC
AG Edwards &amp; Sons Inc</t>
  </si>
  <si>
    <t>09/03/07
09/03/07
09/03/07
06/05/07
06/05/07</t>
  </si>
  <si>
    <t xml:space="preserve">
</t>
  </si>
  <si>
    <t>180
180
180
90
90</t>
  </si>
  <si>
    <t>S</t>
  </si>
  <si>
    <t>Sprint Nextel Corp</t>
  </si>
  <si>
    <t>MERRILL(JB)/MORGAN-STANLEY(JB)/JPM(JB)
/WACHOVIA-SEC/BEAR/CITIGROUP
/JEFFERIES(JOINT)//RAYMOND/THINK/STIFEL
//DAVIDSON/JMP-SEC/MCADAMS-WRIGHT
/MORGAN-KEEGAN/SUSQUEHANNA-FIN
/WEDBUSH-M/WELLS-FARGO-SEC/A-G-EDWARDS</t>
  </si>
  <si>
    <t>MERRILL/MORGAN-STANLEY/JPM/WACHOVIA-SEC
/BEAR/CITIGROUP/JEFFERIES</t>
  </si>
  <si>
    <t>MERRILL
(JB)/MORGAN-STANLEY(JB)
/JPM(JB)
/WACHOVIA-SEC
/BEAR
/CITIGROUP
/JEFFERIES(JOINT)
RAYMOND
THINK
STIFEL</t>
  </si>
  <si>
    <t>Merrill Lynch &amp; Co Inc
Morgan Stanley
JP Morgan &amp; Co Inc
Wachovia Securities Inc
Bear Stearns &amp; Co Inc
Citigroup
Jefferies &amp; Co Inc
Raymond James &amp; Associates Inc
ThinkEquity Partners
Stifel Nicolaus &amp; Co Inc</t>
  </si>
  <si>
    <t>Symmetry Holdings Inc</t>
  </si>
  <si>
    <t>SHJ</t>
  </si>
  <si>
    <t>CIBC World Markets Inc
Sunrise Securities
FTN MIDWEST RESEARCH SECURITIE
I-Bankers Securities Inc
GunnAllen Financial Inc
Haywood Securities Ltd.
Maxim Group LLC</t>
  </si>
  <si>
    <t>CIBC-WORLD//SSEC/FTN-MIDWEST
/I-BANKERS-SEC/GUNNALLEN-FINL
//HAYWOOD-SEC/MAXIM-GROUP</t>
  </si>
  <si>
    <t>CIBC-WORLD
SSEC
FTN-MIDWEST
I-BANKERS-SEC
GUNNALLEN-FINL</t>
  </si>
  <si>
    <t>CIBC World Markets Inc
Sunrise Securities
FTN MIDWEST RESEARCH SECURITIE
I-Bankers Securities Inc
GunnAllen Financial, Inc.</t>
  </si>
  <si>
    <t>Sourcefire Inc</t>
  </si>
  <si>
    <t>83616T108</t>
  </si>
  <si>
    <t>Morgan Stanley
Lehman Brothers
UBS Investment Bank
Jefferies &amp; Co Inc
Kaufman Brothers LP</t>
  </si>
  <si>
    <t>09/04/07
09/04/07
09/04/07</t>
  </si>
  <si>
    <t>MORGAN-STANLEY//LEH/UBS-INV-BANK
/JEFFERIES/KAUFMAN-BROS</t>
  </si>
  <si>
    <t>MORGAN-STANLEY
LEH
UBS-INV-BANK
JEFFERIES
KAUFMAN-BROS</t>
  </si>
  <si>
    <t>Xinhua Finance Media Ltd</t>
  </si>
  <si>
    <t>XFML</t>
  </si>
  <si>
    <t>JP Morgan
UBS Investment Bank
CIBC World Markets Inc
WR Hambrecht &amp; Co LLC
ABN AMRO Asia
JP Morgan
UBS Investment Bank</t>
  </si>
  <si>
    <t>JPM(JB)/UBS-INV-BANK(JB)//CIBC-WORLD
/W-R-HAMBRECHT/ABNAHK//JPM(GC)
/UBS-INV-BANK(GC)</t>
  </si>
  <si>
    <t>JPM
(JB)/UBS-INV-BANK(JB)
CIBC-WORLD
W-R-HAMBRECHT
ABNAHK</t>
  </si>
  <si>
    <t>JP Morgan &amp; Co Inc
UBS Investment Bank
CIBC World Markets Inc
WR Hambrecht &amp; Co LLC
ABN AMRO Asia Ltd</t>
  </si>
  <si>
    <t>Media &amp; Entertainment Holdings</t>
  </si>
  <si>
    <t>TVH</t>
  </si>
  <si>
    <t>LAZARD-CAP-MKT
/LADENBURG(JB)</t>
  </si>
  <si>
    <t>58439W108</t>
  </si>
  <si>
    <t>Lazard Capital Markets
Ladenburg Thalmann &amp; Co
Jesup &amp; Lamont Securities</t>
  </si>
  <si>
    <t>LAZARD-CAP-MKT(JB)/LADENBURG(JB)//JESUP</t>
  </si>
  <si>
    <t>LAZARD-CAP-MKT/LADENBURG</t>
  </si>
  <si>
    <t>LAZARD-CAP-MKT
(JB)/LADENBURG(JB)
JESUP</t>
  </si>
  <si>
    <t>Lazard Capital Markets
Ladenburg Thalmann &amp; Co
Jesup &amp; Lamont Securities Co Inc</t>
  </si>
  <si>
    <t>Bigband Networks Inc</t>
  </si>
  <si>
    <t>BBND</t>
  </si>
  <si>
    <t>089750509</t>
  </si>
  <si>
    <t>Morgan Stanley
Merrill Lynch
Jefferies &amp; Co Inc
SG Cowen Securities Corp
ThinkEquity Partners</t>
  </si>
  <si>
    <t>09/10/07
09/10/07
09/10/07</t>
  </si>
  <si>
    <t>MORGAN-STANLEY(JB)/MERRILL(JB)
//JEFFERIES/SG-COWEN/THINK</t>
  </si>
  <si>
    <t>MORGAN-STANLEY
(JB)/MERRILL(JB)
JEFFERIES
SG-COWEN
THINK</t>
  </si>
  <si>
    <t>Morgan Stanley
Merrill Lynch &amp; Co Inc
Jefferies &amp; Co Inc
SG Cowen Securities Corp
ThinkEquity Partners</t>
  </si>
  <si>
    <t>Gafisa SA</t>
  </si>
  <si>
    <t>GFSA3</t>
  </si>
  <si>
    <t>MERRILL
/BANCO-IT-BBA(JB)
/CITIGROUP(JB)</t>
  </si>
  <si>
    <t>Merrill Lynch
Banco Itau-BBA SA
Citigroup
Hongkong &amp; Shanghai Bank (HK)
UBS Investment Bank</t>
  </si>
  <si>
    <t>MERRILL(JB)/BANCO-IT-BBA(JB)
/CITIGROUP(JB)//HONG-SHANG-BKG
/UBS-INV-BANK</t>
  </si>
  <si>
    <t>MERRILL/BANCO-IT-BBA/CITIGROUP</t>
  </si>
  <si>
    <t>MERRILL
(JB)/BANCO-IT-BBA(JB)
/CITIGROUP(JB)
HONG-SHANG-BKG
UBS-INV-BANK</t>
  </si>
  <si>
    <t>Merrill Lynch &amp; Co Inc
Banco Itau-BBA SA
Citigroup
Hongkong &amp; Shanghai Banking Corp Ltd
UBS Investment Bank</t>
  </si>
  <si>
    <t>Tongjitang Chinese Medicines</t>
  </si>
  <si>
    <t>89025E103</t>
  </si>
  <si>
    <t>Merrill Lynch
UBS Investment Bank
CIBC World Markets Inc</t>
  </si>
  <si>
    <t>09/11/07
09/11/07
09/11/07</t>
  </si>
  <si>
    <t>MERRILL(JB)/UBS-INV-BANK(JB)
//CIBC-WORLD</t>
  </si>
  <si>
    <t>MERRILL
(JB)/UBS-INV-BANK(JB)
CIBC-WORLD</t>
  </si>
  <si>
    <t>Merrill Lynch &amp; Co Inc
UBS Investment Bank
CIBC World Markets Inc</t>
  </si>
  <si>
    <t>FCStone Group Inc</t>
  </si>
  <si>
    <t>FCSX</t>
  </si>
  <si>
    <t>BMO-CAPITAL
/BA-SEC-LLC(JB)</t>
  </si>
  <si>
    <t>31308T100</t>
  </si>
  <si>
    <t>BMO Capital Markets
Banc of America Securities LLC
William Blair &amp; Co
Raymond James &amp; Associates Inc
Sandler O'Neill Partners</t>
  </si>
  <si>
    <t>09/12/07
09/12/07
09/12/07</t>
  </si>
  <si>
    <t>BMO-CAPITAL(JB)/BA-SEC-LLC(JB)
//WM-BLAIR/RAYMOND/SANDLER-ONEILL</t>
  </si>
  <si>
    <t>BMO-CAPITAL/BA-SEC-LLC</t>
  </si>
  <si>
    <t>BMO-CAPITAL
(JB)/BA-SEC-LLC(JB)
WM-BLAIR
RAYMOND
SANDLER-ONEILL</t>
  </si>
  <si>
    <t>BMO Capital Markets
Banc of America Securities LLC
William Blair &amp; Co
Raymond James &amp; Associates Inc
Sandler O'Neill Partners  L.P.</t>
  </si>
  <si>
    <t>Haynes International Inc</t>
  </si>
  <si>
    <t>HAYN</t>
  </si>
  <si>
    <t>JP Morgan
Bear Stearns &amp; Co Inc
Key Banc Capital Markets</t>
  </si>
  <si>
    <t>JPM//BEAR/KEY-BANC-CAP</t>
  </si>
  <si>
    <t>JPM
BEAR
KEY-BANC-CAP</t>
  </si>
  <si>
    <t>JP Morgan &amp; Co Inc
Bear Stearns &amp; Co Inc
Key Banc Capital Markets</t>
  </si>
  <si>
    <t>Cheniere Energy Partners LP</t>
  </si>
  <si>
    <t>CQP</t>
  </si>
  <si>
    <t>CITIGROUP/MERRILL(JB)
/CREDIT-SUISSE(JB)</t>
  </si>
  <si>
    <t>16411Q101</t>
  </si>
  <si>
    <t>Citigroup
Merrill Lynch
Credit Suisse
RBC Capital Markets
SMH Capital Inc
Stifel Nicolaus &amp; Co Inc
Howard Weil Financial Corp
Pritchard Capital Partners LLC
Fig Partners LLC</t>
  </si>
  <si>
    <t>09/16/07
09/16/07
09/16/07</t>
  </si>
  <si>
    <t>CITIGROUP(JB)/MERRILL(JB)
/CREDIT-SUISSE(JB)//RBC-CAP-MKTS
/SMH-CAPITAL/STIFEL/HOWARD-WEIL-FIN
/PRITCHARD-CAP/FIG-PARTNERS</t>
  </si>
  <si>
    <t>CITIGROUP/MERRILL/CREDIT-SUISSE</t>
  </si>
  <si>
    <t>CITIGROUP
(JB)/MERRILL(JB)
/CREDIT-SUISSE(JB)
RBC-CAP-MKTS
SMH-CAPITAL
STIFEL
HOWARD-WEIL-FIN
PRITCHARD-CAP
FIG-PARTNERS</t>
  </si>
  <si>
    <t>Citigroup
Merrill Lynch &amp; Co Inc
Credit Suisse
RBC Capital Markets
SMH Capital Inc
Stifel Nicolaus &amp; Co Inc
Howard Weil Financial Corp
Pritchard Capital Partners LLC
Fig Partners LLC</t>
  </si>
  <si>
    <t>China Opportunity Acquisition</t>
  </si>
  <si>
    <t>CHNQ</t>
  </si>
  <si>
    <t>16941S205</t>
  </si>
  <si>
    <t>Glu Mobile Inc</t>
  </si>
  <si>
    <t>GLUU</t>
  </si>
  <si>
    <t>Goldman Sachs &amp; Co
Lehman Brothers
Banc of America Securities LLC
Needham &amp; Co LLC</t>
  </si>
  <si>
    <t>09/17/07
09/17/07
09/17/07</t>
  </si>
  <si>
    <t>GS/LEH(JOINT)//BA-SEC-LLC/NEEDHAM</t>
  </si>
  <si>
    <t>GS
/LEH(JOINT)
BA-SEC-LLC
NEEDHAM</t>
  </si>
  <si>
    <t>CastlePoint Holdings Ltd</t>
  </si>
  <si>
    <t>CPHL</t>
  </si>
  <si>
    <t>Friedman Billings Ramsey &amp; Co
Keefe Bruyette &amp; Woods Inc
Cochran Caronia Waller
Piper Jaffray Cos
Key Banc Capital Markets</t>
  </si>
  <si>
    <t>09/18/07
09/18/07
09/18/07</t>
  </si>
  <si>
    <t>FRIEDMAN-B-CO//KEEFE/COCHRAN-CARWAL
/PIPER-JAFFRAY//KEY-BANC-CAP</t>
  </si>
  <si>
    <t>FRIEDMAN-B-CO
KEEFE
COCHRAN-CARWAL
PIPER-JAFFRAY</t>
  </si>
  <si>
    <t>Friedman Billings Ramsey &amp; Co Inc
Keefe Bruyette &amp; Woods Inc
Cochran Caronia Waller
Piper Jaffray Cos</t>
  </si>
  <si>
    <t>Alpha Security Group Corp</t>
  </si>
  <si>
    <t>HDS</t>
  </si>
  <si>
    <t>02078A209</t>
  </si>
  <si>
    <t>MAXIM-GROUP//I-BANKERS-SEC</t>
  </si>
  <si>
    <t>GSC Investment Corp</t>
  </si>
  <si>
    <t>GNV</t>
  </si>
  <si>
    <t>CITIGROUP/JPM(JB)
/WACHOVIA-SEC(JB)</t>
  </si>
  <si>
    <t>Citigroup
JP Morgan
Wachovia Securities Inc
BMO Capital Markets
Ferris Baker Watts
Stifel Nicolaus &amp; Co Inc</t>
  </si>
  <si>
    <t>09/19/07
09/19/07
09/19/07</t>
  </si>
  <si>
    <t>CITIGROUP(JB)/JPM(JB)/WACHOVIA-SEC(JB)
//BMO-CAPITAL/FERRIS-BAKER/STIFEL</t>
  </si>
  <si>
    <t>CITIGROUP/JPM/WACHOVIA-SEC</t>
  </si>
  <si>
    <t>CITIGROUP
(JB)/JPM(JB)
/WACHOVIA-SEC(JB)
BMO-CAPITAL
FERRIS-BAKER
STIFEL</t>
  </si>
  <si>
    <t>Citigroup
JP Morgan &amp; Co Inc
Wachovia Securities Inc
BMO Capital Markets
Ferris Baker Watts Inc
Stifel Nicolaus &amp; Co Inc</t>
  </si>
  <si>
    <t>Aruba Networks Inc</t>
  </si>
  <si>
    <t>ARUN</t>
  </si>
  <si>
    <t>043176106</t>
  </si>
  <si>
    <t>Goldman Sachs &amp; Co
Lehman Brothers
JP Morgan
RBC Capital Markets</t>
  </si>
  <si>
    <t>09/22/07
09/22/07</t>
  </si>
  <si>
    <t>GS(JB)/LEH(JB)//JPM/RBC-CAP-MKTS</t>
  </si>
  <si>
    <t>GS
(JB)/LEH(JB)
JPM
RBC-CAP-MKTS</t>
  </si>
  <si>
    <t>Goldman Sachs &amp; Co
Lehman Brothers
JP Morgan &amp; Co Inc
RBC Capital Markets</t>
  </si>
  <si>
    <t>Blackrock Global Eq Inc Trust</t>
  </si>
  <si>
    <t>BFD</t>
  </si>
  <si>
    <t>09255D104</t>
  </si>
  <si>
    <t>Merrill Lynch
AG Edwards &amp; Sons Inc
BB&amp;T Capital Markets
Robert W Baird &amp; Co Inc
H&amp;R Block Financial Advisors
Crowell Weedon &amp; Co
Ferris Baker Watts
Hongkong &amp; Shanghai Bank (HK)
JJB Hilliard WL Lyons Inc
Janney Montgomery Scott LLC
Ladenburg Thalmann &amp; Co
Morgan Keegan Inc
Oppenheimer &amp; Co Inc
RBC Capital Markets
Raymond James &amp; Associates Inc
Ryan Beck &amp; Co
Stifel Nicolaus &amp; Co Inc
SunTrust Capital Markets
Wedbush Securities
Wells Fargo Bank NA
Wunderlich Securities Inc
Chatsworth Securities LLC
DA Davidson &amp; Co Inc
Deutsche Bank
Dominick &amp; Dominick Inc
E*Trade Securities Inc
Maxim Group LLC
Stockcross Inc
TD Ameritrade
Anderson &amp; Strudwick
Bishop, Rosen &amp; Co
Brean Murray Carret &amp; Co LLC
Brookstreet Securities
CastleOak Securities LP
Chicago Investment Group LLC
Fidelity Capital Markets
Fifth Third Securities Inc
Finance 500 Inc
First Montauk Securities
First Southwest
Johnston Lemon &amp; Co Inc
Gilford Securities
GunnAllen Financial Inc
J. B. Hanauer
Hazlett, Burt &amp; Watson
Hennion &amp; Walsh, Inc
Howe Barnes Hoefer Arnett Inc
Wayne Hummer &amp; Co
Huntleigh Securities Corp
Jesup &amp; Lamont Securities
McGinn, Smith &amp; Co Inc
Mesirow Financial Corp
Moors &amp; Cabot Inc
Morgan Wilshire Securities
Natcity Investments Inc.
National Securities Corp (US)
Newbridge Securities
Northeast Securities Inc.
David A. Noyes
Peacock Hilsop Staley &amp; Givens
Sanders Morris Harris Inc
Source Capital Group Inc
Southwest Securities Group Inc
Stanford Group Company
M. L. Stern
Sterne Agee &amp; Leach Inc
Stone &amp; Youngberg
Stonnington Group LLC
Strand,Atkinson,Williams&amp;Yerl
Synovus Securities Inc
Torrey Pines Securities
JP Turner &amp; Co
Westminster Finl Sec Inc
BC Ziegler &amp; Co
LaSalle Street Securities Inc</t>
  </si>
  <si>
    <t>MERRILL//A-G-EDWARDS/BB-T-CAP/BAIRD
/HR-BLOCK-FIN/CROWELL/FERRIS-BAKER
/HONG-SHANG-BKG/HILLIARD/JANNEY-LLC
/LADENBURG/MORGAN-KEEGAN/OPPENHEIMER-CO
/RBC-CAP-MKTS/RAYMOND/RYAN-BECK/STIFEL
/SUNTRUST-CAP/WEDBUSH-M/WELLS-FARGO
//WUNDERLICH/CHATSWORTH/DAVIDSON
/DEUTSCHE-BANK/DOMINICK/E*TRADE-SEC
/MAXIM-GROUP/STOCK-INC/TD-AMER/ANDERSON
/BISHOP-ROSEN/BREANMUR-CARRET
/BROOKSTREET/CASTLEOAK-SEC/CHICAGO-INV
/FIDELITY-CAP/FIFTH-THIRD-SEC
/FINANCE-INC/FIRST-MONTAUK/FIRST-SW
/JOHNSTON-LEMON/GILFORD/GUNNALLEN-FINL
/J-B-HANAUER/HAZLETT/HENNION-WALSH
/HBHOEFER-ARNETT/HUMMER/HUNTLEIGH-SEC
/JESUP/MCGINN-SMITH/MESIROW-FIN/MOORS
/MORGAN-WILSHIRE/NATCITY-INVEST
/NATL-SEC/NEWBRIDGE/NORTHEAST-SEC
/D-A-NOYES/PEACOCK-HIL/SANDERS-HARRIS
/SOURCE-CAPITAL/SOUTHWEST-SEC
/STANFORD-GROUP/M-L-STERN/STERNE-AGEE
/STONE-YOUNG/STONNINGTON-LLC
/STRAND-ATKIN/SYNOVUS-SEC/TORREY-PINES
/J-P-TURNER/WEST-FIN-SEC/ZIEGLER
/LASALLE-SEC</t>
  </si>
  <si>
    <t>MERRILL
A-G-EDWARDS
BB-T-CAP
BAIRD
HR-BLOCK-FIN
CROWELL
FERRIS-BAKER
HONG-SHANG-BKG
HILLIARD
JANNEY-LLC
LADENBURG
MORGAN-KEEGAN
OPPENHEIMER-CO
RBC-CAP-MKTS
RAYMOND
RYAN-BECK
STIFEL
SUNTRUST-CAP
WEDBUSH-M
WELLS-FARGO</t>
  </si>
  <si>
    <t>Merrill Lynch &amp; Co Inc
AG Edwards &amp; Sons Inc
BB&amp;T Capital Markets
Robert W Baird &amp; Co Inc
H&amp;R Block Financial Advisors
Crowell Weedon &amp; Co
Ferris Baker Watts Inc
Hongkong &amp; Shanghai Banking Corp Ltd
JJB Hilliard WL Lyons Inc
Janney Montgomery Scott LLC
Ladenburg Thalmann &amp; Co
Morgan Keegan Inc
Oppenheimer &amp; Co Inc
RBC Capital Markets
Raymond James &amp; Associates Inc
Ryan Beck &amp; Co
Stifel Nicolaus &amp; Co Inc
SunTrust Capital Markets
Wedbush Securities
Wells Fargo Bank NA</t>
  </si>
  <si>
    <t>eTelecare Global Solutions Inc</t>
  </si>
  <si>
    <t>ETEL</t>
  </si>
  <si>
    <t>29759R102</t>
  </si>
  <si>
    <t>Morgan Stanley
Deutsche Bank Securities Corp
Robert W Baird &amp; Co Inc
JMP Securities LLC</t>
  </si>
  <si>
    <t>09/23/07
09/23/07
09/23/07</t>
  </si>
  <si>
    <t>MORGAN-STANLEY//DEUTSCHE-BK-SEC/BAIRD
/JMP-SEC</t>
  </si>
  <si>
    <t>MORGAN-STANLEY
DEUTSCHE-BK-SEC
BAIRD
JMP-SEC</t>
  </si>
  <si>
    <t>Morgan Stanley
Deutsche Bank Securities Corp.
Robert W Baird &amp; Co Inc
JMP Securities LLC</t>
  </si>
  <si>
    <t>Evergreen Global Dividend</t>
  </si>
  <si>
    <t>EOD</t>
  </si>
  <si>
    <t>30024H101</t>
  </si>
  <si>
    <t>Wachovia Securities Inc
AG Edwards &amp; Sons Inc
Robert W Baird &amp; Co Inc
BB&amp;T Capital Markets
Crowell Weedon &amp; Co
Doft &amp; Co Inc
Ferris Baker Watts
Morgan Keegan Inc
Oppenheimer &amp; Co Inc
Southwest Securities Inc
Wedbush Securities
Wells Fargo Bank NA
DA Davidson &amp; Co Inc
Deutsche Bank Securities
Dominick &amp; Dominick Inc
First Allied Securities, Inc.
GMS Group
GunnAllen Financial Inc
J. B. Hanauer
Johnston Lemon &amp; Co Inc
Ladenburg Thalmann &amp; Co
Maxim Group LLC
Royal Alliance Associates
Ryan Beck &amp; Co
Herbert J. Sims
Stephens Inc
TD Ameritrade
Wunderlich Securities Inc
Aegis Capital
Bishop, Rosen &amp; Co
Hennion &amp; Walsh, Inc
Huntleigh Securities Corp
Mesirow Financial Corp
Natcity Investments Inc.
David A. Noyes
Stonnington Group LLC
Strand,Atkinson,Williams&amp;Yerl
AIG Financial Advisors Inc
Bernard Herold &amp; Co
William Blair &amp; Co
Brookstreet Securities
Capital Growth Financial LLC
Chester Harris &amp; Co
City Securities
Dawson James Securities
First Montauk Securities
Gilford Securities
Joseph Gunnar &amp; Co., LLC
Wayne Hummer &amp; Co
Investors Capital Corp
McGinn, Smith &amp; Co Inc
Regal Securities Inc
R. M. Stark &amp; Co
Summit Brokerage Services Inc
JP Turner &amp; Co</t>
  </si>
  <si>
    <t>WACHOVIA-SEC/A-G-EDWARDS(JOINT)//BAIRD
/BB-T-CAP/CROWELL/DOFT/FERRIS-BAKER
/MORGAN-KEEGAN/OPPENHEIMER-CO/SWS-SEC
/WEDBUSH-M/WELLS-FARGO//DAVIDSON/DBSECU
/DOMINICK/FIRST-ALLIED/GMS-GROUP
/GUNNALLEN-FINL/J-B-HANAUER
/JOHNSTON-LEMON/LADENBURG/MAXIM-GROUP
/ROYAL-ALLIANCE/RYAN-BECK/HERBERT-SIMS
/STEPHENS/TD-AMER/WUNDERLICH/AEGIS-CAP
/BISHOP-ROSEN/HENNION-WALSH
/HUNTLEIGH-SEC/MESIROW-FIN
/NATCITY-INVEST/D-A-NOYES
/STONNINGTON-LLC/STRAND-ATKIN
/AIG-FINANCIAL/BERNARD-HER/WM-BLAIR
/BROOKSTREET/CGF-SEC/CHESTER-HARRIS
/CITY-SEC/DAWSON-JAMES/FIRST-MONTAUK
/GILFORD/GUNNAR/HUMMER/INVEST-CAPITAL
/MCGINN-SMITH/REGAL-SEC-INC/R-M-STARK
/SUMMIT-BROKER/J-P-TURNER</t>
  </si>
  <si>
    <t>WACHOVIA-SEC/A-G-EDWARDS</t>
  </si>
  <si>
    <t>WACHOVIA-SEC
/A-G-EDWARDS(JOINT)
BAIRD
BB-T-CAP
CROWELL
DOFT
FERRIS-BAKER
MORGAN-KEEGAN
OPPENHEIMER-CO
SWS-SEC
WEDBUSH-M
WELLS-FARGO</t>
  </si>
  <si>
    <t>Wachovia Securities Inc
AG Edwards &amp; Sons Inc
Robert W Baird &amp; Co Inc
BB&amp;T Capital Markets
Crowell Weedon &amp; Co
Doft &amp; Co Inc
Ferris Baker Watts Inc
Morgan Keegan Inc
Oppenheimer &amp; Co Inc
Southwest Securities Inc
Wedbush Securities
Wells Fargo Bank NA</t>
  </si>
  <si>
    <t>First Trust Strategic High</t>
  </si>
  <si>
    <t>FHO</t>
  </si>
  <si>
    <t>33735C106</t>
  </si>
  <si>
    <t>RBC Capital Markets
AG Edwards &amp; Sons Inc
BB&amp;T Capital Markets
Robert W Baird &amp; Co Inc
Crowell Weedon &amp; Co
Ferris Baker Watts
Newbridge Securities
Oppenheimer &amp; Co Inc
Ryan Beck &amp; Co
Sterne Agee &amp; Leach Inc
SunTrust Capital Markets
Wedbush Securities
M. L. Stern
GunnAllen Financial Inc
Sanders Morris Harris Inc
Huntleigh Securities Corp
Stone &amp; Youngberg
Wunderlich Securities Inc
Chicago Investment Group LLC
Brookstreet Securities
Jesup &amp; Lamont Securities
National Securities Corp (US)
Anderson &amp; Strudwick
Maxim Group LLC
Southwest Securities Inc
GMS Group
David A. Noyes</t>
  </si>
  <si>
    <t>RBC-CAP-MKTS//A-G-EDWARDS/BB-T-CAP
/BAIRD/CROWELL/FERRIS-BAKER/NEWBRIDGE
/OPPENHEIMER-CO/RYAN-BECK/STERNE-AGEE
/SUNTRUST-CAP/WEDBUSH-M/M-L-STERN
/GUNNALLEN-FINL/SANDERS-HARRIS
/HUNTLEIGH-SEC/STONE-YOUNG/WUNDERLICH
/CHICAGO-INV/BROOKSTREET/JESUP/NATL-SEC
//ANDERSON/MAXIM-GROUP/SWS-SEC
/GMS-GROUP/D-A-NOYES</t>
  </si>
  <si>
    <t>RBC-CAP-MKTS
A-G-EDWARDS
BB-T-CAP
BAIRD
CROWELL
FERRIS-BAKER
NEWBRIDGE
OPPENHEIMER-CO
RYAN-BECK
STERNE-AGEE
SUNTRUST-CAP
WEDBUSH-M
M-L-STERN
GUNNALLEN-FINL
SANDERS-HARRIS
HUNTLEIGH-SEC
STONE-YOUNG
WUNDERLICH
CHICAGO-INV
BROOKSTREET
JESUP
NATL-SEC</t>
  </si>
  <si>
    <t>RBC Capital Markets
AG Edwards &amp; Sons Inc
BB&amp;T Capital Markets
Robert W Baird &amp; Co Inc
Crowell Weedon &amp; Co
Ferris Baker Watts Inc
Newbridge Securities
Oppenheimer &amp; Co Inc
Ryan Beck &amp; Co
Sterne Agee &amp; Leach Inc
SunTrust Capital Markets
Wedbush Securities
M. L. Stern &amp; Co., Inc.
GunnAllen Financial, Inc.
Sanders Morris Harris Inc
Huntleigh Securities Corporation
Stone &amp; Youngberg
Wunderlich Securities Inc
Chicago Investment Group LLC
Brookstreet Securities
Jesup &amp; Lamont Securities Co Inc
National Securities Corp (US)</t>
  </si>
  <si>
    <t>ING Asia Pacific High Dividend</t>
  </si>
  <si>
    <t>IAE</t>
  </si>
  <si>
    <t>44983J109</t>
  </si>
  <si>
    <t>Citigroup
Merrill Lynch
AG Edwards &amp; Sons Inc
Robert W Baird &amp; Co Inc
Banc of America Securities LLC
Crowell Weedon &amp; Co
Ferris Baker Watts
H&amp;R Block Financial Advisors
Hongkong &amp; Shanghai Bank (HK)
JJB Hilliard WL Lyons Inc
Janney Montgomery Scott LLC
Oppenheimer &amp; Co Inc
RBC Capital Markets
Wells Fargo Bank NA
DA Davidson &amp; Co Inc
Deutsche Bank
Morgan Keegan Inc
Ryan Beck &amp; Co
Wedbush Securities
BB&amp;T Capital Markets
CastleOak Securities LP
David A. Noyes
Doft &amp; Co Inc
Dominick &amp; Dominick Inc
First Allied Securities, Inc.
First Southwest
Gilford Securities
Huntleigh Securities Corp
J. B. Hanauer
Ladenburg Thalmann &amp; Co
LaSalle Street Securities Inc
M. L. Stern
Maxim Group LLC
McGinn, Smith &amp; Co Inc
Mesirow Financial Corp
Morgan Wilshire Securities
National Securities
Northeast Securities Inc.
Regal Securities Inc
Sanders Morris Harris Inc
Stone &amp; Youngberg
Stonnington Group LLC
Strand,Atkinson,Williams&amp;Yerl
Wayne Hummer &amp; Co</t>
  </si>
  <si>
    <t>CITIGROUP//MERRILL/A-G-EDWARDS/BAIRD
/BA-SEC-LLC/CROWELL/FERRIS-BAKER
/HR-BLOCK-FIN/HONG-SHANG-BKG/HILLIARD
/JANNEY-LLC/OPPENHEIMER-CO/RBC-CAP-MKTS
/WELLS-FARGO//DAVIDSON/DEUTSCHE-BANK
/MORGAN-KEEGAN/RYAN-BECK/WEDBUSH-M
/BB-T-CAP/CASTLEOAK-SEC/D-A-NOYES/DOFT
/DOMINICK/FIRST-ALLIED/FIRST-SW/GILFORD
/HUNTLEIGH-SEC/J-B-HANAUER/LADENBURG
/LASALLE-SEC/M-L-STERN/MAXIM-GROUP
/MCGINN-SMITH/MESIROW-FIN
/MORGAN-WILSHIRE/NATIONAL/NORTHEAST-SEC
/REGAL-SEC-INC/SANDERS-HARRIS
/STONE-YOUNG/STONNINGTON-LLC
/STRAND-ATKIN/HUMMER</t>
  </si>
  <si>
    <t>CITIGROUP
MERRILL
A-G-EDWARDS
BAIRD
BA-SEC-LLC
CROWELL
FERRIS-BAKER
HR-BLOCK-FIN
HONG-SHANG-BKG
HILLIARD
JANNEY-LLC
OPPENHEIMER-CO
RBC-CAP-MKTS
WELLS-FARGO</t>
  </si>
  <si>
    <t>Citigroup
Merrill Lynch &amp; Co Inc
AG Edwards &amp; Sons Inc
Robert W Baird &amp; Co Inc
Banc of America Securities LLC
Crowell Weedon &amp; Co
Ferris Baker Watts Inc
H&amp;R Block Financial Advisors
Hongkong &amp; Shanghai Banking Corp Ltd
JJB Hilliard WL Lyons Inc
Janney Montgomery Scott LLC
Oppenheimer &amp; Co Inc
RBC Capital Markets
Wells Fargo Bank NA</t>
  </si>
  <si>
    <t>Nuveen Core Equity Alpha Fund</t>
  </si>
  <si>
    <t>JCE</t>
  </si>
  <si>
    <t>67090X107</t>
  </si>
  <si>
    <t>UBS Investment Bank
Merrill Lynch
AG Edwards &amp; Sons Inc
Nuveen Investments LLC
Banc of America Securities LLC
Janney Montgomery Scott LLC
Raymond James &amp; Associates Inc
RBC Capital Markets
Stifel Nicolaus &amp; Co Inc
Wells Fargo Bank NA
Robert W Baird &amp; Co Inc
Crowell Weedon &amp; Co
Ferris Baker Watts
Ryan Beck &amp; Co
Deutsche Bank
Oppenheimer &amp; Co Inc
JJB Hilliard WL Lyons Inc
Stephens Inc
Wedbush Securities
Anderson &amp; Strudwick
BB&amp;T Capital Markets
Bernard Herold &amp; Co
Brookstreet Securities
City Securities
DA Davidson &amp; Co Inc
David A. Noyes
Doft &amp; Co Inc
Hazlett, Burt &amp; Watson
Huntleigh Securities Corp
Jesup &amp; Lamont Securities
Ladenburg Thalmann &amp; Co
LaSalle Street Securities Inc
M. L. Stern
Maxim Group LLC
Mesirow Financial Corp
Sanders Morris Harris Inc
Stanford Group Company
Stonnington Group LLC
Wayne Hummer &amp; Co
William Blair &amp; Co
BC Ziegler &amp; Co</t>
  </si>
  <si>
    <t>UBS-INV-BANK/MERRILL(JOINT)
//A-G-EDWARDS/NUVEEN-INV/BA-SEC-LLC
/JANNEY-LLC/RAYMOND/RBC-CAP-MKTS/STIFEL
/WELLS-FARGO/BAIRD/CROWELL/FERRIS-BAKER
/RYAN-BECK//DEUTSCHE-BANK
/OPPENHEIMER-CO/HILLIARD/STEPHENS
/WEDBUSH-M/ANDERSON/BB-T-CAP
/BERNARD-HER/BROOKSTREET/CITY-SEC
/DAVIDSON/D-A-NOYES/DOFT/HAZLETT
/HUNTLEIGH-SEC/JESUP/LADENBURG
/LASALLE-SEC/M-L-STERN/MAXIM-GROUP
/MESIROW-FIN/SANDERS-HARRIS
/STANFORD-GROUP/STONNINGTON-LLC/HUMMER
/WM-BLAIR/ZIEGLER</t>
  </si>
  <si>
    <t>UBS-INV-BANK
/MERRILL(JOINT)
A-G-EDWARDS
NUVEEN-INV
BA-SEC-LLC
JANNEY-LLC
RAYMOND
RBC-CAP-MKTS
STIFEL
WELLS-FARGO
BAIRD
CROWELL
FERRIS-BAKER
RYAN-BECK</t>
  </si>
  <si>
    <t>UBS Investment Bank
Merrill Lynch &amp; Co Inc
AG Edwards &amp; Sons Inc
Nuveen Investments LLC
Banc of America Securities LLC
Janney Montgomery Scott LLC
Raymond James &amp; Associates Inc
RBC Capital Markets
Stifel Nicolaus &amp; Co Inc
Wells Fargo Bank NA
Robert W Baird &amp; Co Inc
Crowell Weedon &amp; Co
Ferris Baker Watts Inc
Ryan Beck &amp; Co</t>
  </si>
  <si>
    <t>Santa Monica Media Corp</t>
  </si>
  <si>
    <t>MEJ</t>
  </si>
  <si>
    <t>03/21/08
03/21/08
03/21/08</t>
  </si>
  <si>
    <t>GSI Technology Inc</t>
  </si>
  <si>
    <t>GSIT</t>
  </si>
  <si>
    <t>NEEDHAM
/W-R-HAMBRECHT(JB)</t>
  </si>
  <si>
    <t>36241U106</t>
  </si>
  <si>
    <t>Needham &amp; Co LLC
WR Hambrecht &amp; Co LLC
Robert W Baird &amp; Co Inc
Stanford Group Company</t>
  </si>
  <si>
    <t>09/24/07
09/24/07</t>
  </si>
  <si>
    <t>NEEDHAM(JB)/W-R-HAMBRECHT(JB)//BAIRD
/STANFORD-GROUP</t>
  </si>
  <si>
    <t>NEEDHAM/W-R-HAMBRECHT</t>
  </si>
  <si>
    <t>NEEDHAM
(JB)/W-R-HAMBRECHT(JB)
BAIRD
STANFORD-GROUP</t>
  </si>
  <si>
    <t>SenoRx Inc</t>
  </si>
  <si>
    <t>SENO</t>
  </si>
  <si>
    <t>81724W104</t>
  </si>
  <si>
    <t>Banc of America Securities LLC
Citigroup
SG Cowen Securities Corp
Canaccord Adams</t>
  </si>
  <si>
    <t>09/24/07
09/24/07
09/24/07</t>
  </si>
  <si>
    <t>BA-SEC-LLC(JB)/CITIGROUP(JB)//SG-COWEN
/CAN-ADAMS</t>
  </si>
  <si>
    <t>BA-SEC-LLC
(JB)/CITIGROUP(JB)
SG-COWEN
CAN-ADAMS</t>
  </si>
  <si>
    <t>Super Micro Computer Inc</t>
  </si>
  <si>
    <t>SMCI</t>
  </si>
  <si>
    <t>86800U104</t>
  </si>
  <si>
    <t>Merrill Lynch
UBS Investment Bank
Needham &amp; Co LLC</t>
  </si>
  <si>
    <t>09/25/07
09/25/07</t>
  </si>
  <si>
    <t>MERRILL//UBS-INV-BANK/NEEDHAM</t>
  </si>
  <si>
    <t>MERRILL
UBS-INV-BANK
NEEDHAM</t>
  </si>
  <si>
    <t>Merrill Lynch &amp; Co Inc
UBS Investment Bank
Needham &amp; Co LLC</t>
  </si>
  <si>
    <t>Flagstone Reinsurance Hldg Ltd</t>
  </si>
  <si>
    <t>FSR</t>
  </si>
  <si>
    <t>G3529T105</t>
  </si>
  <si>
    <t>Lehman Brothers
Citigroup
JP Morgan
Credit Suisse
Wachovia Securities Inc
Keefe Bruyette &amp; Woods Inc
Dowling &amp; Partners Securities
Fox-Pitt Kelton
Cochran Caronia Waller</t>
  </si>
  <si>
    <t>09/25/07
09/25/07
09/25/07</t>
  </si>
  <si>
    <t>LEH(JB)/CITIGROUP(JB)//JPM
/CREDIT-SUISSE/WACHOVIA-SEC/KEEFE/DOWL
/FOX-PITT/COCHRAN-CARWAL</t>
  </si>
  <si>
    <t>LEH
(JB)/CITIGROUP(JB)
JPM
CREDIT-SUISSE
WACHOVIA-SEC
KEEFE
DOWL
FOX-PITT
COCHRAN-CARWAL</t>
  </si>
  <si>
    <t>Lehman Brothers
Citigroup
JP Morgan &amp; Co Inc
Credit Suisse
Wachovia Securities Inc
Keefe Bruyette &amp; Woods Inc
Dowling &amp; Partners Securities LLC
Fox-Pitt Kelton
Cochran Caronia Waller</t>
  </si>
  <si>
    <t>Capital Product Partners LP</t>
  </si>
  <si>
    <t>CPLP</t>
  </si>
  <si>
    <t>Y11082107</t>
  </si>
  <si>
    <t>Merrill Lynch
UBS Investment Bank
Bear Stearns &amp; Co Inc
Wachovia Securities Inc
Raymond James &amp; Associates Inc
Stifel Nicolaus &amp; Co Inc
Fortis Securities Inc</t>
  </si>
  <si>
    <t>06/17/07
09/25/07
09/25/07</t>
  </si>
  <si>
    <t>80
180
180</t>
  </si>
  <si>
    <t>MERRILL(JB)/UBS-INV-BANK(JB)//BEAR
/WACHOVIA-SEC/RAYMOND/STIFEL/FORTIS-SEC</t>
  </si>
  <si>
    <t>MERRILL
(JB)/UBS-INV-BANK(JB)
BEAR
WACHOVIA-SEC
RAYMOND
STIFEL
FORTIS-SEC</t>
  </si>
  <si>
    <t>Merrill Lynch &amp; Co Inc
UBS Investment Bank
Bear Stearns &amp; Co Inc
Wachovia Securities Inc
Raymond James &amp; Associates Inc
Stifel Nicolaus &amp; Co Inc
Fortis Securities Inc</t>
  </si>
  <si>
    <t>Sugar Creek Financial Corp</t>
  </si>
  <si>
    <t>SUGR</t>
  </si>
  <si>
    <t>86481V108</t>
  </si>
  <si>
    <t>Veraz Networks Inc</t>
  </si>
  <si>
    <t>VRAZ</t>
  </si>
  <si>
    <t>Credit Suisse
Lehman Brothers
Jefferies &amp; Co Inc
Raymond James &amp; Associates Inc</t>
  </si>
  <si>
    <t>10/01/07
10/01/07
10/01/07</t>
  </si>
  <si>
    <t>CREDIT-SUISSE(JB)/LEH(JB)//JEFFERIES
/RAYMOND</t>
  </si>
  <si>
    <t>CREDIT-SUISSE
(JB)/LEH(JB)
JEFFERIES
RAYMOND</t>
  </si>
  <si>
    <t>Tailwind Financial Inc</t>
  </si>
  <si>
    <t>TNF</t>
  </si>
  <si>
    <t>Deutsche Bank Securities Corp
Legend Merchant Group Inc
Maxim Group LLC
GunnAllen Financial Inc</t>
  </si>
  <si>
    <t>DEUTSCHE-BK-SEC//LEGEND-MERCHANT
//MAXIM-GROUP/GUNNALLEN-FINL</t>
  </si>
  <si>
    <t>DEUTSCHE-BK-SEC
LEGEND-MERCHANT</t>
  </si>
  <si>
    <t>Deutsche Bank Securities Corp.
Legend Merchant Group Inc</t>
  </si>
  <si>
    <t>Comverge Inc</t>
  </si>
  <si>
    <t>COMV</t>
  </si>
  <si>
    <t>Citigroup
SG Cowen Securities Corp
RBC Capital Markets
Pacific Growth Equities Inc</t>
  </si>
  <si>
    <t>10/09/07
10/09/07
10/09/07</t>
  </si>
  <si>
    <t>CITIGROUP//SG-COWEN/RBC-CAP-MKTS
/PACIFIC-GROWTH</t>
  </si>
  <si>
    <t>CITIGROUP
SG-COWEN
RBC-CAP-MKTS
PACIFIC-GROWTH</t>
  </si>
  <si>
    <t>MBF Healthcare Acquisition</t>
  </si>
  <si>
    <t>MBH</t>
  </si>
  <si>
    <t>Merrill Lynch
Morgan Joseph &amp; Co Inc
Ladenburg Thalmann &amp; Co</t>
  </si>
  <si>
    <t>MERRILL/MORGAN-JOSEPH(JOINT)//LADENBURG</t>
  </si>
  <si>
    <t>MERRILL/MORGAN-JOSEPH</t>
  </si>
  <si>
    <t>MERRILL
/MORGAN-JOSEPH(JOINT)
LADENBURG</t>
  </si>
  <si>
    <t>Merrill Lynch &amp; Co Inc
Morgan Joseph &amp; Co Inc
Ladenburg Thalmann &amp; Co</t>
  </si>
  <si>
    <t>MetroPCS Communications Inc</t>
  </si>
  <si>
    <t>PCS</t>
  </si>
  <si>
    <t>BEAR/BA-SEC-LLC(JB)
/MERRILL(JB)
/MORGAN-STANLEY(JB)</t>
  </si>
  <si>
    <t>Bear Stearns &amp; Co Inc
Banc of America Securities LLC
Merrill Lynch
Morgan Stanley
UBS Investment Bank
Thomas Weisel Partners
Wachovia Securities Inc
Raymond James &amp; Associates Inc</t>
  </si>
  <si>
    <t>10/15/07
10/15/07
10/15/07</t>
  </si>
  <si>
    <t>BEAR(JB)/BA-SEC-LLC(JB)/MERRILL(JB)
/MORGAN-STANLEY(JB)//UBS-INV-BANK
/THOMAS-WEISEL/WACHOVIA-SEC/RAYMOND</t>
  </si>
  <si>
    <t>BEAR/BA-SEC-LLC/MERRILL/MORGAN-STANLEY</t>
  </si>
  <si>
    <t>BEAR
(JB)/BA-SEC-LLC(JB)
/MERRILL(JB)
/MORGAN-STANLEY(JB)
UBS-INV-BANK
THOMAS-WEISEL
WACHOVIA-SEC
RAYMOND</t>
  </si>
  <si>
    <t>Bear Stearns &amp; Co Inc
Banc of America Securities LLC
Merrill Lynch &amp; Co Inc
Morgan Stanley
UBS Investment Bank
Thomas Weisel Partners
Wachovia Securities Inc
Raymond James &amp; Associates Inc</t>
  </si>
  <si>
    <t>China Healthcare Acquisition</t>
  </si>
  <si>
    <t>CHM</t>
  </si>
  <si>
    <t>16939Q104</t>
  </si>
  <si>
    <t>Ferris Baker Watts
Ladenburg Thalmann &amp; Co
Maxim Group LLC
I-Bankers Securities Inc</t>
  </si>
  <si>
    <t>60
60</t>
  </si>
  <si>
    <t>FERRIS-BAKER//LADENBURG/MAXIM-GROUP
/I-BANKERS-SEC</t>
  </si>
  <si>
    <t>FERRIS-BAKER
LADENBURG
MAXIM-GROUP
I-BANKERS-SEC</t>
  </si>
  <si>
    <t>Ferris Baker Watts Inc
Ladenburg Thalmann &amp; Co
Maxim Group LLC
I-Bankers Securities Inc</t>
  </si>
  <si>
    <t>Pennantpark Investment Corp</t>
  </si>
  <si>
    <t>PNNT</t>
  </si>
  <si>
    <t>BEAR/BA-SEC-LLC(JB)
/UBS-INV-BANK(JB)
/SUNTRUST-CAP(JB)</t>
  </si>
  <si>
    <t>Bear Stearns &amp; Co Inc
Banc of America Securities LLC
UBS Investment Bank
SunTrust Capital Markets
Keefe Bruyette &amp; Woods Inc
Friedman Billings Ramsey &amp; Co
Jefferies &amp; Co Inc
Robert W Baird &amp; Co Inc</t>
  </si>
  <si>
    <t>10/16/07
10/16/07
10/16/07</t>
  </si>
  <si>
    <t>BEAR(JB)/BA-SEC-LLC(JB)
/UBS-INV-BANK(JB)/SUNTRUST-CAP(JB)
//KEEFE/FRIEDMAN-B-CO/JEFFERIES/BAIRD</t>
  </si>
  <si>
    <t>BEAR/BA-SEC-LLC/UBS-INV-BANK
/SUNTRUST-CAP</t>
  </si>
  <si>
    <t>BEAR
(JB)/BA-SEC-LLC(JB)
/UBS-INV-BANK(JB)
/SUNTRUST-CAP(JB)
KEEFE
FRIEDMAN-B-CO
JEFFERIES
BAIRD</t>
  </si>
  <si>
    <t>Bear Stearns &amp; Co Inc
Banc of America Securities LLC
UBS Investment Bank
SunTrust Capital Markets
Keefe Bruyette &amp; Woods Inc
Friedman Billings Ramsey &amp; Co Inc
Jefferies &amp; Co Inc
Robert W Baird &amp; Co Inc</t>
  </si>
  <si>
    <t>Pinpoint Advance Corp</t>
  </si>
  <si>
    <t>PPAC</t>
  </si>
  <si>
    <t>Simcere Pharmaceutical Group</t>
  </si>
  <si>
    <t>82859P104</t>
  </si>
  <si>
    <t>Goldman Sachs (Asia)
CIBC World Markets Inc
Piper Jaffray Cos
First Shanghai Sec Ltd</t>
  </si>
  <si>
    <t>10/16/07
10/16/07</t>
  </si>
  <si>
    <t>GS-ASIA//CIBC-WORLD/PIPER-JAFFRAY
/FIRST-SHANG-SEC</t>
  </si>
  <si>
    <t>GS-ASIA
CIBC-WORLD
PIPER-JAFFRAY
FIRST-SHANG-SEC</t>
  </si>
  <si>
    <t>Superior Offshore Intl Inc</t>
  </si>
  <si>
    <t>DEEP</t>
  </si>
  <si>
    <t>86825Q104</t>
  </si>
  <si>
    <t>Merrill Lynch
JP Morgan
Howard Weil Financial Corp
Johnson Rice &amp; Co
Simmons &amp; Co International</t>
  </si>
  <si>
    <t>MERRILL(JB)/JPM(JB)//HOWARD-WEIL-FIN
/JOHNSON-RICE/SIMMONS</t>
  </si>
  <si>
    <t>MERRILL
(JB)/JPM(JB)
HOWARD-WEIL-FIN
JOHNSON-RICE
SIMMONS</t>
  </si>
  <si>
    <t>Merrill Lynch &amp; Co Inc
JP Morgan &amp; Co Inc
Howard Weil Financial Corp
Johnson Rice &amp; Co
Simmons &amp; Co International</t>
  </si>
  <si>
    <t>Cinemark Holdings Inc</t>
  </si>
  <si>
    <t>CNK</t>
  </si>
  <si>
    <t>LEH/CREDIT-SUISSE(JB)
/MERRILL(JB)
/MORGAN-STANLEY(JB)</t>
  </si>
  <si>
    <t>17243V102</t>
  </si>
  <si>
    <t>Lehman Brothers
Credit Suisse
Merrill Lynch
Morgan Stanley
Citigroup
Wachovia Securities Inc
Banc of America Securities LLC
JP Morgan
Deutsche Bank Securities Corp</t>
  </si>
  <si>
    <t>10/20/07
10/20/07
10/20/07</t>
  </si>
  <si>
    <t>LEH(JB)/CREDIT-SUISSE(JB)/MERRILL(JB)
/MORGAN-STANLEY(JB)//CITIGROUP
/WACHOVIA-SEC/BA-SEC-LLC/JPM
/DEUTSCHE-BK-SEC</t>
  </si>
  <si>
    <t>LEH/CREDIT-SUISSE/MERRILL/MORGAN-STANLEY</t>
  </si>
  <si>
    <t>LEH
(JB)/CREDIT-SUISSE(JB)
/MERRILL(JB)
/MORGAN-STANLEY(JB)
CITIGROUP
WACHOVIA-SEC
BA-SEC-LLC
JPM
DEUTSCHE-BK-SEC</t>
  </si>
  <si>
    <t>Lehman Brothers
Credit Suisse
Merrill Lynch &amp; Co Inc
Morgan Stanley
Citigroup
Wachovia Securities Inc
Banc of America Securities LLC
JP Morgan &amp; Co Inc
Deutsche Bank Securities Corp.</t>
  </si>
  <si>
    <t>Morgan Stanley Emerging</t>
  </si>
  <si>
    <t>EDD</t>
  </si>
  <si>
    <t>Morgan Stanley
AG Edwards &amp; Sons Inc
Raymond James &amp; Associates Inc
Oppenheimer &amp; Co Inc
Deutsche Bank Securities
M. L. Stern
BB&amp;T Capital Markets
GMS Group
Wedbush Securities
J. B. Hanauer
E*Trade Securities Inc
GunnAllen Financial Inc
Newbridge Securities
Doft &amp; Co Inc
SunTrust Capital Markets
Ferris Baker Watts
Robert W Baird &amp; Co Inc
Brookstreet Securities
Axiom Capital Management Inc
William Blair &amp; Co
Sanders Morris Harris Inc
Huntleigh Securities Corp
Ladenburg Thalmann &amp; Co
Mesirow Financial Corp
Morgan Keegan Inc
Paulson Investment Co
Wunderlich Securities Inc</t>
  </si>
  <si>
    <t>MORGAN-STANLEY//A-G-EDWARDS/RAYMOND
/OPPENHEIMER-CO//DBSECU/M-L-STERN
/BB-T-CAP/GMS-GROUP/WEDBUSH-M
/J-B-HANAUER/E*TRADE-SEC/GUNNALLEN-FINL
/NEWBRIDGE/DOFT/SUNTRUST-CAP
/FERRIS-BAKER/BAIRD/BROOKSTREET
/AXIOM-CAP/WM-BLAIR/SANDERS-HARRIS
/HUNTLEIGH-SEC/LADENBURG/MESIROW-FIN
/MORGAN-KEEGAN/PAULSON/WUNDERLICH</t>
  </si>
  <si>
    <t>MORGAN-STANLEY
A-G-EDWARDS
RAYMOND
OPPENHEIMER-CO</t>
  </si>
  <si>
    <t>Morgan Stanley
AG Edwards &amp; Sons Inc
Raymond James &amp; Associates Inc
Oppenheimer &amp; Co Inc</t>
  </si>
  <si>
    <t>Ocean Power Technologies Inc</t>
  </si>
  <si>
    <t>OPTT</t>
  </si>
  <si>
    <t>UBS-INV-BANK
/BA-SEC-LLC(JB)
/BEAR(JB)</t>
  </si>
  <si>
    <t>UBS Investment Bank
Banc of America Securities LLC
Bear Stearns &amp; Co Inc
First Albany Capital Inc</t>
  </si>
  <si>
    <t>10/21/07
10/21/07
10/21/07</t>
  </si>
  <si>
    <t>UBS-INV-BANK(JB)/BA-SEC-LLC(JB)
/BEAR(JB)//FIRST-AL-CAP</t>
  </si>
  <si>
    <t>UBS-INV-BANK/BA-SEC-LLC/BEAR</t>
  </si>
  <si>
    <t>UBS-INV-BANK
(JB)/BA-SEC-LLC(JB)
/BEAR(JB)
FIRST-AL-CAP</t>
  </si>
  <si>
    <t>OceanFreight Inc</t>
  </si>
  <si>
    <t>OCNF</t>
  </si>
  <si>
    <t>BA-SEC-LLC/CANTOR(JB)</t>
  </si>
  <si>
    <t>Banc of America Securities LLC
Cantor Fitzgerald Inc
Oppenheimer &amp; Co Inc
Ferris Baker Watts
Fortis Securities Inc</t>
  </si>
  <si>
    <t>BA-SEC-LLC(JB)/CANTOR(JB)
//OPPENHEIMER-CO/FERRIS-BAKER
/FORTIS-SEC</t>
  </si>
  <si>
    <t>BA-SEC-LLC/CANTOR</t>
  </si>
  <si>
    <t>BA-SEC-LLC
(JB)/CANTOR(JB)
OPPENHEIMER-CO
FERRIS-BAKER
FORTIS-SEC</t>
  </si>
  <si>
    <t>Banc of America Securities LLC
Cantor Fitzgerald Inc
Oppenheimer &amp; Co Inc
Ferris Baker Watts Inc
Fortis Securities Inc</t>
  </si>
  <si>
    <t>Victory Acquisition Corp</t>
  </si>
  <si>
    <t>VRY</t>
  </si>
  <si>
    <t>92644D100</t>
  </si>
  <si>
    <t>Citigroup
Ladenburg Thalmann &amp; Co
Broadband Capital Management</t>
  </si>
  <si>
    <t>10/21/07
10/21/07
04/18/08</t>
  </si>
  <si>
    <t>180
180
360</t>
  </si>
  <si>
    <t>CITIGROUP//LADENBURG/BROADBAND</t>
  </si>
  <si>
    <t>CITIGROUP
LADENBURG
BROADBAND</t>
  </si>
  <si>
    <t>Citigroup
Ladenburg Thalmann &amp; Co
Broadband Capital Management LLC</t>
  </si>
  <si>
    <t>Alpine Global Premier Prop</t>
  </si>
  <si>
    <t>AWP</t>
  </si>
  <si>
    <t>02083A103</t>
  </si>
  <si>
    <t>Merrill Lynch
Citigroup Inc
AG Edwards &amp; Sons Inc
BB&amp;T Capital Markets
H&amp;R Block Financial Advisors
Robert W Baird &amp; Co Inc
Banc of America Securities LLC
Crowell Weedon &amp; Co
Ferris Baker Watts
Janney Montgomery Scott LLC
Morgan Keegan Inc
Oppenheimer &amp; Co Inc
RBC Capital Markets
Ryan Beck &amp; Co
Southwest Securities Inc
Stifel Nicolaus &amp; Co Inc
Wedbush Securities
Wells Fargo Bank NA
SunTrust Capital Markets
Wunderlich Securities Inc
Bishop, Rosen &amp; Co
DA Davidson &amp; Co Inc
Deutsche Bank Securities
Dominick &amp; Dominick Inc
GunnAllen Financial Inc
J. B. Hanauer
Hennion &amp; Walsh, Inc
Maxim Group LLC
Sanders Morris Harris Inc
Stockcross Inc
TD Ameritrade
Anderson &amp; Strudwick
Axiom Capital Management Inc
Brookstreet Securities
Capital Growth Financial LLC
Chicago Investment Group LLC
E*Trade Securities Inc
First Montauk Securities
First Southwest
Gilford Securities
Joseph Gunnar &amp; Co., LLC
Wayne Hummer &amp; Co
Huntleigh Securities Corp
Jesup &amp; Lamont Securities
Johnston Lemon &amp; Co Inc
LaSalle Street Securities Inc
McGinn, Smith &amp; Co Inc
Mesirow Financial Corp
Morgan Wilshire Securities
Natcity Investments Inc.
National Securities Corp (US)
Newbridge Securities
Northeast Securities Inc.
David A. Noyes
Paulson Investment Co
Royal Alliance Associates
Herbert J. Sims
Source Capital Group Inc
Stanford Group Company
M. L. Stern
Sterne Agee &amp; Leach Inc
Stone &amp; Youngberg
Stonnington Group LLC
Strand,Atkinson,Williams&amp;Yerl
JP Turner &amp; Co
BC Ziegler &amp; Co</t>
  </si>
  <si>
    <t>MERRILL//CITGRP/A-G-EDWARDS/BB-T-CAP
/HR-BLOCK-FIN/BAIRD/BA-SEC-LLC/CROWELL
/FERRIS-BAKER/JANNEY-LLC/MORGAN-KEEGAN
/OPPENHEIMER-CO/RBC-CAP-MKTS/RYAN-BECK
/SWS-SEC/STIFEL/WEDBUSH-M/WELLS-FARGO
//SUNTRUST-CAP/WUNDERLICH/BISHOP-ROSEN
/DAVIDSON/DBSECU/DOMINICK
/GUNNALLEN-FINL/J-B-HANAUER
/HENNION-WALSH/MAXIM-GROUP
/SANDERS-HARRIS/STOCK-INC/TD-AMER
/ANDERSON/AXIOM-CAP/BROOKSTREET/CGF-SEC
/CHICAGO-INV/E*TRADE-SEC/FIRST-MONTAUK
/FIRST-SW/GILFORD/GUNNAR/HUMMER
/HUNTLEIGH-SEC/JESUP/JOHNSTON-LEMON
/LASALLE-SEC/MCGINN-SMITH/MESIROW-FIN
/MORGAN-WILSHIRE/NATCITY-INVEST
/NATL-SEC/NEWBRIDGE/NORTHEAST-SEC
/D-A-NOYES/PAULSON/ROYAL-ALLIANCE
/HERBERT-SIMS/SOURCE-CAPITAL
/STANFORD-GROUP/M-L-STERN/STERNE-AGEE
/STONE-YOUNG/STONNINGTON-LLC
/STRAND-ATKIN/J-P-TURNER/ZIEGLER</t>
  </si>
  <si>
    <t>MERRILL
CITGRP
A-G-EDWARDS
BB-T-CAP
HR-BLOCK-FIN
BAIRD
BA-SEC-LLC
CROWELL
FERRIS-BAKER
JANNEY-LLC
MORGAN-KEEGAN
OPPENHEIMER-CO
RBC-CAP-MKTS
RYAN-BECK
SWS-SEC
STIFEL
WEDBUSH-M
WELLS-FARGO</t>
  </si>
  <si>
    <t>Merrill Lynch &amp; Co Inc
Citigroup Inc
AG Edwards &amp; Sons Inc
BB&amp;T Capital Markets
H&amp;R Block Financial Advisors
Robert W Baird &amp; Co Inc
Banc of America Securities LLC
Crowell Weedon &amp; Co
Ferris Baker Watts Inc
Janney Montgomery Scott LLC
Morgan Keegan Inc
Oppenheimer &amp; Co Inc
RBC Capital Markets
Ryan Beck &amp; Co
Southwest Securities Inc
Stifel Nicolaus &amp; Co Inc
Wedbush Securities
Wells Fargo Bank NA</t>
  </si>
  <si>
    <t>Edenor</t>
  </si>
  <si>
    <t>EDN</t>
  </si>
  <si>
    <t>29244A102</t>
  </si>
  <si>
    <t>Citigroup
JP Morgan</t>
  </si>
  <si>
    <t>10/22/07
10/22/07</t>
  </si>
  <si>
    <t>CITIGROUP(JB)/JPM(JB)</t>
  </si>
  <si>
    <t>CITIGROUP
(JB)/JPM(JB)</t>
  </si>
  <si>
    <t>Citigroup
JP Morgan &amp; Co Inc</t>
  </si>
  <si>
    <t>Nuveen Multi-Currency Short</t>
  </si>
  <si>
    <t>JGT</t>
  </si>
  <si>
    <t>67090N109</t>
  </si>
  <si>
    <t>Wachovia Securities Inc
Citigroup
Merrill Lynch
AG Edwards &amp; Sons Inc
Raymond James &amp; Associates Inc
Nuveen Investments LLC
Robert W Baird &amp; Co Inc
Crowell Weedon &amp; Co
Ferris Baker Watts
H&amp;R Block Financial Advisors
JJB Hilliard WL Lyons Inc
Janney Montgomery Scott LLC
RBC Capital Markets
Stifel Nicolaus &amp; Co Inc
Wedbush Securities
Wells Fargo Bank NA
BB&amp;T Capital Markets
Deutsche Bank Securities
Doft &amp; Co Inc
Dominick &amp; Dominick Inc
GunnAllen Financial Inc
J. B. Hanauer
Hennion &amp; Walsh, Inc
Mesirow Financial Corp
David A. Noyes
Royal Alliance Associates
Ryan Beck &amp; Co
Southwest Securities Inc
M. L. Stern
Sterne Agee &amp; Leach Inc
Stockcross Inc
Wunderlich Securities Inc
Bishop, Rosen &amp; Co
William Blair &amp; Co
GMS Group
Hongkong &amp; Shanghai Bank (HK)
Johnston Lemon &amp; Co Inc
Maxim Group LLC
McGinn, Smith &amp; Co Inc
Milkie/Ferguson Investments
Sanders Morris Harris Inc
Stonnington Group LLC
AIG Financial Advisors Inc
Bernard Herold &amp; Co
Brookstreet Securities
Dawson James Securities
E*Trade Securities Inc
First Montauk Securities
Gilford Securities
Howe Barnes Hoefer Arnett Inc
Wayne Hummer &amp; Co
Jesup &amp; Lamont Securities
Newbridge Securities
Regal Securities Inc
R. M. Stark &amp; Co
Summit Brokerage Services Inc
JP Turner &amp; Co</t>
  </si>
  <si>
    <t>WACHOVIA-SEC//CITIGROUP/MERRILL
/A-G-EDWARDS/RAYMOND/NUVEEN-INV/BAIRD
/CROWELL/FERRIS-BAKER/HR-BLOCK-FIN
/HILLIARD/JANNEY-LLC/RBC-CAP-MKTS
/STIFEL/WEDBUSH-M/WELLS-FARGO//BB-T-CAP
/DBSECU/DOFT/DOMINICK/GUNNALLEN-FINL
/J-B-HANAUER/HENNION-WALSH/MESIROW-FIN
/D-A-NOYES/ROYAL-ALLIANCE/RYAN-BECK
/SWS-SEC/M-L-STERN/STERNE-AGEE
/STOCK-INC/WUNDERLICH/BISHOP-ROSEN
/WM-BLAIR/GMS-GROUP/HONG-SHANG-BKG
/JOHNSTON-LEMON/MAXIM-GROUP
/MCGINN-SMITH/MILKIE-FERGUSON
/SANDERS-HARRIS/STONNINGTON-LLC
/AIG-FINANCIAL/BERNARD-HER/BROOKSTREET
/DAWSON-JAMES/E*TRADE-SEC/FIRST-MONTAUK
/GILFORD/HBHOEFER-ARNETT/HUMMER/JESUP
/NEWBRIDGE/REGAL-SEC-INC/R-M-STARK
/SUMMIT-BROKER/J-P-TURNER</t>
  </si>
  <si>
    <t>WACHOVIA-SEC
CITIGROUP
MERRILL
A-G-EDWARDS
RAYMOND
NUVEEN-INV
BAIRD
CROWELL
FERRIS-BAKER
HR-BLOCK-FIN
HILLIARD
JANNEY-LLC
RBC-CAP-MKTS
STIFEL
WEDBUSH-M
WELLS-FARGO</t>
  </si>
  <si>
    <t>Wachovia Securities Inc
Citigroup
Merrill Lynch &amp; Co Inc
AG Edwards &amp; Sons Inc
Raymond James &amp; Associates Inc
Nuveen Investments LLC
Robert W Baird &amp; Co Inc
Crowell Weedon &amp; Co
Ferris Baker Watts Inc
H&amp;R Block Financial Advisors
JJB Hilliard WL Lyons Inc
Janney Montgomery Scott LLC
RBC Capital Markets
Stifel Nicolaus &amp; Co Inc
Wedbush Securities
Wells Fargo Bank NA</t>
  </si>
  <si>
    <t>Orexigen Therapeutics Inc</t>
  </si>
  <si>
    <t>OREX</t>
  </si>
  <si>
    <t>Merrill Lynch
JP Morgan
JMP Securities LLC
Leerink Swann &amp; Co</t>
  </si>
  <si>
    <t>10/22/07
10/22/07
10/22/07</t>
  </si>
  <si>
    <t>MERRILL//JPM/JMP-SEC/LEERINK-SWANN</t>
  </si>
  <si>
    <t>MERRILL
JPM
JMP-SEC
LEERINK-SWANN</t>
  </si>
  <si>
    <t>Merrill Lynch &amp; Co Inc
JP Morgan &amp; Co Inc
JMP Securities LLC
Leerink Swann &amp; Co</t>
  </si>
  <si>
    <t>Vectro Intersect Security</t>
  </si>
  <si>
    <t>VTRQU</t>
  </si>
  <si>
    <t>92241V206</t>
  </si>
  <si>
    <t>Rodman &amp; Renshaw Inc
GunnAllen Financial Inc
Maxim Group LLC</t>
  </si>
  <si>
    <t>RODMAN//GUNNALLEN-FINL/MAXIM-GROUP</t>
  </si>
  <si>
    <t>Rodman &amp; Renshaw Inc</t>
  </si>
  <si>
    <t>Pharmasset Inc</t>
  </si>
  <si>
    <t>VRUS</t>
  </si>
  <si>
    <t>BA-SEC-LLC
/UBS-INV-BANK(JB)</t>
  </si>
  <si>
    <t>71715N106</t>
  </si>
  <si>
    <t>Banc of America Securities LLC
UBS Investment Bank
JMP Securities LLC</t>
  </si>
  <si>
    <t>10/23/07
10/23/07
10/23/07</t>
  </si>
  <si>
    <t>BA-SEC-LLC(JB)/UBS-INV-BANK(JB)
//JMP-SEC</t>
  </si>
  <si>
    <t>BA-SEC-LLC/UBS-INV-BANK</t>
  </si>
  <si>
    <t>BA-SEC-LLC
(JB)/UBS-INV-BANK(JB)
JMP-SEC</t>
  </si>
  <si>
    <t>Cavium Networks Inc</t>
  </si>
  <si>
    <t>CAVM</t>
  </si>
  <si>
    <t>14965A101</t>
  </si>
  <si>
    <t>Morgan Stanley
Lehman Brothers
Thomas Weisel Partners
Needham &amp; Co LLC
JMP Securities LLC</t>
  </si>
  <si>
    <t>10/28/07
10/28/07
10/28/07</t>
  </si>
  <si>
    <t>MORGAN-STANLEY(JB)/LEH(JB)
//THOMAS-WEISEL/NEEDHAM/JMP-SEC</t>
  </si>
  <si>
    <t>MORGAN-STANLEY
(JB)/LEH(JB)
THOMAS-WEISEL
NEEDHAM
JMP-SEC</t>
  </si>
  <si>
    <t>Neurogesx Inc</t>
  </si>
  <si>
    <t>NGSX</t>
  </si>
  <si>
    <t>Morgan Stanley
Pacific Growth Equities Inc
Lazard Capital Markets
Susquehanna Financial Group</t>
  </si>
  <si>
    <t>MORGAN-STANLEY//PACIFIC-GROWTH
/LAZARD-CAP-MKT/SUSQUEHANNA-FIN</t>
  </si>
  <si>
    <t>MORGAN-STANLEY
PACIFIC-GROWTH
LAZARD-CAP-MKT
SUSQUEHANNA-FIN</t>
  </si>
  <si>
    <t>Acorn International Inc</t>
  </si>
  <si>
    <t>ATV</t>
  </si>
  <si>
    <t>MERRILL
/DEUTSCHE-BK-SEC(JB)</t>
  </si>
  <si>
    <t>004854105</t>
  </si>
  <si>
    <t>Merrill Lynch
Deutsche Bank Securities Corp
CIBC World Markets Inc</t>
  </si>
  <si>
    <t>10/29/07
10/29/07
10/29/07</t>
  </si>
  <si>
    <t>MERRILL(JB)/DEUTSCHE-BK-SEC(JB)
//CIBC-WORLD</t>
  </si>
  <si>
    <t>MERRILL
(JB)/DEUTSCHE-BK-SEC(JB)
CIBC-WORLD</t>
  </si>
  <si>
    <t>Merrill Lynch &amp; Co Inc
Deutsche Bank Securities Corp.
CIBC World Markets Inc</t>
  </si>
  <si>
    <t>Qiao Xing Mobile Commun Co Ltd</t>
  </si>
  <si>
    <t>QXM</t>
  </si>
  <si>
    <t>UBS Investment Bank
CIBC World Markets Inc
SG Cowen Securities Corp</t>
  </si>
  <si>
    <t>UBS-INV-BANK//CIBC-WORLD/SG-COWEN</t>
  </si>
  <si>
    <t>UBS-INV-BANK
CIBC-WORLD
SG-COWEN</t>
  </si>
  <si>
    <t>Tomotherapy Inc</t>
  </si>
  <si>
    <t>Merrill Lynch
Piper Jaffray Cos
Thomas Weisel Partners
Robert W Baird &amp; Co Inc
William Blair &amp; Co</t>
  </si>
  <si>
    <t>11/04/07
11/04/07
11/04/07</t>
  </si>
  <si>
    <t>MERRILL/PIPER-JAFFRAY(JOINT)
//THOMAS-WEISEL/BAIRD/WM-BLAIR</t>
  </si>
  <si>
    <t>MERRILL/PIPER-JAFFRAY</t>
  </si>
  <si>
    <t>MERRILL
/PIPER-JAFFRAY(JOINT)
THOMAS-WEISEL
BAIRD
WM-BLAIR</t>
  </si>
  <si>
    <t>Merrill Lynch &amp; Co Inc
Piper Jaffray Cos
Thomas Weisel Partners
Robert W Baird &amp; Co Inc
William Blair &amp; Co</t>
  </si>
  <si>
    <t>AECOM Technology Corp</t>
  </si>
  <si>
    <t>ACM</t>
  </si>
  <si>
    <t>MORGAN-STANLEY
/MERRILL(JB)
/UBS-INV-BANK(JB)</t>
  </si>
  <si>
    <t>00766T100</t>
  </si>
  <si>
    <t>Morgan Stanley
Merrill Lynch
UBS Investment Bank
Goldman Sachs &amp; Co
Credit Suisse
DA Davidson &amp; Co Inc</t>
  </si>
  <si>
    <t>07/28/07
11/05/07
11/05/07</t>
  </si>
  <si>
    <t>MORGAN-STANLEY(JB)/MERRILL(JB)
/UBS-INV-BANK(JB)//GS/CREDIT-SUISSE
/DAVIDSON</t>
  </si>
  <si>
    <t>MORGAN-STANLEY/MERRILL/UBS-INV-BANK</t>
  </si>
  <si>
    <t>MORGAN-STANLEY
(JB)/MERRILL(JB)
/UBS-INV-BANK(JB)
GS
CREDIT-SUISSE
DAVIDSON</t>
  </si>
  <si>
    <t>Morgan Stanley
Merrill Lynch &amp; Co Inc
UBS Investment Bank
Goldman Sachs &amp; Co
Credit Suisse
DA Davidson &amp; Co Inc</t>
  </si>
  <si>
    <t>Biodel Inc</t>
  </si>
  <si>
    <t>BIOD</t>
  </si>
  <si>
    <t>09064M105</t>
  </si>
  <si>
    <t>Morgan Stanley
Banc of America Securities LLC
Leerink Swann &amp; Co
Natexis Bleichroeder Inc</t>
  </si>
  <si>
    <t>11/06/07
11/06/07
11/06/07</t>
  </si>
  <si>
    <t>MORGAN-STANLEY/BA-SEC-LLC(JOINT)
//LEERINK-SWANN/NATEXIS</t>
  </si>
  <si>
    <t>MORGAN-STANLEY
/BA-SEC-LLC(JOINT)
LEERINK-SWANN
NATEXIS</t>
  </si>
  <si>
    <t>JMP Group Inc</t>
  </si>
  <si>
    <t>JMP</t>
  </si>
  <si>
    <t>JMP-SEC/MERRILL(JB)
/KEEFE(JB)</t>
  </si>
  <si>
    <t>46629U107</t>
  </si>
  <si>
    <t>JMP Securities LLC
Merrill Lynch
Keefe Bruyette &amp; Woods Inc
Fox-Pitt Kelton
Sandler O'Neill Partners
Signal Hill Capital Group LLC</t>
  </si>
  <si>
    <t>JMP-SEC(JB)/MERRILL(JB)/KEEFE(JB)
//FOX-PITT/SANDLER-ONEILL/SIGNAL-HILL</t>
  </si>
  <si>
    <t>JMP-SEC/MERRILL/KEEFE</t>
  </si>
  <si>
    <t>JMP-SEC
(JB)/MERRILL(JB)
/KEEFE(JB)
FOX-PITT
SANDLER-ONEILL
SIGNAL-HILL</t>
  </si>
  <si>
    <t>JMP Securities LLC
Merrill Lynch &amp; Co Inc
Keefe Bruyette &amp; Woods Inc
Fox-Pitt Kelton
Sandler O'Neill Partners  L.P.
Signal Hill Capital Group LLC</t>
  </si>
  <si>
    <t>Solera Holdings Inc</t>
  </si>
  <si>
    <t>83421A104</t>
  </si>
  <si>
    <t>Goldman Sachs &amp; Co
JP Morgan
Citigroup
Deutsche Bank Securities Corp
Lehman Brothers</t>
  </si>
  <si>
    <t>165
165
165</t>
  </si>
  <si>
    <t>GS(JB)/JPM(JB)//CITIGROUP
/DEUTSCHE-BK-SEC/LEH</t>
  </si>
  <si>
    <t>GS
(JB)/JPM(JB)
CITIGROUP
DEUTSCHE-BK-SEC
LEH</t>
  </si>
  <si>
    <t>Goldman Sachs &amp; Co
JP Morgan &amp; Co Inc
Citigroup
Deutsche Bank Securities Corp.
Lehman Brothers</t>
  </si>
  <si>
    <t>Sunrise Global Inc</t>
  </si>
  <si>
    <t>SGBL</t>
  </si>
  <si>
    <t>Continental Resources Inc</t>
  </si>
  <si>
    <t>CLR</t>
  </si>
  <si>
    <t>JP Morgan
Merrill Lynch
Citigroup
UBS Investment Bank
Deutsche Bank Securities Corp
Raymond James &amp; Associates Inc</t>
  </si>
  <si>
    <t>11/10/07
11/10/07
11/10/07</t>
  </si>
  <si>
    <t>JPM(JB)/MERRILL(JB)//CITIGROUP
/UBS-INV-BANK/DEUTSCHE-BK-SEC/RAYMOND</t>
  </si>
  <si>
    <t>JPM
(JB)/MERRILL(JB)
CITIGROUP
UBS-INV-BANK
DEUTSCHE-BK-SEC
RAYMOND</t>
  </si>
  <si>
    <t>JP Morgan &amp; Co Inc
Merrill Lynch &amp; Co Inc
Citigroup
UBS Investment Bank
Deutsche Bank Securities Corp.
Raymond James &amp; Associates Inc</t>
  </si>
  <si>
    <t>Insulet Corp</t>
  </si>
  <si>
    <t>PODD</t>
  </si>
  <si>
    <t>45784P101</t>
  </si>
  <si>
    <t>JP Morgan
Merrill Lynch
Thomas Weisel Partners
Leerink Swann &amp; Co</t>
  </si>
  <si>
    <t>JPM(JB)/MERRILL(JB)//THOMAS-WEISEL
/LEERINK-SWANN</t>
  </si>
  <si>
    <t>JPM
(JB)/MERRILL(JB)
THOMAS-WEISEL
LEERINK-SWANN</t>
  </si>
  <si>
    <t>JP Morgan &amp; Co Inc
Merrill Lynch &amp; Co Inc
Thomas Weisel Partners
Leerink Swann &amp; Co</t>
  </si>
  <si>
    <t>Pinnacle Gas Resources Inc</t>
  </si>
  <si>
    <t>PINN</t>
  </si>
  <si>
    <t>Friedman Billings Ramsey &amp; Co
RBC Capital Markets
AG Edwards &amp; Sons Inc
Johnson Rice &amp; Co
DA Davidson &amp; Co Inc
Ferris Baker Watts
Key Banc Capital Markets
Stifel Nicolaus &amp; Co Inc
Coker &amp; Palmer
Pritchard Capital Partners LLC</t>
  </si>
  <si>
    <t>FRIEDMAN-B-CO//RBC-CAP-MKTS/A-G-EDWARDS
/JOHNSON-RICE//DAVIDSON/FERRIS-BAKER
/KEY-BANC-CAP/STIFEL/COKER-PALMER
/PRITCHARD-CAP</t>
  </si>
  <si>
    <t>FRIEDMAN-B-CO
RBC-CAP-MKTS
A-G-EDWARDS
JOHNSON-RICE</t>
  </si>
  <si>
    <t>Friedman Billings Ramsey &amp; Co Inc
RBC Capital Markets
AG Edwards &amp; Sons Inc
Johnson Rice &amp; Co</t>
  </si>
  <si>
    <t>Wilson Holdings Inc</t>
  </si>
  <si>
    <t>WSHD</t>
  </si>
  <si>
    <t>Capital Growth Financial LLC</t>
  </si>
  <si>
    <t>08/12/07
11/10/07</t>
  </si>
  <si>
    <t>Skilled Healthcare Group Inc</t>
  </si>
  <si>
    <t>SKH</t>
  </si>
  <si>
    <t>CREDIT-SUISSE
/UBS-INV-BANK(JB)
/BA-SEC-LLC(JB)</t>
  </si>
  <si>
    <t>83066R107</t>
  </si>
  <si>
    <t>Credit Suisse
UBS Investment Bank
Banc of America Securities LLC
Bear Stearns &amp; Co Inc
Goldman Sachs &amp; Co
JP Morgan
Lehman Brothers
RBC Capital Markets
Scotia Capital Inc</t>
  </si>
  <si>
    <t>11/11/07
11/11/07
11/11/07</t>
  </si>
  <si>
    <t>CREDIT-SUISSE(JB)/UBS-INV-BANK(JB)
/BA-SEC-LLC(JB)//BEAR/GS/JPM/LEH
/RBC-CAP-MKTS/SCOTIA-CAP-CA</t>
  </si>
  <si>
    <t>CREDIT-SUISSE/UBS-INV-BANK/BA-SEC-LLC</t>
  </si>
  <si>
    <t>CREDIT-SUISSE
(JB)/UBS-INV-BANK(JB)
/BA-SEC-LLC(JB)
BEAR
GS
JPM
LEH
RBC-CAP-MKTS
SCOTIA-CAP-CA</t>
  </si>
  <si>
    <t>Credit Suisse
UBS Investment Bank
Banc of America Securities LLC
Bear Stearns &amp; Co Inc
Goldman Sachs &amp; Co
JP Morgan &amp; Co Inc
Lehman Brothers
RBC Capital Markets
Scotia Capital Inc</t>
  </si>
  <si>
    <t>CAI Int Inc</t>
  </si>
  <si>
    <t>CAP</t>
  </si>
  <si>
    <t>12477X106</t>
  </si>
  <si>
    <t>Piper Jaffray Cos
William Blair &amp; Co
Jefferies &amp; Co Inc</t>
  </si>
  <si>
    <t>11/12/07
11/12/07
11/12/07</t>
  </si>
  <si>
    <t>PIPER-JAFFRAY//WM-BLAIR/JEFFERIES</t>
  </si>
  <si>
    <t>PIPER-JAFFRAY
WM-BLAIR
JEFFERIES</t>
  </si>
  <si>
    <t>TechTarget Inc</t>
  </si>
  <si>
    <t>TTGT</t>
  </si>
  <si>
    <t>87874R100</t>
  </si>
  <si>
    <t>Morgan Stanley
Lehman Brothers
Cowen
RBC Capital Markets
Toussaint Capital Partners
Wedbush Securities</t>
  </si>
  <si>
    <t>MORGAN-STANLEY(JB)/LEH(JB)//COWEN
/RBC-CAP-MKTS//TOUSSAINT/WEDBUSH-M</t>
  </si>
  <si>
    <t>MORGAN-STANLEY
(JB)/LEH(JB)
COWEN
RBC-CAP-MKTS</t>
  </si>
  <si>
    <t>Morgan Stanley
Lehman Brothers
Cowen &amp; Co
RBC Capital Markets</t>
  </si>
  <si>
    <t>Eurand NV</t>
  </si>
  <si>
    <t>EURX</t>
  </si>
  <si>
    <t>DEUTSCHE-BK-SEC
/LEHMAN-I(JB)</t>
  </si>
  <si>
    <t>N31010106</t>
  </si>
  <si>
    <t>Deutsche Bank Securities Corp
Lehman Brothers International
Banc of America Securities LLC
Lazard Capital Markets
Thomas Weisel Partners</t>
  </si>
  <si>
    <t>08/04/07
11/12/07
11/12/07</t>
  </si>
  <si>
    <t>DEUTSCHE-BK-SEC(JB)/LEHMAN-I(JB)
//BA-SEC-LLC/LAZARD-CAP-MKT
/THOMAS-WEISEL</t>
  </si>
  <si>
    <t>DEUTSCHE-BK-SEC/LEHMAN-I</t>
  </si>
  <si>
    <t>DEUTSCHE-BK-SEC
(JB)/LEHMAN-I(JB)
BA-SEC-LLC
LAZARD-CAP-MKT
THOMAS-WEISEL</t>
  </si>
  <si>
    <t>Deutsche Bank Securities Corp.
Lehman Brothers International
Banc of America Securities LLC
Lazard Capital Markets
Thomas Weisel Partners</t>
  </si>
  <si>
    <t>China Sunergy Co Ltd</t>
  </si>
  <si>
    <t>CSUN</t>
  </si>
  <si>
    <t>16942X104</t>
  </si>
  <si>
    <t>Merrill Lynch
Cowen
Jefferies &amp; Co Inc</t>
  </si>
  <si>
    <t>11/13/07
11/13/07
11/13/07</t>
  </si>
  <si>
    <t>MERRILL//COWEN/JEFFERIES</t>
  </si>
  <si>
    <t>MERRILL
COWEN
JEFFERIES</t>
  </si>
  <si>
    <t>Merrill Lynch &amp; Co Inc
Cowen &amp; Co
Jefferies &amp; Co Inc</t>
  </si>
  <si>
    <t>EnerNOC Inc</t>
  </si>
  <si>
    <t>ENOC</t>
  </si>
  <si>
    <t>Credit Suisse
Morgan Stanley
Canaccord Adams
Jefferies &amp; Co Inc</t>
  </si>
  <si>
    <t>CREDIT-SUISSE(JB)/MORGAN-STANLEY(JB)
//CAN-ADAMS/JEFFERIES</t>
  </si>
  <si>
    <t>CREDIT-SUISSE
(JB)/MORGAN-STANLEY(JB)
CAN-ADAMS
JEFFERIES</t>
  </si>
  <si>
    <t>TriMas Corp</t>
  </si>
  <si>
    <t>TRS</t>
  </si>
  <si>
    <t>Goldman Sachs &amp; Co
Merrill Lynch
Credit Suisse
JP Morgan
Banc of America Securities LLC
Jefferies &amp; Co Inc
KeyCorp/McDonald Investments</t>
  </si>
  <si>
    <t>GS(JB)/MERRILL(JB)//CREDIT-SUISSE/JPM
/BA-SEC-LLC/JEFFERIES/KEY-MCDONALD</t>
  </si>
  <si>
    <t>GS
(JB)/MERRILL(JB)
CREDIT-SUISSE
JPM
BA-SEC-LLC
JEFFERIES
KEY-MCDONALD</t>
  </si>
  <si>
    <t>Goldman Sachs &amp; Co
Merrill Lynch &amp; Co Inc
Credit Suisse
JP Morgan &amp; Co Inc
Banc of America Securities LLC
Jefferies &amp; Co Inc
KeyCorp/McDonald Investments</t>
  </si>
  <si>
    <t>Columbus Acquisition Corp</t>
  </si>
  <si>
    <t>BUS</t>
  </si>
  <si>
    <t>Lazard Capital Markets
Ladenburg Thalmann &amp; Co</t>
  </si>
  <si>
    <t>LAZARD-CAP-MKT(JB)/LADENBURG(JB)</t>
  </si>
  <si>
    <t>LAZARD-CAP-MKT
(JB)/LADENBURG(JB)</t>
  </si>
  <si>
    <t>Arcade Acquisition Corp</t>
  </si>
  <si>
    <t>ACDQ</t>
  </si>
  <si>
    <t>038798203</t>
  </si>
  <si>
    <t>Morgan Joseph &amp; Co Inc
Legend Merchant Group Inc
Maxim Group LLC
GunnAllen Financial Inc
Brean Murray Carret &amp; Co LLC</t>
  </si>
  <si>
    <t>MORGAN-JOSEPH//LEGEND-MERCHANT
/MAXIM-GROUP/GUNNALLEN-FINL
//BREANMUR-CARRET</t>
  </si>
  <si>
    <t>MORGAN-JOSEPH
LEGEND-MERCHANT
MAXIM-GROUP
GUNNALLEN-FINL</t>
  </si>
  <si>
    <t>Morgan Joseph &amp; Co Inc
Legend Merchant Group Inc
Maxim Group LLC
GunnAllen Financial, Inc.</t>
  </si>
  <si>
    <t>Inter-Atlantic Financial Inc</t>
  </si>
  <si>
    <t>IAN</t>
  </si>
  <si>
    <t>45890H100</t>
  </si>
  <si>
    <t>Morgan Joseph &amp; Co Inc
Sandler O'Neill Partners
Legend Merchant Group Inc
GunnAllen Financial Inc</t>
  </si>
  <si>
    <t>11/17/07
11/17/07</t>
  </si>
  <si>
    <t>MORGAN-JOSEPH//SANDLER-ONEILL
/LEGEND-MERCHANT/GUNNALLEN-FINL</t>
  </si>
  <si>
    <t>MORGAN-JOSEPH
SANDLER-ONEILL
LEGEND-MERCHANT
GUNNALLEN-FINL</t>
  </si>
  <si>
    <t>Morgan Joseph &amp; Co Inc
Sandler O'Neill Partners  L.P.
Legend Merchant Group Inc
GunnAllen Financial, Inc.</t>
  </si>
  <si>
    <t>RSC Holdings Inc</t>
  </si>
  <si>
    <t>RRR</t>
  </si>
  <si>
    <t>DEUTSCHE-BK-SEC
/MORGAN-STANLEY(JB)
/LEH(JB)</t>
  </si>
  <si>
    <t>74972L102</t>
  </si>
  <si>
    <t>Deutsche Bank Securities Corp
Morgan Stanley
Lehman Brothers
Robert W Baird &amp; Co Inc
Banc of America Securities LLC
CIBC World Markets Inc
Goldman Sachs &amp; Co
JP Morgan</t>
  </si>
  <si>
    <t>11/18/07
11/18/07
11/18/07</t>
  </si>
  <si>
    <t>DEUTSCHE-BK-SEC(JB)/MORGAN-STANLEY(JB)
/LEH(JB)//BAIRD/BA-SEC-LLC/CIBC-WORLD
/GS/JPM</t>
  </si>
  <si>
    <t>DEUTSCHE-BK-SEC/MORGAN-STANLEY/LEH</t>
  </si>
  <si>
    <t>DEUTSCHE-BK-SEC
(JB)/MORGAN-STANLEY(JB)
/LEH(JB)
BAIRD
BA-SEC-LLC
CIBC-WORLD
GS
JPM</t>
  </si>
  <si>
    <t>Deutsche Bank Securities Corp.
Morgan Stanley
Lehman Brothers
Robert W Baird &amp; Co Inc
Banc of America Securities LLC
CIBC World Markets Inc
Goldman Sachs &amp; Co
JP Morgan &amp; Co Inc</t>
  </si>
  <si>
    <t>Sirtris Pharmaceuticals Inc</t>
  </si>
  <si>
    <t>SIRT</t>
  </si>
  <si>
    <t>82968A105</t>
  </si>
  <si>
    <t>JP Morgan
CIBC World Markets Inc
Piper Jaffray Cos
JMP Securities LLC
Rodman &amp; Renshaw Inc</t>
  </si>
  <si>
    <t>11/18/07
11/18/07</t>
  </si>
  <si>
    <t>JPM//CIBC-WORLD/PIPER-JAFFRAY/JMP-SEC
/RODMAN</t>
  </si>
  <si>
    <t>JPM
CIBC-WORLD
PIPER-JAFFRAY
JMP-SEC
RODMAN</t>
  </si>
  <si>
    <t>JP Morgan &amp; Co Inc
CIBC World Markets Inc
Piper Jaffray Cos
JMP Securities LLC
Rodman &amp; Renshaw Inc</t>
  </si>
  <si>
    <t>Helicos BioSciences Corp</t>
  </si>
  <si>
    <t>HLCS</t>
  </si>
  <si>
    <t>42326R109</t>
  </si>
  <si>
    <t>UBS Investment Bank
JP Morgan
Leerink Swann &amp; Co
Pacific Growth Equities Inc</t>
  </si>
  <si>
    <t>11/19/07
11/19/07
11/19/07</t>
  </si>
  <si>
    <t>UBS-INV-BANK//JPM/LEERINK-SWANN
/PACIFIC-GROWTH</t>
  </si>
  <si>
    <t>UBS-INV-BANK
JPM
LEERINK-SWANN
PACIFIC-GROWTH</t>
  </si>
  <si>
    <t>UBS Investment Bank
JP Morgan &amp; Co Inc
Leerink Swann &amp; Co
Pacific Growth Equities Inc</t>
  </si>
  <si>
    <t>STARLIMS Technologies Ltd</t>
  </si>
  <si>
    <t>LIMS</t>
  </si>
  <si>
    <t>Oppenheimer &amp; Co Inc
JMP Securities LLC</t>
  </si>
  <si>
    <t>11/19/07
11/19/07</t>
  </si>
  <si>
    <t>OPPENHEIMER-CO//JMP-SEC</t>
  </si>
  <si>
    <t>OPPENHEIMER-CO
JMP-SEC</t>
  </si>
  <si>
    <t>Transtech Services Partners</t>
  </si>
  <si>
    <t>TTSPU</t>
  </si>
  <si>
    <t>COWEN/MAXIM-GROUP(JB)</t>
  </si>
  <si>
    <t>89388R105</t>
  </si>
  <si>
    <t>Cowen
Maxim Group LLC</t>
  </si>
  <si>
    <t>COWEN(JB)/MAXIM-GROUP(JB)</t>
  </si>
  <si>
    <t>COWEN/MAXIM-GROUP</t>
  </si>
  <si>
    <t>COWEN
(JB)/MAXIM-GROUP(JB)</t>
  </si>
  <si>
    <t>Cowen &amp; Co
Maxim Group LLC</t>
  </si>
  <si>
    <t>Advent/Claymore Global Conv</t>
  </si>
  <si>
    <t>AGC</t>
  </si>
  <si>
    <t>007639107</t>
  </si>
  <si>
    <t>Merrill Lynch
Citigroup
BB&amp;T Capital Markets
Robert W Baird &amp; Co Inc
Claymore Securities Inc
Crowell Weedon &amp; Co
Ferris Baker Watts
JJB Hilliard WL Lyons Inc
Janney Montgomery Scott LLC
Morgan Keegan Inc
Oppenheimer &amp; Co Inc
RBC Capital Markets
Ryan Beck &amp; Co
Stifel Nicolaus &amp; Co Inc
Wells Fargo Bank NA
Wunderlich Securities Inc
Dominick &amp; Dominick Inc
J. B. Hanauer
Maxim Group LLC
Southwest Securities Inc
Wedbush Securities
Anderson &amp; Strudwick
Axiom Capital Management Inc
Bishop, Rosen &amp; Co
Brean Murray &amp; Co Inc
Brookstreet Securities
Chicago Investment Group LLC
First Montauk Securities
First Southwest
Gilford Securities
GunnAllen Financial Inc
Wayne Hummer &amp; Co
Huntleigh Securities Corp
Jeffrey Matthews Group LLC
Jesup &amp; Lamont Securities
Laidlaw &amp; Co (UK) Ltd
LaSalle Street Securities Inc
Mesirow Financial Corp
Morgan Wilshire Securities
Natcity Investments Inc.
National Securities Corp (US)
David A. Noyes
Peacock Hislop Staley &amp; Given
Sanders Morris Harris Inc
Stanford Group Company
M. L. Stern
Sterne Agee &amp; Leach Inc
Stockcross Inc
Stonnington Group LLC
Strand Associates Ltd
JP Turner &amp; Co
BC Ziegler &amp; Co
Finance 500 Inc
Newbridge Securities</t>
  </si>
  <si>
    <t>MERRILL//CITIGROUP/BB-T-CAP/BAIRD
/CLAYMORE-SEC/CROWELL/FERRIS-BAKER
/HILLIARD/JANNEY-LLC/MORGAN-KEEGAN
/OPPENHEIMER-CO/RBC-CAP-MKTS/RYAN-BECK
/STIFEL/WELLS-FARGO//WUNDERLICH
/DOMINICK/J-B-HANAUER/MAXIM-GROUP
/SWS-SEC/WEDBUSH-M/ANDERSON/AXIOM-CAP
/BISHOP-ROSEN/BREAN/BROOKSTREET
/CHICAGO-INV/FIRST-MONTAUK/FIRST-SW
/GILFORD/GUNNALLEN-FINL/HUMMER
/HUNTLEIGH-SEC/JEFF-MATTHEWS/JESUP
/LAIDLAW-UK/LASALLE-SEC/MESIROW-FIN
/MORGAN-WILSHIRE/NATCITY-INVEST
/NATL-SEC/D-A-NOYES/PEACOCK-HISLOP
/SANDERS-HARRIS/STANFORD-GROUP
/M-L-STERN/STERNE-AGEE/STOCK-INC
/STONNINGTON-LLC/STRAND-ASSOC
/J-P-TURNER/ZIEGLER/FINANCE-INC
/NEWBRIDGE</t>
  </si>
  <si>
    <t>MERRILL
CITIGROUP
BB-T-CAP
BAIRD
CLAYMORE-SEC
CROWELL
FERRIS-BAKER
HILLIARD
JANNEY-LLC
MORGAN-KEEGAN
OPPENHEIMER-CO
RBC-CAP-MKTS
RYAN-BECK
STIFEL
WELLS-FARGO</t>
  </si>
  <si>
    <t>Merrill Lynch &amp; Co Inc
Citigroup
BB&amp;T Capital Markets
Robert W Baird &amp; Co Inc
Claymore Securities Inc
Crowell Weedon &amp; Co
Ferris Baker Watts Inc
JJB Hilliard WL Lyons Inc
Janney Montgomery Scott LLC
Morgan Keegan Inc
Oppenheimer &amp; Co Inc
RBC Capital Markets
Ryan Beck &amp; Co
Stifel Nicolaus &amp; Co Inc
Wells Fargo Bank NA</t>
  </si>
  <si>
    <t>Blackrock Int Growth And Inc</t>
  </si>
  <si>
    <t>BGY</t>
  </si>
  <si>
    <t>092524107</t>
  </si>
  <si>
    <t>Wachovia Securities Inc
Citigroup
Merrill Lynch
Robert W Baird &amp; Co Inc
Banc of America Securities LLC
BB&amp;T Capital Markets
H&amp;R Block Financial Advisors
Crowell Weedon &amp; Co
Doft &amp; Co Inc
Ferris Baker Watts
JJB Hilliard WL Lyons Inc
Janney Montgomery Scott LLC
Morgan Keegan Inc
Newbridge Securities
Oppenheimer &amp; Co Inc
Raymond James &amp; Associates Inc
RBC Capital Markets
Ryan Beck &amp; Co
Southwest Securities Inc
Stifel Nicolaus &amp; Co Inc
SunTrust Capital Markets
Wedbush Securities
Wells Fargo Bank NA
DA Davidson &amp; Co Inc
Deutsche Bank Securities
Dominick &amp; Dominick Inc
AG Edwards &amp; Sons Inc
Fidelity Capital Markets
Fifth Third Securities Inc
First Allied Securities, Inc.
FMS Bonds Inc
GMS Group
GunnAllen Financial Inc
J. B. Hanauer
Hongkong &amp; Shanghai Bank (HK)
Linsco/Private Ledger
David A. Noyes
Royal Alliance Associates
Herbert J. Sims
Stephens Inc
M. L. Stern
Stockcross Inc
TD Ameritrade
Wunderlich Securities Inc
1st Discount Brokerage Inc
AIG Financial Advisors Inc
Aegis Capital
Bishop, Rosen &amp; Co
Brookstreet Securities
Joseph Gunnar &amp; Co., LLC
Chester Harris &amp; Co
Hazlett, Burt &amp; Watson
Wayne Hummer &amp; Co
Huntleigh Securities Corp
Johnston Lemon &amp; Co Inc
Maxim Group LLC
Paulson Investment Co
Sanders Morris Harris Inc
Hennion &amp; Walsh, Inc
R. M. Stark &amp; Co
Sterne Agee &amp; Leach Inc
Stonnington Group LLC
Strand,Atkinson,Williams&amp;Yerl
BC Ziegler &amp; Co
William Blair &amp; Co
Cadaret Grant &amp; Co
Capital Growth Financial LLC
Chicago Investment Group LLC
City Securities
Finance 500 Inc
First Montauk Securities
Gilford Securities
Bernard Herold &amp; Co
Howe Barnes Investments Inc
LaSalle Street Securities Inc
McGinn, Smith &amp; Co Inc
Mesirow Financial Corp
Milkie/Ferguson Investments
Natcity Investments Inc.
Regal Securities Inc
R Seelaus &amp; Company Inc
Summit Brokerage Services Inc
Sun Belt Capital Management
JP Turner &amp; Co
Westminster Finl Sec Inc
White Pacific Securities Inc</t>
  </si>
  <si>
    <t>WACHOVIA-SEC//CITIGROUP/MERRILL/BAIRD
/BA-SEC-LLC/BB-T-CAP/HR-BLOCK-FIN
/CROWELL/DOFT/FERRIS-BAKER/HILLIARD
/JANNEY-LLC/MORGAN-KEEGAN/NEWBRIDGE
/OPPENHEIMER-CO/RAYMOND/RBC-CAP-MKTS
/RYAN-BECK/SWS-SEC/STIFEL/SUNTRUST-CAP
/WEDBUSH-M/WELLS-FARGO//DAVIDSON/DBSECU
/DOMINICK/A-G-EDWARDS/FIDELITY-CAP
/FIFTH-THIRD-SEC/FIRST-ALLIED/FMS-BONDS
/GMS-GROUP/GUNNALLEN-FINL/J-B-HANAUER
/HONG-SHANG-BKG/LINSCO-PVT/D-A-NOYES
/ROYAL-ALLIANCE/HERBERT-SIMS/STEPHENS
/M-L-STERN/STOCK-INC/TD-AMER/WUNDERLICH
/FD-BROKERAGE/AIG-FINANCIAL/AEGIS-CAP
/BISHOP-ROSEN/BROOKSTREET/GUNNAR
/CHESTER-HARRIS/HAZLETT/HUMMER
/HUNTLEIGH-SEC/JOHNSTON-LEMON
/MAXIM-GROUP/PAULSON/SANDERS-HARRIS
/HENNION-WALSH/R-M-STARK/STERNE-AGEE
/STONNINGTON-LLC/STRAND-ATKIN/ZIEGLER
/WM-BLAIR/CADARET-GRANT/CGF-SEC
/CHICAGO-INV/CITY-SEC/FINANCE-INC
/FIRST-MONTAUK/GILFORD/BERNARD-HER
/HOWE-BARNES/LASALLE-SEC/MCGINN-SMITH
/MESIROW-FIN/MILKIE-FERGUSON
/NATCITY-INVEST/REGAL-SEC-INC/R-SEELAUS
/SUMMIT-BROKER/SUN-BELT-CAP/J-P-TURNER
/WEST-FIN-SEC/WHITE-PACIFIC</t>
  </si>
  <si>
    <t>WACHOVIA-SEC
CITIGROUP
MERRILL
BAIRD
BA-SEC-LLC
BB-T-CAP
HR-BLOCK-FIN
CROWELL
DOFT
FERRIS-BAKER
HILLIARD
JANNEY-LLC
MORGAN-KEEGAN
NEWBRIDGE
OPPENHEIMER-CO
RAYMOND
RBC-CAP-MKTS
RYAN-BECK
SWS-SEC
STIFEL
SUNTRUST-CAP
WEDBUSH-M
WELLS-FARGO</t>
  </si>
  <si>
    <t>Wachovia Securities Inc
Citigroup
Merrill Lynch &amp; Co Inc
Robert W Baird &amp; Co Inc
Banc of America Securities LLC
BB&amp;T Capital Markets
H&amp;R Block Financial Advisors
Crowell Weedon &amp; Co
Doft &amp; Co Inc
Ferris Baker Watts Inc
JJB Hilliard WL Lyons Inc
Janney Montgomery Scott LLC
Morgan Keegan Inc
Newbridge Securities
Oppenheimer &amp; Co Inc
Raymond James &amp; Associates Inc
RBC Capital Markets
Ryan Beck &amp; Co
Southwest Securities Inc
Stifel Nicolaus &amp; Co Inc
SunTrust Capital Markets
Wedbush Securities
Wells Fargo Bank NA</t>
  </si>
  <si>
    <t>Dow 30 Enh Prem &amp; Inc</t>
  </si>
  <si>
    <t>DPO</t>
  </si>
  <si>
    <t>Merrill Lynch
Nuveen Investments LLC
Robert W Baird &amp; Co Inc
Crowell Weedon &amp; Co
Ferris Baker Watts
Ladenburg Thalmann &amp; Co
Oppenheimer &amp; Co Inc
RBC Capital Markets
Raymond James &amp; Associates Inc
Ryan Beck &amp; Co
Wells Fargo Bank NA
Wedbush Securities
BB&amp;T Capital Markets
Dominick &amp; Dominick Inc
J. B. Hanauer
JJB Hilliard WL Lyons Inc
Maxim Group LLC
Stephens Inc
Stifel Nicolaus &amp; Co Inc
Stockcross Inc
SunTrust Capital Markets
Anderson &amp; Strudwick
Bishop, Rosen &amp; Co
Brean Murray &amp; Co Inc
Brookstreet Securities
City Securities
E*Trade Securities Inc
Feltl &amp; Co
Fifth Third Securities Inc
First Montauk Securities
First Southwest
Gilford Securities
GunnAllen Financial Inc
Hazlett, Burt &amp; Watson
Howe Barnes Hoefer Arnett Inc
Wayne Hummer &amp; Co
Huntleigh Securities Corp
Jesup &amp; Lamont Securities
LaSalle Street Securities Inc
McGinn, Smith &amp; Co Inc
Mesirow Financial Corp
Morgan Wilshire Securities
Natcity Investments Inc.
Northeast Securities Inc.
Peacock Hislop Staley &amp; Given
Regal Securities Inc
Royal Alliance Associates
Sanders Morris Harris Inc
Source Capital Group Inc
Stanford Group Company
M. L. Stern
Sterne Agee &amp; Leach Inc
Stonington Partners Inc
Strand,Atkinson,Williams&amp;Yerl
Johnston Lemon &amp; Co Inc
Torrey Pines Securities
JP Turner &amp; Co
Andrew Garrett Group
Capital Growth Financial LLC
Newbridge Securities
Finance 500 Inc</t>
  </si>
  <si>
    <t>MERRILL//NUVEEN-INV/BAIRD/CROWELL
/FERRIS-BAKER/LADENBURG/OPPENHEIMER-CO
/RBC-CAP-MKTS/RAYMOND/RYAN-BECK
/WELLS-FARGO/WEDBUSH-M//BB-T-CAP
/DOMINICK/J-B-HANAUER/HILLIARD
/MAXIM-GROUP/STEPHENS/STIFEL/STOCK-INC
/SUNTRUST-CAP/ANDERSON/BISHOP-ROSEN
/BREAN/BROOKSTREET/CITY-SEC/E*TRADE-SEC
/FELTL/FIFTH-THIRD-SEC/FIRST-MONTAUK
/FIRST-SW/GILFORD/GUNNALLEN-FINL
/HAZLETT/HBHOEFER-ARNETT/HUMMER
/HUNTLEIGH-SEC/JESUP/LASALLE-SEC
/MCGINN-SMITH/MESIROW-FIN
/MORGAN-WILSHIRE/NATCITY-INVEST
/NORTHEAST-SEC/PEACOCK-HISLOP
/REGAL-SEC-INC/ROYAL-ALLIANCE
/SANDERS-HARRIS/SOURCE-CAPITAL
/STANFORD-GROUP/M-L-STERN/STERNE-AGEE
/STONINGTON-PART/STRAND-ATKIN
/JOHNSTON-LEMON/TORREY-PINES/J-P-TURNER
/ANDREW-GARRETT/CGF-SEC/NEWBRIDGE
/FINANCE-INC</t>
  </si>
  <si>
    <t>MERRILL
NUVEEN-INV
BAIRD
CROWELL
FERRIS-BAKER
LADENBURG
OPPENHEIMER-CO
RBC-CAP-MKTS
RAYMOND
RYAN-BECK
WELLS-FARGO
WEDBUSH-M</t>
  </si>
  <si>
    <t>Merrill Lynch &amp; Co Inc
Nuveen Investments LLC
Robert W Baird &amp; Co Inc
Crowell Weedon &amp; Co
Ferris Baker Watts Inc
Ladenburg Thalmann &amp; Co
Oppenheimer &amp; Co Inc
RBC Capital Markets
Raymond James &amp; Associates Inc
Ryan Beck &amp; Co
Wells Fargo Bank NA
Wedbush Securities</t>
  </si>
  <si>
    <t>Greenlight Capital Re Ltd</t>
  </si>
  <si>
    <t>GLRE</t>
  </si>
  <si>
    <t>39536R200</t>
  </si>
  <si>
    <t>Lehman Brothers
UBS Investment Bank
Citigroup
Dowling &amp; Partners Securities
Fox-Pitt Kelton</t>
  </si>
  <si>
    <t>11/20/07
11/20/07
11/20/07</t>
  </si>
  <si>
    <t>LEH(JB)/UBS-INV-BANK(JB)//CITIGROUP
/DOWL/FOX-PITT</t>
  </si>
  <si>
    <t>LEH
(JB)/UBS-INV-BANK(JB)
CITIGROUP
DOWL
FOX-PITT</t>
  </si>
  <si>
    <t>Lehman Brothers
UBS Investment Bank
Citigroup
Dowling &amp; Partners Securities LLC
Fox-Pitt Kelton</t>
  </si>
  <si>
    <t>Pioneer Diversified High</t>
  </si>
  <si>
    <t>HNW</t>
  </si>
  <si>
    <t>UBS Investment Bank
Merrill Lynch
RBC Capital Markets
Janney Montgomery Scott LLC
Robert W Baird &amp; Co Inc
Ferris Baker Watts
Morgan Keegan Inc
Deutsche Bank
BB&amp;T Capital Markets
Gilford Securities
Commonwealth Securities Inv
Stanford Group Company
Wedbush Securities
Summit Brokerage Services Inc
M. L. Stern
Sanders Morris Harris Inc
Stone &amp; Youngberg
Sterne Agee &amp; Leach Inc
LaSalle Street Securities Inc
Bernard Herold &amp; Co
Mesirow Financial Corp
Jesup &amp; Lamont Securities
McGinn, Smith &amp; Co Inc
Crowell Weedon &amp; Co
Wayne Hummer &amp; Co
Nutmeg Securities Ltd</t>
  </si>
  <si>
    <t>UBS-INV-BANK//MERRILL/RBC-CAP-MKTS
/JANNEY-LLC/BAIRD/FERRIS-BAKER
/MORGAN-KEEGAN//DEUTSCHE-BANK/BB-T-CAP
/GILFORD/COM-SEC-INV/STANFORD-GROUP
/WEDBUSH-M/SUMMIT-BROKER/M-L-STERN
/SANDERS-HARRIS/STONE-YOUNG/STERNE-AGEE
/LASALLE-SEC/BERNARD-HER/MESIROW-FIN
/JESUP/MCGINN-SMITH/CROWELL/HUMMER
/NUTMEG-SEC</t>
  </si>
  <si>
    <t>UBS-INV-BANK
MERRILL
RBC-CAP-MKTS
JANNEY-LLC
BAIRD
FERRIS-BAKER
MORGAN-KEEGAN</t>
  </si>
  <si>
    <t>UBS Investment Bank
Merrill Lynch &amp; Co Inc
RBC Capital Markets
Janney Montgomery Scott LLC
Robert W Baird &amp; Co Inc
Ferris Baker Watts Inc
Morgan Keegan Inc</t>
  </si>
  <si>
    <t>Seligman LaSalle Int Real</t>
  </si>
  <si>
    <t>SLS</t>
  </si>
  <si>
    <t>81634A101</t>
  </si>
  <si>
    <t>Citigroup
Robert W Baird &amp; Co Inc
H&amp;R Block Financial Advisors
Hongkong &amp; Shanghai Bank (HK)
Wedbush Securities
Wells Fargo Bank NA
Deutsche Bank Securities
Oppenheimer &amp; Co Inc
Ferris Baker Watts
First Allied Securities, Inc.
GunnAllen Financial Inc
Stifel Nicolaus &amp; Co Inc
1st Discount Brokerage Inc
BB&amp;T Capital Markets
Bishop, Rosen &amp; Co
CastleOak Securities LP
Crowell Weedon &amp; Co
DA Davidson &amp; Co Inc
Doft &amp; Co Inc
First Montauk Securities
First Southwest
Gilford Securities
Johnston Lemon &amp; Co Inc
Maxim Group LLC
McGinn, Smith &amp; Co Inc
Morgan Keegan Inc
Morgan Wilshire Securities
Muriel Siebert &amp; Co
Ryan Beck &amp; Co
Sanders Morris Harris Inc
Southwest Securities Inc
Stonnington Group LLC
Strand,Atkinson,Williams&amp;Yerl
Wayne Hummer &amp; Co
J. B. Hanauer</t>
  </si>
  <si>
    <t>11/20/07
11/20/07</t>
  </si>
  <si>
    <t>CITIGROUP//BAIRD/HR-BLOCK-FIN
/HONG-SHANG-BKG/WEDBUSH-M/WELLS-FARGO
//DBSECU/OPPENHEIMER-CO/FERRIS-BAKER
/FIRST-ALLIED/GUNNALLEN-FINL/STIFEL
/FD-BROKERAGE/BB-T-CAP/BISHOP-ROSEN
/CASTLEOAK-SEC/CROWELL/DAVIDSON/DOFT
/FIRST-MONTAUK/FIRST-SW/GILFORD
/JOHNSTON-LEMON/MAXIM-GROUP
/MCGINN-SMITH/MORGAN-KEEGAN
/MORGAN-WILSHIRE/MURIEL/RYAN-BECK
/SANDERS-HARRIS/SWS-SEC/STONNINGTON-LLC
/STRAND-ATKIN/HUMMER/J-B-HANAUER</t>
  </si>
  <si>
    <t>CITIGROUP
BAIRD
HR-BLOCK-FIN
HONG-SHANG-BKG
WEDBUSH-M
WELLS-FARGO</t>
  </si>
  <si>
    <t>Citigroup
Robert W Baird &amp; Co Inc
H&amp;R Block Financial Advisors
Hongkong &amp; Shanghai Banking Corp Ltd
Wedbush Securities
Wells Fargo Bank NA</t>
  </si>
  <si>
    <t>Shermen WSC Acquisition Corp</t>
  </si>
  <si>
    <t>SACQ</t>
  </si>
  <si>
    <t>CIBC-WORLD
/CRT-CAPITAL(JB)</t>
  </si>
  <si>
    <t>CIBC World Markets Inc
CRT Capital Group LLC
I-Bankers Securities Inc</t>
  </si>
  <si>
    <t>CIBC-WORLD(JB)/CRT-CAPITAL(JB)
//I-BANKERS-SEC</t>
  </si>
  <si>
    <t>CIBC-WORLD/CRT-CAPITAL</t>
  </si>
  <si>
    <t>CIBC-WORLD
(JB)/CRT-CAPITAL(JB)
I-BANKERS-SEC</t>
  </si>
  <si>
    <t>Vantage Energy Services Inc</t>
  </si>
  <si>
    <t>VTG</t>
  </si>
  <si>
    <t>92209F102</t>
  </si>
  <si>
    <t>Deutsche Bank Securities Corp
Legend Merchant Group Inc
GunnAllen Financial Inc</t>
  </si>
  <si>
    <t>DEUTSCHE-BK-SEC//LEGEND-MERCHANT
//GUNNALLEN-FINL</t>
  </si>
  <si>
    <t>Clean Energy Fuels Corp</t>
  </si>
  <si>
    <t>CLNE</t>
  </si>
  <si>
    <t>WR Hambrecht &amp; Co LLC
Simmons &amp; Co International
Susquehanna Financial Group
National Bank Financial Inc</t>
  </si>
  <si>
    <t>11/21/07
11/21/07
11/21/07</t>
  </si>
  <si>
    <t>W-R-HAMBRECHT//SIMMONS/SUSQUEHANNA-FIN
/NATL-BK-FIN</t>
  </si>
  <si>
    <t>W-R-HAMBRECHT
SIMMONS
SUSQUEHANNA-FIN
NATL-BK-FIN</t>
  </si>
  <si>
    <t>First Trust/Gallatin Specialty</t>
  </si>
  <si>
    <t>FGB</t>
  </si>
  <si>
    <t>33733G109</t>
  </si>
  <si>
    <t>AG Edwards &amp; Sons Inc
BB&amp;T Capital Markets
Robert W Baird &amp; Co Inc
H&amp;R Block Financial Advisors
Crowell Weedon &amp; Co
Ferris Baker Watts
Morgan Keegan Inc
RBC Capital Markets
Ryan Beck &amp; Co
Sterne Agee &amp; Leach Inc
Stifel Nicolaus &amp; Co Inc
Wunderlich Securities Inc
William Blair &amp; Co
Oppenheimer &amp; Co Inc
Wedbush Securities
Bishop, Rosen &amp; Co
Brookstreet Securities
Huntleigh Securities Corp
Johnston Lemon &amp; Co Inc
Maxim Group LLC
Southwest Securities Inc</t>
  </si>
  <si>
    <t>A-G-EDWARDS//BB-T-CAP/BAIRD
/HR-BLOCK-FIN/CROWELL/FERRIS-BAKER
/MORGAN-KEEGAN/RBC-CAP-MKTS/RYAN-BECK
/STERNE-AGEE/STIFEL/WUNDERLICH
//WM-BLAIR/OPPENHEIMER-CO/WEDBUSH-M
/BISHOP-ROSEN/BROOKSTREET/HUNTLEIGH-SEC
/JOHNSTON-LEMON/MAXIM-GROUP/SWS-SEC</t>
  </si>
  <si>
    <t>A-G-EDWARDS
BB-T-CAP
BAIRD
HR-BLOCK-FIN
CROWELL
FERRIS-BAKER
MORGAN-KEEGAN
RBC-CAP-MKTS
RYAN-BECK
STERNE-AGEE
STIFEL
WUNDERLICH</t>
  </si>
  <si>
    <t>AG Edwards &amp; Sons Inc
BB&amp;T Capital Markets
Robert W Baird &amp; Co Inc
H&amp;R Block Financial Advisors
Crowell Weedon &amp; Co
Ferris Baker Watts Inc
Morgan Keegan Inc
RBC Capital Markets
Ryan Beck &amp; Co
Sterne Agee &amp; Leach Inc
Stifel Nicolaus &amp; Co Inc
Wunderlich Securities Inc</t>
  </si>
  <si>
    <t>RMR Asia Real Estate Fund</t>
  </si>
  <si>
    <t>RAF</t>
  </si>
  <si>
    <t>74964Q101</t>
  </si>
  <si>
    <t>RBC Capital Markets
Wachovia Securities Inc
Banc of America Securities LLC
Comerica Securities
E*Trade Securities Inc
Ferris Baker Watts
Janney Montgomery Scott LLC
Oppenheimer &amp; Co Inc
Stifel Nicolaus &amp; Co Inc
David A. Noyes
Robert W Baird &amp; Co Inc
Brookstreet Securities
Wedbush Securities
Crowell Weedon &amp; Co
First Southwest
Maxim Group LLC
Newbridge Securities
SunTrust Capital Markets</t>
  </si>
  <si>
    <t>RBC-CAP-MKTS/WACHOVIA-SEC(JOINT)
//BA-SEC-LLC/COMERICA-SEC/E*TRADE-SEC
/FERRIS-BAKER/JANNEY-LLC/OPPENHEIMER-CO
/STIFEL/D-A-NOYES/BAIRD/BROOKSTREET
/WEDBUSH-M/CROWELL/FIRST-SW/MAXIM-GROUP
/NEWBRIDGE/SUNTRUST-CAP</t>
  </si>
  <si>
    <t>RBC-CAP-MKTS/WACHOVIA-SEC</t>
  </si>
  <si>
    <t>RBC-CAP-MKTS
/WACHOVIA-SEC(JOINT)
BA-SEC-LLC
COMERICA-SEC
E*TRADE-SEC
FERRIS-BAKER
JANNEY-LLC
OPPENHEIMER-CO
STIFEL
D-A-NOYES
BAIRD
BROOKSTREET
WEDBUSH-M
CROWELL
FIRST-SW
MAXIM-GROUP
NEWBRIDGE
SUNTRUST-CAP</t>
  </si>
  <si>
    <t>RBC Capital Markets
Wachovia Securities Inc
Banc of America Securities LLC
Comerica Securities
E*Trade Securities Inc
Ferris Baker Watts Inc
Janney Montgomery Scott LLC
Oppenheimer &amp; Co Inc
Stifel Nicolaus &amp; Co Inc
David A. Noyes &amp; Co.
Robert W Baird &amp; Co Inc
Brookstreet Securities
Wedbush Securities
Crowell Weedon &amp; Co
First Southwest Company
Maxim Group LLC
Newbridge Securities
SunTrust Capital Markets</t>
  </si>
  <si>
    <t>RMR Asia Pacific Real Estate</t>
  </si>
  <si>
    <t>RAP</t>
  </si>
  <si>
    <t>76969W108</t>
  </si>
  <si>
    <t>RBC Capital Markets
Robert W Baird &amp; Co Inc
Banc of America Securities LLC
Ferris Baker Watts
Janney Montgomery Scott LLC
JJB Hilliard WL Lyons Inc
KeyCorp/McDonald Investments
McGinn, Smith &amp; Co Inc
Oppenheimer &amp; Co Inc
Stifel Nicolaus &amp; Co Inc
Wells Fargo Bank NA
Bishop, Rosen &amp; Co
Brookstreet Securities
Crowell Weedon &amp; Co
DA Davidson &amp; Co Inc
David A. Noyes
Dawson James Securities
Dominick &amp; Dominick Inc
E*Trade Securities Inc
Harris Nesbitt
Huntleigh Securities Corp
JP Turner &amp; Co
Maxim Group LLC
Mesirow Financial Corp
Morgan Keegan Inc
National Securities Corp (US)
Newbridge Securities
Sanders Morris Harris Inc
Wedbush Securities</t>
  </si>
  <si>
    <t>RBC-CAP-MKTS//BAIRD/BA-SEC-LLC
/FERRIS-BAKER/JANNEY-LLC/HILLIARD
/KEY-MCDONALD/MCGINN-SMITH
/OPPENHEIMER-CO/STIFEL/WELLS-FARGO
/BISHOP-ROSEN/BROOKSTREET/CROWELL
/DAVIDSON/D-A-NOYES/DAWSON-JAMES
/DOMINICK/E*TRADE-SEC/HARRN
/HUNTLEIGH-SEC/J-P-TURNER/MAXIM-GROUP
/MESIROW-FIN/MORGAN-KEEGAN/NATL-SEC
/NEWBRIDGE/SANDERS-HARRIS/WEDBUSH-M</t>
  </si>
  <si>
    <t>RBC-CAP-MKTS
BAIRD
BA-SEC-LLC
FERRIS-BAKER
JANNEY-LLC
HILLIARD
KEY-MCDONALD
MCGINN-SMITH
OPPENHEIMER-CO
STIFEL
WELLS-FARGO
BISHOP-ROSEN
BROOKSTREET
CROWELL
DAVIDSON
D-A-NOYES
DAWSON-JAMES
DOMINICK
E*TRADE-SEC
HARRN
HUNTLEIGH-SEC
J-P-TURNER
MAXIM-GROUP
MESIROW-FIN
MORGAN-KEEGAN
NATL-SEC
NEWBRIDGE
SANDERS-HARRIS
WEDBUSH-M</t>
  </si>
  <si>
    <t>RBC Capital Markets
Robert W Baird &amp; Co Inc
Banc of America Securities LLC
Ferris Baker Watts Inc
Janney Montgomery Scott LLC
JJB Hilliard WL Lyons Inc
KeyCorp/McDonald Investments
McGinn, Smith &amp; Co Inc
Oppenheimer &amp; Co Inc
Stifel Nicolaus &amp; Co Inc
Wells Fargo Bank NA
Bishop, Rosen &amp; Co, Inc.
Brookstreet Securities
Crowell Weedon &amp; Co
DA Davidson &amp; Co Inc
David A. Noyes &amp; Co.
Dawson James Securities
Dominick &amp; Dominick Inc
E*Trade Securities Inc
Harris Nesbitt
Huntleigh Securities Corporation
JP Turner &amp; Co
Maxim Group LLC
Mesirow Financial Corp
Morgan Keegan Inc
National Securities Corp (US)
Newbridge Securities
Sanders Morris Harris Inc
Wedbush Securities</t>
  </si>
  <si>
    <t>Amicus Therapeutics Inc</t>
  </si>
  <si>
    <t>FOLD</t>
  </si>
  <si>
    <t>03152W109</t>
  </si>
  <si>
    <t>Morgan Stanley
Merrill Lynch
JP Morgan
Lazard Capital Markets
Pacific Growth Equities Inc</t>
  </si>
  <si>
    <t>11/26/07
11/26/07
11/26/07</t>
  </si>
  <si>
    <t>MORGAN-STANLEY(JB)/MERRILL(JB)//JPM
/LAZARD-CAP-MKT/PACIFIC-GROWTH</t>
  </si>
  <si>
    <t>MORGAN-STANLEY
(JB)/MERRILL(JB)
JPM
LAZARD-CAP-MKT
PACIFIC-GROWTH</t>
  </si>
  <si>
    <t>Morgan Stanley
Merrill Lynch &amp; Co Inc
JP Morgan &amp; Co Inc
Lazard Capital Markets
Pacific Growth Equities Inc</t>
  </si>
  <si>
    <t>Jazz Pharmaceuticals Inc</t>
  </si>
  <si>
    <t>JAZZ</t>
  </si>
  <si>
    <t>Morgan Stanley
Lehman Brothers
Credit Suisse
Natexis Bleichroeder Inc</t>
  </si>
  <si>
    <t>11/27/07
11/27/07
11/27/07</t>
  </si>
  <si>
    <t>MORGAN-STANLEY(JB)/LEH(JB)
//CREDIT-SUISSE/NATEXIS</t>
  </si>
  <si>
    <t>MORGAN-STANLEY
(JB)/LEH(JB)
CREDIT-SUISSE
NATEXIS</t>
  </si>
  <si>
    <t>LDK Solar Co Ltd</t>
  </si>
  <si>
    <t>LDK</t>
  </si>
  <si>
    <t>MORGAN-STANLEY
/UBS-INV-BANK(JB)</t>
  </si>
  <si>
    <t>50183L107</t>
  </si>
  <si>
    <t>Morgan Stanley
UBS Investment Bank
Piper Jaffray Cos
CIBC World Markets Inc
CLSA
Morgan Stanley
UBS Investment Bank</t>
  </si>
  <si>
    <t>MORGAN-STANLEY(JB)/UBS-INV-BANK(JB)
//PIPER-JAFFRAY/CIBC-WORLD/CLSA-HK
//MORGAN-STANLEY(GC)/UBS-INV-BANK(GC)</t>
  </si>
  <si>
    <t>MORGAN-STANLEY/UBS-INV-BANK</t>
  </si>
  <si>
    <t>MORGAN-STANLEY
(JB)/UBS-INV-BANK(JB)
PIPER-JAFFRAY
CIBC-WORLD
CLSA-HK</t>
  </si>
  <si>
    <t>Morgan Stanley
UBS Investment Bank
Piper Jaffray Cos
CIBC World Markets Inc
CLSA Asia-Pacific Markets Ltd</t>
  </si>
  <si>
    <t>Stoneleigh Partners Acq Corp</t>
  </si>
  <si>
    <t>SOC</t>
  </si>
  <si>
    <t>HCFP Brenner Securities LLC
Pali Capital LLC
Ladenburg Thalmann &amp; Co
Brean Murray Carret &amp; Co LLC
Earlybirdcapital Inc
Wunderlich Securities Inc
GunnAllen Financial Inc
Westminster Securities
Broadband Capital Management</t>
  </si>
  <si>
    <t>HCFP-BRENNER//PALI-CAPITAL//LADENBURG
/BREANMUR-CARRET/EARLYBIRD-CAP
/WUNDERLICH/GUNNALLEN-FINL/WESTMINSTER
/BROADBAND</t>
  </si>
  <si>
    <t>HCFP-BRENNER
PALI-CAPITAL</t>
  </si>
  <si>
    <t>HCFP Brenner Securities LLC
Pali Capital LLC</t>
  </si>
  <si>
    <t>Response Genetics Inc</t>
  </si>
  <si>
    <t>RGDX</t>
  </si>
  <si>
    <t>76123U105</t>
  </si>
  <si>
    <t>Maxim Group LLC
Caris &amp; Company</t>
  </si>
  <si>
    <t>05/29/08
05/29/08
05/29/08</t>
  </si>
  <si>
    <t>MAXIM-GROUP//CARIS-CO</t>
  </si>
  <si>
    <t>MAXIM-GROUP
CARIS-CO</t>
  </si>
  <si>
    <t>Starent Networks Corp</t>
  </si>
  <si>
    <t>STAR</t>
  </si>
  <si>
    <t>85528P108</t>
  </si>
  <si>
    <t>Goldman Sachs &amp; Co
Lehman Brothers
JP Morgan
Thomas Weisel Partners</t>
  </si>
  <si>
    <t>12/02/07
12/02/07
12/02/07</t>
  </si>
  <si>
    <t>GS(JB)/LEH(JB)//JPM/THOMAS-WEISEL</t>
  </si>
  <si>
    <t>GS
(JB)/LEH(JB)
JPM
THOMAS-WEISEL</t>
  </si>
  <si>
    <t>Goldman Sachs &amp; Co
Lehman Brothers
JP Morgan &amp; Co Inc
Thomas Weisel Partners</t>
  </si>
  <si>
    <t>Infinera Corp</t>
  </si>
  <si>
    <t>INFN</t>
  </si>
  <si>
    <t>45667G103</t>
  </si>
  <si>
    <t>Goldman Sachs &amp; Co
Citigroup
JP Morgan
Lehman Brothers
Thomas Weisel Partners</t>
  </si>
  <si>
    <t>12/03/07
12/03/07
12/03/07</t>
  </si>
  <si>
    <t>GS//CITIGROUP/JPM/LEH/THOMAS-WEISEL</t>
  </si>
  <si>
    <t>GS
CITIGROUP
JPM
LEH
THOMAS-WEISEL</t>
  </si>
  <si>
    <t>Goldman Sachs &amp; Co
Citigroup
JP Morgan &amp; Co Inc
Lehman Brothers
Thomas Weisel Partners</t>
  </si>
  <si>
    <t>Apex Bioventures Acquisition</t>
  </si>
  <si>
    <t>PEX.U</t>
  </si>
  <si>
    <t>03753Q204</t>
  </si>
  <si>
    <t>LAZARD-CAP-MKT//LADENBURG</t>
  </si>
  <si>
    <t>LAZARD-CAP-MKT
LADENBURG</t>
  </si>
  <si>
    <t>FBR Capital Markets Corp</t>
  </si>
  <si>
    <t>FBCM</t>
  </si>
  <si>
    <t>FRIEDMAN-B-CO/LEH(JB)</t>
  </si>
  <si>
    <t>30247C301</t>
  </si>
  <si>
    <t>Friedman Billings Ramsey &amp; Co
Lehman Brothers
Banc of America Securities LLC
Bear Stearns &amp; Co Inc
Jefferies &amp; Co Inc
ThinkEquity Partners
BNY Capital Markets Inc
Dresdner Kleinwort Wasserstein</t>
  </si>
  <si>
    <t>12/04/07
12/04/07
12/04/07</t>
  </si>
  <si>
    <t>FRIEDMAN-B-CO(JB)/LEH(JB)//BA-SEC-LLC
/BEAR/JEFFERIES/THINK/BNY-CAP
/DRESDNER-KW-SEC</t>
  </si>
  <si>
    <t>FRIEDMAN-B-CO/LEH</t>
  </si>
  <si>
    <t>FRIEDMAN-B-CO
(JB)/LEH(JB)
BA-SEC-LLC
BEAR
JEFFERIES
THINK
BNY-CAP
DRESDNER-KW-SEC</t>
  </si>
  <si>
    <t>Friedman Billings Ramsey &amp; Co Inc
Lehman Brothers
Banc of America Securities LLC
Bear Stearns &amp; Co Inc
Jefferies &amp; Co Inc
ThinkEquity Partners
BNY Capital Markets Inc
Dresdner Kleinwort Wasserstein Securities LLC</t>
  </si>
  <si>
    <t>Limelight Networks Inc</t>
  </si>
  <si>
    <t>LLNW</t>
  </si>
  <si>
    <t>53261M104</t>
  </si>
  <si>
    <t>Goldman Sachs &amp; Co
Morgan Stanley
Jefferies &amp; Co Inc
Piper Jaffray Cos
Friedman Billings Ramsey &amp; Co</t>
  </si>
  <si>
    <t>GS/MORGAN-STANLEY(JOINT)//JEFFERIES
/PIPER-JAFFRAY/FRIEDMAN-B-CO</t>
  </si>
  <si>
    <t>GS
/MORGAN-STANLEY(JOINT)
JEFFERIES
PIPER-JAFFRAY
FRIEDMAN-B-CO</t>
  </si>
  <si>
    <t>Goldman Sachs &amp; Co
Morgan Stanley
Jefferies &amp; Co Inc
Piper Jaffray Cos
Friedman Billings Ramsey &amp; Co Inc</t>
  </si>
  <si>
    <t>Yingli Green Energy Holding Co</t>
  </si>
  <si>
    <t>YGE</t>
  </si>
  <si>
    <t>GS-ASIA
/UBS-INV-BANK(JB)</t>
  </si>
  <si>
    <t>98584B103</t>
  </si>
  <si>
    <t>Goldman Sachs (Asia)
UBS Investment Bank
Piper Jaffray Cos
CIBC World Markets Inc
Goldman Sachs (Asia)</t>
  </si>
  <si>
    <t>GS-ASIA(JB)/UBS-INV-BANK(JB)
//PIPER-JAFFRAY/CIBC-WORLD//GS-ASIA(GC)</t>
  </si>
  <si>
    <t>GS-ASIA/UBS-INV-BANK</t>
  </si>
  <si>
    <t>GS-ASIA
(JB)/UBS-INV-BANK(JB)
PIPER-JAFFRAY
CIBC-WORLD</t>
  </si>
  <si>
    <t>Goldman Sachs (Asia)
UBS Investment Bank
Piper Jaffray Cos
CIBC World Markets Inc</t>
  </si>
  <si>
    <t>Bway Holding Co</t>
  </si>
  <si>
    <t>BWY</t>
  </si>
  <si>
    <t>GS/BA-SEC-LLC(JB)</t>
  </si>
  <si>
    <t>12429T104</t>
  </si>
  <si>
    <t>Goldman Sachs &amp; Co
Banc of America Securities LLC
Deutsche Bank Securities Corp
JP Morgan</t>
  </si>
  <si>
    <t>12/09/07
12/09/07
12/09/07</t>
  </si>
  <si>
    <t>GS(JB)/BA-SEC-LLC(JB)//DEUTSCHE-BK-SEC
/JPM</t>
  </si>
  <si>
    <t>GS/BA-SEC-LLC</t>
  </si>
  <si>
    <t>GS
(JB)/BA-SEC-LLC(JB)
DEUTSCHE-BK-SEC
JPM</t>
  </si>
  <si>
    <t>Goldman Sachs &amp; Co
Banc of America Securities LLC
Deutsche Bank Securities Corp.
JP Morgan &amp; Co Inc</t>
  </si>
  <si>
    <t>BioFuel Energy Corp</t>
  </si>
  <si>
    <t>BIOF</t>
  </si>
  <si>
    <t>JPM/CITIGROUP(JB)
/A-G-EDWARDS(JB)</t>
  </si>
  <si>
    <t>09064Y109</t>
  </si>
  <si>
    <t>JP Morgan
Citigroup
AG Edwards &amp; Sons Inc
Bear Stearns &amp; Co Inc
Cowen</t>
  </si>
  <si>
    <t>12/11/07
12/11/07
12/11/07</t>
  </si>
  <si>
    <t>JPM(JB)/CITIGROUP(JB)/A-G-EDWARDS(JB)
//BEAR/COWEN</t>
  </si>
  <si>
    <t>JPM/CITIGROUP/A-G-EDWARDS</t>
  </si>
  <si>
    <t>JPM
(JB)/CITIGROUP(JB)
/A-G-EDWARDS(JB)
BEAR
COWEN</t>
  </si>
  <si>
    <t>JP Morgan &amp; Co Inc
Citigroup
AG Edwards &amp; Sons Inc
Bear Stearns &amp; Co Inc
Cowen &amp; Co</t>
  </si>
  <si>
    <t>First Capital Bancorp</t>
  </si>
  <si>
    <t>FCVA</t>
  </si>
  <si>
    <t>DAVENPORT-CO</t>
  </si>
  <si>
    <t>Davenport &amp; Co LLC
Anderson &amp; Strudwick
Stanford Group Company</t>
  </si>
  <si>
    <t>09/12/07
09/12/07</t>
  </si>
  <si>
    <t>DAVENPORT-CO//ANDERSON/STANFORD-GROUP</t>
  </si>
  <si>
    <t>DAVENPORT-CO
ANDERSON
STANFORD-GROUP</t>
  </si>
  <si>
    <t>ZBB Energy Corp</t>
  </si>
  <si>
    <t>ZBB</t>
  </si>
  <si>
    <t>JESUP</t>
  </si>
  <si>
    <t>98876R204</t>
  </si>
  <si>
    <t>Jesup &amp; Lamont Securities
Empire Financial Group
Maxim Group LLC</t>
  </si>
  <si>
    <t>JESUP//EMPIRE-FIN-GRP/MAXIM-GROUP</t>
  </si>
  <si>
    <t>JESUP
EMPIRE-FIN-GRP
MAXIM-GROUP</t>
  </si>
  <si>
    <t>Jesup &amp; Lamont Securities Co Inc
Empire Financial Group
Maxim Group LLC</t>
  </si>
  <si>
    <t>Advanced Tech Acquisition Corp</t>
  </si>
  <si>
    <t>AXC</t>
  </si>
  <si>
    <t>007556301</t>
  </si>
  <si>
    <t>CRT Capital Group LLC
I-Bankers Securities Inc
Ferris Baker Watts
Ramius Capital Group LLC
GunnAllen Financial Inc
Maxim Corporate Partners Inc</t>
  </si>
  <si>
    <t>CRT-CAPITAL//I-BANKERS-SEC/FERRIS-BAKER
//RAMIUS-CAP/GUNNALLEN-FINL/MAXIM</t>
  </si>
  <si>
    <t>CRT-CAPITAL
I-BANKERS-SEC
FERRIS-BAKER</t>
  </si>
  <si>
    <t>CRT Capital Group LLC
I-Bankers Securities Inc
Ferris Baker Watts Inc</t>
  </si>
  <si>
    <t>China Discovery Acquisition</t>
  </si>
  <si>
    <t>CADQE</t>
  </si>
  <si>
    <t>G2112B125</t>
  </si>
  <si>
    <t>China Shenghuo Pharmaceutical</t>
  </si>
  <si>
    <t>KUN</t>
  </si>
  <si>
    <t>WEST-PARK-CAP</t>
  </si>
  <si>
    <t>16941X105</t>
  </si>
  <si>
    <t>West Park Capital</t>
  </si>
  <si>
    <t>Sterlite Industries(India)Ltd</t>
  </si>
  <si>
    <t>MERRILL
/MORGAN-STANLEY(JB)
/CITI(JB)</t>
  </si>
  <si>
    <t>Merrill Lynch
Morgan Stanley
Citi
Nomura Singapore Ltd</t>
  </si>
  <si>
    <t>MERRILL(JB)/MORGAN-STANLEY(JB)/CITI(JB)
//NOMURA-SING</t>
  </si>
  <si>
    <t>MERRILL/MORGAN-STANLEY/CITI</t>
  </si>
  <si>
    <t>MERRILL
(JB)/MORGAN-STANLEY(JB)
/CITI(JB)</t>
  </si>
  <si>
    <t>Merrill Lynch &amp; Co Inc
Morgan Stanley
Citi</t>
  </si>
  <si>
    <t>Aldabra 2 Acquisition Corp</t>
  </si>
  <si>
    <t>AII</t>
  </si>
  <si>
    <t>01408A202</t>
  </si>
  <si>
    <t>Lazard Capital Markets
Pali Capital LLC
Ladenburg Thalmann &amp; Co
Earlybirdcapital Inc</t>
  </si>
  <si>
    <t>LAZARD-CAP-MKT//PALI-CAPITAL/LADENBURG
/EARLYBIRD-CAP</t>
  </si>
  <si>
    <t>LAZARD-CAP-MKT
PALI-CAPITAL
LADENBURG
EARLYBIRD-CAP</t>
  </si>
  <si>
    <t>Peru</t>
  </si>
  <si>
    <t>IFSP</t>
  </si>
  <si>
    <t>CITI/CREDIT-SUISSE(JB)</t>
  </si>
  <si>
    <t>45869C108</t>
  </si>
  <si>
    <t>PORTAL</t>
  </si>
  <si>
    <t>Citi
Credit Suisse</t>
  </si>
  <si>
    <t>CITI(JB)/CREDIT-SUISSE(JB)</t>
  </si>
  <si>
    <t>CITI/CREDIT-SUISSE</t>
  </si>
  <si>
    <t>CITI
(JB)/CREDIT-SUISSE(JB)</t>
  </si>
  <si>
    <t>Blackstone Group LP</t>
  </si>
  <si>
    <t>BX</t>
  </si>
  <si>
    <t>MORGAN-STANLEY/CITI(JB)
/MERRILL(JB)
/CREDIT-SUISSE(JB)
/LEH(JB)
/DEUTSCHE-BK-SEC(JB)</t>
  </si>
  <si>
    <t>09253U108</t>
  </si>
  <si>
    <t>Morgan Stanley
Citi
Merrill Lynch
Credit Suisse
Lehman Brothers
Deutsche Bank Securities Corp
ABN AMRO Rothschild
Banc of America Securities LLC
Bear Stearns &amp; Co Inc
Goldman Sachs &amp; Co
JP Morgan
Lazard Capital Markets
UBS Investment Bank
Wachovia Securities Inc
Nikko Citigroup Ltd
Skandinaviska Enskilda Banken
Wells Fargo Bank NA
Calyon Securities USA Inc
Mizuho Securities Co Ltd
RBC Capital Markets
Blaylock &amp; Co Inc
Chapin, Davis
Samuel A. Ramirez &amp; Co.
Muriel Siebert &amp; Co
Stephens Inc
Williams Capital Group LP
Chatsworth Securities LLC
Dominick &amp; Dominick Inc
Jackson Securities Inc
Loop Capital Markets
Toussaint Capital Partners
Morgan Stanley
Citi</t>
  </si>
  <si>
    <t>10/19/07
10/19/07</t>
  </si>
  <si>
    <t>120
120</t>
  </si>
  <si>
    <t>MORGAN-STANLEY(JB)/CITI(JB)/MERRILL(JB)
/CREDIT-SUISSE(JB)/LEH(JB)
/DEUTSCHE-BK-SEC(JB)//ABN-ROTHSCHILD
/BA-SEC-LLC/BEAR/GS/JPM/LAZARD-CAP-MKT
/UBS-INV-BANK/WACHOVIA-SEC
/NIKKO-CITIGROUP/SKANDINAVISKA
/WELLS-FARGO//CALYON-SEC/MIZUHO-SEC
/RBC-CAP-MKTS/BLAYLOCK-CO/CHAPIN-DAVIS
/RAMIREZ/MURIEL/STEPHENS/WILLIAMS-CAP
/CHATSWORTH/DOMINICK/JACKSON-SEC/LOOP
/TOUSSAINT//MORGAN-STANLEY(GC)/CITI(GC)</t>
  </si>
  <si>
    <t>MORGAN-STANLEY/CITI/MERRILL
/CREDIT-SUISSE/LEH/DEUTSCHE-BK-SEC</t>
  </si>
  <si>
    <t>MORGAN-STANLEY
(JB)/CITI(JB)
/MERRILL(JB)
/CREDIT-SUISSE(JB)
/LEH(JB)
/DEUTSCHE-BK-SEC(JB)
ABN-ROTHSCHILD
BA-SEC-LLC
BEAR
GS
JPM
LAZARD-CAP-MKT
UBS-INV-BANK
WACHOVIA-SEC
NIKKO-CITIGROUP
SKANDINAVISKA
WELLS-FARGO</t>
  </si>
  <si>
    <t>Morgan Stanley
Citi
Merrill Lynch &amp; Co Inc
Credit Suisse
Lehman Brothers
Deutsche Bank Securities Corp.
ABN AMRO Rothschild
Banc of America Securities LLC
Bear Stearns &amp; Co Inc
Goldman Sachs &amp; Co
JP Morgan &amp; Co Inc
Lazard Capital Markets
UBS Investment Bank
Wachovia Securities Inc
Nikko Citigroup Ltd
Skandinaviska Enskilda Banken AB
Wells Fargo Bank NA</t>
  </si>
  <si>
    <t>Care Investment Trust Inc</t>
  </si>
  <si>
    <t>CRE</t>
  </si>
  <si>
    <t>CREDIT-SUISSE
/MERRILL(JB)</t>
  </si>
  <si>
    <t>Credit Suisse
Merrill Lynch
Banc of America Securities LLC
Bear Stearns &amp; Co Inc
UBS Investment Bank
Wachovia Securities Inc
Piper Jaffray Cos
RBC Capital Markets
Stifel Nicolaus &amp; Co Inc</t>
  </si>
  <si>
    <t>12/19/07
12/19/07
12/19/07</t>
  </si>
  <si>
    <t>CREDIT-SUISSE(JB)/MERRILL(JB)
//BA-SEC-LLC/BEAR/UBS-INV-BANK
/WACHOVIA-SEC/PIPER-JAFFRAY
/RBC-CAP-MKTS/STIFEL</t>
  </si>
  <si>
    <t>CREDIT-SUISSE/MERRILL</t>
  </si>
  <si>
    <t>CREDIT-SUISSE
(JB)/MERRILL(JB)
BA-SEC-LLC
BEAR
UBS-INV-BANK
WACHOVIA-SEC
PIPER-JAFFRAY
RBC-CAP-MKTS
STIFEL</t>
  </si>
  <si>
    <t>Credit Suisse
Merrill Lynch &amp; Co Inc
Banc of America Securities LLC
Bear Stearns &amp; Co Inc
UBS Investment Bank
Wachovia Securities Inc
Piper Jaffray Cos
RBC Capital Markets
Stifel Nicolaus &amp; Co Inc</t>
  </si>
  <si>
    <t>COLLINS-STEWART</t>
  </si>
  <si>
    <t>66737P501</t>
  </si>
  <si>
    <t>Collins Stewart Ltd</t>
  </si>
  <si>
    <t>GSC Acquisition Co</t>
  </si>
  <si>
    <t>GGA</t>
  </si>
  <si>
    <t>CITI</t>
  </si>
  <si>
    <t>40053G205</t>
  </si>
  <si>
    <t>Citi
Ladenburg Thalmann &amp; Co
I-Bankers Securities Inc</t>
  </si>
  <si>
    <t>12/22/07
12/22/07</t>
  </si>
  <si>
    <t>CITI//LADENBURG/I-BANKERS-SEC</t>
  </si>
  <si>
    <t>CITI
LADENBURG
I-BANKERS-SEC</t>
  </si>
  <si>
    <t>AuthenTec Inc</t>
  </si>
  <si>
    <t>AUTH</t>
  </si>
  <si>
    <t>052660107</t>
  </si>
  <si>
    <t>Lehman Brothers
Bear Stearns &amp; Co Inc
Cowen
Raymond James &amp; Associates Inc
Montgomery &amp; Co</t>
  </si>
  <si>
    <t>12/23/07
12/23/07</t>
  </si>
  <si>
    <t>LEH//BEAR/COWEN/RAYMOND/MONTGOMERY-CO</t>
  </si>
  <si>
    <t>LEH
BEAR
COWEN
RAYMOND
MONTGOMERY-CO</t>
  </si>
  <si>
    <t>Lehman Brothers
Bear Stearns &amp; Co Inc
Cowen &amp; Co
Raymond James &amp; Associates Inc
Montgomery &amp; Co</t>
  </si>
  <si>
    <t>BlackRock Kelso Capital Corp</t>
  </si>
  <si>
    <t>BKCC</t>
  </si>
  <si>
    <t>JPM/CITI(JB)
/MERRILL(JB)
/WACHOVIA-SEC(JB)</t>
  </si>
  <si>
    <t>092533108</t>
  </si>
  <si>
    <t>JP Morgan
Citi
Merrill Lynch
Wachovia Securities Inc
Bear Stearns &amp; Co Inc
UBS Investment Bank</t>
  </si>
  <si>
    <t>JPM(JB)/CITI(JB)/MERRILL(JB)
/WACHOVIA-SEC(JB)//BEAR/UBS-INV-BANK</t>
  </si>
  <si>
    <t>JPM/CITI/MERRILL/WACHOVIA-SEC</t>
  </si>
  <si>
    <t>JPM
(JB)/CITI(JB)
/MERRILL(JB)
/WACHOVIA-SEC(JB)
BEAR
UBS-INV-BANK</t>
  </si>
  <si>
    <t>JP Morgan &amp; Co Inc
Citi
Merrill Lynch &amp; Co Inc
Wachovia Securities Inc
Bear Stearns &amp; Co Inc
UBS Investment Bank</t>
  </si>
  <si>
    <t>Calamos Global Dynamic</t>
  </si>
  <si>
    <t>CHW</t>
  </si>
  <si>
    <t>WACHOVIA-SEC/CITI(JB)</t>
  </si>
  <si>
    <t>12811L107</t>
  </si>
  <si>
    <t>Wachovia Securities Inc
Citi
Robert W Baird &amp; Co Inc
H&amp;R Block Financial Advisors
Doft &amp; Co Inc
Janney Montgomery Scott LLC
RBC Capital Markets
Southwest Securities Inc
Wedbush Securities
BB&amp;T Capital Markets
Crowell Weedon &amp; Co
Ferris Baker Watts
Morgan Keegan Inc
Ryan Beck &amp; Co
Stifel Nicolaus &amp; Co Inc
Wells Fargo Securities LLC
Aegis Capital
Deutsche Bank Securities
Dominick &amp; Dominick Inc
AG Edwards &amp; Sons Inc
GMS Group
J. B. Hanauer
Johnston Lemon &amp; Co Inc
Maxim Group LLC
Mesirow
David A. Noyes
Oppenheimer &amp; Co Inc
Sterne Agee &amp; Leach Inc
Stockcross Inc
1st Discount Brokerage Inc
Bishop, Rosen &amp; Co
Dawson James Securities
E*Trade Securities Inc
GunnAllen Financial Inc
Hennion &amp; Walsh, Inc
Howe Barnes Hoefer Arnett Inc
Royal Alliance Associates
R. M. Stark &amp; Co
BC Ziegler &amp; Co
Wunderlich Securities Inc
William Blair &amp; Co
Capital Growth Financial LLC
Chicago Investment Group LLC
DA Davidson &amp; Co Inc
First Montauk Securities
Gilford Securities
Andrew Garrett Group
Joseph Gunnar &amp; Co., LLC
Bernard Herold &amp; Co
Huntleigh Securities Corp
Wayne Hummer &amp; Co
McGinn, Smith &amp; Co Inc
Milkie/Ferguson Investments
Newbridge Securities
Herbert J. Sims
R Seelaus &amp; Company Inc
Stonnington Group LLC
Summit Brokerage Services Inc
TD Ameritrade
JP Turner &amp; Co</t>
  </si>
  <si>
    <t>WACHOVIA-SEC(JB)/CITI(JB)//BAIRD
/HR-BLOCK-FIN/DOFT/JANNEY-LLC
/RBC-CAP-MKTS/SWS-SEC/WEDBUSH-M
/BB-T-CAP/CROWELL/FERRIS-BAKER
/MORGAN-KEEGAN/RYAN-BECK/STIFEL
/WELLS-FARGO-SEC//AEGIS-CAP/DBSECU
/DOMINICK/A-G-EDWARDS/GMS-GROUP
/J-B-HANAUER/JOHNSTON-LEMON/MAXIM-GROUP
/MESIROW/D-A-NOYES/OPPENHEIMER-CO
/STERNE-AGEE/STOCK-INC/FD-BROKERAGE
/BISHOP-ROSEN/DAWSON-JAMES/E*TRADE-SEC
/GUNNALLEN-FINL/HENNION-WALSH
/HBHOEFER-ARNETT/ROYAL-ALLIANCE
/R-M-STARK/ZIEGLER/WUNDERLICH/WM-BLAIR
/CGF-SEC/CHICAGO-INV/DAVIDSON
/FIRST-MONTAUK/GILFORD/ANDREW-GARRETT
/GUNNAR/BERNARD-HER/HUNTLEIGH-SEC
/HUMMER/MCGINN-SMITH/MILKIE-FERGUSON
/NEWBRIDGE/HERBERT-SIMS/R-SEELAUS
/STONNINGTON-LLC/SUMMIT-BROKER/TD-AMER
/J-P-TURNER</t>
  </si>
  <si>
    <t>WACHOVIA-SEC/CITI</t>
  </si>
  <si>
    <t>WACHOVIA-SEC
(JB)/CITI(JB)
BAIRD
HR-BLOCK-FIN
DOFT
JANNEY-LLC
RBC-CAP-MKTS
SWS-SEC
WEDBUSH-M
BB-T-CAP
CROWELL
FERRIS-BAKER
MORGAN-KEEGAN
RYAN-BECK
STIFEL
WELLS-FARGO-SEC</t>
  </si>
  <si>
    <t>Wachovia Securities Inc
Citi
Robert W Baird &amp; Co Inc
H&amp;R Block Financial Advisors
Doft &amp; Co Inc
Janney Montgomery Scott LLC
RBC Capital Markets
Southwest Securities Inc
Wedbush Securities
BB&amp;T Capital Markets
Crowell Weedon &amp; Co
Ferris Baker Watts Inc
Morgan Keegan Inc
Ryan Beck &amp; Co
Stifel Nicolaus &amp; Co Inc
Wells Fargo Securities LLC</t>
  </si>
  <si>
    <t>ComScore Inc</t>
  </si>
  <si>
    <t>SCOR</t>
  </si>
  <si>
    <t>20564W105</t>
  </si>
  <si>
    <t>Credit Suisse
Deutsche Bank Securities Corp
Friedman Billings Ramsey &amp; Co
Jefferies &amp; Co Inc
William Blair &amp; Co</t>
  </si>
  <si>
    <t>12/23/07
12/23/07
12/23/07</t>
  </si>
  <si>
    <t>CREDIT-SUISSE//DEUTSCHE-BK-SEC
/FRIEDMAN-B-CO/JEFFERIES/WM-BLAIR</t>
  </si>
  <si>
    <t>CREDIT-SUISSE
DEUTSCHE-BK-SEC
FRIEDMAN-B-CO
JEFFERIES
WM-BLAIR</t>
  </si>
  <si>
    <t>Credit Suisse
Deutsche Bank Securities Corp.
Friedman Billings Ramsey &amp; Co Inc
Jefferies &amp; Co Inc
William Blair &amp; Co</t>
  </si>
  <si>
    <t>DWS RREEF World Real Est &amp; Tac</t>
  </si>
  <si>
    <t>DRP</t>
  </si>
  <si>
    <t>23339T100</t>
  </si>
  <si>
    <t>Merrill Lynch
Deutsche Bank Securities Corp
AG Edwards &amp; Sons Inc
Robert W Baird &amp; Co Inc
Ferris Baker Watts
JJB Hilliard WL Lyons Inc
Ladenburg Thalmann &amp; Co
RBC Capital Markets
Ryan Beck &amp; Co
Stifel Nicolaus &amp; Co Inc
Wells Fargo Securities LLC
BB&amp;T Capital Markets
Maxim Group LLC
Morgan Keegan Inc
Southwest Securities Inc
Wedbush Securities
Bishop, Rosen &amp; Co
Chicago Investment Group LLC
Feltl &amp; Co
Gilford Securities
GunnAllen Financial Inc
Wayne Hummer &amp; Co
Johnston Lemon &amp; Co Inc
LaSalle Street Securities Inc
McGinn, Smith &amp; Co Inc
Mesirow
Morgan Wilshire Securities
National Securities Corp (US)
Newbridge Securities
Regal Securities Inc
Royal Alliance Associates
Stanford Group Company
M. L. Stern
Stone &amp; Youngberg
Torrey Pines Securities
JP Turner &amp; Co</t>
  </si>
  <si>
    <t>MERRILL//DEUTSCHE-BK-SEC/A-G-EDWARDS
/BAIRD/FERRIS-BAKER/HILLIARD/LADENBURG
/RBC-CAP-MKTS/RYAN-BECK/STIFEL
/WELLS-FARGO-SEC//BB-T-CAP/MAXIM-GROUP
/MORGAN-KEEGAN/SWS-SEC/WEDBUSH-M
/BISHOP-ROSEN/CHICAGO-INV/FELTL/GILFORD
/GUNNALLEN-FINL/HUMMER/JOHNSTON-LEMON
/LASALLE-SEC/MCGINN-SMITH/MESIROW
/MORGAN-WILSHIRE/NATL-SEC/NEWBRIDGE
/REGAL-SEC-INC/ROYAL-ALLIANCE
/STANFORD-GROUP/M-L-STERN/STONE-YOUNG
/TORREY-PINES/J-P-TURNER</t>
  </si>
  <si>
    <t>MERRILL
DEUTSCHE-BK-SEC
A-G-EDWARDS
BAIRD
FERRIS-BAKER
HILLIARD
LADENBURG
RBC-CAP-MKTS
RYAN-BECK
STIFEL
WELLS-FARGO-SEC</t>
  </si>
  <si>
    <t>Merrill Lynch &amp; Co Inc
Deutsche Bank Securities Corp.
AG Edwards &amp; Sons Inc
Robert W Baird &amp; Co Inc
Ferris Baker Watts Inc
JJB Hilliard WL Lyons Inc
Ladenburg Thalmann &amp; Co
RBC Capital Markets
Ryan Beck &amp; Co
Stifel Nicolaus &amp; Co Inc
Wells Fargo Securities LLC</t>
  </si>
  <si>
    <t>Data Domain Inc</t>
  </si>
  <si>
    <t>DDUP</t>
  </si>
  <si>
    <t>23767P109</t>
  </si>
  <si>
    <t>Goldman Sachs &amp; Co
Morgan Stanley
Thomas Weisel Partners
Pacific Crest Securities Inc</t>
  </si>
  <si>
    <t>GS(JB)/MORGAN-STANLEY(JB)
//THOMAS-WEISEL/PACIFIC-CREST</t>
  </si>
  <si>
    <t>GS
(JB)/MORGAN-STANLEY(JB)
THOMAS-WEISEL
PACIFIC-CREST</t>
  </si>
  <si>
    <t>Delaware Enhanced Global Div</t>
  </si>
  <si>
    <t>Merrill Lynch
AG Edwards &amp; Sons Inc
Robert W Baird &amp; Co Inc
Bank of America
Ferris Baker Watts
Janney Montgomery Scott LLC
Ladenburg Thalmann &amp; Co
Oppenheimer &amp; Co Inc
Wedbush Securities
BB&amp;T Capital Markets
Crowell Weedon &amp; Co
Dominick &amp; Dominick Inc
J. B. Hanauer
Maxim Group LLC
Morgan Keegan Inc
Ryan Beck &amp; Co
Stifel Nicolaus &amp; Co Inc
Anderson &amp; Strudwick
Bishop, Rosen &amp; Co
Brean Murray Carret &amp; Co LLC
City Securities
Feltl &amp; Co
First Southwest
Andrew Garrett Group
Gilford Securities
GunnAllen Financial Inc
Wayne Hummer &amp; Co
Huntleigh Securities Corp
Jesup &amp; Lamont Securities
Johnston Lemon &amp; Co Inc
LaSalle Street Securities Inc
McGinn, Smith &amp; Co Inc
Morgan Wilshire Securities
National Securities Corp (US)
Newbridge Securities
Northeast Securities Inc.
Royal Alliance Associates
Source Capital Group Inc
Stanford Group Company
Stonnington Group LLC
Strand,Atkinson,Williams&amp;Yerl
Torrey Pines Securities
JP Turner &amp; Co</t>
  </si>
  <si>
    <t>MERRILL//A-G-EDWARDS/BAIRD
/BANK-OF-AMERICA/FERRIS-BAKER
/JANNEY-LLC/LADENBURG/OPPENHEIMER-CO
/WEDBUSH-M//BB-T-CAP/CROWELL/DOMINICK
/J-B-HANAUER/MAXIM-GROUP/MORGAN-KEEGAN
/RYAN-BECK/STIFEL/ANDERSON/BISHOP-ROSEN
/BREANMUR-CARRET/CITY-SEC/FELTL
/FIRST-SW/ANDREW-GARRETT/GILFORD
/GUNNALLEN-FINL/HUMMER/HUNTLEIGH-SEC
/JESUP/JOHNSTON-LEMON/LASALLE-SEC
/MCGINN-SMITH/MORGAN-WILSHIRE/NATL-SEC
/NEWBRIDGE/NORTHEAST-SEC/ROYAL-ALLIANCE
/SOURCE-CAPITAL/STANFORD-GROUP
/STONNINGTON-LLC/STRAND-ATKIN
/TORREY-PINES/J-P-TURNER</t>
  </si>
  <si>
    <t>MERRILL
A-G-EDWARDS
BAIRD
BANK-OF-AMERICA
FERRIS-BAKER
JANNEY-LLC
LADENBURG
OPPENHEIMER-CO
WEDBUSH-M</t>
  </si>
  <si>
    <t>Merrill Lynch &amp; Co Inc
AG Edwards &amp; Sons Inc
Robert W Baird &amp; Co Inc
Bank of America
Ferris Baker Watts Inc
Janney Montgomery Scott LLC
Ladenburg Thalmann &amp; Co
Oppenheimer &amp; Co Inc
Wedbush Securities</t>
  </si>
  <si>
    <t>MLP &amp; Strategic Equity</t>
  </si>
  <si>
    <t>MTP</t>
  </si>
  <si>
    <t>55312N106</t>
  </si>
  <si>
    <t>Merrill Lynch
AG Edwards &amp; Sons Inc
BB&amp;T Capital Markets
Robert W Baird &amp; Co Inc
Deutsche Bank Securities Corp
Ferris Baker Watts
Janney Montgomery Scott LLC
Ladenburg Thalmann &amp; Co
Crowell Weedon &amp; Co
DA Davidson &amp; Co Inc
J. B. Hanauer
Maxim Group LLC
Morgan Keegan Inc
Southwest Securities Inc
Stephens Inc
SunTrust Capital Markets
Wedbush Securities
Wunderlich Securities Inc
E*Trade Securities Inc
Gilford Securities
GunnAllen Financial Inc
Jesup &amp; Lamont Securities
Mesirow
Morgan Wilshire Securities
National Securities Corp (US)
Sanders Morris Harris Inc
Stanford Group Company
Stonnington Group LLC
Synovus Securities Inc
JP Turner &amp; Co</t>
  </si>
  <si>
    <t>MERRILL//A-G-EDWARDS/BB-T-CAP/BAIRD
/DEUTSCHE-BK-SEC/FERRIS-BAKER
/JANNEY-LLC/LADENBURG//CROWELL/DAVIDSON
/J-B-HANAUER/MAXIM-GROUP/MORGAN-KEEGAN
/SWS-SEC/STEPHENS/SUNTRUST-CAP
/WEDBUSH-M/WUNDERLICH/E*TRADE-SEC
/GILFORD/GUNNALLEN-FINL/JESUP/MESIROW
/MORGAN-WILSHIRE/NATL-SEC
/SANDERS-HARRIS/STANFORD-GROUP
/STONNINGTON-LLC/SYNOVUS-SEC/J-P-TURNER</t>
  </si>
  <si>
    <t>MERRILL
A-G-EDWARDS
BB-T-CAP
BAIRD
DEUTSCHE-BK-SEC
FERRIS-BAKER
JANNEY-LLC
LADENBURG</t>
  </si>
  <si>
    <t>Merrill Lynch &amp; Co Inc
AG Edwards &amp; Sons Inc
BB&amp;T Capital Markets
Robert W Baird &amp; Co Inc
Deutsche Bank Securities Corp.
Ferris Baker Watts Inc
Janney Montgomery Scott LLC
Ladenburg Thalmann &amp; Co</t>
  </si>
  <si>
    <t>Spectra Energy Partners LP</t>
  </si>
  <si>
    <t>SEP</t>
  </si>
  <si>
    <t>CITI/LEH(JB)</t>
  </si>
  <si>
    <t>84756N109</t>
  </si>
  <si>
    <t>Citi
Lehman Brothers
Merrill Lynch
UBS Investment Bank
Wachovia Securities Inc
AG Edwards &amp; Sons Inc
Raymond James &amp; Associates Inc</t>
  </si>
  <si>
    <t>CITI(JB)/LEH(JB)//MERRILL/UBS-INV-BANK
/WACHOVIA-SEC/A-G-EDWARDS/RAYMOND</t>
  </si>
  <si>
    <t>CITI/LEH</t>
  </si>
  <si>
    <t>CITI
(JB)/LEH(JB)
MERRILL
UBS-INV-BANK
WACHOVIA-SEC
A-G-EDWARDS
RAYMOND</t>
  </si>
  <si>
    <t>Citi
Lehman Brothers
Merrill Lynch &amp; Co Inc
UBS Investment Bank
Wachovia Securities Inc
AG Edwards &amp; Sons Inc
Raymond James &amp; Associates Inc</t>
  </si>
  <si>
    <t>Spreadtrum Communications Inc</t>
  </si>
  <si>
    <t>SPRD</t>
  </si>
  <si>
    <t>MORGAN-STANLEY
/LEH-ASIA(JB)</t>
  </si>
  <si>
    <t>Morgan Stanley
Lehman Brothers Asia
Needham &amp; Co LLC
Piper Jaffray Cos</t>
  </si>
  <si>
    <t>MORGAN-STANLEY(JB)/LEH-ASIA(JB)
//NEEDHAM/PIPER-JAFFRAY</t>
  </si>
  <si>
    <t>MORGAN-STANLEY/LEH-ASIA</t>
  </si>
  <si>
    <t>MORGAN-STANLEY
(JB)/LEH-ASIA(JB)
NEEDHAM
PIPER-JAFFRAY</t>
  </si>
  <si>
    <t>Van Kampen Dynamic Credit</t>
  </si>
  <si>
    <t>VTA</t>
  </si>
  <si>
    <t>UBS-INV-BANK
/MORGAN-STANLEY(JB)</t>
  </si>
  <si>
    <t>UBS Investment Bank
Morgan Stanley
AG Edwards &amp; Sons Inc
Raymond James &amp; Associates Inc
Oppenheimer &amp; Co Inc
RBC Capital Markets
Wells Fargo Securities LLC
Robert W Baird &amp; Co Inc
BB&amp;T Capital Markets
Ferris Baker Watts
Stifel Nicolaus &amp; Co Inc
Capital Growth Financial LLC
Deutsche Bank Securities
GunnAllen Financial Inc
Hongkong &amp; Shanghai Bank (HK)
M. L. Stern
Morgan Keegan Inc
Ryan Beck &amp; Co
Sterne Agee &amp; Leach Inc
SunTrust Robinson Humphrey
Advanced Equities Inc
City Securities
Crowell Weedon &amp; Co
David A. Noyes
First Allied Securities, Inc.
Gilford Securities
Huntleigh Securities Corp
International Assets Advisory
McGinn, Smith &amp; Co Inc
Regal Securities Inc
Royal Alliance Associates
Sanders Morris Harris Inc
Southwest Securities Inc
Stanford Group Company
Stonington Partners Inc
Strand,Atkinson,Williams&amp;Yerl
Wedbush Securities
Wayne Hummer &amp; Co</t>
  </si>
  <si>
    <t>UBS-INV-BANK(JB)/MORGAN-STANLEY(JB)
//A-G-EDWARDS/RAYMOND/OPPENHEIMER-CO
/RBC-CAP-MKTS/WELLS-FARGO-SEC/BAIRD
/BB-T-CAP/FERRIS-BAKER/STIFEL//CGF-SEC
/DBSECU/GUNNALLEN-FINL/HONG-SHANG-BKG
/M-L-STERN/MORGAN-KEEGAN/RYAN-BECK
/STERNE-AGEE/SUNTRUST-RH/ADVANCED-EQ
/CITY-SEC/CROWELL/D-A-NOYES
/FIRST-ALLIED/GILFORD/HUNTLEIGH-SEC
/INTL-ASSETS-AD/MCGINN-SMITH
/REGAL-SEC-INC/ROYAL-ALLIANCE
/SANDERS-HARRIS/SWS-SEC/STANFORD-GROUP
/STONINGTON-PART/STRAND-ATKIN/WEDBUSH-M
/HUMMER</t>
  </si>
  <si>
    <t>UBS-INV-BANK
(JB)/MORGAN-STANLEY(JB)
A-G-EDWARDS
RAYMOND
OPPENHEIMER-CO
RBC-CAP-MKTS
WELLS-FARGO-SEC
BAIRD
BB-T-CAP
FERRIS-BAKER
STIFEL</t>
  </si>
  <si>
    <t>UBS Investment Bank
Morgan Stanley
AG Edwards &amp; Sons Inc
Raymond James &amp; Associates Inc
Oppenheimer &amp; Co Inc
RBC Capital Markets
Wells Fargo Securities LLC
Robert W Baird &amp; Co Inc
BB&amp;T Capital Markets
Ferris Baker Watts Inc
Stifel Nicolaus &amp; Co Inc</t>
  </si>
  <si>
    <t>Dividend Capital Strategic</t>
  </si>
  <si>
    <t>DCW</t>
  </si>
  <si>
    <t>WACHOVIA-SEC
/MORGAN-KEEGAN(JB)</t>
  </si>
  <si>
    <t>25537X106</t>
  </si>
  <si>
    <t>Wachovia Securities Inc
Morgan Keegan Inc
Robert W Baird &amp; Co Inc
Ferris Baker Watts
JJB Hilliard WL Lyons Inc
RBC Capital Markets
Wells Fargo Securities LLC
BC Ziegler &amp; Co
Wedbush Securities
BB&amp;T Capital Markets
Bishop, Rosen &amp; Co
Cadaret Grant &amp; Co
City Securities
DA Davidson &amp; Co Inc
Dawson James Securities
Doft &amp; Co Inc
GunnAllen Financial Inc
Hennion &amp; Walsh, Inc
Johnston Lemon &amp; Co Inc
Maxim Group LLC
Natcity Investments Inc.
M. L. Stern
Northland Bank Ltd
JP Turner &amp; Co
Wunderlich Securities Inc</t>
  </si>
  <si>
    <t>WACHOVIA-SEC(JB)/MORGAN-KEEGAN(JB)
//BAIRD/FERRIS-BAKER/HILLIARD
/RBC-CAP-MKTS/WELLS-FARGO-SEC/ZIEGLER
/WEDBUSH-M//BB-T-CAP/BISHOP-ROSEN
/CADARET-GRANT/CITY-SEC/DAVIDSON
/DAWSON-JAMES/DOFT/GUNNALLEN-FINL
/HENNION-WALSH/JOHNSTON-LEMON
/MAXIM-GROUP/NATCITY-INVEST/M-L-STERN
/NORTH/J-P-TURNER/WUNDERLICH</t>
  </si>
  <si>
    <t>WACHOVIA-SEC/MORGAN-KEEGAN</t>
  </si>
  <si>
    <t>WACHOVIA-SEC
(JB)/MORGAN-KEEGAN(JB)
BAIRD
FERRIS-BAKER
HILLIARD
RBC-CAP-MKTS
WELLS-FARGO-SEC
ZIEGLER
WEDBUSH-M</t>
  </si>
  <si>
    <t>Wachovia Securities Inc
Morgan Keegan Inc
Robert W Baird &amp; Co Inc
Ferris Baker Watts Inc
JJB Hilliard WL Lyons Inc
RBC Capital Markets
Wells Fargo Securities LLC
BC Ziegler &amp; Co
Wedbush Securities</t>
  </si>
  <si>
    <t>Polypore International Inc</t>
  </si>
  <si>
    <t>PPO</t>
  </si>
  <si>
    <t>73179V103</t>
  </si>
  <si>
    <t>JP Morgan
Credit Suisse
Bear Stearns &amp; Co Inc
Robert W Baird &amp; Co Inc
William Blair &amp; Co
Janney Montgomery Scott Inc
Susquehanna Financial Group</t>
  </si>
  <si>
    <t>12/24/07
12/24/07</t>
  </si>
  <si>
    <t xml:space="preserve">
62.786</t>
  </si>
  <si>
    <t xml:space="preserve">
25306928.00</t>
  </si>
  <si>
    <t>JPM//CREDIT-SUISSE/BEAR/BAIRD/WM-BLAIR
//JANNEY/SUSQUEHANNA-FIN</t>
  </si>
  <si>
    <t>JPM
CREDIT-SUISSE
BEAR
BAIRD
WM-BLAIR</t>
  </si>
  <si>
    <t>JP Morgan &amp; Co Inc
Credit Suisse
Bear Stearns &amp; Co Inc
Robert W Baird &amp; Co Inc
William Blair &amp; Co</t>
  </si>
  <si>
    <t>Pros Holdings Inc</t>
  </si>
  <si>
    <t>PRO</t>
  </si>
  <si>
    <t>JPM/DEUTSCHE-BK-SEC(JB)</t>
  </si>
  <si>
    <t>74346Y103</t>
  </si>
  <si>
    <t>JP Morgan
Deutsche Bank Securities Corp
Jefferies &amp; Co Inc
Thomas Weisel Partners</t>
  </si>
  <si>
    <t>JPM(JB)/DEUTSCHE-BK-SEC(JB)//JEFFERIES
/THOMAS-WEISEL</t>
  </si>
  <si>
    <t>JPM/DEUTSCHE-BK-SEC</t>
  </si>
  <si>
    <t>JPM
(JB)/DEUTSCHE-BK-SEC(JB)
JEFFERIES
THOMAS-WEISEL</t>
  </si>
  <si>
    <t>JP Morgan &amp; Co Inc
Deutsche Bank Securities Corp.
Jefferies &amp; Co Inc
Thomas Weisel Partners</t>
  </si>
  <si>
    <t>Vaughan Foods Inc</t>
  </si>
  <si>
    <t>FOODU</t>
  </si>
  <si>
    <t>92241M206</t>
  </si>
  <si>
    <t>Paulson Investment Co
Capital Growth Financial LLC
I-Bankers Securities Inc
Capital West Securities</t>
  </si>
  <si>
    <t>06/21/08
06/21/08</t>
  </si>
  <si>
    <t>PAULSON//CGF-SEC/I-BANKERS-SEC
/CAPITAL-WEST</t>
  </si>
  <si>
    <t>PAULSON
CGF-SEC
I-BANKERS-SEC
CAPITAL-WEST</t>
  </si>
  <si>
    <t>Bridgeline Software Inc</t>
  </si>
  <si>
    <t>BLSW</t>
  </si>
  <si>
    <t>10807Q205</t>
  </si>
  <si>
    <t>Joseph Gunnar &amp; Co., LLC
Security Research Associates
Maxim Group LLC
Newbridge Securities
vFinance Investments Inc</t>
  </si>
  <si>
    <t>06/22/08
06/22/08
06/22/08</t>
  </si>
  <si>
    <t>GUNNAR//SEC-RESEARCH//MAXIM-GROUP
/NEWBRIDGE/VFINANCE</t>
  </si>
  <si>
    <t>GUNNAR
SEC-RESEARCH</t>
  </si>
  <si>
    <t>Joseph Gunnar &amp; Co., LLC
Security Research Associates</t>
  </si>
  <si>
    <t>Alyst Acquisition Corp</t>
  </si>
  <si>
    <t>AYA</t>
  </si>
  <si>
    <t>JESUP/FERRIS-BAKER(JB)</t>
  </si>
  <si>
    <t>02263A204</t>
  </si>
  <si>
    <t>Jesup &amp; Lamont Securities
Ferris Baker Watts
Empire Financial Group
Maxim Group LLC</t>
  </si>
  <si>
    <t>JESUP(JB)/FERRIS-BAKER(JB)
//EMPIRE-FIN-GRP/MAXIM-GROUP</t>
  </si>
  <si>
    <t>JESUP/FERRIS-BAKER</t>
  </si>
  <si>
    <t>JESUP
(JB)/FERRIS-BAKER(JB)
EMPIRE-FIN-GRP
MAXIM-GROUP</t>
  </si>
  <si>
    <t>Jesup &amp; Lamont Securities Co Inc
Ferris Baker Watts Inc
Empire Financial Group
Maxim Group LLC</t>
  </si>
  <si>
    <t>ShoreTel Inc</t>
  </si>
  <si>
    <t>SHOR</t>
  </si>
  <si>
    <t>Lehman Brothers
JP Morgan
Piper Jaffray Cos
JMP Securities LLC
Wedbush Securities</t>
  </si>
  <si>
    <t>12/29/07
12/29/07
12/29/07</t>
  </si>
  <si>
    <t>LEH(JB)/JPM(JB)//PIPER-JAFFRAY/JMP-SEC
/WEDBUSH-M</t>
  </si>
  <si>
    <t>LEH
(JB)/JPM(JB)
PIPER-JAFFRAY
JMP-SEC
WEDBUSH-M</t>
  </si>
  <si>
    <t>Lehman Brothers
JP Morgan &amp; Co Inc
Piper Jaffray Cos
JMP Securities LLC
Wedbush Securities</t>
  </si>
  <si>
    <t>Eik Bank Danmark 2010 A/S</t>
  </si>
  <si>
    <t>Denmark</t>
  </si>
  <si>
    <t>EIK</t>
  </si>
  <si>
    <t>Copenhagen</t>
  </si>
  <si>
    <t>Dice Holdings Inc</t>
  </si>
  <si>
    <t>DHX</t>
  </si>
  <si>
    <t>Credit Suisse
Morgan Stanley
JP Morgan
Lehman Brothers
Jefferies &amp; Co Inc</t>
  </si>
  <si>
    <t>01/13/08
01/13/08
01/13/08</t>
  </si>
  <si>
    <t>CREDIT-SUISSE(JB)/MORGAN-STANLEY(JB)
//JPM/LEH/JEFFERIES</t>
  </si>
  <si>
    <t>CREDIT-SUISSE
(JB)/MORGAN-STANLEY(JB)
JPM
LEH
JEFFERIES</t>
  </si>
  <si>
    <t>Credit Suisse
Morgan Stanley
JP Morgan &amp; Co Inc
Lehman Brothers
Jefferies &amp; Co Inc</t>
  </si>
  <si>
    <t>Encore Bancshares Inc</t>
  </si>
  <si>
    <t>EBTX</t>
  </si>
  <si>
    <t>29255V201</t>
  </si>
  <si>
    <t>Keefe Bruyette &amp; Woods Inc
Sandler O'Neill Partners
SMH Capital Inc</t>
  </si>
  <si>
    <t>KEEFE//SANDLER-ONEILL/SMH-CAPITAL</t>
  </si>
  <si>
    <t>KEEFE
SANDLER-ONEILL
SMH-CAPITAL</t>
  </si>
  <si>
    <t>Keefe Bruyette &amp; Woods Inc
Sandler O'Neill Partners  L.P.
SMH Capital Inc</t>
  </si>
  <si>
    <t>SemGroup Energy Partners LP</t>
  </si>
  <si>
    <t>SGLP</t>
  </si>
  <si>
    <t>CITI/MERRILL(JB)</t>
  </si>
  <si>
    <t>81662W108</t>
  </si>
  <si>
    <t>Citi
Merrill Lynch
Lehman Brothers
RBC Capital Markets
Wachovia Securities Inc
AG Edwards &amp; Sons Inc
Raymond James &amp; Associates Inc
SMH Capital Inc
BOSC, INC</t>
  </si>
  <si>
    <t>CITI(JB)/MERRILL(JB)/LEH/RBC-CAP-MKTS
/WACHOVIA-SEC(JOINT)//A-G-EDWARDS
/RAYMOND/SMH-CAPITAL/BOSC-INC</t>
  </si>
  <si>
    <t>CITI/MERRILL/LEH/RBC-CAP-MKTS
/WACHOVIA-SEC</t>
  </si>
  <si>
    <t>CITI
(JB)/MERRILL(JB)
/LEH
/RBC-CAP-MKTS
/WACHOVIA-SEC(JOINT)
A-G-EDWARDS
RAYMOND
SMH-CAPITAL
BOSC-INC</t>
  </si>
  <si>
    <t>Citi
Merrill Lynch &amp; Co Inc
Lehman Brothers
RBC Capital Markets
Wachovia Securities Inc
AG Edwards &amp; Sons Inc
Raymond James &amp; Associates Inc
SMH Capital Inc
BOSC, INC</t>
  </si>
  <si>
    <t>Silver State Bancorp,NV</t>
  </si>
  <si>
    <t>SSBX</t>
  </si>
  <si>
    <t>Sandler O'Neill Partners
Howe Barnes Hoefer Arnett Inc</t>
  </si>
  <si>
    <t>11/14/07
11/14/07</t>
  </si>
  <si>
    <t>SANDLER-ONEILL//HBHOEFER-ARNETT</t>
  </si>
  <si>
    <t>SANDLER-ONEILL
HBHOEFER-ARNETT</t>
  </si>
  <si>
    <t>Sandler O'Neill Partners  L.P.
Howe Barnes Hoefer Arnett Inc</t>
  </si>
  <si>
    <t>China Fortune Acquisition Corp</t>
  </si>
  <si>
    <t>CFAUF</t>
  </si>
  <si>
    <t>Limco-Piedmont Inc</t>
  </si>
  <si>
    <t>LIMC</t>
  </si>
  <si>
    <t>53261T109</t>
  </si>
  <si>
    <t>Oppenheimer &amp; Co Inc
Stifel Nicolaus &amp; Co Inc</t>
  </si>
  <si>
    <t>07/12/08
07/12/08
07/12/08</t>
  </si>
  <si>
    <t>OPPENHEIMER-CO//STIFEL</t>
  </si>
  <si>
    <t>OPPENHEIMER-CO
STIFEL</t>
  </si>
  <si>
    <t>Netezza Corp</t>
  </si>
  <si>
    <t>NZ</t>
  </si>
  <si>
    <t>64111N101</t>
  </si>
  <si>
    <t>Credit Suisse
Morgan Stanley
Needham &amp; Co LLC
Thomas Weisel Partners</t>
  </si>
  <si>
    <t>01/14/08
01/14/08
01/14/08</t>
  </si>
  <si>
    <t>CREDIT-SUISSE(JB)/MORGAN-STANLEY(JB)
//NEEDHAM/THOMAS-WEISEL</t>
  </si>
  <si>
    <t>CREDIT-SUISSE
(JB)/MORGAN-STANLEY(JB)
NEEDHAM
THOMAS-WEISEL</t>
  </si>
  <si>
    <t>MF Global Ltd</t>
  </si>
  <si>
    <t>MF</t>
  </si>
  <si>
    <t>CITI/JPM(JB)/LEH(JB)
/MERRILL(JB)
/UBS-INV-BANK(JB)</t>
  </si>
  <si>
    <t>G60642108</t>
  </si>
  <si>
    <t>Citi
JP Morgan
Lehman Brothers
Merrill Lynch
UBS Investment Bank
Credit Suisse
Deutsche Bank Securities Corp
Goldman Sachs &amp; Co
Morgan Stanley
ABN AMRO Rothschild
Banc of America Securities LLC
BMO Capital Markets
Hongkong &amp; Shanghai Bank (HK)
Keefe Bruyette &amp; Woods Inc
Sandler O'Neill Partners
Wachovia Capital Markets
Blaylock &amp; Co Inc
CL King &amp; Associates Inc
Chatsworth Securities LLC
Calyon Securities USA Inc
Dowling &amp; Partners Securities
E*Trade Securities Inc
Oppenheimer &amp; Co Inc
Fortis Securities Inc
Guzman &amp; Co
ING FINANCIAL MARKETS LLC
Jefferies &amp; Co Inc
Lazard Capital Markets
MR Beal &amp; Co
Mizuho Securities Co Ltd
Muriel Siebert &amp; Co
Raymond James &amp; Associates Inc
RBC Capital Markets
Robert W Baird &amp; Co Inc
Samuel A. Ramirez &amp; Co.
Sanders Morris Harris Inc
Stifel Nicolaus &amp; Co Inc
SunTrust Capital Markets
Williams Capital Group LP
Piper Jaffray Cos
Utendahl Capital Partners
Wells Fargo Securities LLC
William Blair &amp; Co</t>
  </si>
  <si>
    <t>EMG</t>
  </si>
  <si>
    <t>Man Group PLC</t>
  </si>
  <si>
    <t>CITI(JB)/JPM(JB)/LEH(JB)/MERRILL(JB)
/UBS-INV-BANK(JB)//CREDIT-SUISSE
/DEUTSCHE-BK-SEC/GS/MORGAN-STANLEY
/ABN-ROTHSCHILD/BA-SEC-LLC/BMO-CAPITAL
/HONG-SHANG-BKG/KEEFE/SANDLER-ONEILL
/WACHOVIA-CAP/BLAYLOCK-CO//CL-KING
/CHATSWORTH/CALYON-SEC/DOWL/E*TRADE-SEC
/OPPENHEIMER-CO/FORTIS-SEC/GUZMAN
/ING-FINAN/JEFFERIES/LAZARD-CAP-MKT
/M-R-BEAL/MIZUHO-SEC/MURIEL/RAYMOND
/RBC-CAP-MKTS/BAIRD/RAMIREZ
/SANDERS-HARRIS/STIFEL/SUNTRUST-CAP
/WILLIAMS-CAP/PIPER-JAFFRAY
/UTENDAHL-CAP/WELLS-FARGO-SEC/WM-BLAIR</t>
  </si>
  <si>
    <t>CITI/JPM/LEH/MERRILL/UBS-INV-BANK</t>
  </si>
  <si>
    <t>CITI
(JB)/JPM(JB)
/LEH(JB)
/MERRILL(JB)
/UBS-INV-BANK(JB)
CREDIT-SUISSE
DEUTSCHE-BK-SEC
GS
MORGAN-STANLEY
ABN-ROTHSCHILD
BA-SEC-LLC
BMO-CAPITAL
HONG-SHANG-BKG
KEEFE
SANDLER-ONEILL
WACHOVIA-CAP
BLAYLOCK-CO</t>
  </si>
  <si>
    <t>Citi
JP Morgan &amp; Co Inc
Lehman Brothers
Merrill Lynch &amp; Co Inc
UBS Investment Bank
Credit Suisse
Deutsche Bank Securities Corp.
Goldman Sachs &amp; Co
Morgan Stanley
ABN AMRO Rothschild
Banc of America Securities LLC
BMO Capital Markets
Hongkong &amp; Shanghai Banking Corp Ltd
Keefe Bruyette &amp; Woods Inc
Sandler O'Neill Partners  L.P.
Wachovia Capital Markets
Blaylock &amp; Co Inc</t>
  </si>
  <si>
    <t>Airvana Inc</t>
  </si>
  <si>
    <t>AIRV</t>
  </si>
  <si>
    <t>00950V101</t>
  </si>
  <si>
    <t>Morgan Stanley
Lehman Brothers
Deutsche Bank Securities Corp
UBS Investment Bank</t>
  </si>
  <si>
    <t>01/15/08
01/15/08
01/15/08</t>
  </si>
  <si>
    <t>MORGAN-STANLEY//LEH/DEUTSCHE-BK-SEC
/UBS-INV-BANK</t>
  </si>
  <si>
    <t>MORGAN-STANLEY
LEH
DEUTSCHE-BK-SEC
UBS-INV-BANK</t>
  </si>
  <si>
    <t>Morgan Stanley
Lehman Brothers
Deutsche Bank Securities Corp.
UBS Investment Bank</t>
  </si>
  <si>
    <t>hhgregg Inc</t>
  </si>
  <si>
    <t>HGG</t>
  </si>
  <si>
    <t>42833L108</t>
  </si>
  <si>
    <t>Credit Suisse
Lehman Brothers
Wachovia Securities Inc
UBS Investment Bank
Piper Jaffray Cos
Key Banc Capital Markets</t>
  </si>
  <si>
    <t>CREDIT-SUISSE(JB)/LEH(JB)//WACHOVIA-SEC
/UBS-INV-BANK/PIPER-JAFFRAY
/KEY-BANC-CAP</t>
  </si>
  <si>
    <t>CREDIT-SUISSE
(JB)/LEH(JB)
WACHOVIA-SEC
UBS-INV-BANK
PIPER-JAFFRAY
KEY-BANC-CAP</t>
  </si>
  <si>
    <t>KBL Healthcare Acq Corp III</t>
  </si>
  <si>
    <t>KHA</t>
  </si>
  <si>
    <t>48241N107</t>
  </si>
  <si>
    <t>Citi
Jefferies &amp; Co Inc
Earlybirdcapital Inc</t>
  </si>
  <si>
    <t>01/15/08
01/15/08</t>
  </si>
  <si>
    <t>CITI//JEFFERIES/EARLYBIRD-CAP</t>
  </si>
  <si>
    <t>CITI
JEFFERIES
EARLYBIRD-CAP</t>
  </si>
  <si>
    <t>Orbitz Worldwide Inc</t>
  </si>
  <si>
    <t>OWW</t>
  </si>
  <si>
    <t>MORGAN-STANLEY/GS(JB)
/LEH(JB)/JPM(JB)</t>
  </si>
  <si>
    <t>68557K109</t>
  </si>
  <si>
    <t>Morgan Stanley
Goldman Sachs &amp; Co
Lehman Brothers
JP Morgan
Credit Suisse
UBS Investment Bank
Thomas Weisel Partners
Piper Jaffray Cos
Pacific Crest Securities Inc
Stifel Nicolaus &amp; Co Inc
Blaylock &amp; Co Inc
Jackson Securities Inc
Muriel Siebert &amp; Co
Williams Capital Group LP</t>
  </si>
  <si>
    <t>MORGAN-STANLEY(JB)/GS(JB)/LEH(JB)
/JPM(JB)//CREDIT-SUISSE/UBS-INV-BANK
/THOMAS-WEISEL/PIPER-JAFFRAY
/PACIFIC-CREST/STIFEL//BLAYLOCK-CO
/JACKSON-SEC/MURIEL/WILLIAMS-CAP</t>
  </si>
  <si>
    <t>MORGAN-STANLEY/GS/LEH/JPM</t>
  </si>
  <si>
    <t>MORGAN-STANLEY
(JB)/GS(JB)
/LEH(JB)
/JPM(JB)
CREDIT-SUISSE
UBS-INV-BANK
THOMAS-WEISEL
PIPER-JAFFRAY
PACIFIC-CREST
STIFEL</t>
  </si>
  <si>
    <t>Morgan Stanley
Goldman Sachs &amp; Co
Lehman Brothers
JP Morgan &amp; Co Inc
Credit Suisse
UBS Investment Bank
Thomas Weisel Partners
Piper Jaffray Cos
Pacific Crest Securities Inc
Stifel Nicolaus &amp; Co Inc</t>
  </si>
  <si>
    <t>BladeLogic Inc</t>
  </si>
  <si>
    <t>BLOG</t>
  </si>
  <si>
    <t>09265M102</t>
  </si>
  <si>
    <t>Morgan Stanley
Merrill Lynch
Citi
Wachovia Securities Inc
Cowen</t>
  </si>
  <si>
    <t>01/20/08
01/20/08
01/20/08</t>
  </si>
  <si>
    <t>MORGAN-STANLEY(JB)/MERRILL(JB)//CITI
/WACHOVIA-SEC/COWEN</t>
  </si>
  <si>
    <t>MORGAN-STANLEY
(JB)/MERRILL(JB)
CITI
WACHOVIA-SEC
COWEN</t>
  </si>
  <si>
    <t>Morgan Stanley
Merrill Lynch &amp; Co Inc
Citi
Wachovia Securities Inc
Cowen &amp; Co</t>
  </si>
  <si>
    <t>Monotype Imaging Holdings Inc</t>
  </si>
  <si>
    <t>TYPE</t>
  </si>
  <si>
    <t>61022P100</t>
  </si>
  <si>
    <t>Banc of America Securities LLC
Jefferies &amp; Co Inc
William Blair &amp; Co
Needham &amp; Co LLC
Canaccord Adams</t>
  </si>
  <si>
    <t>BA-SEC-LLC//JEFFERIES/WM-BLAIR/NEEDHAM
/CAN-ADAMS</t>
  </si>
  <si>
    <t>BA-SEC-LLC
JEFFERIES
WM-BLAIR
NEEDHAM
CAN-ADAMS</t>
  </si>
  <si>
    <t>Rex Energy Corp</t>
  </si>
  <si>
    <t>REXX</t>
  </si>
  <si>
    <t>Key Banc Capital Markets
RBC Capital Markets
AG Edwards &amp; Sons Inc
Johnson Rice &amp; Co
Pickering Energy Partners Inc
Morgan Keegan Inc
Stifel Nicolaus &amp; Co Inc</t>
  </si>
  <si>
    <t>KEY-BANC-CAP//RBC-CAP-MKTS/A-G-EDWARDS
/JOHNSON-RICE/PICK-ENERGY/MORGAN-KEEGAN
/STIFEL</t>
  </si>
  <si>
    <t>KEY-BANC-CAP
RBC-CAP-MKTS
A-G-EDWARDS
JOHNSON-RICE
PICK-ENERGY
MORGAN-KEEGAN
STIFEL</t>
  </si>
  <si>
    <t>Validus Holdings Ltd</t>
  </si>
  <si>
    <t>VR</t>
  </si>
  <si>
    <t>91915WAA0</t>
  </si>
  <si>
    <t>Goldman Sachs &amp; Co
Merrill Lynch
Wachovia Securities Inc
Deutsche Bank Securities Corp
JP Morgan
UBS Investment Bank
Dowling &amp; Partners Securities
Cochran Caronia Waller
Keefe Bruyette &amp; Woods Inc
ABN AMRO Rothschild
Scotia Capital (USA) Inc.
Calyon Securities USA Inc
Comerica Securities
Hongkong &amp; Shanghai Bank (HK)
ING FINANCIAL MARKETS LLC
Fox-Pitt Kelton SA</t>
  </si>
  <si>
    <t>01/20/08
01/20/08</t>
  </si>
  <si>
    <t>GS(JB)/MERRILL(JB)//WACHOVIA-SEC
/DEUTSCHE-BK-SEC/JPM/UBS-INV-BANK/DOWL
/COCHRAN-CARWAL/KEEFE/ABN-ROTHSCHILD
/SCOTIA-CAP/CALYON-SEC/COMERICA-SEC
/HONG-SHANG-BKG/ING-FINAN/FOX-PITT-NV</t>
  </si>
  <si>
    <t>GS
(JB)/MERRILL(JB)
WACHOVIA-SEC
DEUTSCHE-BK-SEC
JPM
UBS-INV-BANK
DOWL
COCHRAN-CARWAL
KEEFE
ABN-ROTHSCHILD
SCOTIA-CAP
CALYON-SEC
COMERICA-SEC
HONG-SHANG-BKG
ING-FINAN
FOX-PITT-NV</t>
  </si>
  <si>
    <t>Goldman Sachs &amp; Co
Merrill Lynch &amp; Co Inc
Wachovia Securities Inc
Deutsche Bank Securities Corp.
JP Morgan &amp; Co Inc
UBS Investment Bank
Dowling &amp; Partners Securities LLC
Cochran Caronia Waller
Keefe Bruyette &amp; Woods Inc
ABN AMRO Rothschild
Scotia Capital (USA) Inc.
Calyon Securities USA Inc
Comerica Securities
Hongkong &amp; Shanghai Banking Corp Ltd
ING FINANCIAL MARKETS LLC
Fox-Pitt Kelton SA</t>
  </si>
  <si>
    <t>ImaRx Therapeutics Inc</t>
  </si>
  <si>
    <t>IMRX</t>
  </si>
  <si>
    <t>45248L308</t>
  </si>
  <si>
    <t>07/19/08
07/19/08
07/19/08</t>
  </si>
  <si>
    <t>Perfect World Co Ltd</t>
  </si>
  <si>
    <t>PWRD</t>
  </si>
  <si>
    <t>71372U104</t>
  </si>
  <si>
    <t>Morgan Stanley
Credit Suisse
Credit Suisse (Hong Kong) Ltd
CIBC World Markets Inc
Susquehanna Financial Group</t>
  </si>
  <si>
    <t>01/21/08
01/21/08
01/21/08</t>
  </si>
  <si>
    <t>MORGAN-STANLEY(JB)/CREDIT-SUISSE(JB)
//CS-HK/CIBC-WORLD/SUSQUEHANNA-FIN</t>
  </si>
  <si>
    <t>MORGAN-STANLEY
(JB)/CREDIT-SUISSE(JB)
CS-HK
CIBC-WORLD
SUSQUEHANNA-FIN</t>
  </si>
  <si>
    <t>Voltaire Ltd</t>
  </si>
  <si>
    <t>VOLT</t>
  </si>
  <si>
    <t>M97613109</t>
  </si>
  <si>
    <t>JP Morgan
Merrill Lynch
Thomas Weisel Partners
RBC Capital Markets</t>
  </si>
  <si>
    <t>JPM(JB)/MERRILL(JB)//THOMAS-WEISEL
/RBC-CAP-MKTS</t>
  </si>
  <si>
    <t>JPM
(JB)/MERRILL(JB)
THOMAS-WEISEL
RBC-CAP-MKTS</t>
  </si>
  <si>
    <t>JP Morgan &amp; Co Inc
Merrill Lynch &amp; Co Inc
Thomas Weisel Partners
RBC Capital Markets</t>
  </si>
  <si>
    <t>Cohen &amp; Steers Global Income</t>
  </si>
  <si>
    <t>INB</t>
  </si>
  <si>
    <t>19248M103</t>
  </si>
  <si>
    <t>Merrill Lynch
BB&amp;T Capital Markets
Robert W Baird &amp; Co Inc
H&amp;R Block Financial Advisors
Crowell Weedon &amp; Co
Deutsche Bank Securities Corp
Ferris Baker Watts
JJB Hilliard WL Lyons Inc
Janney Montgomery Scott LLC
Ladenburg Thalmann &amp; Co
Oppenheimer &amp; Co Inc
RBC Capital Markets
Ryan Beck &amp; Co
Stifel Nicolaus &amp; Co Inc
Wedbush Securities
Wells Fargo Bank NA
DA Davidson &amp; Co Inc
Dominick &amp; Dominick Inc
J. B. Hanauer
Maxim Group LLC
Morgan Keegan Inc
David A. Noyes
Stephens Inc
Southwest Securities Inc
SunTrust Capital Markets
TD Ameritrade
Wunderlich Securities Inc
Advanced Equities Inc
Anderson &amp; Strudwick
Bishop, Rosen &amp; Co
Brean Murray &amp; Co Inc
Capital Growth Financial LLC
Chicago Investment Group LLC
City Securities
E*Trade Securities Inc
Finance 500 Inc
First Montauk Securities
First Southwest
Andrew Garrett Group
Gilford Securities
GunnAllen Financial Inc
Joseph Gunnar &amp; Co., LLC
Wayne Hummer &amp; Co
Huntleigh Securities Corp
Jesup &amp; Lamont Securities
Johnston Lemon &amp; Co Inc
LaSalle Street Securities Inc
McGinn, Smith &amp; Co Inc
Mesirow Financial Corp
Morgan Wilshire Securities
National Securities Corp (US)
Newbridge Securities
Northeast Securities Inc.
Peacock Hislop Staley &amp; Given
Regal Securities Inc
Royal Alliance Associates
Sanders Morris Harris Inc
Source Capital Group Inc
Stanford Group Company
Sterne Agee &amp; Leach Inc
Stone &amp; Youngberg
Torrey Pines Securities
JP Turner &amp; Co
Summit Brokerage Services Inc</t>
  </si>
  <si>
    <t>MERRILL//BB-T-CAP/BAIRD/HR-BLOCK-FIN
/CROWELL/DEUTSCHE-BK-SEC/FERRIS-BAKER
/HILLIARD/JANNEY-LLC/LADENBURG
/OPPENHEIMER-CO/RBC-CAP-MKTS/RYAN-BECK
/STIFEL/WEDBUSH-M/WELLS-FARGO//DAVIDSON
/DOMINICK/J-B-HANAUER/MAXIM-GROUP
/MORGAN-KEEGAN/D-A-NOYES/STEPHENS
/SWS-SEC/SUNTRUST-CAP/TD-AMER
/WUNDERLICH/ADVANCED-EQ/ANDERSON
/BISHOP-ROSEN/BREAN/CGF-SEC/CHICAGO-INV
/CITY-SEC/E*TRADE-SEC/FINANCE-INC
/FIRST-MONTAUK/FIRST-SW/ANDREW-GARRETT
/GILFORD/GUNNALLEN-FINL/GUNNAR/HUMMER
/HUNTLEIGH-SEC/JESUP/JOHNSTON-LEMON
/LASALLE-SEC/MCGINN-SMITH/MESIROW-FIN
/MORGAN-WILSHIRE/NATL-SEC/NEWBRIDGE
/NORTHEAST-SEC/PEACOCK-HISLOP
/REGAL-SEC-INC/ROYAL-ALLIANCE
/SANDERS-HARRIS/SOURCE-CAPITAL
/STANFORD-GROUP/STERNE-AGEE/STONE-YOUNG
/TORREY-PINES/J-P-TURNER/SUMMIT-BROKER</t>
  </si>
  <si>
    <t>MERRILL
BB-T-CAP
BAIRD
HR-BLOCK-FIN
CROWELL
DEUTSCHE-BK-SEC
FERRIS-BAKER
HILLIARD
JANNEY-LLC
LADENBURG
OPPENHEIMER-CO
RBC-CAP-MKTS
RYAN-BECK
STIFEL
WEDBUSH-M
WELLS-FARGO</t>
  </si>
  <si>
    <t>Merrill Lynch &amp; Co Inc
BB&amp;T Capital Markets
Robert W Baird &amp; Co Inc
H&amp;R Block Financial Advisors
Crowell Weedon &amp; Co
Deutsche Bank Securities Corp.
Ferris Baker Watts Inc
JJB Hilliard WL Lyons Inc
Janney Montgomery Scott LLC
Ladenburg Thalmann &amp; Co
Oppenheimer &amp; Co Inc
RBC Capital Markets
Ryan Beck &amp; Co
Stifel Nicolaus &amp; Co Inc
Wedbush Securities
Wells Fargo Bank NA</t>
  </si>
  <si>
    <t>Eaton Vance Risk-Managed Div</t>
  </si>
  <si>
    <t>ETJ</t>
  </si>
  <si>
    <t>27829G106</t>
  </si>
  <si>
    <t>Citi
Merrill Lynch
UBS Investment Bank
Wachovia Securities Inc
AG Edwards &amp; Sons Inc
Robert W Baird &amp; Co Inc
Banc of America Securities LLC
BB&amp;T Capital Markets
H&amp;R Block Financial Advisors
Crowell Weedon &amp; Co
Doft &amp; Co Inc
Ferris Baker Watts
JJB Hilliard WL Lyons Inc
Hongkong &amp; Shanghai Bank (HK)
Janney Montgomery Scott LLC
Ladenburg Thalmann &amp; Co
Morgan Keegan Inc
Oppenheimer &amp; Co Inc
Raymond James &amp; Associates Inc
RBC Capital Markets
Ryan Beck &amp; Co
Southwest Securities Inc
Stifel Nicolaus &amp; Co Inc
Wedbush Securities
Wells Fargo Bank NA
Chester Harris &amp; Co
Comerica Securities
David A. Noyes
Fifth Third Securities Inc
GunnAllen Financial Inc
J. B. Hanauer
Hennion &amp; Walsh, Inc
M. L. Stern
SunTrust Capital Markets
1st Discount Brokerage Inc
AIG Financial Advisors Inc
Bernard Herold &amp; Co
Bishop, Rosen &amp; Co
Brean Murray &amp; Co Inc
Cadaret Grant &amp; Co
Commonwealth Securities Inv
DA Davidson &amp; Co Inc
Dawson James Securities
Deutsche Bank Securities
Dominick &amp; Dominick Inc
E*Trade Securities Inc
Finance 500 Inc
First Allied Securities, Inc.
First Montauk Securities
First Southwest
FMS Bonds Inc
Gilford Securities
Hazlett, Burt &amp; Watson
Herbert J. Sims
Howe Barnes Hoefer Arnett Inc
Huntleigh Securities Corp
JP Turner &amp; Co
Johnston Lemon &amp; Co Inc
Maxim Group LLC
Mesirow Financial Corp
Morgan Wilshire Securities
Muriel Siebert &amp; Co
Natcity Investments Inc.
National Securities Corp (US)
Newbridge Securities
Northeast Securities Inc.
Peacock Hislop Staley &amp; Given
Regal Securities Inc
Sanders Morris Harris Inc
Stephens Inc
Sterne Agee &amp; Leach Inc
Stone &amp; Youngberg
Strand,Atkinson,Williams&amp;Yerl
Summit Brokerage Services Inc
Synovus Securities Inc
The Huntington Company
Wayne Hummer &amp; Co
Westminster Finl Sec Inc
William Blair &amp; Co
Wunderlich Securities Inc
Capital Growth Financial LLC</t>
  </si>
  <si>
    <t>CITI//MERRILL/UBS-INV-BANK/WACHOVIA-SEC
/A-G-EDWARDS/BAIRD/BA-SEC-LLC/BB-T-CAP
/HR-BLOCK-FIN/CROWELL/DOFT/FERRIS-BAKER
/HILLIARD/HONG-SHANG-BKG/JANNEY-LLC
/LADENBURG/MORGAN-KEEGAN/OPPENHEIMER-CO
/RAYMOND/RBC-CAP-MKTS/RYAN-BECK/SWS-SEC
/STIFEL/WEDBUSH-M/WELLS-FARGO
/CHESTER-HARRIS/COMERICA-SEC/D-A-NOYES
/FIFTH-THIRD-SEC/GUNNALLEN-FINL
/J-B-HANAUER/HENNION-WALSH/M-L-STERN
/SUNTRUST-CAP/FD-BROKERAGE
/AIG-FINANCIAL/BERNARD-HER/BISHOP-ROSEN
/BREAN/CADARET-GRANT/COM-SEC-INV
/DAVIDSON/DAWSON-JAMES/DBSECU/DOMINICK
/E*TRADE-SEC/FINANCE-INC/FIRST-ALLIED
/FIRST-MONTAUK/FIRST-SW/FMS-BONDS
/GILFORD/HAZLETT/HERBERT-SIMS
/HBHOEFER-ARNETT/HUNTLEIGH-SEC
/J-P-TURNER/JOHNSTON-LEMON/MAXIM-GROUP
/MESIROW-FIN/MORGAN-WILSHIRE/MURIEL
/NATCITY-INVEST/NATL-SEC/NEWBRIDGE
/NORTHEAST-SEC/PEACOCK-HISLOP
/REGAL-SEC-INC/SANDERS-HARRIS/STEPHENS
/STERNE-AGEE/STONE-YOUNG/STRAND-ATKIN
/SUMMIT-BROKER/SYNOVUS-SEC/HUNTINGTON
/HUMMER/WEST-FIN-SEC/WM-BLAIR
/WUNDERLICH/CGF-SEC</t>
  </si>
  <si>
    <t>CITI
MERRILL
UBS-INV-BANK
WACHOVIA-SEC
A-G-EDWARDS
BAIRD
BA-SEC-LLC
BB-T-CAP
HR-BLOCK-FIN
CROWELL
DOFT
FERRIS-BAKER
HILLIARD
HONG-SHANG-BKG
JANNEY-LLC
LADENBURG
MORGAN-KEEGAN
OPPENHEIMER-CO
RAYMOND
RBC-CAP-MKTS
RYAN-BECK
SWS-SEC
STIFEL
WEDBUSH-M
WELLS-FARGO
CHESTER-HARRIS
COMERICA-SEC
D-A-NOYES
FIFTH-THIRD-SEC
GUNNALLEN-FINL
J-B-HANAUER
HENNION-WALSH
M-L-STERN
SUNTRUST-CAP
FD-BROKERAGE
AIG-FINANCIAL
BERNARD-HER
BISHOP-ROSEN
BREAN
CADARET-GRANT
COM-SEC-INV
DAVIDSON
DAWSON-JAMES
DBSECU
DOMINICK
E*TRADE-SEC
FINANCE-INC
FIRST-ALLIED
FIRST-MONTAUK
FIRST-SW
FMS-BONDS
GILFORD
HAZLETT
HERBERT-SIMS
HBHOEFER-ARNETT
HUNTLEIGH-SEC
J-P-TURNER
JOHNSTON-LEMON
MAXIM-GROUP
MESIROW-FIN
MORGAN-WILSHIRE
MURIEL
NATCITY-INVEST
NATL-SEC
NEWBRIDGE
NORTHEAST-SEC
PEACOCK-HISLOP
REGAL-SEC-INC
SANDERS-HARRIS
STEPHENS
STERNE-AGEE
STONE-YOUNG
STRAND-ATKIN
SUMMIT-BROKER
SYNOVUS-SEC
HUNTINGTON
HUMMER
WEST-FIN-SEC
WM-BLAIR
WUNDERLICH
CGF-SEC</t>
  </si>
  <si>
    <t>Citi
Merrill Lynch &amp; Co Inc
UBS Investment Bank
Wachovia Securities Inc
AG Edwards &amp; Sons Inc
Robert W Baird &amp; Co Inc
Banc of America Securities LLC
BB&amp;T Capital Markets
H&amp;R Block Financial Advisors
Crowell Weedon &amp; Co
Doft &amp; Co Inc
Ferris Baker Watts Inc
JJB Hilliard WL Lyons Inc
Hongkong &amp; Shanghai Banking Corp Ltd
Janney Montgomery Scott LLC
Ladenburg Thalmann &amp; Co
Morgan Keegan Inc
Oppenheimer &amp; Co Inc
Raymond James &amp; Associates Inc
RBC Capital Markets
Ryan Beck &amp; Co
Southwest Securities Inc
Stifel Nicolaus &amp; Co Inc
Wedbush Securities
Wells Fargo Bank NA
Chester Harris &amp; Co
Comerica Securities
David A. Noyes &amp; Co.
Fifth Third Securities Inc
GunnAllen Financial, Inc.
J. B. Hanauer &amp; Co.
Hennion &amp; Walsh, Inc
M. L. Stern &amp; Co., Inc.
SunTrust Capital Markets
1st Discount Brokerage Inc
AIG Financial Advisors Inc
Bernard Herold &amp; Co
Bishop, Rosen &amp; Co, Inc.
Brean Murray &amp; Co Inc
Cadaret Grant &amp; Co
Commonwealth Securities &amp; Investments, Inc.
DA Davidson &amp; Co Inc
Dawson James Securities
Deutsche Bank Securities Inc
Dominick &amp; Dominick Inc
E*Trade Securities Inc
Finance 500 Inc
First Allied Securities, Inc.
First Montauk Securities Corp
First Southwest Company
FMS Bonds Inc
Gilford Securities Incorporated
Hazlett, Burt &amp; Watson, Inc.
Herbert J. Sims &amp; Co., Inc.
Howe Barnes Hoefer Arnett Inc
Huntleigh Securities Corporation
JP Turner &amp; Co
Johnston Lemon &amp; Co Inc
Maxim Group LLC
Mesirow Financial Corp
Morgan Wilshire Securities
Muriel Siebert &amp; Co
Natcity Investments Inc.
National Securities Corp (US)
Newbridge Securities
Northeast Securities Inc.
Peacock Hislop Staley &amp; Given Inc
Regal Securities Inc
Sanders Morris Harris Inc
Stephens Inc
Sterne Agee &amp; Leach Inc
Stone &amp; Youngberg
Strand, Atkinson, Williams &amp; Yerl Inc
Summit Brokerage Services Inc
Synovus Securities Inc
The Huntington Company
Wayne Hummer &amp; Co
Westminster Finl Sec Inc
William Blair &amp; Co
Wunderlich Securities Inc
Capital Growth Financial LLC</t>
  </si>
  <si>
    <t>Lululemon Athletica Inc</t>
  </si>
  <si>
    <t>LULU</t>
  </si>
  <si>
    <t>Goldman Sachs &amp; Co
Merrill Lynch
Credit Suisse
UBS Investment Bank
William Blair &amp; Co
CIBC World Markets Inc
Wachovia Securities Inc
Thomas Weisel Partners</t>
  </si>
  <si>
    <t>01/22/08
01/22/08
01/22/08</t>
  </si>
  <si>
    <t>GS(JB)/MERRILL(JB)//CREDIT-SUISSE
/UBS-INV-BANK/WM-BLAIR/CIBC-WORLD
/WACHOVIA-SEC/THOMAS-WEISEL</t>
  </si>
  <si>
    <t>GS
(JB)/MERRILL(JB)
CREDIT-SUISSE
UBS-INV-BANK
WM-BLAIR
CIBC-WORLD
WACHOVIA-SEC
THOMAS-WEISEL</t>
  </si>
  <si>
    <t>Goldman Sachs &amp; Co
Merrill Lynch &amp; Co Inc
Credit Suisse
UBS Investment Bank
William Blair &amp; Co
CIBC World Markets Inc
Wachovia Securities Inc
Thomas Weisel Partners</t>
  </si>
  <si>
    <t>Alternative Asset Management</t>
  </si>
  <si>
    <t>AMV</t>
  </si>
  <si>
    <t>02149U200</t>
  </si>
  <si>
    <t>Citi
Lazard Capital Markets</t>
  </si>
  <si>
    <t>01/28/08
01/28/08</t>
  </si>
  <si>
    <t>CITI//LAZARD-CAP-MKT</t>
  </si>
  <si>
    <t>CITI
LAZARD-CAP-MKT</t>
  </si>
  <si>
    <t>Dolan Media Co</t>
  </si>
  <si>
    <t>DM</t>
  </si>
  <si>
    <t>25659P402</t>
  </si>
  <si>
    <t>Goldman Sachs &amp; Co
Merrill Lynch
Piper Jaffray Cos
Craig-Hallum, Inc.</t>
  </si>
  <si>
    <t>01/28/08
01/28/08
01/28/08</t>
  </si>
  <si>
    <t>GS(JB)/MERRILL(JB)//PIPER-JAFFRAY
/CRAIG-HALLUM</t>
  </si>
  <si>
    <t>GS
(JB)/MERRILL(JB)
PIPER-JAFFRAY
CRAIG-HALLUM</t>
  </si>
  <si>
    <t>Goldman Sachs &amp; Co
Merrill Lynch &amp; Co Inc
Piper Jaffray Cos
Craig-Hallum, Inc.</t>
  </si>
  <si>
    <t>Genpact Ltd</t>
  </si>
  <si>
    <t>G</t>
  </si>
  <si>
    <t>MORGAN-STANLEY/CITI(JB)
/JPM(JB)</t>
  </si>
  <si>
    <t>G3922B107</t>
  </si>
  <si>
    <t>Morgan Stanley
Citi
JP Morgan
Wachovia Securities Inc
Merrill Lynch
Banc of America Securities LLC
Credit Suisse
Deutsche Bank Securities Corp
UBS Investment Bank</t>
  </si>
  <si>
    <t>MORGAN-STANLEY(JB)/CITI(JB)/JPM(JB)
//WACHOVIA-SEC/MERRILL/BA-SEC-LLC
/CREDIT-SUISSE/DEUTSCHE-BK-SEC
/UBS-INV-BANK</t>
  </si>
  <si>
    <t>MORGAN-STANLEY/CITI/JPM</t>
  </si>
  <si>
    <t>MORGAN-STANLEY
(JB)/CITI(JB)
/JPM(JB)
WACHOVIA-SEC
MERRILL
BA-SEC-LLC
CREDIT-SUISSE
DEUTSCHE-BK-SEC
UBS-INV-BANK</t>
  </si>
  <si>
    <t>Morgan Stanley
Citi
JP Morgan &amp; Co Inc
Wachovia Securities Inc
Merrill Lynch &amp; Co Inc
Banc of America Securities LLC
Credit Suisse
Deutsche Bank Securities Corp.
UBS Investment Bank</t>
  </si>
  <si>
    <t>Concho Resources Inc</t>
  </si>
  <si>
    <t>CXO</t>
  </si>
  <si>
    <t>20605P101</t>
  </si>
  <si>
    <t>JP Morgan
Banc of America Securities LLC
Lehman Brothers
BNP Paribas Securities Corp
Merrill Lynch
UBS Investment Bank
Wachovia Securities Inc</t>
  </si>
  <si>
    <t>01/29/08
01/29/08
01/29/08</t>
  </si>
  <si>
    <t>JPM(JB)/BA-SEC-LLC(JB)/LEH(JOINT)
//BNP-CA/MERRILL/UBS-INV-BANK
/WACHOVIA-SEC</t>
  </si>
  <si>
    <t>JPM/BA-SEC-LLC/LEH</t>
  </si>
  <si>
    <t>JPM
(JB)/BA-SEC-LLC(JB)
/LEH(JOINT)
BNP-CA
MERRILL
UBS-INV-BANK
WACHOVIA-SEC</t>
  </si>
  <si>
    <t>JP Morgan &amp; Co Inc
Banc of America Securities LLC
Lehman Brothers
BNP Paribas Securities Corp
Merrill Lynch &amp; Co Inc
UBS Investment Bank
Wachovia Securities Inc</t>
  </si>
  <si>
    <t>Sucampo Pharmaceuticals Inc</t>
  </si>
  <si>
    <t>SCMP</t>
  </si>
  <si>
    <t>COWEN</t>
  </si>
  <si>
    <t>Cowen
CIBC World Markets Inc
Leerink Swann &amp; Co</t>
  </si>
  <si>
    <t>COWEN//CIBC-WORLD/LEERINK-SWANN</t>
  </si>
  <si>
    <t>COWEN
CIBC-WORLD
LEERINK-SWANN</t>
  </si>
  <si>
    <t>Cowen &amp; Co
CIBC World Markets Inc
Leerink Swann &amp; Co</t>
  </si>
  <si>
    <t>Virtusa Corp</t>
  </si>
  <si>
    <t>VRTU</t>
  </si>
  <si>
    <t>92827P102</t>
  </si>
  <si>
    <t>JP Morgan
Bear Stearns &amp; Co Inc
Cowen
William Blair &amp; Co</t>
  </si>
  <si>
    <t>JPM//BEAR/COWEN/WM-BLAIR</t>
  </si>
  <si>
    <t>JPM
BEAR
COWEN
WM-BLAIR</t>
  </si>
  <si>
    <t>JP Morgan &amp; Co Inc
Bear Stearns &amp; Co Inc
Cowen &amp; Co
William Blair &amp; Co</t>
  </si>
  <si>
    <t>Quicksilver Gas Services LP</t>
  </si>
  <si>
    <t>KGS</t>
  </si>
  <si>
    <t>UBS-INV-BANK/GS(JB)</t>
  </si>
  <si>
    <t>74839G106</t>
  </si>
  <si>
    <t>UBS Investment Bank
Goldman Sachs &amp; Co
AG Edwards &amp; Sons Inc
JP Morgan
Fortis Securities Inc</t>
  </si>
  <si>
    <t>02/02/08
02/02/08</t>
  </si>
  <si>
    <t>UBS-INV-BANK(JB)/GS(JB)//A-G-EDWARDS
/JPM/FORTIS-SEC</t>
  </si>
  <si>
    <t>UBS-INV-BANK/GS</t>
  </si>
  <si>
    <t>UBS-INV-BANK
(JB)/GS(JB)
A-G-EDWARDS
JPM
FORTIS-SEC</t>
  </si>
  <si>
    <t>UBS Investment Bank
Goldman Sachs &amp; Co
AG Edwards &amp; Sons Inc
JP Morgan &amp; Co Inc
Fortis Securities Inc</t>
  </si>
  <si>
    <t>E-House(China)Holdings Ltd</t>
  </si>
  <si>
    <t>EJ</t>
  </si>
  <si>
    <t>26852W103</t>
  </si>
  <si>
    <t>Credit Suisse
Merrill Lynch
CIBC World Markets Inc
Lazard Capital Markets</t>
  </si>
  <si>
    <t>02/03/08
02/03/08
02/03/08</t>
  </si>
  <si>
    <t>CREDIT-SUISSE(JB)/MERRILL(JB)
//CIBC-WORLD/LAZARD-CAP-MKT</t>
  </si>
  <si>
    <t>CREDIT-SUISSE
(JB)/MERRILL(JB)
CIBC-WORLD
LAZARD-CAP-MKT</t>
  </si>
  <si>
    <t>Credit Suisse
Merrill Lynch &amp; Co Inc
CIBC World Markets Inc
Lazard Capital Markets</t>
  </si>
  <si>
    <t>HireRight Inc</t>
  </si>
  <si>
    <t>HIRE</t>
  </si>
  <si>
    <t>Credit Suisse
Robert W Baird &amp; Co Inc
CIBC World Markets Inc
Piper Jaffray Cos
William Blair &amp; Co</t>
  </si>
  <si>
    <t>CREDIT-SUISSE//BAIRD/CIBC-WORLD
/PIPER-JAFFRAY/WM-BLAIR</t>
  </si>
  <si>
    <t>CREDIT-SUISSE
BAIRD
CIBC-WORLD
PIPER-JAFFRAY
WM-BLAIR</t>
  </si>
  <si>
    <t>Masimo Corp</t>
  </si>
  <si>
    <t>MASI</t>
  </si>
  <si>
    <t>PIPER-JAFFRAY
/DEUTSCHE-BK-SEC(JB)
/CITI(JB)</t>
  </si>
  <si>
    <t>Piper Jaffray Cos
Deutsche Bank Securities Corp
Citi
Cowen
Thomas Weisel Partners</t>
  </si>
  <si>
    <t>PIPER-JAFFRAY(JB)/DEUTSCHE-BK-SEC(JB)
/CITI(JB)//COWEN/THOMAS-WEISEL</t>
  </si>
  <si>
    <t>PIPER-JAFFRAY/DEUTSCHE-BK-SEC/CITI</t>
  </si>
  <si>
    <t>PIPER-JAFFRAY
(JB)/DEUTSCHE-BK-SEC(JB)
/CITI(JB)
COWEN
THOMAS-WEISEL</t>
  </si>
  <si>
    <t>Piper Jaffray Cos
Deutsche Bank Securities Corp.
Citi
Cowen &amp; Co
Thomas Weisel Partners</t>
  </si>
  <si>
    <t>DemandTec Inc</t>
  </si>
  <si>
    <t>DMAN</t>
  </si>
  <si>
    <t>24802R506</t>
  </si>
  <si>
    <t>Morgan Stanley
Credit Suisse
William Blair &amp; Co
JMP Securities LLC
Montgomery &amp; Co
Pacific Crest Securities Inc</t>
  </si>
  <si>
    <t>02/04/08
02/04/08
02/04/08</t>
  </si>
  <si>
    <t>MORGAN-STANLEY(JB)/CREDIT-SUISSE(JB)
//WM-BLAIR/JMP-SEC/MONTGOMERY-CO
/PACIFIC-CREST</t>
  </si>
  <si>
    <t>MORGAN-STANLEY
(JB)/CREDIT-SUISSE(JB)
WM-BLAIR
JMP-SEC
MONTGOMERY-CO
PACIFIC-CREST</t>
  </si>
  <si>
    <t>WuXi PharmaTech(Cayman)Inc</t>
  </si>
  <si>
    <t>WX</t>
  </si>
  <si>
    <t>Credit Suisse
JP Morgan
Jefferies &amp; Co Inc</t>
  </si>
  <si>
    <t>CREDIT-SUISSE(JB)/JPM(JB)//JEFFERIES</t>
  </si>
  <si>
    <t>CREDIT-SUISSE
(JB)/JPM(JB)
JEFFERIES</t>
  </si>
  <si>
    <t>Credit Suisse
JP Morgan &amp; Co Inc
Jefferies &amp; Co Inc</t>
  </si>
  <si>
    <t>Horsehead Holding Corp</t>
  </si>
  <si>
    <t>ZINC</t>
  </si>
  <si>
    <t>Friedman Billings Ramsey &amp; Co
CIBC World Markets Inc
BMO Capital Markets
Raymond James &amp; Associates Inc</t>
  </si>
  <si>
    <t>02/05/08
02/05/08
02/05/08</t>
  </si>
  <si>
    <t>FRIEDMAN-B-CO//CIBC-WORLD/BMO-CAPITAL
/RAYMOND</t>
  </si>
  <si>
    <t>FRIEDMAN-B-CO
CIBC-WORLD
BMO-CAPITAL
RAYMOND</t>
  </si>
  <si>
    <t>Friedman Billings Ramsey &amp; Co Inc
CIBC World Markets Inc
BMO Capital Markets
Raymond James &amp; Associates Inc</t>
  </si>
  <si>
    <t>Mercadolibre Inc</t>
  </si>
  <si>
    <t>MELI</t>
  </si>
  <si>
    <t>58733R102</t>
  </si>
  <si>
    <t>JP Morgan
Merrill Lynch
RBC Capital Markets
Pacific Crest Securities Inc</t>
  </si>
  <si>
    <t>JPM(JB)/MERRILL(JB)//RBC-CAP-MKTS
/PACIFIC-CREST</t>
  </si>
  <si>
    <t>JPM
(JB)/MERRILL(JB)
RBC-CAP-MKTS
PACIFIC-CREST</t>
  </si>
  <si>
    <t>JP Morgan &amp; Co Inc
Merrill Lynch &amp; Co Inc
RBC Capital Markets
Pacific Crest Securities Inc</t>
  </si>
  <si>
    <t>Paragon Shipping Inc</t>
  </si>
  <si>
    <t>PRGN</t>
  </si>
  <si>
    <t>69913R309</t>
  </si>
  <si>
    <t>UBS Investment Bank
Morgan Stanley
Cantor Fitzgerald Inc
Dahlman Rose Weiss LLC</t>
  </si>
  <si>
    <t>UBS-INV-BANK(JB)/MORGAN-STANLEY(JB)
//CANTOR/DAHLMAN-ROSE</t>
  </si>
  <si>
    <t>UBS-INV-BANK
(JB)/MORGAN-STANLEY(JB)
CANTOR
DAHLMAN-ROSE</t>
  </si>
  <si>
    <t>VMware Inc</t>
  </si>
  <si>
    <t>VMW</t>
  </si>
  <si>
    <t>CITI/JPM(JB)/LEH(JB)
/CREDIT-SUISSE(JB)
/MERRILL(JB)
/DEUTSCHE-BK-SEC(JB)</t>
  </si>
  <si>
    <t>Citi
JP Morgan
Lehman Brothers
Credit Suisse
Merrill Lynch
Deutsche Bank Securities Corp
Banc of America Securities LLC
Bear Stearns &amp; Co Inc
UBS Investment Bank
Wachovia Securities Inc
AG Edwards &amp; Sons Inc
Hongkong &amp; Shanghai Bank (HK)</t>
  </si>
  <si>
    <t>02/09/08
02/09/08</t>
  </si>
  <si>
    <t>EMC</t>
  </si>
  <si>
    <t>EMC Corp</t>
  </si>
  <si>
    <t>CITI(JB)/JPM(JB)/LEH(JB)
/CREDIT-SUISSE(JB)/MERRILL(JB)
/DEUTSCHE-BK-SEC(JB)//BA-SEC-LLC/BEAR
/UBS-INV-BANK/WACHOVIA-SEC/A-G-EDWARDS
/HONG-SHANG-BKG</t>
  </si>
  <si>
    <t>CITI/JPM/LEH/CREDIT-SUISSE/MERRILL
/DEUTSCHE-BK-SEC</t>
  </si>
  <si>
    <t>CITI
(JB)/JPM(JB)
/LEH(JB)
/CREDIT-SUISSE(JB)
/MERRILL(JB)
/DEUTSCHE-BK-SEC(JB)
BA-SEC-LLC
BEAR
UBS-INV-BANK
WACHOVIA-SEC
A-G-EDWARDS
HONG-SHANG-BKG</t>
  </si>
  <si>
    <t>Citi
JP Morgan &amp; Co Inc
Lehman Brothers
Credit Suisse
Merrill Lynch &amp; Co Inc
Deutsche Bank Securities Corp.
Banc of America Securities LLC
Bear Stearns &amp; Co Inc
UBS Investment Bank
Wachovia Securities Inc
AG Edwards &amp; Sons Inc
Hongkong &amp; Shanghai Banking Corp Ltd</t>
  </si>
  <si>
    <t>Cosan Ltd</t>
  </si>
  <si>
    <t>CZZ</t>
  </si>
  <si>
    <t>CREDIT-SUISSE
/MORGAN-STANLEY(JB)
/GS(JB)</t>
  </si>
  <si>
    <t>G25343107</t>
  </si>
  <si>
    <t>Credit Suisse
Morgan Stanley
Goldman Sachs &amp; Co</t>
  </si>
  <si>
    <t>CREDIT-SUISSE(JB)/MORGAN-STANLEY(JB)
/GS(JB)</t>
  </si>
  <si>
    <t>CREDIT-SUISSE/MORGAN-STANLEY/GS</t>
  </si>
  <si>
    <t>CREDIT-SUISSE
(JB)/MORGAN-STANLEY(JB)
/GS(JB)</t>
  </si>
  <si>
    <t>Cushing MLP Total</t>
  </si>
  <si>
    <t>SRV</t>
  </si>
  <si>
    <t>Morgan Stanley
Deutsche Bank Securities Corp
RBC Capital Markets
AG Edwards &amp; Sons Inc
Morgan Keegan Inc
Scotia Capital (USA) Inc.
Ferris Baker Watts
Sanders Morris Harris Inc
Southwest Securities Inc
Stifel Nicolaus &amp; Co Inc
Wells Fargo Securities LLC
BB&amp;T Capital Markets
E*Trade Securities Inc
Mesirow Financial Corp
Wedbush Securities</t>
  </si>
  <si>
    <t>MORGAN-STANLEY(JB)/DEUTSCHE-BK-SEC(JB)
//RBC-CAP-MKTS/A-G-EDWARDS
/MORGAN-KEEGAN/SCOTIA-CAP/FERRIS-BAKER
/SANDERS-HARRIS/SWS-SEC/STIFEL
/WELLS-FARGO-SEC/BB-T-CAP/E*TRADE-SEC
/MESIROW-FIN/WEDBUSH-M</t>
  </si>
  <si>
    <t>MORGAN-STANLEY
(JB)/DEUTSCHE-BK-SEC(JB)
RBC-CAP-MKTS
A-G-EDWARDS
MORGAN-KEEGAN
SCOTIA-CAP
FERRIS-BAKER
SANDERS-HARRIS
SWS-SEC
STIFEL
WELLS-FARGO-SEC
BB-T-CAP
E*TRADE-SEC
MESIROW-FIN
WEDBUSH-M</t>
  </si>
  <si>
    <t>Morgan Stanley
Deutsche Bank Securities Corp.
RBC Capital Markets
AG Edwards &amp; Sons Inc
Morgan Keegan Inc
Scotia Capital (USA) Inc.
Ferris Baker Watts Inc
Sanders Morris Harris Inc
Southwest Securities Inc
Stifel Nicolaus &amp; Co Inc
Wells Fargo Securities LLC
BB&amp;T Capital Markets
E*Trade Securities Inc
Mesirow Financial Corp
Wedbush Securities</t>
  </si>
  <si>
    <t>InterAmerican Acq Grp Inc</t>
  </si>
  <si>
    <t>IAQGU</t>
  </si>
  <si>
    <t>CHARDAN-CAP-MKT</t>
  </si>
  <si>
    <t>Chardan Capital Markets LLC
Maxim Group LLC
Earlybirdcapital Inc
Broadband Capital Management
Newbridge Securities</t>
  </si>
  <si>
    <t>CHARDAN-CAP-MKT//MAXIM-GROUP
/EARLYBIRD-CAP/BROADBAND/NEWBRIDGE</t>
  </si>
  <si>
    <t>CHARDAN-CAP-MKT
MAXIM-GROUP
EARLYBIRD-CAP
BROADBAND
NEWBRIDGE</t>
  </si>
  <si>
    <t>Chardan Capital Markets LLC
Maxim Group LLC
Earlybirdcapital Inc
Broadband Capital Management LLC
Newbridge Securities</t>
  </si>
  <si>
    <t>Cornerstone Prog Return Fund</t>
  </si>
  <si>
    <t>CFP</t>
  </si>
  <si>
    <t>FIRST-DOMINION</t>
  </si>
  <si>
    <t>21925C101</t>
  </si>
  <si>
    <t>First Dominion Capital</t>
  </si>
  <si>
    <t>Encore Energy Partners LP</t>
  </si>
  <si>
    <t>ENP</t>
  </si>
  <si>
    <t>29257A106</t>
  </si>
  <si>
    <t>UBS Investment Bank
Lehman Brothers
AG Edwards &amp; Sons Inc
Credit Suisse
Raymond James &amp; Associates Inc
RBC Capital Markets</t>
  </si>
  <si>
    <t>03/09/08
03/09/08
03/09/08</t>
  </si>
  <si>
    <t>UBS-INV-BANK(JB)/LEH(JB)//A-G-EDWARDS
/CREDIT-SUISSE/RAYMOND/RBC-CAP-MKTS</t>
  </si>
  <si>
    <t>UBS-INV-BANK
(JB)/LEH(JB)
A-G-EDWARDS
CREDIT-SUISSE
RAYMOND
RBC-CAP-MKTS</t>
  </si>
  <si>
    <t>athenahealth Inc</t>
  </si>
  <si>
    <t>ATHN</t>
  </si>
  <si>
    <t>04685W103</t>
  </si>
  <si>
    <t>Goldman Sachs &amp; Co
Merrill Lynch
Piper Jaffray Cos
Jefferies &amp; Co Inc</t>
  </si>
  <si>
    <t>03/17/08
03/17/08
03/17/08</t>
  </si>
  <si>
    <t xml:space="preserve">75.459
</t>
  </si>
  <si>
    <t xml:space="preserve">23845207.00
</t>
  </si>
  <si>
    <t>GS(JB)/MERRILL(JB)//PIPER-JAFFRAY
/JEFFERIES</t>
  </si>
  <si>
    <t>GS
(JB)/MERRILL(JB)
PIPER-JAFFRAY
JEFFERIES</t>
  </si>
  <si>
    <t>Goldman Sachs &amp; Co
Merrill Lynch &amp; Co Inc
Piper Jaffray Cos
Jefferies &amp; Co Inc</t>
  </si>
  <si>
    <t>First Trust Act Div Income</t>
  </si>
  <si>
    <t>FAV</t>
  </si>
  <si>
    <t>33731L100</t>
  </si>
  <si>
    <t>Raymond James &amp; Associates Inc
AG Edwards &amp; Sons Inc
Banc of America Securities LLC
Oppenheimer &amp; Co Inc
RBC Capital Markets
Stifel Nicolaus &amp; Co Inc
Robert W Baird &amp; Co Inc
Stephens Inc
SunTrust Capital Markets
Wunderlich Securities Inc</t>
  </si>
  <si>
    <t>RAYMOND//A-G-EDWARDS/BA-SEC-LLC
/OPPENHEIMER-CO/RBC-CAP-MKTS/STIFEL
/BAIRD/STEPHENS/SUNTRUST-CAP/WUNDERLICH</t>
  </si>
  <si>
    <t>RAYMOND
A-G-EDWARDS
BA-SEC-LLC
OPPENHEIMER-CO
RBC-CAP-MKTS
STIFEL
BAIRD
STEPHENS
SUNTRUST-CAP
WUNDERLICH</t>
  </si>
  <si>
    <t>Seanergy Maritime Corp</t>
  </si>
  <si>
    <t>SRG</t>
  </si>
  <si>
    <t>Maxim Group LLC
Ramius Capital Corp
I-Bankers Securities Inc
Roth Capital Partners Inc
Broadband Capital Management
Pali Capital LLC
Legend Merchant Group Inc
Chardan Capital Markets LLC
Jesup &amp; Lamont Securities</t>
  </si>
  <si>
    <t>MAXIM-GROUP//RAMIUS/I-BANKERS-SEC
/ROTH-CAPITAL/BROADBAND/PALI-CAPITAL
/LEGEND-MERCHANT/CHARDAN-CAP-MKT/JESUP</t>
  </si>
  <si>
    <t>Blackrock Ecosolutions Inv</t>
  </si>
  <si>
    <t>BQR</t>
  </si>
  <si>
    <t>092546100</t>
  </si>
  <si>
    <t>Citigroup
AG Edwards &amp; Sons Inc
Merrill Lynch
Robert W Baird &amp; Co Inc
Banc of America Securities LLC
H&amp;R Block Financial Advisors
Crowell Weedon &amp; Co
Ferris Baker Watts
JJB Hilliard WL Lyons Inc
Hongkong &amp; Shanghai Bank (HK)
Janney Montgomery Scott LLC
Ladenburg Thalmann &amp; Co
Morgan Keegan Inc
Oppenheimer &amp; Co Inc
Raymond James &amp; Associates Inc
RBC Capital Markets
Wedbush Securities
Wells Fargo Securities LLC
BB&amp;T Capital Markets
Chester Harris &amp; Co
DA Davidson &amp; Co Inc
David A. Noyes
Deutsche Bank Securities
Dominick &amp; Dominick Inc
Fifth Third Securities Inc
First Allied Securities, Inc.
First Southwest
Gilford Securities
GunnAllen Financial Inc
Howe Barnes Hoefer Arnett Inc
Huntleigh Securities Corp
J. B. Hanauer
JP Turner &amp; Co
Johnston Lemon &amp; Co Inc
M. L. Stern
McGinn, Smith &amp; Co Inc
Mesirow Financial Corp
National Securities
Newbridge Securities
Regal Securities Inc
SMH Capital Inc
Southwest Securities Inc
Stephens Inc
Stone &amp; Youngberg
Strand,Atkinson,Williams&amp;Yerl
TD Ameritrade
Torrey Pines Securities
Toussaint Capital Partners
William Blair &amp; Co</t>
  </si>
  <si>
    <t>CITIGROUP//A-G-EDWARDS/MERRILL/BAIRD
/BA-SEC-LLC/HR-BLOCK-FIN/CROWELL
/FERRIS-BAKER/HILLIARD/HONG-SHANG-BKG
/JANNEY-LLC/LADENBURG/MORGAN-KEEGAN
/OPPENHEIMER-CO/RAYMOND/RBC-CAP-MKTS
/WEDBUSH-M/WELLS-FARGO-SEC/BB-T-CAP
/CHESTER-HARRIS/DAVIDSON/D-A-NOYES
/DBSECU/DOMINICK/FIFTH-THIRD-SEC
/FIRST-ALLIED/FIRST-SW/GILFORD
/GUNNALLEN-FINL/HBHOEFER-ARNETT
/HUNTLEIGH-SEC/J-B-HANAUER/J-P-TURNER
/JOHNSTON-LEMON/M-L-STERN/MCGINN-SMITH
/MESIROW-FIN/NATIONAL/NEWBRIDGE
/REGAL-SEC-INC/SMH-CAPITAL/SWS-SEC
/STEPHENS/STONE-YOUNG/STRAND-ATKIN
/TD-AMER/TORREY-PINES/TOUSSAINT
/WM-BLAIR</t>
  </si>
  <si>
    <t>CITIGROUP
A-G-EDWARDS
MERRILL
BAIRD
BA-SEC-LLC
HR-BLOCK-FIN
CROWELL
FERRIS-BAKER
HILLIARD
HONG-SHANG-BKG
JANNEY-LLC
LADENBURG
MORGAN-KEEGAN
OPPENHEIMER-CO
RAYMOND
RBC-CAP-MKTS
WEDBUSH-M
WELLS-FARGO-SEC
BB-T-CAP
CHESTER-HARRIS
DAVIDSON
D-A-NOYES
DBSECU
DOMINICK
FIFTH-THIRD-SEC
FIRST-ALLIED
FIRST-SW
GILFORD
GUNNALLEN-FINL
HBHOEFER-ARNETT
HUNTLEIGH-SEC
J-B-HANAUER
J-P-TURNER
JOHNSTON-LEMON
M-L-STERN
MCGINN-SMITH
MESIROW-FIN
NATIONAL
NEWBRIDGE
REGAL-SEC-INC
SMH-CAPITAL
SWS-SEC
STEPHENS
STONE-YOUNG
STRAND-ATKIN
TD-AMER
TORREY-PINES
TOUSSAINT
WM-BLAIR</t>
  </si>
  <si>
    <t>Citigroup
AG Edwards &amp; Sons Inc
Merrill Lynch &amp; Co Inc
Robert W Baird &amp; Co Inc
Banc of America Securities LLC
H&amp;R Block Financial Advisors
Crowell Weedon &amp; Co
Ferris Baker Watts Inc
JJB Hilliard WL Lyons Inc
Hongkong &amp; Shanghai Banking Corp Ltd
Janney Montgomery Scott LLC
Ladenburg Thalmann &amp; Co
Morgan Keegan Inc
Oppenheimer &amp; Co Inc
Raymond James &amp; Associates Inc
RBC Capital Markets
Wedbush Securities
Wells Fargo Securities LLC
BB&amp;T Capital Markets
Chester Harris &amp; Co
DA Davidson &amp; Co Inc
David A. Noyes &amp; Co.
Deutsche Bank Securities Inc
Dominick &amp; Dominick Inc
Fifth Third Securities Inc
First Allied Securities, Inc.
First Southwest Company
Gilford Securities Incorporated
GunnAllen Financial, Inc.
Howe Barnes Hoefer Arnett Inc
Huntleigh Securities Corporation
J. B. Hanauer &amp; Co.
JP Turner &amp; Co
Johnston Lemon &amp; Co Inc
M. L. Stern &amp; Co., Inc.
McGinn, Smith &amp; Co Inc
Mesirow Financial Corp
National Securities
Newbridge Securities
Regal Securities Inc
SMH Capital Inc
Southwest Securities Inc
Stephens Inc
Stone &amp; Youngberg
Strand, Atkinson, Williams &amp; Yerl Inc
TD Ameritrade
Torrey Pines Securities, Inc.
Toussaint Capital Partners
William Blair &amp; Co</t>
  </si>
  <si>
    <t>ING International High Div</t>
  </si>
  <si>
    <t>IID</t>
  </si>
  <si>
    <t>45684Q100</t>
  </si>
  <si>
    <t>Merrill Lynch
Wachovia Securities Inc
AG Edwards &amp; Sons Inc
Robert W Baird &amp; Co Inc
H&amp;R Block Financial Advisors
Janney Montgomery Scott LLC
Crowell Weedon &amp; Co
Ferris Baker Watts
Ladenburg Thalmann &amp; Co
Wedbush Securities
Wells Fargo Securities LLC
BB&amp;T Capital Markets
DA Davidson &amp; Co Inc
Dominick &amp; Dominick Inc
J. B. Hanauer
Maxim Group LLC
Morgan Keegan Inc
Southwest Securities Inc
Sterne Agee &amp; Leach Inc
Synovus Securities Inc
TD Ameritrade
Advanced Equities Inc
Aegis Capital
Anderson &amp; Strudwick
Bishop, Rosen &amp; Co
Brean Murray Carret &amp; Co LLC
Capital Growth Financial LLC
City Securities
Fifth Third Securities Inc
Finance 500 Inc
First Montauk Securities
First Southwest
Andrew Garrett Group
GunnAllen Financial Inc
Wayne Hummer &amp; Co
Jesup &amp; Lamont Securities
Johnston Lemon &amp; Co Inc
Legend Capital Group Ltd.
McGinn, Smith &amp; Co Inc
Mesirow Financial Corp
MetLife Funding Inc
Morgan Wilshire Securities
National Securities
Northeast Securities Inc.
David A. Noyes
Royal Alliance Associates
SMH Capital Inc
M. L. Stern
Strand,Atkinson,Williams&amp;Yerl
Summit Brokerage Services Inc
Torrey Pines Securities
Toussaint Capital Partners
JP Turner &amp; Co
BC Ziegler &amp; Co
Newbridge Securities</t>
  </si>
  <si>
    <t>MERRILL//WACHOVIA-SEC/A-G-EDWARDS/BAIRD
/HR-BLOCK-FIN/JANNEY-LLC/CROWELL
/FERRIS-BAKER/LADENBURG/WEDBUSH-M
/WELLS-FARGO-SEC/BB-T-CAP/DAVIDSON
/DOMINICK/J-B-HANAUER/MAXIM-GROUP
/MORGAN-KEEGAN/SWS-SEC/STERNE-AGEE
/SYNOVUS-SEC/TD-AMER/ADVANCED-EQ
/AEGIS-CAP/ANDERSON/BISHOP-ROSEN
/BREANMUR-CARRET/CGF-SEC/CITY-SEC
/FIFTH-THIRD-SEC/FINANCE-INC
/FIRST-MONTAUK/FIRST-SW/ANDREW-GARRETT
/GUNNALLEN-FINL/HUMMER/JESUP
/JOHNSTON-LEMON/LEGEND-CAPITAL
/MCGINN-SMITH/MESIROW-FIN/METL
/MORGAN-WILSHIRE/NATIONAL/NORTHEAST-SEC
/D-A-NOYES/ROYAL-ALLIANCE/SMH-CAPITAL
/M-L-STERN/STRAND-ATKIN/SUMMIT-BROKER
/TORREY-PINES/TOUSSAINT/J-P-TURNER
/ZIEGLER/NEWBRIDGE</t>
  </si>
  <si>
    <t>MERRILL
WACHOVIA-SEC
A-G-EDWARDS
BAIRD
HR-BLOCK-FIN
JANNEY-LLC
CROWELL
FERRIS-BAKER
LADENBURG
WEDBUSH-M
WELLS-FARGO-SEC
BB-T-CAP
DAVIDSON
DOMINICK
J-B-HANAUER
MAXIM-GROUP
MORGAN-KEEGAN
SWS-SEC
STERNE-AGEE
SYNOVUS-SEC
TD-AMER
ADVANCED-EQ
AEGIS-CAP
ANDERSON
BISHOP-ROSEN
BREANMUR-CARRET
CGF-SEC
CITY-SEC
FIFTH-THIRD-SEC
FINANCE-INC
FIRST-MONTAUK
FIRST-SW
ANDREW-GARRETT
GUNNALLEN-FINL
HUMMER
JESUP
JOHNSTON-LEMON
LEGEND-CAPITAL
MCGINN-SMITH
MESIROW-FIN
METL
MORGAN-WILSHIRE
NATIONAL
NORTHEAST-SEC
D-A-NOYES
ROYAL-ALLIANCE
SMH-CAPITAL
M-L-STERN
STRAND-ATKIN
SUMMIT-BROKER
TORREY-PINES
TOUSSAINT
J-P-TURNER
ZIEGLER
NEWBRIDGE</t>
  </si>
  <si>
    <t>Merrill Lynch &amp; Co Inc
Wachovia Securities Inc
AG Edwards &amp; Sons Inc
Robert W Baird &amp; Co Inc
H&amp;R Block Financial Advisors
Janney Montgomery Scott LLC
Crowell Weedon &amp; Co
Ferris Baker Watts Inc
Ladenburg Thalmann &amp; Co
Wedbush Securities
Wells Fargo Securities LLC
BB&amp;T Capital Markets
DA Davidson &amp; Co Inc
Dominick &amp; Dominick Inc
J. B. Hanauer &amp; Co.
Maxim Group LLC
Morgan Keegan Inc
Southwest Securities Inc
Sterne Agee &amp; Leach Inc
Synovus Securities Inc
TD Ameritrade
Advanced Equities Inc
Aegis Capital Corp.
Anderson &amp; Strudwick
Bishop, Rosen &amp; Co, Inc.
Brean Murray Carret &amp; Co LLC
Capital Growth Financial LLC
City Securities Corporation
Fifth Third Securities Inc
Finance 500 Inc
First Montauk Securities Corp
First Southwest Company
Andrew Garrett Group
GunnAllen Financial, Inc.
Wayne Hummer &amp; Co
Jesup &amp; Lamont Securities Co Inc
Johnston Lemon &amp; Co Inc
Legend Capital Group Ltd.
McGinn, Smith &amp; Co Inc
Mesirow Financial Corp
MetLife Funding Inc
Morgan Wilshire Securities
National Securities
Northeast Securities Inc.
David A. Noyes &amp; Co.
Royal Alliance Associates
SMH Capital Inc
M. L. Stern &amp; Co., Inc.
Strand, Atkinson, Williams &amp; Yerl Inc
Summit Brokerage Services Inc
Torrey Pines Securities, Inc.
Toussaint Capital Partners
JP Turner &amp; Co
BC Ziegler &amp; Co
Newbridge Securities</t>
  </si>
  <si>
    <t>Nicholas-Applegate Global Eq</t>
  </si>
  <si>
    <t>NGZ</t>
  </si>
  <si>
    <t>65370L108</t>
  </si>
  <si>
    <t>UBS Investment Bank
Citi
AG Edwards &amp; Sons Inc
Banc of America Securities LLC
Oppenheimer &amp; Co Inc
Stifel Nicolaus &amp; Co Inc
RBC Capital Markets
Wells Fargo Bank NA
Robert W Baird &amp; Co Inc
Ferris Baker Watts
JJB Hilliard WL Lyons Inc
Janney Montgomery Scott LLC
Sterne Agee &amp; Leach Inc
Wedbush Securities
Comerica Securities
Crowell Weedon &amp; Co
Ladenburg Thalmann &amp; Co
Morgan Keegan Inc
Stone &amp; Youngberg
Anderson &amp; Strudwick
BB&amp;T Capital Markets
Dawson James Securities
GunnAllen Financial Inc
HSBC Markets Ltd
Newbridge Securities
David A. Noyes
SMH Capital Inc
Southwest Securities Inc</t>
  </si>
  <si>
    <t>UBS-INV-BANK//CITI/A-G-EDWARDS
/BA-SEC-LLC/OPPENHEIMER-CO/STIFEL
/RBC-CAP-MKTS/WELLS-FARGO/BAIRD
/FERRIS-BAKER/HILLIARD/JANNEY-LLC
/STERNE-AGEE/WEDBUSH-M//COMERICA-SEC
/CROWELL/LADENBURG/MORGAN-KEEGAN
/STONE-YOUNG/ANDERSON/BB-T-CAP
/DAWSON-JAMES/GUNNALLEN-FINL/HSBC-MKTS
/NEWBRIDGE/D-A-NOYES/SMH-CAPITAL
/SWS-SEC</t>
  </si>
  <si>
    <t>UBS-INV-BANK
CITI
A-G-EDWARDS
BA-SEC-LLC
OPPENHEIMER-CO
STIFEL
RBC-CAP-MKTS
WELLS-FARGO
BAIRD
FERRIS-BAKER
HILLIARD
JANNEY-LLC
STERNE-AGEE
WEDBUSH-M</t>
  </si>
  <si>
    <t>UBS Investment Bank
Citi
AG Edwards &amp; Sons Inc
Banc of America Securities LLC
Oppenheimer &amp; Co Inc
Stifel Nicolaus &amp; Co Inc
RBC Capital Markets
Wells Fargo Bank NA
Robert W Baird &amp; Co Inc
Ferris Baker Watts Inc
JJB Hilliard WL Lyons Inc
Janney Montgomery Scott LLC
Sterne Agee &amp; Leach Inc
Wedbush Securities</t>
  </si>
  <si>
    <t>Babcock &amp; Brown Air Ltd</t>
  </si>
  <si>
    <t>FLY</t>
  </si>
  <si>
    <t>MORGAN-STANLEY/CITI(JB)
/MERRILL(JB)
/CREDIT-SUISSE(JB)</t>
  </si>
  <si>
    <t>05614P101</t>
  </si>
  <si>
    <t>Morgan Stanley
Citi
Merrill Lynch
Credit Suisse
Jefferies &amp; Co Inc
JP Morgan</t>
  </si>
  <si>
    <t>03/24/08
03/24/08
09/20/08
03/24/08</t>
  </si>
  <si>
    <t>180
180
360
180</t>
  </si>
  <si>
    <t>MORGAN-STANLEY(JB)/CITI(JB)/MERRILL(JB)
/CREDIT-SUISSE(JB)//JEFFERIES/JPM</t>
  </si>
  <si>
    <t>MORGAN-STANLEY/CITI/MERRILL
/CREDIT-SUISSE</t>
  </si>
  <si>
    <t>MORGAN-STANLEY
(JB)/CITI(JB)
/MERRILL(JB)
/CREDIT-SUISSE(JB)
JEFFERIES
JPM</t>
  </si>
  <si>
    <t>Morgan Stanley
Citi
Merrill Lynch &amp; Co Inc
Credit Suisse
Jefferies &amp; Co Inc
JP Morgan &amp; Co Inc</t>
  </si>
  <si>
    <t>Duff &amp; Phelps Corp</t>
  </si>
  <si>
    <t>DUF</t>
  </si>
  <si>
    <t>26433B107</t>
  </si>
  <si>
    <t>Goldman Sachs &amp; Co
UBS Investment Bank
Lehman Brothers
William Blair &amp; Co
Keefe Bruyette &amp; Woods Inc
Fox-Pitt Kelton</t>
  </si>
  <si>
    <t>GS(JB)/UBS-INV-BANK(JB)//LEH/WM-BLAIR
/KEEFE/FOX-PITT</t>
  </si>
  <si>
    <t>GS
(JB)/UBS-INV-BANK(JB)
LEH
WM-BLAIR
KEEFE
FOX-PITT</t>
  </si>
  <si>
    <t>China Architectural</t>
  </si>
  <si>
    <t>CAEI</t>
  </si>
  <si>
    <t>16937S102</t>
  </si>
  <si>
    <t>09/22/08
09/22/08</t>
  </si>
  <si>
    <t>Hicks Acquisition Co I Inc</t>
  </si>
  <si>
    <t>TOH</t>
  </si>
  <si>
    <t>Citi
Lazard Capital Markets
Ladenburg Thalmann &amp; Co</t>
  </si>
  <si>
    <t>03/26/08
03/26/08</t>
  </si>
  <si>
    <t>CITI//LAZARD-CAP-MKT/LADENBURG</t>
  </si>
  <si>
    <t>CITI
LAZARD-CAP-MKT
LADENBURG</t>
  </si>
  <si>
    <t>Constant Contact Inc</t>
  </si>
  <si>
    <t>CTCT</t>
  </si>
  <si>
    <t>CIBC-WORLD
/THOMAS-WEISEL(JB)</t>
  </si>
  <si>
    <t>CIBC World Markets Inc
Thomas Weisel Partners
William Blair &amp; Co
Cowen
Needham &amp; Co LLC</t>
  </si>
  <si>
    <t>03/30/08
03/30/08
03/30/08</t>
  </si>
  <si>
    <t>CIBC-WORLD(JB)/THOMAS-WEISEL(JB)
//WM-BLAIR/COWEN/NEEDHAM</t>
  </si>
  <si>
    <t>CIBC-WORLD/THOMAS-WEISEL</t>
  </si>
  <si>
    <t>CIBC-WORLD
(JB)/THOMAS-WEISEL(JB)
WM-BLAIR
COWEN
NEEDHAM</t>
  </si>
  <si>
    <t>CIBC World Markets Inc
Thomas Weisel Partners
William Blair &amp; Co
Cowen &amp; Co
Needham &amp; Co LLC</t>
  </si>
  <si>
    <t>Highlands Acquisition Corp</t>
  </si>
  <si>
    <t>HIA</t>
  </si>
  <si>
    <t>Citi
W. M. Smith Securities, Inc</t>
  </si>
  <si>
    <t>10/21/07
03/31/08</t>
  </si>
  <si>
    <t>18
180</t>
  </si>
  <si>
    <t>CITI//W-M-SMITH</t>
  </si>
  <si>
    <t>CITI
W-M-SMITH</t>
  </si>
  <si>
    <t>Citi
W. M. Smith Securities Inc</t>
  </si>
  <si>
    <t>China Dig TV Hldg Co Ltd</t>
  </si>
  <si>
    <t>STV</t>
  </si>
  <si>
    <t>16938G107</t>
  </si>
  <si>
    <t>Morgan Stanley
Credit Suisse
Piper Jaffray Cos
CIBC World Markets Inc
Needham &amp; Co LLC</t>
  </si>
  <si>
    <t>04/01/08
04/01/08
04/01/08</t>
  </si>
  <si>
    <t>MORGAN-STANLEY(JB)/CREDIT-SUISSE(JB)
//PIPER-JAFFRAY/CIBC-WORLD/NEEDHAM</t>
  </si>
  <si>
    <t>MORGAN-STANLEY
(JB)/CREDIT-SUISSE(JB)
PIPER-JAFFRAY
CIBC-WORLD
NEEDHAM</t>
  </si>
  <si>
    <t>FMG Acquisition Corp</t>
  </si>
  <si>
    <t>FMGQ</t>
  </si>
  <si>
    <t>PALI-CAPITAL</t>
  </si>
  <si>
    <t>34410L106</t>
  </si>
  <si>
    <t>Pali Capital LLC
Maxim Group LLC</t>
  </si>
  <si>
    <t>04/01/08
04/01/08</t>
  </si>
  <si>
    <t>PALI-CAPITAL//MAXIM-GROUP</t>
  </si>
  <si>
    <t>PALI-CAPITAL
MAXIM-GROUP</t>
  </si>
  <si>
    <t>Main Street Capital Corp</t>
  </si>
  <si>
    <t>MAIN</t>
  </si>
  <si>
    <t>MORGAN-KEEGAN
/BB-T-CAP(JB)</t>
  </si>
  <si>
    <t>56035L104</t>
  </si>
  <si>
    <t>Morgan Keegan Inc
BB&amp;T Capital Markets
SMH Capital Inc
Ferris Baker Watts</t>
  </si>
  <si>
    <t>MORGAN-KEEGAN(JB)/BB-T-CAP(JB)
//SMH-CAPITAL/FERRIS-BAKER</t>
  </si>
  <si>
    <t>MORGAN-KEEGAN/BB-T-CAP</t>
  </si>
  <si>
    <t>MORGAN-KEEGAN
(JB)/BB-T-CAP(JB)
SMH-CAPITAL
FERRIS-BAKER</t>
  </si>
  <si>
    <t>Morgan Keegan Inc
BB&amp;T Capital Markets
SMH Capital Inc
Ferris Baker Watts Inc</t>
  </si>
  <si>
    <t>MAP Pharmaceuticals Inc</t>
  </si>
  <si>
    <t>MAPP</t>
  </si>
  <si>
    <t>56509R108</t>
  </si>
  <si>
    <t>Merrill Lynch
Morgan Stanley
Deutsche Bank Securities Corp</t>
  </si>
  <si>
    <t>MERRILL(JB)/MORGAN-STANLEY(JB)
//DEUTSCHE-BK-SEC</t>
  </si>
  <si>
    <t>MERRILL
(JB)/MORGAN-STANLEY(JB)
DEUTSCHE-BK-SEC</t>
  </si>
  <si>
    <t>Merrill Lynch &amp; Co Inc
Morgan Stanley
Deutsche Bank Securities Corp.</t>
  </si>
  <si>
    <t>Compellent Technologies Inc</t>
  </si>
  <si>
    <t>CML</t>
  </si>
  <si>
    <t>20452A108</t>
  </si>
  <si>
    <t>Morgan Stanley
Needham &amp; Co LLC
Piper Jaffray Cos
RBC Capital Markets
Thomas Weisel Partners</t>
  </si>
  <si>
    <t>04/06/08
04/06/08</t>
  </si>
  <si>
    <t>MORGAN-STANLEY//NEEDHAM/PIPER-JAFFRAY
/RBC-CAP-MKTS/THOMAS-WEISEL</t>
  </si>
  <si>
    <t>MORGAN-STANLEY
NEEDHAM
PIPER-JAFFRAY
RBC-CAP-MKTS
THOMAS-WEISEL</t>
  </si>
  <si>
    <t>Targanta Therapeutics Corp</t>
  </si>
  <si>
    <t>TARG</t>
  </si>
  <si>
    <t>87612C100</t>
  </si>
  <si>
    <t>Credit Suisse
Cowen
Lazard Capital Markets
Leerink Swann &amp; Co</t>
  </si>
  <si>
    <t>CREDIT-SUISSE//COWEN/LAZARD-CAP-MKT
/LEERINK-SWANN</t>
  </si>
  <si>
    <t>CREDIT-SUISSE
COWEN
LAZARD-CAP-MKT
LEERINK-SWANN</t>
  </si>
  <si>
    <t>Credit Suisse
Cowen &amp; Co
Lazard Capital Markets
Leerink Swann &amp; Co</t>
  </si>
  <si>
    <t>Textainer Grp Hldg Ltd</t>
  </si>
  <si>
    <t>TGH</t>
  </si>
  <si>
    <t>G8766E109</t>
  </si>
  <si>
    <t>Credit Suisse
Wachovia Securities Inc
Jefferies &amp; Co Inc
Piper Jaffray Cos
Fortis Securities Inc</t>
  </si>
  <si>
    <t>CREDIT-SUISSE(JB)/WACHOVIA-SEC(JB)
//JEFFERIES/PIPER-JAFFRAY/FORTIS-SEC</t>
  </si>
  <si>
    <t>CREDIT-SUISSE
(JB)/WACHOVIA-SEC(JB)
JEFFERIES
PIPER-JAFFRAY
FORTIS-SEC</t>
  </si>
  <si>
    <t>SP Acquisition Holdings Inc</t>
  </si>
  <si>
    <t>DSP</t>
  </si>
  <si>
    <t>UBS-INV-BANK
/LADENBURG(JB)</t>
  </si>
  <si>
    <t>78470A104</t>
  </si>
  <si>
    <t>UBS Investment Bank
Ladenburg Thalmann &amp; Co
Jefferies &amp; Co Inc</t>
  </si>
  <si>
    <t>04/07/08
04/07/08</t>
  </si>
  <si>
    <t>UBS-INV-BANK(JB)/LADENBURG(JB)
//JEFFERIES</t>
  </si>
  <si>
    <t>UBS-INV-BANK/LADENBURG</t>
  </si>
  <si>
    <t>UBS-INV-BANK
(JB)/LADENBURG(JB)
JEFFERIES</t>
  </si>
  <si>
    <t>Virgin Mobile USA Inc</t>
  </si>
  <si>
    <t>VM</t>
  </si>
  <si>
    <t>LEH/MERRILL(JB)
/BEAR(JB)</t>
  </si>
  <si>
    <t>92769R108</t>
  </si>
  <si>
    <t>Lehman Brothers
Merrill Lynch
Bear Stearns &amp; Co Inc
Raymond James &amp; Associates Inc
Thomas Weisel Partners</t>
  </si>
  <si>
    <t>04/07/08
04/07/08
04/07/08</t>
  </si>
  <si>
    <t xml:space="preserve">
3.677</t>
  </si>
  <si>
    <t xml:space="preserve">
1949507.00</t>
  </si>
  <si>
    <t>LEH(JB)/MERRILL(JB)/BEAR(JB)//RAYMOND
/THOMAS-WEISEL</t>
  </si>
  <si>
    <t>LEH/MERRILL/BEAR</t>
  </si>
  <si>
    <t>LEH
(JB)/MERRILL(JB)
/BEAR(JB)
RAYMOND
THOMAS-WEISEL</t>
  </si>
  <si>
    <t>Lehman Brothers
Merrill Lynch &amp; Co Inc
Bear Stearns &amp; Co Inc
Raymond James &amp; Associates Inc
Thomas Weisel Partners</t>
  </si>
  <si>
    <t>Stone Tan China Acq Corp</t>
  </si>
  <si>
    <t>STTA</t>
  </si>
  <si>
    <t>Morgan Joseph &amp; Co Inc
Southwest Securities Inc
Maxim Group LLC
Brean Murray Carret &amp; Co LLC
GunnAllen Financial Inc
Legend Merchant Group Inc</t>
  </si>
  <si>
    <t>MORGAN-JOSEPH//SWS-SEC/MAXIM-GROUP
/BREANMUR-CARRET/GUNNALLEN-FINL
/LEGEND-MERCHANT</t>
  </si>
  <si>
    <t>MORGAN-JOSEPH
SWS-SEC
MAXIM-GROUP
BREANMUR-CARRET
GUNNALLEN-FINL
LEGEND-MERCHANT</t>
  </si>
  <si>
    <t>Morgan Joseph &amp; Co Inc
Southwest Securities Inc
Maxim Group LLC
Brean Murray Carret &amp; Co LLC
GunnAllen Financial, Inc.
Legend Merchant Group Inc</t>
  </si>
  <si>
    <t>Trans1 Inc</t>
  </si>
  <si>
    <t>TSON</t>
  </si>
  <si>
    <t>LEH/PIPER-JAFFRAY(JB)</t>
  </si>
  <si>
    <t>89385X105</t>
  </si>
  <si>
    <t>Lehman Brothers
Piper Jaffray Cos
Cowen
Wachovia Capital Markets</t>
  </si>
  <si>
    <t>04/13/08
04/13/08</t>
  </si>
  <si>
    <t>LEH(JB)/PIPER-JAFFRAY(JB)//COWEN
/WACHOVIA-CAP</t>
  </si>
  <si>
    <t>LEH/PIPER-JAFFRAY</t>
  </si>
  <si>
    <t>LEH
(JB)/PIPER-JAFFRAY(JB)
COWEN
WACHOVIA-CAP</t>
  </si>
  <si>
    <t>Lehman Brothers
Piper Jaffray Cos
Cowen &amp; Co
Wachovia Capital Markets</t>
  </si>
  <si>
    <t>Global BPO Services Corp</t>
  </si>
  <si>
    <t>OOO</t>
  </si>
  <si>
    <t>Deutsche Bank Securities Corp
Robert W Baird &amp; Co Inc</t>
  </si>
  <si>
    <t>DEUTSCHE-BK-SEC//BAIRD</t>
  </si>
  <si>
    <t>DEUTSCHE-BK-SEC
BAIRD</t>
  </si>
  <si>
    <t>Deutsche Bank Securities Corp.
Robert W Baird &amp; Co Inc</t>
  </si>
  <si>
    <t>NRDC Acquisition Corp</t>
  </si>
  <si>
    <t>NAQ</t>
  </si>
  <si>
    <t>62941R201</t>
  </si>
  <si>
    <t>Banc of America Securities LLC
Maxim Group LLC
GunnAllen Financial Inc
Ladenburg Thalmann &amp; Co</t>
  </si>
  <si>
    <t>BA-SEC-LLC//MAXIM-GROUP/GUNNALLEN-FINL
/LADENBURG</t>
  </si>
  <si>
    <t>TM Entertainment &amp; Media Inc</t>
  </si>
  <si>
    <t>TMI</t>
  </si>
  <si>
    <t>PALI-CAPITAL
/MAXIM-GROUP(JB)</t>
  </si>
  <si>
    <t>87260T207</t>
  </si>
  <si>
    <t>PALI-CAPITAL(JB)/MAXIM-GROUP(JB)</t>
  </si>
  <si>
    <t>PALI-CAPITAL/MAXIM-GROUP</t>
  </si>
  <si>
    <t>PALI-CAPITAL
(JB)/MAXIM-GROUP(JB)</t>
  </si>
  <si>
    <t>DuPont Fabros Tech Inc</t>
  </si>
  <si>
    <t>DFT</t>
  </si>
  <si>
    <t>26613Q106</t>
  </si>
  <si>
    <t>Lehman Brothers
UBS Investment Bank
Citi
KeyCorp/McDonald Investments
Wachovia Securities Inc
Banc of America Securities LLC
Raymond James &amp; Associates Inc</t>
  </si>
  <si>
    <t>04/15/08
04/15/08</t>
  </si>
  <si>
    <t>LEH(JB)/UBS-INV-BANK(JB)//CITI
/KEY-MCDONALD/WACHOVIA-SEC/BA-SEC-LLC
/RAYMOND</t>
  </si>
  <si>
    <t>LEH
(JB)/UBS-INV-BANK(JB)
CITI
KEY-MCDONALD
WACHOVIA-SEC
BA-SEC-LLC
RAYMOND</t>
  </si>
  <si>
    <t>Maxcom Telecomunicaciones SAB</t>
  </si>
  <si>
    <t>MXT</t>
  </si>
  <si>
    <t>57773A508</t>
  </si>
  <si>
    <t>04/15/08
04/15/08
04/15/08</t>
  </si>
  <si>
    <t>Noah Education Hldgs Ltd</t>
  </si>
  <si>
    <t>NED</t>
  </si>
  <si>
    <t>65487R303</t>
  </si>
  <si>
    <t>Deutsche Bank Securities Corp
CIBC World Markets Inc
Thomas Weisel Partners
First Shanghai Sec Ltd</t>
  </si>
  <si>
    <t xml:space="preserve">
3.054
</t>
  </si>
  <si>
    <t xml:space="preserve">
1121557.00
</t>
  </si>
  <si>
    <t>DEUTSCHE-BK-SEC//CIBC-WORLD
/THOMAS-WEISEL/FIRST-SHANG-SEC</t>
  </si>
  <si>
    <t>DEUTSCHE-BK-SEC
CIBC-WORLD
THOMAS-WEISEL
FIRST-SHANG-SEC</t>
  </si>
  <si>
    <t>Deutsche Bank Securities Corp.
CIBC World Markets Inc
Thomas Weisel Partners
First Shanghai Sec Ltd</t>
  </si>
  <si>
    <t>Socovesa SA</t>
  </si>
  <si>
    <t>Chile</t>
  </si>
  <si>
    <t>Santiago</t>
  </si>
  <si>
    <t>CVR Energy Inc</t>
  </si>
  <si>
    <t>CVI</t>
  </si>
  <si>
    <t>GS/DEUTSCHE-BK-SEC(JB)</t>
  </si>
  <si>
    <t>12662P108</t>
  </si>
  <si>
    <t>Goldman Sachs &amp; Co
Deutsche Bank Securities Corp
Credit Suisse
Citi
Simmons &amp; Co International</t>
  </si>
  <si>
    <t>04/19/08
04/19/08</t>
  </si>
  <si>
    <t>Icahn Partners LP</t>
  </si>
  <si>
    <t>GS(JB)/DEUTSCHE-BK-SEC(JB)
//CREDIT-SUISSE/CITI/SIMMONS</t>
  </si>
  <si>
    <t>GS
(JB)/DEUTSCHE-BK-SEC(JB)
CREDIT-SUISSE
CITI
SIMMONS</t>
  </si>
  <si>
    <t>Goldman Sachs &amp; Co
Deutsche Bank Securities Corp.
Credit Suisse
Citi
Simmons &amp; Co International</t>
  </si>
  <si>
    <t>Triplecrown Acquisition Corp</t>
  </si>
  <si>
    <t>TCW</t>
  </si>
  <si>
    <t>89677G208</t>
  </si>
  <si>
    <t>Citi
Ladenburg Thalmann &amp; Co
Jefferies &amp; Co Inc
Broadband Capital Management</t>
  </si>
  <si>
    <t>CITI//LADENBURG/JEFFERIES/BROADBAND</t>
  </si>
  <si>
    <t>CITI
LADENBURG
JEFFERIES
BROADBAND</t>
  </si>
  <si>
    <t>Citi
Ladenburg Thalmann &amp; Co
Jefferies &amp; Co Inc
Broadband Capital Management LLC</t>
  </si>
  <si>
    <t>Fuqi International Inc</t>
  </si>
  <si>
    <t>FUQI</t>
  </si>
  <si>
    <t>36102A207</t>
  </si>
  <si>
    <t>Merriman Curhan Ford &amp; Co
Brean Murray Carret &amp; Co LLC
Ladenburg Thalmann &amp; Co
Chardan Capital Markets LLC
Capital Growth Financial LLC
GunnAllen Financial Inc
JP Turner &amp; Co
Jesup &amp; Lamont Securities
Newbridge Securities
vFinance Investments Inc
Dawson James Securities</t>
  </si>
  <si>
    <t>04/20/08
04/20/08</t>
  </si>
  <si>
    <t>MERR-CUR//BREANMUR-CARRET//LADENBURG
/CHARDAN-CAP-MKT/CGF-SEC/GUNNALLEN-FINL
/J-P-TURNER/JESUP/NEWBRIDGE/VFINANCE
/DAWSON-JAMES</t>
  </si>
  <si>
    <t>MERR-CUR
BREANMUR-CARRET</t>
  </si>
  <si>
    <t>Merriman Curhan Ford &amp; Co
Brean Murray Carret &amp; Co LLC</t>
  </si>
  <si>
    <t>Longtop Finl Tech Ltd</t>
  </si>
  <si>
    <t>LFT</t>
  </si>
  <si>
    <t>GS-ASIA/DEUTSCHE-A(JB)</t>
  </si>
  <si>
    <t>54318P108</t>
  </si>
  <si>
    <t>Goldman Sachs (Asia)
Deutsche Bank Asia
Jefferies &amp; Co Inc</t>
  </si>
  <si>
    <t>04/20/08
04/20/08
04/20/08</t>
  </si>
  <si>
    <t>GS-ASIA(JB)/DEUTSCHE-A(JB)//JEFFERIES</t>
  </si>
  <si>
    <t>GS-ASIA/DEUTSCHE-A</t>
  </si>
  <si>
    <t>GS-ASIA
(JB)/DEUTSCHE-A(JB)
JEFFERIES</t>
  </si>
  <si>
    <t>Vanguard Natural Resources LLC</t>
  </si>
  <si>
    <t>VNR</t>
  </si>
  <si>
    <t>92205F106</t>
  </si>
  <si>
    <t>Citi
Lehman Brothers
AG Edwards &amp; Sons Inc
Wachovia Securities Inc
Jefferies &amp; Co Inc
BNP Paribas Securities Corp</t>
  </si>
  <si>
    <t>CITI//LEH/A-G-EDWARDS/WACHOVIA-SEC
/JEFFERIES/BNP-CA</t>
  </si>
  <si>
    <t>CITI
LEH
A-G-EDWARDS
WACHOVIA-SEC
JEFFERIES
BNP-CA</t>
  </si>
  <si>
    <t>FGX International Holdings Ltd</t>
  </si>
  <si>
    <t>FGXI</t>
  </si>
  <si>
    <t>WM-BLAIR
/SUNTRUST-CAP(JB)</t>
  </si>
  <si>
    <t>G3396L102</t>
  </si>
  <si>
    <t>William Blair &amp; Co
SunTrust Capital Markets
BB&amp;T Capital Markets
Avondale Partners</t>
  </si>
  <si>
    <t>04/21/08
04/21/08
04/21/08</t>
  </si>
  <si>
    <t>WM-BLAIR(JB)/SUNTRUST-CAP(JB)//BB-T-CAP
/AVONDALE</t>
  </si>
  <si>
    <t>WM-BLAIR/SUNTRUST-CAP</t>
  </si>
  <si>
    <t>WM-BLAIR
(JB)/SUNTRUST-CAP(JB)
BB-T-CAP
AVONDALE</t>
  </si>
  <si>
    <t>Pzena Invest Mgmt Inc</t>
  </si>
  <si>
    <t>PZN</t>
  </si>
  <si>
    <t>74731Q103</t>
  </si>
  <si>
    <t>Goldman Sachs &amp; Co
UBS Investment Bank
Banc of America Securities LLC
Fox-Pitt Kelton
JP Morgan
Keefe Bruyette &amp; Woods Inc</t>
  </si>
  <si>
    <t>04/21/08
04/21/08</t>
  </si>
  <si>
    <t>GS(JB)/UBS-INV-BANK(JB)//BA-SEC-LLC
/FOX-PITT/JPM/KEEFE</t>
  </si>
  <si>
    <t>GS
(JB)/UBS-INV-BANK(JB)
BA-SEC-LLC
FOX-PITT
JPM
KEEFE</t>
  </si>
  <si>
    <t>Goldman Sachs &amp; Co
UBS Investment Bank
Banc of America Securities LLC
Fox-Pitt Kelton
JP Morgan &amp; Co Inc
Keefe Bruyette &amp; Woods Inc</t>
  </si>
  <si>
    <t>Secure America Acq Corp</t>
  </si>
  <si>
    <t>HLD</t>
  </si>
  <si>
    <t>SUNTRUST-CAP</t>
  </si>
  <si>
    <t>81372L202</t>
  </si>
  <si>
    <t>SunTrust Capital Markets
Morgan Joseph &amp; Co Inc
GunnAllen Financial Inc
Maxim Group LLC</t>
  </si>
  <si>
    <t>SUNTRUST-CAP//MORGAN-JOSEPH
/GUNNALLEN-FINL/MAXIM-GROUP</t>
  </si>
  <si>
    <t>SUNTRUST-CAP
MORGAN-JOSEPH
GUNNALLEN-FINL
MAXIM-GROUP</t>
  </si>
  <si>
    <t>SunTrust Capital Markets
Morgan Joseph &amp; Co Inc
GunnAllen Financial, Inc.
Maxim Group LLC</t>
  </si>
  <si>
    <t>Ulta Salon Cosmetic &amp;</t>
  </si>
  <si>
    <t>ULTA</t>
  </si>
  <si>
    <t>JPM/WACHOVIA-SEC(JB)</t>
  </si>
  <si>
    <t>90384S303</t>
  </si>
  <si>
    <t>JP Morgan
Wachovia Securities Inc
Thomas Weisel Partners
Cowen
Piper Jaffray Cos</t>
  </si>
  <si>
    <t>JPM(JB)/WACHOVIA-SEC(JB)//THOMAS-WEISEL
/COWEN/PIPER-JAFFRAY</t>
  </si>
  <si>
    <t>JPM/WACHOVIA-SEC</t>
  </si>
  <si>
    <t>JPM
(JB)/WACHOVIA-SEC(JB)
THOMAS-WEISEL
COWEN
PIPER-JAFFRAY</t>
  </si>
  <si>
    <t>JP Morgan &amp; Co Inc
Wachovia Securities Inc
Thomas Weisel Partners
Cowen &amp; Co
Piper Jaffray Cos</t>
  </si>
  <si>
    <t>Novabay Pharmaceuticals Inc</t>
  </si>
  <si>
    <t>NBY</t>
  </si>
  <si>
    <t>DUNDEE-SEC
/BLACKMONT-CAP(JB)
/DAWSON-JAMES(JB)</t>
  </si>
  <si>
    <t>66987P102</t>
  </si>
  <si>
    <t>Dundee Securities Corporation
Blackmont Capital Inc
Dawson James Securities
Desjardins Securities Inc.</t>
  </si>
  <si>
    <t>04/22/08
04/22/08</t>
  </si>
  <si>
    <t>DUNDEE-SEC(JB)/BLACKMONT-CAP(JB)
/DAWSON-JAMES(JB)//DESJARDINS-SEC</t>
  </si>
  <si>
    <t>DUNDEE-SEC/BLACKMONT-CAP/DAWSON-JAMES</t>
  </si>
  <si>
    <t>DUNDEE-SEC
(JB)/BLACKMONT-CAP(JB)
/DAWSON-JAMES(JB)
DESJARDINS-SEC</t>
  </si>
  <si>
    <t>Power Med Interventions Inc</t>
  </si>
  <si>
    <t>PMII</t>
  </si>
  <si>
    <t>JEFFERIES
/LAZARD-CAP-MKT(JB)</t>
  </si>
  <si>
    <t>Jefferies &amp; Co Inc
Lazard Capital Markets
William Blair &amp; Co</t>
  </si>
  <si>
    <t>04/22/08
04/22/08
04/22/08</t>
  </si>
  <si>
    <t>JEFFERIES(JB)/LAZARD-CAP-MKT(JB)
//WM-BLAIR</t>
  </si>
  <si>
    <t>JEFFERIES/LAZARD-CAP-MKT</t>
  </si>
  <si>
    <t>JEFFERIES
(JB)/LAZARD-CAP-MKT(JB)
WM-BLAIR</t>
  </si>
  <si>
    <t>Genoptix Inc</t>
  </si>
  <si>
    <t>GXDX</t>
  </si>
  <si>
    <t>37243V100</t>
  </si>
  <si>
    <t>Lehman Brothers
Banc of America Securities LLC
Cowen</t>
  </si>
  <si>
    <t>04/26/08
04/26/08
04/26/08</t>
  </si>
  <si>
    <t>LEH//BA-SEC-LLC/COWEN</t>
  </si>
  <si>
    <t>LEH
BA-SEC-LLC
COWEN</t>
  </si>
  <si>
    <t>Lehman Brothers
Banc of America Securities LLC
Cowen &amp; Co</t>
  </si>
  <si>
    <t>CNinsure Inc</t>
  </si>
  <si>
    <t>CISG</t>
  </si>
  <si>
    <t>18976M103</t>
  </si>
  <si>
    <t>Morgan Stanley
William Blair &amp; Co
Fox-Pitt Kelton
Piper Jaffray Cos
Morgan Stanley</t>
  </si>
  <si>
    <t>04/27/08
04/27/08
04/27/08</t>
  </si>
  <si>
    <t>MORGAN-STANLEY//WM-BLAIR/FOX-PITT
/PIPER-JAFFRAY//MORGAN-STANLEY(GC)</t>
  </si>
  <si>
    <t>MORGAN-STANLEY
WM-BLAIR
FOX-PITT
PIPER-JAFFRAY</t>
  </si>
  <si>
    <t>Morgan Stanley
William Blair &amp; Co
Fox-Pitt Kelton
Piper Jaffray Cos</t>
  </si>
  <si>
    <t>012 Smile.Communications Ltd</t>
  </si>
  <si>
    <t>SMLC</t>
  </si>
  <si>
    <t>CIBC-WORLD/COWEN(JB)</t>
  </si>
  <si>
    <t>CIBC World Markets Inc
Cowen
RBC Capital Markets
Thomas Weisel Partners
Oppenheimer &amp; Co Inc</t>
  </si>
  <si>
    <t>04/27/08
04/27/08</t>
  </si>
  <si>
    <t>CIBC-WORLD(JB)/COWEN(JB)//RBC-CAP-MKTS
/THOMAS-WEISEL/OPPENHEIMER-CO</t>
  </si>
  <si>
    <t>CIBC-WORLD/COWEN</t>
  </si>
  <si>
    <t>CIBC-WORLD
(JB)/COWEN(JB)
RBC-CAP-MKTS
THOMAS-WEISEL
OPPENHEIMER-CO</t>
  </si>
  <si>
    <t>CIBC World Markets Inc
Cowen &amp; Co
RBC Capital Markets
Thomas Weisel Partners
Oppenheimer &amp; Co Inc</t>
  </si>
  <si>
    <t>Giant Interactive Group Inc</t>
  </si>
  <si>
    <t>GA</t>
  </si>
  <si>
    <t>Merrill Lynch
UBS Investment Bank
JP Morgan
CIBC World Markets Inc
Piper Jaffray Cos
Susquehanna Financial Group
Merrill Lynch
UBS Investment Bank</t>
  </si>
  <si>
    <t>04/28/08
04/28/08
04/28/08</t>
  </si>
  <si>
    <t>MERRILL(JB)/UBS-INV-BANK(JB)//JPM
/CIBC-WORLD/PIPER-JAFFRAY
/SUSQUEHANNA-FIN//MERRILL(GC)
/UBS-INV-BANK(GC)</t>
  </si>
  <si>
    <t>MERRILL
(JB)/UBS-INV-BANK(JB)
JPM
CIBC-WORLD
PIPER-JAFFRAY
SUSQUEHANNA-FIN</t>
  </si>
  <si>
    <t>Merrill Lynch &amp; Co Inc
UBS Investment Bank
JP Morgan &amp; Co Inc
CIBC World Markets Inc
Piper Jaffray Cos
Susquehanna Financial Group</t>
  </si>
  <si>
    <t>Deltek Inc</t>
  </si>
  <si>
    <t>PROJ</t>
  </si>
  <si>
    <t>24784L105</t>
  </si>
  <si>
    <t>Credit Suisse
JP Morgan
Lehman Brothers
Merrill Lynch
Wachovia Securities Inc
William Blair &amp; Co
Montgomery &amp; Co</t>
  </si>
  <si>
    <t>04/29/08
04/29/08
04/29/08</t>
  </si>
  <si>
    <t>CREDIT-SUISSE//JPM/LEH/MERRILL
/WACHOVIA-SEC/WM-BLAIR/MONTGOMERY-CO</t>
  </si>
  <si>
    <t>CREDIT-SUISSE
JPM
LEH
MERRILL
WACHOVIA-SEC
WM-BLAIR
MONTGOMERY-CO</t>
  </si>
  <si>
    <t>Credit Suisse
JP Morgan &amp; Co Inc
Lehman Brothers
Merrill Lynch &amp; Co Inc
Wachovia Securities Inc
William Blair &amp; Co
Montgomery &amp; Co</t>
  </si>
  <si>
    <t>Nanosphere Inc</t>
  </si>
  <si>
    <t>NSPH</t>
  </si>
  <si>
    <t>63009F105</t>
  </si>
  <si>
    <t>Credit Suisse
Piper Jaffray Cos
Leerink Swann &amp; Co
Allen &amp; Co Inc</t>
  </si>
  <si>
    <t>04/29/08
04/29/08</t>
  </si>
  <si>
    <t>CREDIT-SUISSE//PIPER-JAFFRAY
/LEERINK-SWANN/ALLEN</t>
  </si>
  <si>
    <t>CREDIT-SUISSE
PIPER-JAFFRAY
LEERINK-SWANN
ALLEN</t>
  </si>
  <si>
    <t>Neutral Tandem Inc</t>
  </si>
  <si>
    <t>TNDM</t>
  </si>
  <si>
    <t>64128B108</t>
  </si>
  <si>
    <t>Morgan Stanley
CIBC World Markets Inc
Raymond James &amp; Associates Inc
Thomas Weisel Partners
William Blair &amp; Co</t>
  </si>
  <si>
    <t>MORGAN-STANLEY//CIBC-WORLD/RAYMOND
/THOMAS-WEISEL/WM-BLAIR</t>
  </si>
  <si>
    <t>MORGAN-STANLEY
CIBC-WORLD
RAYMOND
THOMAS-WEISEL
WM-BLAIR</t>
  </si>
  <si>
    <t>SoundBite Communications Inc</t>
  </si>
  <si>
    <t>SDBT</t>
  </si>
  <si>
    <t>COWEN/THOMAS-WEISEL(JB)</t>
  </si>
  <si>
    <t>Cowen
Thomas Weisel Partners
Needham &amp; Co LLC
Cantor Fitzgerald Inc
AGC Partners</t>
  </si>
  <si>
    <t>COWEN(JB)/THOMAS-WEISEL(JB)//NEEDHAM
/CANTOR/AMERICA-GROWTH</t>
  </si>
  <si>
    <t>COWEN/THOMAS-WEISEL</t>
  </si>
  <si>
    <t>COWEN
(JB)/THOMAS-WEISEL(JB)
NEEDHAM
CANTOR
AMERICA-GROWTH</t>
  </si>
  <si>
    <t>Cowen &amp; Co
Thomas Weisel Partners
Needham &amp; Co LLC
Cantor Fitzgerald Inc
AGC Partners</t>
  </si>
  <si>
    <t>SandRidge Energy Inc</t>
  </si>
  <si>
    <t>SD</t>
  </si>
  <si>
    <t>LEH/GS(JB)
/BA-SEC-LLC(JB)</t>
  </si>
  <si>
    <t>80007P307</t>
  </si>
  <si>
    <t>Lehman Brothers
Goldman Sachs &amp; Co
Banc of America Securities LLC
Bear Stearns &amp; Co Inc
Credit Suisse
Deutsche Bank Securities Corp
JP Morgan
UBS Investment Bank
Howard Weil Financial Corp
Raymond James &amp; Associates Inc
RBC Capital Markets
Simmons &amp; Co International
Tudor Pickering &amp; Co LLC</t>
  </si>
  <si>
    <t>05/03/08
05/03/08</t>
  </si>
  <si>
    <t>LEH(JB)/GS(JB)/BA-SEC-LLC(JB)//BEAR/CS
/DEUTSCHE-BK-SEC/JPM/UBS-INV-BANK
/HOWARD-WEIL-FIN/RAYMOND/RBC-CAP-MKTS
/SIMMONS/TUDOR-PICKERING</t>
  </si>
  <si>
    <t>LEH/GS/BA-SEC-LLC</t>
  </si>
  <si>
    <t>LEH
(JB)/GS(JB)
/BA-SEC-LLC(JB)
BEAR
CS
DEUTSCHE-BK-SEC
JPM
UBS-INV-BANK
HOWARD-WEIL-FIN
RAYMOND
RBC-CAP-MKTS
SIMMONS
TUDOR-PICKERING</t>
  </si>
  <si>
    <t>Lehman Brothers
Goldman Sachs &amp; Co
Banc of America Securities LLC
Bear Stearns &amp; Co Inc
Credit Suisse
Deutsche Bank Securities Corp.
JP Morgan &amp; Co Inc
UBS Investment Bank
Howard Weil Financial Corp
Raymond James &amp; Associates Inc
RBC Capital Markets
Simmons &amp; Co International
Tudor Pickering &amp; Co LLC</t>
  </si>
  <si>
    <t>Agria Corp</t>
  </si>
  <si>
    <t>0115</t>
  </si>
  <si>
    <t>GRO</t>
  </si>
  <si>
    <t>00850H103</t>
  </si>
  <si>
    <t>Credit Suisse
Hongkong &amp; Shanghai Bank (HK)
Piper Jaffray Cos
CIBC World Markets Inc</t>
  </si>
  <si>
    <t>05/04/08
05/04/08
05/04/08</t>
  </si>
  <si>
    <t>CREDIT-SUISSE//HONG-SHANG-BKG
/PIPER-JAFFRAY/CIBC-WORLD</t>
  </si>
  <si>
    <t>CREDIT-SUISSE
HONG-SHANG-BKG
PIPER-JAFFRAY
CIBC-WORLD</t>
  </si>
  <si>
    <t>Credit Suisse
Hongkong &amp; Shanghai Banking Corp Ltd
Piper Jaffray Cos
CIBC World Markets Inc</t>
  </si>
  <si>
    <t>AirMedia Group Inc</t>
  </si>
  <si>
    <t>AMCN</t>
  </si>
  <si>
    <t>009411109</t>
  </si>
  <si>
    <t>Morgan Stanley
Lehman Brothers Asia
CIBC World Markets Inc
Susquehanna Financial Group</t>
  </si>
  <si>
    <t>MORGAN-STANLEY(JB)/LEH-ASIA(JB)
//CIBC-WORLD/SUSQUEHANNA-FIN</t>
  </si>
  <si>
    <t>MORGAN-STANLEY
(JB)/LEH-ASIA(JB)
CIBC-WORLD
SUSQUEHANNA-FIN</t>
  </si>
  <si>
    <t>BioForm Medical Inc</t>
  </si>
  <si>
    <t>BFRM</t>
  </si>
  <si>
    <t>09065G107</t>
  </si>
  <si>
    <t>JP Morgan
Piper Jaffray Cos
CIBC World Markets Inc
Jefferies &amp; Co Inc</t>
  </si>
  <si>
    <t>05/04/08
05/04/08</t>
  </si>
  <si>
    <t>JPM(JB)/PIPER-JAFFRAY(JB)//CIBC-WORLD
/JEFFERIES</t>
  </si>
  <si>
    <t>JPM
(JB)/PIPER-JAFFRAY(JB)
CIBC-WORLD
JEFFERIES</t>
  </si>
  <si>
    <t>JP Morgan &amp; Co Inc
Piper Jaffray Cos
CIBC World Markets Inc
Jefferies &amp; Co Inc</t>
  </si>
  <si>
    <t>Golden Pond Healthcare Inc</t>
  </si>
  <si>
    <t>38116J208</t>
  </si>
  <si>
    <t>Deutsche Bank Securities Corp
Lazard Capital Markets</t>
  </si>
  <si>
    <t>DEUTSCHE-BK-SEC//LAZARD-CAP-MKT</t>
  </si>
  <si>
    <t>DEUTSCHE-BK-SEC
LAZARD-CAP-MKT</t>
  </si>
  <si>
    <t>Deutsche Bank Securities Corp.
Lazard Capital Markets</t>
  </si>
  <si>
    <t>Approach Resources Inc</t>
  </si>
  <si>
    <t>AREX</t>
  </si>
  <si>
    <t>03834A103</t>
  </si>
  <si>
    <t>JP Morgan
Wachovia Securities Inc
Key Banc Capital Markets
Tudor Pickering &amp; Co LLC</t>
  </si>
  <si>
    <t>05/05/08
05/05/08
05/05/08</t>
  </si>
  <si>
    <t>JPM/WACHOVIA-SEC(JOINT)//KEY-BANC-CAP
/TUDOR-PICKERING</t>
  </si>
  <si>
    <t>JPM
/WACHOVIA-SEC(JOINT)
KEY-BANC-CAP
TUDOR-PICKERING</t>
  </si>
  <si>
    <t>JP Morgan &amp; Co Inc
Wachovia Securities Inc
Key Banc Capital Markets
Tudor Pickering &amp; Co LLC</t>
  </si>
  <si>
    <t>Enterprise Acquisition Corp</t>
  </si>
  <si>
    <t>ESTU</t>
  </si>
  <si>
    <t>LADENBURG
/UBS-INV-BANK(JB)</t>
  </si>
  <si>
    <t>29365R207</t>
  </si>
  <si>
    <t>Ladenburg Thalmann &amp; Co
UBS Investment Bank
I-Bankers Securities Inc
Maxim Group LLC</t>
  </si>
  <si>
    <t>05/05/08
05/05/08</t>
  </si>
  <si>
    <t>LADENBURG(JB)/UBS-INV-BANK(JB)
//I-BANKERS-SEC/MAXIM-GROUP</t>
  </si>
  <si>
    <t>LADENBURG/UBS-INV-BANK</t>
  </si>
  <si>
    <t>LADENBURG
(JB)/UBS-INV-BANK(JB)
I-BANKERS-SEC
MAXIM-GROUP</t>
  </si>
  <si>
    <t>ICx Technologies Inc</t>
  </si>
  <si>
    <t>ICXT</t>
  </si>
  <si>
    <t>44934T105</t>
  </si>
  <si>
    <t>Lehman Brothers
Goldman Sachs &amp; Co
JP Morgan
Morgan Keegan Inc
Needham &amp; Co LLC</t>
  </si>
  <si>
    <t>LEH/GS/JPM(JOINT)//MORGAN-KEEGAN
/NEEDHAM</t>
  </si>
  <si>
    <t>LEH
/GS
/JPM(JOINT)
MORGAN-KEEGAN
NEEDHAM</t>
  </si>
  <si>
    <t>Lehman Brothers
Goldman Sachs &amp; Co
JP Morgan &amp; Co Inc
Morgan Keegan Inc
Needham &amp; Co LLC</t>
  </si>
  <si>
    <t>American Public Education Inc</t>
  </si>
  <si>
    <t>APEI</t>
  </si>
  <si>
    <t>02913V103</t>
  </si>
  <si>
    <t>William Blair &amp; Co
Piper Jaffray Cos
Stifel Nicolaus &amp; Co Inc
ThinkEquity Partners
BMO Capital Markets
Signal Hill Capital Group LLC</t>
  </si>
  <si>
    <t>05/06/08
05/06/08</t>
  </si>
  <si>
    <t>WM-BLAIR//PIPER-JAFFRAY/STIFEL/THINK
/BMO-CAPITAL/SIGNAL-HILL</t>
  </si>
  <si>
    <t>WM-BLAIR
PIPER-JAFFRAY
STIFEL
THINK
BMO-CAPITAL
SIGNAL-HILL</t>
  </si>
  <si>
    <t>ARYx Therapeutics Inc</t>
  </si>
  <si>
    <t>ARYX</t>
  </si>
  <si>
    <t>043387109</t>
  </si>
  <si>
    <t>Morgan Stanley
CIBC World Markets Inc
Jefferies &amp; Co Inc
Leerink Swann &amp; Co</t>
  </si>
  <si>
    <t>MORGAN-STANLEY//CIBC-WORLD/JEFFERIES
/LEERINK-SWANN</t>
  </si>
  <si>
    <t>MORGAN-STANLEY
CIBC-WORLD
JEFFERIES
LEERINK-SWANN</t>
  </si>
  <si>
    <t>Capitol Acquisition Corp</t>
  </si>
  <si>
    <t>CLA</t>
  </si>
  <si>
    <t>14055E203</t>
  </si>
  <si>
    <t>Citi
Ladenburg Thalmann &amp; Co</t>
  </si>
  <si>
    <t>CITI//LADENBURG</t>
  </si>
  <si>
    <t>CITI
LADENBURG</t>
  </si>
  <si>
    <t>China Nep Chain Drugstore Ltd</t>
  </si>
  <si>
    <t>NPD</t>
  </si>
  <si>
    <t>16943C109</t>
  </si>
  <si>
    <t>Goldman Sachs &amp; Co
Merrill Lynch
CLSA</t>
  </si>
  <si>
    <t>GS(JB)/MERRILL(JB)//CLSA-HK</t>
  </si>
  <si>
    <t>GS
(JB)/MERRILL(JB)
CLSA-HK</t>
  </si>
  <si>
    <t>Goldman Sachs &amp; Co
Merrill Lynch &amp; Co Inc
CLSA Asia-Pacific Markets Ltd</t>
  </si>
  <si>
    <t>The Ensign Group Inc</t>
  </si>
  <si>
    <t>ENSG</t>
  </si>
  <si>
    <t>29358P101</t>
  </si>
  <si>
    <t>DA Davidson &amp; Co Inc
Stifel Nicolaus &amp; Co Inc</t>
  </si>
  <si>
    <t>05/06/08
05/06/08
05/06/08</t>
  </si>
  <si>
    <t>DAVIDSON//STIFEL</t>
  </si>
  <si>
    <t>DAVIDSON
STIFEL</t>
  </si>
  <si>
    <t>Lumber Liquidators Inc</t>
  </si>
  <si>
    <t>LL</t>
  </si>
  <si>
    <t>55003Q103</t>
  </si>
  <si>
    <t>Goldman Sachs &amp; Co
Merrill Lynch
Lehman Brothers
Banc of America Securities LLC
Piper Jaffray Cos</t>
  </si>
  <si>
    <t xml:space="preserve">
7.725</t>
  </si>
  <si>
    <t xml:space="preserve">
2066667.00</t>
  </si>
  <si>
    <t>GS(JB)/MERRILL(JB)//LEH/BA-SEC-LLC
/PIPER-JAFFRAY</t>
  </si>
  <si>
    <t>GS
(JB)/MERRILL(JB)
LEH
BA-SEC-LLC
PIPER-JAFFRAY</t>
  </si>
  <si>
    <t>Goldman Sachs &amp; Co
Merrill Lynch &amp; Co Inc
Lehman Brothers
Banc of America Securities LLC
Piper Jaffray Cos</t>
  </si>
  <si>
    <t>OSG America LP</t>
  </si>
  <si>
    <t>OSP</t>
  </si>
  <si>
    <t>CITI/UBS-INV-BANK(JB)</t>
  </si>
  <si>
    <t>Citi
UBS Investment Bank
Merrill Lynch
Raymond James &amp; Associates Inc
DnB NOR BANK ASA</t>
  </si>
  <si>
    <t>CITI(JB)/UBS-INV-BANK(JB)//MERRILL
/RAYMOND/DNB-NOR</t>
  </si>
  <si>
    <t>CITI/UBS-INV-BANK</t>
  </si>
  <si>
    <t>CITI
(JB)/UBS-INV-BANK(JB)
MERRILL
RAYMOND
DNB-NOR</t>
  </si>
  <si>
    <t>Citi
UBS Investment Bank
Merrill Lynch &amp; Co Inc
Raymond James &amp; Associates Inc
DnB NOR BANK ASA</t>
  </si>
  <si>
    <t>Quest Energy Partners LP</t>
  </si>
  <si>
    <t>QELP</t>
  </si>
  <si>
    <t>WACHOVIA-SEC
/RBC-CAP-MKTS(JB)</t>
  </si>
  <si>
    <t>74836B209</t>
  </si>
  <si>
    <t>Wachovia Securities Inc
RBC Capital Markets
Friedman Billings Ramsey &amp; Co
Oppenheimer &amp; Co Inc
Stifel Nicolaus &amp; Co Inc
Wells Fargo Securities LLC</t>
  </si>
  <si>
    <t>WACHOVIA-SEC(JB)/RBC-CAP-MKTS(JB)
//FRIEDMAN-B-CO/OPPENHEIMER-CO/STIFEL
/WELLS-FARGO-SEC</t>
  </si>
  <si>
    <t>WACHOVIA-SEC/RBC-CAP-MKTS</t>
  </si>
  <si>
    <t>WACHOVIA-SEC
(JB)/RBC-CAP-MKTS(JB)
FRIEDMAN-B-CO
OPPENHEIMER-CO
STIFEL
WELLS-FARGO-SEC</t>
  </si>
  <si>
    <t>Wachovia Securities Inc
RBC Capital Markets
Friedman Billings Ramsey &amp; Co Inc
Oppenheimer &amp; Co Inc
Stifel Nicolaus &amp; Co Inc
Wells Fargo Securities LLC</t>
  </si>
  <si>
    <t>2020 Chinacap Acquirco Inc</t>
  </si>
  <si>
    <t>TTY</t>
  </si>
  <si>
    <t>90212G109</t>
  </si>
  <si>
    <t>Morgan Joseph &amp; Co Inc
GunnAllen Financial Inc
Legend Merchant Group Inc
Maxim Group LLC</t>
  </si>
  <si>
    <t>MORGAN-JOSEPH//GUNNALLEN-FINL
/LEGEND-MERCHANT/MAXIM-GROUP</t>
  </si>
  <si>
    <t>MORGAN-JOSEPH
GUNNALLEN-FINL
LEGEND-MERCHANT
MAXIM-GROUP</t>
  </si>
  <si>
    <t>Morgan Joseph &amp; Co Inc
GunnAllen Financial, Inc.
Legend Merchant Group Inc
Maxim Group LLC</t>
  </si>
  <si>
    <t>Heckmann Corp</t>
  </si>
  <si>
    <t>HEK</t>
  </si>
  <si>
    <t>CREDIT-SUISSE
/ROTH-CAPITAL(JB)</t>
  </si>
  <si>
    <t>Credit Suisse
Roth Capital Partners Inc
Morgan Joseph &amp; Co Inc</t>
  </si>
  <si>
    <t>CREDIT-SUISSE(JB)/ROTH-CAPITAL(JB)
//MORGAN-JOSEPH</t>
  </si>
  <si>
    <t>CREDIT-SUISSE/ROTH-CAPITAL</t>
  </si>
  <si>
    <t>CREDIT-SUISSE
(JB)/ROTH-CAPITAL(JB)
MORGAN-JOSEPH</t>
  </si>
  <si>
    <t>Navios Maritime Partners LP</t>
  </si>
  <si>
    <t>NMM</t>
  </si>
  <si>
    <t>Y62267102</t>
  </si>
  <si>
    <t>Merrill Lynch
JP Morgan
Cantor Fitzgerald Inc
Sonnenblick-Goldman Corp
DVB BANK AG</t>
  </si>
  <si>
    <t>05/10/08
05/10/08
05/10/08</t>
  </si>
  <si>
    <t>MERRILL(JB)/JPM(JB)//CANTOR/SONNENBLICK
/DVB-BANK-AG</t>
  </si>
  <si>
    <t>MERRILL
(JB)/JPM(JB)
CANTOR
SONNENBLICK
DVB-BANK-AG</t>
  </si>
  <si>
    <t>Merrill Lynch &amp; Co Inc
JP Morgan &amp; Co Inc
Cantor Fitzgerald Inc
Sonnenblick-Goldman Corp
DVB BANK AG</t>
  </si>
  <si>
    <t>Danvers Bancorp Inc,MA</t>
  </si>
  <si>
    <t>DNBK</t>
  </si>
  <si>
    <t>Och-Ziff Cap Mgmt Grp LLC</t>
  </si>
  <si>
    <t>OZM</t>
  </si>
  <si>
    <t>GS/LEH(JB)/MERRILL(JB)
/MORGAN-STANLEY(JB)
/CITI(JB)
/DEUTSCHE-BK-SEC(JB)
/JPM(JB)</t>
  </si>
  <si>
    <t>67551U105</t>
  </si>
  <si>
    <t>NYSE Arca</t>
  </si>
  <si>
    <t>Goldman Sachs &amp; Co
Lehman Brothers
Merrill Lynch
Morgan Stanley
Citi
Deutsche Bank Securities Corp
JP Morgan
Credit Suisse
Bear Stearns &amp; Co Inc
Macquarie Bank
Nomura Securities
Keefe Bruyette &amp; Woods Inc
Bank of China International
Samuel A. Ramirez &amp; Co.
Utendahl Capital Partners</t>
  </si>
  <si>
    <t>05/11/08
05/11/08</t>
  </si>
  <si>
    <t>GS(JB)/LEH(JB)/MERRILL(JB)
/MORGAN-STANLEY(JB)/CITI(JB)
/DEUTSCHE-BK-SEC(JB)/JPM(JB)
//CREDIT-SUISSE/BEAR/MACQUARIE/NOMURA
/KEEFE/BK-CHINA-INTL/RAMIREZ
/UTENDAHL-CAP</t>
  </si>
  <si>
    <t>GS/LEH/MERRILL/MORGAN-STANLEY/CITI
/DEUTSCHE-BK-SEC/JPM</t>
  </si>
  <si>
    <t>GS
(JB)/LEH(JB)
/MERRILL(JB)
/MORGAN-STANLEY(JB)
/CITI(JB)
/DEUTSCHE-BK-SEC(JB)
/JPM(JB)
CREDIT-SUISSE
BEAR
MACQUARIE
NOMURA
KEEFE
BK-CHINA-INTL
RAMIREZ
UTENDAHL-CAP</t>
  </si>
  <si>
    <t>Goldman Sachs &amp; Co
Lehman Brothers
Merrill Lynch &amp; Co Inc
Morgan Stanley
Citi
Deutsche Bank Securities Corp.
JP Morgan &amp; Co Inc
Credit Suisse
Bear Stearns &amp; Co Inc
Macquarie Bank Ltd
Nomura Securities Co Ltd
Keefe Bruyette &amp; Woods Inc
Bank of China International Capital
Samuel A. Ramirez &amp; Co.
Utendahl Capital Partners</t>
  </si>
  <si>
    <t>EnergySolutions Inc</t>
  </si>
  <si>
    <t>ES</t>
  </si>
  <si>
    <t>CREDIT-SUISSE/JPM(JB)
/MORGAN-STANLEY(JB)</t>
  </si>
  <si>
    <t>Credit Suisse
JP Morgan
Morgan Stanley
UBS Investment Bank
Banc of America Securities LLC
Citi
DA Davidson &amp; Co Inc
Friedman Billings Ramsey &amp; Co
Lazard Capital Markets
Wedbush Securities</t>
  </si>
  <si>
    <t>05/12/08
05/12/08
05/12/08</t>
  </si>
  <si>
    <t>CREDIT-SUISSE(JB)/JPM(JB)
/MORGAN-STANLEY(JB)//UBS-INV-BANK
/BA-SEC-LLC/CITI/DAVIDSON/FRIEDMAN-B-CO
/LAZARD-CAP-MKT/WEDBUSH-M</t>
  </si>
  <si>
    <t>CREDIT-SUISSE/JPM/MORGAN-STANLEY</t>
  </si>
  <si>
    <t>CREDIT-SUISSE
(JB)/JPM(JB)
/MORGAN-STANLEY(JB)
UBS-INV-BANK
BA-SEC-LLC
CITI
DAVIDSON
FRIEDMAN-B-CO
LAZARD-CAP-MKT
WEDBUSH-M</t>
  </si>
  <si>
    <t>Credit Suisse
JP Morgan &amp; Co Inc
Morgan Stanley
UBS Investment Bank
Banc of America Securities LLC
Citi
DA Davidson &amp; Co Inc
Friedman Billings Ramsey &amp; Co Inc
Lazard Capital Markets
Wedbush Securities</t>
  </si>
  <si>
    <t>EnteroMedics Inc</t>
  </si>
  <si>
    <t>ETRM</t>
  </si>
  <si>
    <t>JPM/MORGAN-STANLEY(JB)</t>
  </si>
  <si>
    <t>29365M109</t>
  </si>
  <si>
    <t>JP Morgan
Morgan Stanley
Cowen
Leerink Swann &amp; Co</t>
  </si>
  <si>
    <t>05/12/08
05/12/08</t>
  </si>
  <si>
    <t>JPM(JB)/MORGAN-STANLEY(JB)//COWEN
/LEERINK-SWANN</t>
  </si>
  <si>
    <t>JPM/MORGAN-STANLEY</t>
  </si>
  <si>
    <t>JPM
(JB)/MORGAN-STANLEY(JB)
COWEN
LEERINK-SWANN</t>
  </si>
  <si>
    <t>JP Morgan &amp; Co Inc
Morgan Stanley
Cowen &amp; Co
Leerink Swann &amp; Co</t>
  </si>
  <si>
    <t>MSCI Inc</t>
  </si>
  <si>
    <t>MXB</t>
  </si>
  <si>
    <t>55354G100</t>
  </si>
  <si>
    <t>Morgan Stanley
Banc of America Securities LLC
Credit Suisse
Merrill Lynch
UBS Investment Bank
E*Trade Securities Inc
Fox-Pitt Kelton SA
Keefe Bruyette &amp; Woods Inc
CastleOak Securities LP
Samuel A. Ramirez &amp; Co.
Muriel Siebert &amp; Co
Williams Capital Group LP</t>
  </si>
  <si>
    <t>MORGAN-STANLEY//BA-SEC-LLC
/CREDIT-SUISSE/MERRILL/UBS-INV-BANK
/E*TRADE-SEC/FOX-PITT-NV/KEEFE
/CASTLEOAK-SEC/RAMIREZ/MURIEL
/WILLIAMS-CAP</t>
  </si>
  <si>
    <t>MORGAN-STANLEY
BA-SEC-LLC
CREDIT-SUISSE
MERRILL
UBS-INV-BANK
E*TRADE-SEC
FOX-PITT-NV
KEEFE
CASTLEOAK-SEC
RAMIREZ
MURIEL
WILLIAMS-CAP</t>
  </si>
  <si>
    <t>Morgan Stanley
Banc of America Securities LLC
Credit Suisse
Merrill Lynch &amp; Co Inc
UBS Investment Bank
E*Trade Securities Inc
Fox-Pitt Kelton SA
Keefe Bruyette &amp; Woods Inc
CastleOak Securities LP
Samuel A. Ramirez &amp; Co.
Muriel Siebert &amp; Co
Williams Capital Group LP</t>
  </si>
  <si>
    <t>Prospect Acquisition Corp</t>
  </si>
  <si>
    <t>PAX</t>
  </si>
  <si>
    <t>74347T202</t>
  </si>
  <si>
    <t>Virtual Radiologic Corp</t>
  </si>
  <si>
    <t>VRAD</t>
  </si>
  <si>
    <t>92826B104</t>
  </si>
  <si>
    <t>Goldman Sachs &amp; Co
Merrill Lynch
William Blair &amp; Co</t>
  </si>
  <si>
    <t>GS//MERRILL/WM-BLAIR</t>
  </si>
  <si>
    <t>GS
MERRILL
WM-BLAIR</t>
  </si>
  <si>
    <t>Goldman Sachs &amp; Co
Merrill Lynch &amp; Co Inc
William Blair &amp; Co</t>
  </si>
  <si>
    <t>Chimera Investment Corp</t>
  </si>
  <si>
    <t>CIM</t>
  </si>
  <si>
    <t>MERRILL
/CREDIT-SUISSE(JB)
/DEUTSCHE-BK-SEC(JB)</t>
  </si>
  <si>
    <t>16934Q109</t>
  </si>
  <si>
    <t>Merrill Lynch
Credit Suisse
Deutsche Bank Securities Corp
JP Morgan
Keefe Bruyette &amp; Woods Inc
Bear Stearns &amp; Co Inc</t>
  </si>
  <si>
    <t>05/13/08
05/13/08
05/13/08</t>
  </si>
  <si>
    <t>MERRILL(JB)/CREDIT-SUISSE(JB)
/DEUTSCHE-BK-SEC(JB)//JPM/KEEFE/BEAR</t>
  </si>
  <si>
    <t>MERRILL/CREDIT-SUISSE/DEUTSCHE-BK-SEC</t>
  </si>
  <si>
    <t>MERRILL
(JB)/CREDIT-SUISSE(JB)
/DEUTSCHE-BK-SEC(JB)
JPM
KEEFE
BEAR</t>
  </si>
  <si>
    <t>Merrill Lynch &amp; Co Inc
Credit Suisse
Deutsche Bank Securities Corp.
JP Morgan &amp; Co Inc
Keefe Bruyette &amp; Woods Inc
Bear Stearns &amp; Co Inc</t>
  </si>
  <si>
    <t>El Paso Pipeline Partners LP</t>
  </si>
  <si>
    <t>EPB</t>
  </si>
  <si>
    <t>LEH/CITI(JB)/GS(JB)
/UBS-INV-BANK(JB)</t>
  </si>
  <si>
    <t>Lehman Brothers
Citi
Goldman Sachs &amp; Co
UBS Investment Bank
Merrill Lynch
Morgan Stanley
Wachovia Securities Inc
Credit Suisse
Raymond James &amp; Associates Inc
RBC Capital Markets
Tudor Pickering &amp; Co LLC</t>
  </si>
  <si>
    <t>LEH(JB)/CITI(JB)/GS(JB)
/UBS-INV-BANK(JB)//MERRILL
/MORGAN-STANLEY/WACHOVIA-SEC
/CREDIT-SUISSE/RAYMOND/RBC-CAP-MKTS
/TUDOR-PICKERING</t>
  </si>
  <si>
    <t>LEH/CITI/GS/UBS-INV-BANK</t>
  </si>
  <si>
    <t>LEH
(JB)/CITI(JB)
/GS(JB)
/UBS-INV-BANK(JB)
MERRILL
MORGAN-STANLEY
WACHOVIA-SEC
CREDIT-SUISSE
RAYMOND
RBC-CAP-MKTS
TUDOR-PICKERING</t>
  </si>
  <si>
    <t>Lehman Brothers
Citi
Goldman Sachs &amp; Co
UBS Investment Bank
Merrill Lynch &amp; Co Inc
Morgan Stanley
Wachovia Securities Inc
Credit Suisse
Raymond James &amp; Associates Inc
RBC Capital Markets
Tudor Pickering &amp; Co LLC</t>
  </si>
  <si>
    <t>Nuveen Mun High Inc Opp Fd 2</t>
  </si>
  <si>
    <t>NMD</t>
  </si>
  <si>
    <t>MERRILL/NUVEEN-INV(JB)
/WACHOVIA-SEC(JB)</t>
  </si>
  <si>
    <t>Merrill Lynch
Nuveen Investments LLC
Wachovia Securities Inc
Robert W Baird &amp; Co Inc
BB&amp;T Capital Markets
H&amp;R Block Financial Advisors
Crowell Weedon &amp; Co
Ferris Baker Watts
JJB Hilliard WL Lyons Inc
Janney Montgomery Scott LLC
Oppenheimer &amp; Co Inc
RBC Capital Markets
Raymond James &amp; Associates Inc
Stifel Nicolaus &amp; Co Inc
SunTrust Robinson Humphrey
Wedbush Securities
Wells Fargo Bank NA
DA Davidson &amp; Co Inc
Dominick &amp; Dominick Inc
Andrew Garrett Group
J. B. Hanauer
Johnston Lemon &amp; Co Inc
National Securities Corp (US)
M. L. Stern
Summit Brokerage Services Inc
Torrey Pines Securities
JP Turner &amp; Co
Wunderlich Securities Inc
BC Ziegler &amp; Co
Bishop, Rosen &amp; Co
Brean Murray Carret &amp; Co LLC
Deutsche Bank Securities Corp
Jesup &amp; Lamont Securities
LaSalle Street Securities Inc
Maxim Group LLC
SMH Capital Inc
Southwest Securities Inc</t>
  </si>
  <si>
    <t>MERRILL(JB)/NUVEEN-INV(JB)
/WACHOVIA-SEC(JB)//BAIRD/BB-T-CAP
/HR-BLOCK-FIN/CROWELL/FERRIS-BAKER
/HILLIARD/JANNEY-LLC/OPPENHEIMER-CO
/RBC-CAP-MKTS/RAYMOND/STIFEL
/SUNTRUST-RH/WEDBUSH-M/WELLS-FARGO
//DAVIDSON/DOMINICK/ANDREW-GARRETT
/J-B-HANAUER/JOHNSTON-LEMON/NATL-SEC
/M-L-STERN/SUMMIT-BROKER/TORREY-PINES
/J-P-TURNER/WUNDERLICH/ZIEGLER
/BISHOP-ROSEN/BREANMUR-CARRET
/DEUTSCHE-BK-SEC/JESUP/LASALLE-SEC
/MAXIM-GROUP/SMH-CAPITAL/SWS-SEC</t>
  </si>
  <si>
    <t>MERRILL/NUVEEN-INV/WACHOVIA-SEC</t>
  </si>
  <si>
    <t>MERRILL
(JB)/NUVEEN-INV(JB)
/WACHOVIA-SEC(JB)
BAIRD
BB-T-CAP
HR-BLOCK-FIN
CROWELL
FERRIS-BAKER
HILLIARD
JANNEY-LLC
OPPENHEIMER-CO
RBC-CAP-MKTS
RAYMOND
STIFEL
SUNTRUST-RH
WEDBUSH-M
WELLS-FARGO</t>
  </si>
  <si>
    <t>Merrill Lynch &amp; Co Inc
Nuveen Investments LLC
Wachovia Securities Inc
Robert W Baird &amp; Co Inc
BB&amp;T Capital Markets
H&amp;R Block Financial Advisors
Crowell Weedon &amp; Co
Ferris Baker Watts Inc
JJB Hilliard WL Lyons Inc
Janney Montgomery Scott LLC
Oppenheimer &amp; Co Inc
RBC Capital Markets
Raymond James &amp; Associates Inc
Stifel Nicolaus &amp; Co Inc
SunTrust Robinson Humphrey
Wedbush Securities
Wells Fargo Bank NA</t>
  </si>
  <si>
    <t>Rubicon Technology Inc</t>
  </si>
  <si>
    <t>RBCN</t>
  </si>
  <si>
    <t>78112T107</t>
  </si>
  <si>
    <t>UBS Investment Bank
Canaccord Adams
CIBC World Markets Inc
Janney Montgomery Scott LLC</t>
  </si>
  <si>
    <t>UBS-INV-BANK//CAN-ADAMS/CIBC-WORLD
/JANNEY-LLC</t>
  </si>
  <si>
    <t>UBS-INV-BANK
CAN-ADAMS
CIBC-WORLD
JANNEY-LLC</t>
  </si>
  <si>
    <t>3PAR Inc</t>
  </si>
  <si>
    <t>PAR</t>
  </si>
  <si>
    <t>GS/CREDIT-SUISSE(JB)</t>
  </si>
  <si>
    <t>88580F109</t>
  </si>
  <si>
    <t>Goldman Sachs &amp; Co
Credit Suisse
UBS Investment Bank
Thomas Weisel Partners
RBC Capital Markets</t>
  </si>
  <si>
    <t>05/13/08
05/13/08</t>
  </si>
  <si>
    <t>GS(JB)/CREDIT-SUISSE(JB)//UBS-INV-BANK
/THOMAS-WEISEL/RBC-CAP-MKTS</t>
  </si>
  <si>
    <t>GS
(JB)/CREDIT-SUISSE(JB)
UBS-INV-BANK
THOMAS-WEISEL
RBC-CAP-MKTS</t>
  </si>
  <si>
    <t>China Hldngs Acqstn Corp</t>
  </si>
  <si>
    <t>HOL</t>
  </si>
  <si>
    <t>16942N205</t>
  </si>
  <si>
    <t>Citi
Lazard Capital Markets
Chardan Capital Markets LLC</t>
  </si>
  <si>
    <t>CITI//LAZARD-CAP-MKT/CHARDAN-CAP-MKT</t>
  </si>
  <si>
    <t>CITI
LAZARD-CAP-MKT
CHARDAN-CAP-MKT</t>
  </si>
  <si>
    <t>Internet Brands Inc</t>
  </si>
  <si>
    <t>INET</t>
  </si>
  <si>
    <t>Thomas Weisel Partners
Jefferies &amp; Co Inc</t>
  </si>
  <si>
    <t>05/14/08
05/14/08
05/14/08</t>
  </si>
  <si>
    <t>THOMAS-WEISEL//JEFFERIES</t>
  </si>
  <si>
    <t>THOMAS-WEISEL
JEFFERIES</t>
  </si>
  <si>
    <t>Ideation Acquisition Corp</t>
  </si>
  <si>
    <t>IDI</t>
  </si>
  <si>
    <t>Lazard Capital Markets
Earlybirdcapital Inc</t>
  </si>
  <si>
    <t>LAZARD-CAP-MKT//EARLYBIRD-CAP</t>
  </si>
  <si>
    <t>LAZARD-CAP-MKT
EARLYBIRD-CAP</t>
  </si>
  <si>
    <t>SuccessFactors Inc</t>
  </si>
  <si>
    <t>SFSF</t>
  </si>
  <si>
    <t>Morgan Stanley
Goldman Sachs &amp; Co
JP Morgan
JMP Securities LLC
Pacific Crest Securities Inc</t>
  </si>
  <si>
    <t>05/17/08
05/17/08
05/17/08</t>
  </si>
  <si>
    <t>MORGAN-STANLEY(JB)/GS(JB)//JPM/JMP-SEC
/PACIFIC-CREST</t>
  </si>
  <si>
    <t>MORGAN-STANLEY
(JB)/GS(JB)
JPM
JMP-SEC
PACIFIC-CREST</t>
  </si>
  <si>
    <t>Morgan Stanley
Goldman Sachs &amp; Co
JP Morgan &amp; Co Inc
JMP Securities LLC
Pacific Crest Securities Inc</t>
  </si>
  <si>
    <t>Global Consumer Acquisition</t>
  </si>
  <si>
    <t>GHC.U</t>
  </si>
  <si>
    <t>Deutsche Bank Securities Corp
JMP Securities LLC
Thomas Weisel Partners
Maxim Group LLC</t>
  </si>
  <si>
    <t>DEUTSCHE-BK-SEC//JMP-SEC/THOMAS-WEISEL
/MAXIM-GROUP</t>
  </si>
  <si>
    <t>DEUTSCHE-BK-SEC
JMP-SEC
THOMAS-WEISEL
MAXIM-GROUP</t>
  </si>
  <si>
    <t>Deutsche Bank Securities Corp.
JMP Securities LLC
Thomas Weisel Partners
Maxim Group LLC</t>
  </si>
  <si>
    <t>PIMCO Income Opportunity Fund</t>
  </si>
  <si>
    <t>PKO</t>
  </si>
  <si>
    <t>MORGAN-STANLEY
/MERRILL(JB)
/WACHOVIA-SEC(JB)</t>
  </si>
  <si>
    <t>72202B100</t>
  </si>
  <si>
    <t>Morgan Stanley
Merrill Lynch
Wachovia Securities Inc
Wells Fargo Securities LLC
Oppenheimer &amp; Co Inc
RBC Capital Markets
Robert W Baird &amp; Co Inc
Wedbush Securities
Stifel Nicolaus &amp; Co Inc
H&amp;R Block Financial Advisors
Janney Montgomery Scott LLC
Crowell Weedon &amp; Co
Scotia Capital (USA) Inc.
FTN MIDWEST RESEARCH SECURITIE
Stephens Inc
Aegis Capital
Comerica Securities
Morgan Keegan Inc
Southwest Securities Inc
GunnAllen Financial Inc
Ladenburg Thalmann &amp; Co
SunTrust Robinson Humphrey
Wayne Hummer &amp; Co
Newbridge Securities
E*Trade Securities Inc
M. L. Stern
SMH Capital Inc
Sterne Agee &amp; Leach Inc
Ferris Baker Watts</t>
  </si>
  <si>
    <t>MORGAN-STANLEY(JB)/MERRILL(JB)
/WACHOVIA-SEC(JB)//WELLS-FARGO-SEC
/OPPENHEIMER-CO/RBC-CAP-MKTS/BAIRD
/WEDBUSH-M/STIFEL/HR-BLOCK-FIN
/JANNEY-LLC/CROWELL/SCOTIA-CAP
//FTN-MIDWEST/STEPHENS/AEGIS-CAP
/COMERICA-SEC/MORGAN-KEEGAN/SWS-SEC
/GUNNALLEN-FINL/LADENBURG/SUNTRUST-RH
/HUMMER/NEWBRIDGE/E*TRADE-SEC/M-L-STERN
/SMH-CAPITAL/STERNE-AGEE/FERRIS-BAKER</t>
  </si>
  <si>
    <t>MORGAN-STANLEY/MERRILL/WACHOVIA-SEC</t>
  </si>
  <si>
    <t>MORGAN-STANLEY
(JB)/MERRILL(JB)
/WACHOVIA-SEC(JB)
WELLS-FARGO-SEC
OPPENHEIMER-CO
RBC-CAP-MKTS
BAIRD
WEDBUSH-M
STIFEL
HR-BLOCK-FIN
JANNEY-LLC
CROWELL
SCOTIA-CAP</t>
  </si>
  <si>
    <t>Morgan Stanley
Merrill Lynch &amp; Co Inc
Wachovia Securities Inc
Wells Fargo Securities LLC
Oppenheimer &amp; Co Inc
RBC Capital Markets
Robert W Baird &amp; Co Inc
Wedbush Securities
Stifel Nicolaus &amp; Co Inc
H&amp;R Block Financial Advisors
Janney Montgomery Scott LLC
Crowell Weedon &amp; Co
Scotia Capital (USA) Inc.</t>
  </si>
  <si>
    <t>Camden Learning Corp</t>
  </si>
  <si>
    <t>CAEL</t>
  </si>
  <si>
    <t>Morgan Joseph &amp; Co Inc
Ferris Baker Watts
Legend Merchant Group Inc</t>
  </si>
  <si>
    <t>MORGAN-JOSEPH//FERRIS-BAKER
/LEGEND-MERCHANT</t>
  </si>
  <si>
    <t>MORGAN-JOSEPH
FERRIS-BAKER
LEGEND-MERCHANT</t>
  </si>
  <si>
    <t>Morgan Joseph &amp; Co Inc
Ferris Baker Watts Inc
Legend Merchant Group Inc</t>
  </si>
  <si>
    <t>North Shore Acquisition Corp</t>
  </si>
  <si>
    <t>NSAQ</t>
  </si>
  <si>
    <t>Entropic Communications Inc</t>
  </si>
  <si>
    <t>ENTR</t>
  </si>
  <si>
    <t>29384R105</t>
  </si>
  <si>
    <t>Credit Suisse
Lehman Brothers
Thomas Weisel Partners
JMP Securities LLC
ThinkEquity Partners
Montgomery &amp; Co
Morgan Keegan Inc
Signal Hill Capital Group LLC</t>
  </si>
  <si>
    <t>06/03/08
06/03/08</t>
  </si>
  <si>
    <t>CREDIT-SUISSE(JB)/LEH(JB)
//THOMAS-WEISEL/JMP-SEC/THINK
/MONTGOMERY-CO/MORGAN-KEEGAN
/SIGNAL-HILL</t>
  </si>
  <si>
    <t>CREDIT-SUISSE
(JB)/LEH(JB)
THOMAS-WEISEL
JMP-SEC
THINK
MONTGOMERY-CO
MORGAN-KEEGAN
SIGNAL-HILL</t>
  </si>
  <si>
    <t>Global Brands Acquisition Corp</t>
  </si>
  <si>
    <t>GQN</t>
  </si>
  <si>
    <t>Liberty Acq Hldgs Corp</t>
  </si>
  <si>
    <t>LIA</t>
  </si>
  <si>
    <t>53015Y107</t>
  </si>
  <si>
    <t>Citi
Lehman Brothers</t>
  </si>
  <si>
    <t>CITI//LEH</t>
  </si>
  <si>
    <t>CITI
LEH</t>
  </si>
  <si>
    <t>Titan Machinery Inc</t>
  </si>
  <si>
    <t>TITN</t>
  </si>
  <si>
    <t>CRAIG-HALLUM/BAIRD(JB)</t>
  </si>
  <si>
    <t>88830R101</t>
  </si>
  <si>
    <t>Craig-Hallum, Inc.
Robert W Baird &amp; Co Inc</t>
  </si>
  <si>
    <t>CRAIG-HALLUM(JB)/BAIRD(JB)</t>
  </si>
  <si>
    <t>CRAIG-HALLUM/BAIRD</t>
  </si>
  <si>
    <t>CRAIG-HALLUM
(JB)/BAIRD(JB)</t>
  </si>
  <si>
    <t>Tremisis Energy Acq Corp II</t>
  </si>
  <si>
    <t>TGY</t>
  </si>
  <si>
    <t>89472N200</t>
  </si>
  <si>
    <t>Merrill Lynch
Earlybirdcapital Inc</t>
  </si>
  <si>
    <t>MERRILL//EARLYBIRD-CAP</t>
  </si>
  <si>
    <t>MERRILL
EARLYBIRD-CAP</t>
  </si>
  <si>
    <t>Merrill Lynch &amp; Co Inc
Earlybirdcapital Inc</t>
  </si>
  <si>
    <t>Triple-S Management Corp</t>
  </si>
  <si>
    <t>GTS</t>
  </si>
  <si>
    <t>Class B Ord Shs</t>
  </si>
  <si>
    <t>Credit Suisse
UBS Investment Bank
CIBC World Markets Inc
Citi
Popular Securities Inc
Santander Securities PR</t>
  </si>
  <si>
    <t>12/05/08
12/05/08
12/05/08</t>
  </si>
  <si>
    <t>365
365
365</t>
  </si>
  <si>
    <t>CREDIT-SUISSE(JB)/UBS-INV-BANK(JB)
//CIBC-WORLD/CITI/POPULAR-SEC
/SANTANDER-PR</t>
  </si>
  <si>
    <t>CREDIT-SUISSE
(JB)/UBS-INV-BANK(JB)
CIBC-WORLD
CITI
POPULAR-SEC
SANTANDER-PR</t>
  </si>
  <si>
    <t>Credit Suisse
UBS Investment Bank
CIBC World Markets Inc
Citi
Popular Securities Inc
Santander Securities Puerto Rico</t>
  </si>
  <si>
    <t>VisionChina Media Inc</t>
  </si>
  <si>
    <t>VISN</t>
  </si>
  <si>
    <t>92833U103</t>
  </si>
  <si>
    <t>Credit Suisse
Merrill Lynch
CIBC World Markets Inc
Susquehanna Financial Group</t>
  </si>
  <si>
    <t>CREDIT-SUISSE(JB)/MERRILL(JB)
//CIBC-WORLD/SUSQUEHANNA-FIN</t>
  </si>
  <si>
    <t>CREDIT-SUISSE
(JB)/MERRILL(JB)
CIBC-WORLD
SUSQUEHANNA-FIN</t>
  </si>
  <si>
    <t>Credit Suisse
Merrill Lynch &amp; Co Inc
CIBC World Markets Inc
Susquehanna Financial Group</t>
  </si>
  <si>
    <t>WSP Holdings Ltd</t>
  </si>
  <si>
    <t>WH</t>
  </si>
  <si>
    <t>92934F104</t>
  </si>
  <si>
    <t>JP Morgan
CIBC World Markets Inc
Aseambankers Malaysia Bhd{OLD}
First Shanghai Sec Ltd
JP Morgan</t>
  </si>
  <si>
    <t>JPM//CIBC-WORLD/ASEAMBANKERS-MA
/FIRST-SHANG-SEC//JPM(GC)</t>
  </si>
  <si>
    <t>JPM
CIBC-WORLD
ASEAMBANKERS-MA
FIRST-SHANG-SEC</t>
  </si>
  <si>
    <t>JP Morgan &amp; Co Inc
CIBC World Markets Inc
Aseambankers Malaysia Bhd{OLD} (DNU &gt; 15-JAN-2009)
First Shanghai Sec Ltd</t>
  </si>
  <si>
    <t>Cardtronics Inc</t>
  </si>
  <si>
    <t>CATM</t>
  </si>
  <si>
    <t>DEUTSCHE-BK-SEC
/WM-BLAIR(JB)
/BA-SEC-LLC(JB)</t>
  </si>
  <si>
    <t>14161H108</t>
  </si>
  <si>
    <t>Deutsche Bank Securities Corp
William Blair &amp; Co
Banc of America Securities LLC
JP Morgan
Piper Jaffray Inc
RBC Capital Markets
Barrington Research Inc.
First Analysis Securities
JMP Securities LLC</t>
  </si>
  <si>
    <t>06/07/08
06/07/08
06/07/08</t>
  </si>
  <si>
    <t>DEUTSCHE-BK-SEC(JB)/WM-BLAIR(JB)
/BA-SEC-LLC(JB)//JPM/PIPER-J
/RBC-CAP-MKTS/BARRINGTON-RES/F-ANALYSIS
/JMP-SEC</t>
  </si>
  <si>
    <t>DEUTSCHE-BK-SEC/WM-BLAIR/BA-SEC-LLC</t>
  </si>
  <si>
    <t>DEUTSCHE-BK-SEC
(JB)/WM-BLAIR(JB)
/BA-SEC-LLC(JB)
JPM
PIPER-J
RBC-CAP-MKTS
BARRINGTON-RES
F-ANALYSIS
JMP-SEC</t>
  </si>
  <si>
    <t>Deutsche Bank Securities Corp.
William Blair &amp; Co
Banc of America Securities LLC
JP Morgan &amp; Co Inc
Piper Jaffray Inc
RBC Capital Markets
Barrington Research Inc.
First Analysis Securities Corporation
JMP Securities LLC</t>
  </si>
  <si>
    <t>ChinaEdu Corp</t>
  </si>
  <si>
    <t>CEDU</t>
  </si>
  <si>
    <t>16945L107</t>
  </si>
  <si>
    <t>Bear Stearns &amp; Co Inc
Piper Jaffray Cos
CIBC World Markets Inc</t>
  </si>
  <si>
    <t>BEAR//PIPER-JAFFRAY/CIBC-WORLD</t>
  </si>
  <si>
    <t>BEAR
PIPER-JAFFRAY
CIBC-WORLD</t>
  </si>
  <si>
    <t>United Refining Energy Corp</t>
  </si>
  <si>
    <t>URX.U</t>
  </si>
  <si>
    <t>DEUTSCHE-BK-SEC
/MAXIM-GROUP(JB)</t>
  </si>
  <si>
    <t>Deutsche Bank Securities Corp
Maxim Group LLC</t>
  </si>
  <si>
    <t>DEUTSCHE-BK-SEC(JB)/MAXIM-GROUP(JB)</t>
  </si>
  <si>
    <t>DEUTSCHE-BK-SEC/MAXIM-GROUP</t>
  </si>
  <si>
    <t>DEUTSCHE-BK-SEC
(JB)/MAXIM-GROUP(JB)</t>
  </si>
  <si>
    <t>Deutsche Bank Securities Corp.
Maxim Group LLC</t>
  </si>
  <si>
    <t>VanceInfo Technologies Inc</t>
  </si>
  <si>
    <t>VIT</t>
  </si>
  <si>
    <t>Citi
Merrill Lynch
Jefferies &amp; Co Inc
Susquehanna Financial Group</t>
  </si>
  <si>
    <t>06/08/08
06/08/08
06/08/08</t>
  </si>
  <si>
    <t>CITI(JB)/MERRILL(JB)//JEFFERIES
/SUSQUEHANNA-FIN</t>
  </si>
  <si>
    <t>CITI/MERRILL</t>
  </si>
  <si>
    <t>CITI
(JB)/MERRILL(JB)
JEFFERIES
SUSQUEHANNA-FIN</t>
  </si>
  <si>
    <t>Citi
Merrill Lynch &amp; Co Inc
Jefferies &amp; Co Inc
Susquehanna Financial Group</t>
  </si>
  <si>
    <t>Xinyuan Real Estate Co Ltd</t>
  </si>
  <si>
    <t>XIN</t>
  </si>
  <si>
    <t>98417P105</t>
  </si>
  <si>
    <t>Merrill Lynch
Allen &amp; Co Inc
Deutsche Bank Securities Corp</t>
  </si>
  <si>
    <t>MERRILL//ALLEN/DEUTSCHE-BK-SEC</t>
  </si>
  <si>
    <t>MERRILL
ALLEN
DEUTSCHE-BK-SEC</t>
  </si>
  <si>
    <t>Merrill Lynch &amp; Co Inc
Allen &amp; Co Inc
Deutsche Bank Securities Corp.</t>
  </si>
  <si>
    <t>K12 Inc</t>
  </si>
  <si>
    <t>LRN</t>
  </si>
  <si>
    <t>48273U102</t>
  </si>
  <si>
    <t>Morgan Stanley
Credit Suisse
Merrill Lynch
Robert W Baird &amp; Co Inc
BMO Capital Markets
ThinkEquity Partners</t>
  </si>
  <si>
    <t>06/09/08
06/09/08
06/09/08</t>
  </si>
  <si>
    <t>MORGAN-STANLEY(JB)/CREDIT-SUISSE(JB)
//MERRILL/BAIRD/BMO-CAPITAL/THINK</t>
  </si>
  <si>
    <t>MORGAN-STANLEY
(JB)/CREDIT-SUISSE(JB)
MERRILL
BAIRD
BMO-CAPITAL
THINK</t>
  </si>
  <si>
    <t>Morgan Stanley
Credit Suisse
Merrill Lynch &amp; Co Inc
Robert W Baird &amp; Co Inc
BMO Capital Markets
ThinkEquity Partners</t>
  </si>
  <si>
    <t>MedAssets Inc</t>
  </si>
  <si>
    <t>MDAS</t>
  </si>
  <si>
    <t>Morgan Stanley
Lehman Brothers
Deutsche Bank Securities Corp
Goldman Sachs &amp; Co
Piper Jaffray Cos
William Blair &amp; Co
Wachovia Securities Inc</t>
  </si>
  <si>
    <t>06/09/08
06/09/08</t>
  </si>
  <si>
    <t>MORGAN-STANLEY(JB)/LEH(JB)
//DEUTSCHE-BK-SEC/GS/PIPER-JAFFRAY
/WM-BLAIR/WACHOVIA-SEC</t>
  </si>
  <si>
    <t>MORGAN-STANLEY
(JB)/LEH(JB)
DEUTSCHE-BK-SEC
GS
PIPER-JAFFRAY
WM-BLAIR
WACHOVIA-SEC</t>
  </si>
  <si>
    <t>Morgan Stanley
Lehman Brothers
Deutsche Bank Securities Corp.
Goldman Sachs &amp; Co
Piper Jaffray Cos
William Blair &amp; Co
Wachovia Securities Inc</t>
  </si>
  <si>
    <t>Quantum Group Inc</t>
  </si>
  <si>
    <t>QNTM</t>
  </si>
  <si>
    <t>74765L202</t>
  </si>
  <si>
    <t>Paulson Investment Co
Newbridge Securities
Neidiger, Tucker, Bruner Inc.</t>
  </si>
  <si>
    <t>PAULSON//NEWBRIDGE/NEIDIGER</t>
  </si>
  <si>
    <t>PAULSON
NEWBRIDGE
NEIDIGER</t>
  </si>
  <si>
    <t>Teekay Tankers Ltd</t>
  </si>
  <si>
    <t>TNK</t>
  </si>
  <si>
    <t>CITI/MORGAN-STANLEY(JB)</t>
  </si>
  <si>
    <t>Y8565N102</t>
  </si>
  <si>
    <t>Citi
Morgan Stanley
Merrill Lynch
Wachovia Securities Inc
Deutsche Bank Securities Corp
JP Morgan
Dahlman Rose Weiss LLC
Scotia Capital (USA) Inc.
Johnson Rice &amp; Co</t>
  </si>
  <si>
    <t>CITI(JB)/MORGAN-STANLEY(JB)//MERRILL
/WACHOVIA-SEC/DEUTSCHE-BK-SEC/JPM
/DAHLMAN-ROSE/SCOTIA-CAP/JOHNSON-RICE</t>
  </si>
  <si>
    <t>CITI/MORGAN-STANLEY</t>
  </si>
  <si>
    <t>CITI
(JB)/MORGAN-STANLEY(JB)
MERRILL
WACHOVIA-SEC
DEUTSCHE-BK-SEC
JPM
DAHLMAN-ROSE
SCOTIA-CAP
JOHNSON-RICE</t>
  </si>
  <si>
    <t>Citi
Morgan Stanley
Merrill Lynch &amp; Co Inc
Wachovia Securities Inc
Deutsche Bank Securities Corp.
JP Morgan &amp; Co Inc
Dahlman Rose Weiss LLC
Scotia Capital (USA) Inc.
Johnson Rice &amp; Co</t>
  </si>
  <si>
    <t>Intellon Corp</t>
  </si>
  <si>
    <t>ITLN</t>
  </si>
  <si>
    <t>45816W504</t>
  </si>
  <si>
    <t>Deutsche Bank Securities Corp
Jefferies &amp; Co Inc
Piper Jaffray Cos
Oppenheimer &amp; Co Inc</t>
  </si>
  <si>
    <t>06/10/08
06/10/08</t>
  </si>
  <si>
    <t>DEUTSCHE-BK-SEC//JEFFERIES
/PIPER-JAFFRAY/OPPENHEIMER-CO</t>
  </si>
  <si>
    <t>DEUTSCHE-BK-SEC
JEFFERIES
PIPER-JAFFRAY
OPPENHEIMER-CO</t>
  </si>
  <si>
    <t>Deutsche Bank Securities Corp.
Jefferies &amp; Co Inc
Piper Jaffray Cos
Oppenheimer &amp; Co Inc</t>
  </si>
  <si>
    <t>MEMSIC Inc</t>
  </si>
  <si>
    <t>MEMS</t>
  </si>
  <si>
    <t>Citi
Jefferies &amp; Co Inc
Needham &amp; Co LLC
Thomas Weisel Partners</t>
  </si>
  <si>
    <t>CITI//JEFFERIES/NEEDHAM/THOMAS-WEISEL</t>
  </si>
  <si>
    <t>CITI
JEFFERIES
NEEDHAM
THOMAS-WEISEL</t>
  </si>
  <si>
    <t>Gulfstream Int Grp Inc</t>
  </si>
  <si>
    <t>GIA</t>
  </si>
  <si>
    <t>TAGLICH BROTHERS INC
Maxim Group LLC</t>
  </si>
  <si>
    <t>06/11/08
06/11/08</t>
  </si>
  <si>
    <t>TAGLICH//MAXIM-GROUP</t>
  </si>
  <si>
    <t>TAGLICH
MAXIM-GROUP</t>
  </si>
  <si>
    <t>Gushan Environmental Energy</t>
  </si>
  <si>
    <t>GU</t>
  </si>
  <si>
    <t>40330W106</t>
  </si>
  <si>
    <t>Merrill Lynch
CIBC World Markets Inc
Piper Jaffray Cos</t>
  </si>
  <si>
    <t>06/15/08
06/15/08
06/15/08</t>
  </si>
  <si>
    <t>MERRILL//CIBC-WORLD/PIPER-JAFFRAY</t>
  </si>
  <si>
    <t>MERRILL
CIBC-WORLD
PIPER-JAFFRAY</t>
  </si>
  <si>
    <t>Merrill Lynch &amp; Co Inc
CIBC World Markets Inc
Piper Jaffray Cos</t>
  </si>
  <si>
    <t>Orion Energy Systems Inc</t>
  </si>
  <si>
    <t>OESX</t>
  </si>
  <si>
    <t>Thomas Weisel Partners
Canaccord Adams
Pacific Growth Equities Inc</t>
  </si>
  <si>
    <t>THOMAS-WEISEL//CAN-ADAMS/PACIFIC-GROWTH</t>
  </si>
  <si>
    <t>THOMAS-WEISEL
CAN-ADAMS
PACIFIC-GROWTH</t>
  </si>
  <si>
    <t>RMR Dividend Capture Fund</t>
  </si>
  <si>
    <t>RCR</t>
  </si>
  <si>
    <t>RBC-CAP-MKTS
/OPPENHEIMER-CO(JB)</t>
  </si>
  <si>
    <t>76970L109</t>
  </si>
  <si>
    <t>RBC Capital Markets
Oppenheimer &amp; Co Inc
Robert W Baird &amp; Co Inc
Comerica Securities
Ferris Baker Watts
Fifth Third Securities Inc
Janney Montgomery Scott LLC
Morgan Keegan Inc
Stifel Nicolaus &amp; Co Inc
Dominick &amp; Dominick Inc
Wedbush Securities
J. B. Hanauer
Ladenburg Thalmann &amp; Co
Aegis Capital
Regal Securities Inc
First Southwest
Crowell Weedon &amp; Co
E*Trade Securities Inc
Huntleigh Securities Corp
Newbridge Securities
SMH Capital Inc
Sterne Agee &amp; Leach Inc</t>
  </si>
  <si>
    <t>RBC-CAP-MKTS(JB)/OPPENHEIMER-CO(JB)
//BAIRD/COMERICA-SEC/FERRIS-BAKER
/FIFTH-THIRD-SEC/JANNEY-LLC
/MORGAN-KEEGAN/STIFEL//DOMINICK
/WEDBUSH-M/J-B-HANAUER/LADENBURG
/AEGIS-CAP/REGAL-SEC-INC/FIRST-SW
/CROWELL/E*TRADE-SEC/HUNTLEIGH-SEC
/NEWBRIDGE/SMH-CAPITAL/STERNE-AGEE</t>
  </si>
  <si>
    <t>RBC-CAP-MKTS/OPPENHEIMER-CO</t>
  </si>
  <si>
    <t>RBC-CAP-MKTS
(JB)/OPPENHEIMER-CO(JB)
BAIRD
COMERICA-SEC
FERRIS-BAKER
FIFTH-THIRD-SEC
JANNEY-LLC
MORGAN-KEEGAN
STIFEL</t>
  </si>
  <si>
    <t>RBC Capital Markets
Oppenheimer &amp; Co Inc
Robert W Baird &amp; Co Inc
Comerica Securities
Ferris Baker Watts Inc
Fifth Third Securities Inc
Janney Montgomery Scott LLC
Morgan Keegan Inc
Stifel Nicolaus &amp; Co Inc</t>
  </si>
  <si>
    <t>NetSuite Inc</t>
  </si>
  <si>
    <t>N</t>
  </si>
  <si>
    <t>64118Q107</t>
  </si>
  <si>
    <t>Credit Suisse
WR Hambrecht &amp; Co LLC
E*Trade Securities Inc
JMP Securities LLC</t>
  </si>
  <si>
    <t>06/16/08
06/16/08</t>
  </si>
  <si>
    <t>CREDIT-SUISSE//W-R-HAMBRECHT
/E*TRADE-SEC/JMP-SEC</t>
  </si>
  <si>
    <t>CREDIT-SUISSE
W-R-HAMBRECHT
E*TRADE-SEC
JMP-SEC</t>
  </si>
  <si>
    <t>Polaris Acquisition Corp</t>
  </si>
  <si>
    <t>TKP.U</t>
  </si>
  <si>
    <t>73104R201</t>
  </si>
  <si>
    <t>Lazard Capital Markets
Ladenburg Thalmann &amp; Co
ThinkEquity Partners</t>
  </si>
  <si>
    <t>LAZARD-CAP-MKT//LADENBURG/THINK</t>
  </si>
  <si>
    <t>LAZARD-CAP-MKT
LADENBURG
THINK</t>
  </si>
  <si>
    <t>Asia Special Situation Acq</t>
  </si>
  <si>
    <t>CIO</t>
  </si>
  <si>
    <t>G0538M113</t>
  </si>
  <si>
    <t>Maxim Group LLC
CRT Capital Group LLC</t>
  </si>
  <si>
    <t>MAXIM-GROUP//CRT-CAPITAL</t>
  </si>
  <si>
    <t>MAXIM-GROUP
CRT-CAPITAL</t>
  </si>
  <si>
    <t>SAPPHIRE INDUSTRIALS CORP</t>
  </si>
  <si>
    <t>FYR</t>
  </si>
  <si>
    <t>80306T208</t>
  </si>
  <si>
    <t>Citi</t>
  </si>
  <si>
    <t>07/15/08
07/15/08</t>
  </si>
  <si>
    <t>Sports Prop Acq Corp</t>
  </si>
  <si>
    <t>HMR</t>
  </si>
  <si>
    <t>84920F107</t>
  </si>
  <si>
    <t>Banc of America Securities LLC
Ladenburg Thalmann &amp; Co
Maxim Group LLC
GunnAllen Financial Inc
Ferris Baker Watts</t>
  </si>
  <si>
    <t>01/11/09
01/11/09</t>
  </si>
  <si>
    <t>BA-SEC-LLC//LADENBURG/MAXIM-GROUP
/GUNNALLEN-FINL/FERRIS-BAKER</t>
  </si>
  <si>
    <t>BA-SEC-LLC
LADENBURG
MAXIM-GROUP
GUNNALLEN-FINL
FERRIS-BAKER</t>
  </si>
  <si>
    <t>Banc of America Securities LLC
Ladenburg Thalmann &amp; Co
Maxim Group LLC
GunnAllen Financial, Inc.
Ferris Baker Watts Inc</t>
  </si>
  <si>
    <t>Williams Pipeline Partners LP</t>
  </si>
  <si>
    <t>WMZ</t>
  </si>
  <si>
    <t>LEH/CITI(JB)
/MERRILL(JB)</t>
  </si>
  <si>
    <t>96950K103</t>
  </si>
  <si>
    <t>Lehman Brothers
Citi
Merrill Lynch
Wachovia Capital Markets
Goldman Sachs &amp; Co
Morgan Stanley
UBS Securities Inc
Banc of America Securities LLC
JP Morgan Securities Inc
Raymond James &amp; Associates Inc
RBC Capital Markets
Stifel Nicolaus &amp; Co Inc</t>
  </si>
  <si>
    <t>009</t>
  </si>
  <si>
    <t>LEH(JB)/CITI(JB)/MERRILL(JB)
/WACHOVIA-CAP/GS/MORGAN-STANLEY/UBS-SEC
/BA-SEC-LLC/J-P-MORGAN(JOINT)//RAYMOND
/RBC-CAP-MKTS/STIFEL</t>
  </si>
  <si>
    <t>LEH/CITI/MERRILL/WACHOVIA-CAP/GS
/MORGAN-STANLEY/UBS-SEC/BA-SEC-LLC
/J-P-MORGAN</t>
  </si>
  <si>
    <t>LEH
(JB)/CITI(JB)
/MERRILL(JB)
/WACHOVIA-CAP
/GS
/MORGAN-STANLEY
/UBS-SEC
/BA-SEC-LLC
/J-P-MORGAN(JOINT)
RAYMOND
RBC-CAP-MKTS
STIFEL</t>
  </si>
  <si>
    <t>Lehman Brothers
Citi
Merrill Lynch &amp; Co Inc
Wachovia Capital Markets
Goldman Sachs &amp; Co
Morgan Stanley
UBS Securities Inc
Banc of America Securities LLC
JP Morgan Securities Inc
Raymond James &amp; Associates Inc
RBC Capital Markets
Stifel Nicolaus &amp; Co Inc</t>
  </si>
  <si>
    <t>Meridian Interstate Bancorp</t>
  </si>
  <si>
    <t>EBSB</t>
  </si>
  <si>
    <t>58964Q104</t>
  </si>
  <si>
    <t>Trian Acq I Corp</t>
  </si>
  <si>
    <t>TUX</t>
  </si>
  <si>
    <t>DEUTSCHE-BK-SEC
/MERRILL(JB)</t>
  </si>
  <si>
    <t>89582E207</t>
  </si>
  <si>
    <t>Deutsche Bank Securities Corp
Merrill Lynch
Maxim Group LLC</t>
  </si>
  <si>
    <t>07/21/08
07/21/08</t>
  </si>
  <si>
    <t>DEUTSCHE-BK-SEC(JB)/MERRILL(JB)
//MAXIM-GROUP</t>
  </si>
  <si>
    <t>DEUTSCHE-BK-SEC/MERRILL</t>
  </si>
  <si>
    <t>DEUTSCHE-BK-SEC
(JB)/MERRILL(JB)
MAXIM-GROUP</t>
  </si>
  <si>
    <t>Deutsche Bank Securities Corp.
Merrill Lynch &amp; Co Inc
Maxim Group LLC</t>
  </si>
  <si>
    <t>Atlas Acq Hldg Corp</t>
  </si>
  <si>
    <t>AXG</t>
  </si>
  <si>
    <t>LAZARD-CAP-MKT
/MORGAN-STANLEY(JB)</t>
  </si>
  <si>
    <t>049162209</t>
  </si>
  <si>
    <t>Lazard Capital Markets
Morgan Stanley</t>
  </si>
  <si>
    <t>04/23/08
04/23/08</t>
  </si>
  <si>
    <t>LAZARD-CAP-MKT(JB)/MORGAN-STANLEY(JB)</t>
  </si>
  <si>
    <t>LAZARD-CAP-MKT/MORGAN-STANLEY</t>
  </si>
  <si>
    <t>LAZARD-CAP-MKT
(JB)/MORGAN-STANLEY(JB)</t>
  </si>
  <si>
    <t>RiskMetrics Group Inc</t>
  </si>
  <si>
    <t>RMG</t>
  </si>
  <si>
    <t>CREDIT-SUISSE/GS(JB)
/BA-SEC-LLC(JB)</t>
  </si>
  <si>
    <t>Credit Suisse
Goldman Sachs &amp; Co
Banc of America Securities LLC
Citi
Merrill Lynch
Morgan Stanley &amp; Co</t>
  </si>
  <si>
    <t>07/22/08
07/22/08
07/22/08</t>
  </si>
  <si>
    <t>CREDIT-SUISSE(JB)/GS(JB)/BA-SEC-LLC(JB)
//CITI/MERRILL/MS</t>
  </si>
  <si>
    <t>CREDIT-SUISSE/GS/BA-SEC-LLC</t>
  </si>
  <si>
    <t>CREDIT-SUISSE
(JB)/GS(JB)
/BA-SEC-LLC(JB)
CITI
MERRILL
MS</t>
  </si>
  <si>
    <t>Credit Suisse
Goldman Sachs &amp; Co
Banc of America Securities LLC
Citi
Merrill Lynch &amp; Co Inc
Morgan Stanley &amp; Co</t>
  </si>
  <si>
    <t>IPC The Hospitalist Co Inc</t>
  </si>
  <si>
    <t>IPCM</t>
  </si>
  <si>
    <t>CREDIT-SUISSE
/JEFFERIES(JB)</t>
  </si>
  <si>
    <t>44984A105</t>
  </si>
  <si>
    <t>Credit Suisse
Jefferies &amp; Co Inc
Wachovia Securities Inc
William Blair &amp; Co</t>
  </si>
  <si>
    <t>07/23/08
07/23/08
07/23/08</t>
  </si>
  <si>
    <t>CREDIT-SUISSE(JB)/JEFFERIES(JB)
//WACHOVIA-SEC/WM-BLAIR</t>
  </si>
  <si>
    <t>CREDIT-SUISSE/JEFFERIES</t>
  </si>
  <si>
    <t>CREDIT-SUISSE
(JB)/JEFFERIES(JB)
WACHOVIA-SEC
WM-BLAIR</t>
  </si>
  <si>
    <t>ATA Inc</t>
  </si>
  <si>
    <t>ATAI</t>
  </si>
  <si>
    <t>00211V106</t>
  </si>
  <si>
    <t>Merrill Lynch
Piper Jaffray Cos
Susquehanna Financial Group</t>
  </si>
  <si>
    <t>07/26/08
07/26/08</t>
  </si>
  <si>
    <t>MERRILL/PIPER-JAFFRAY(JOINT)
//SUSQUEHANNA-FIN</t>
  </si>
  <si>
    <t>MERRILL
/PIPER-JAFFRAY(JOINT)
SUSQUEHANNA-FIN</t>
  </si>
  <si>
    <t>Merrill Lynch &amp; Co Inc
Piper Jaffray Cos
Susquehanna Financial Group</t>
  </si>
  <si>
    <t>Blackrock Def Opp Cred Tr</t>
  </si>
  <si>
    <t>09255Q105</t>
  </si>
  <si>
    <t>Merrill Lynch
UBS Securities Ltd
Wachovia Bank NA
Robert W Baird &amp; Co Inc
Crowell Weedon &amp; Co
Ferris Baker Watts
JJB Hilliard WL Lyons Inc
Janney Montgomery Scott LLC
Ladenburg Thalmann &amp; Co
Morgan Keegan Inc
Oppenheimer &amp; Co Inc
Stifel Nicolaus &amp; Co Inc
Wedbush Securities
BB&amp;T Capital Markets
Dominick &amp; Dominick Inc
J. B. Hanauer
RBC Capital Markets
Sterne Agee &amp; Leach Inc
Anderson &amp; Strudwick
Brean Murray &amp; Co Inc
E*Trade Securities Inc
First Southwest
Andrew Garrett Group
Howe Barnes Hoefer Arnett Inc
Wayne Hummer &amp; Co
Huntleigh Securities Corp
Jesup &amp; Lamont Securities
Johnston Lemon &amp; Co Inc
McGinn, Smith &amp; Co Inc
Mesirow Financial Corp
Morgan Wilshire Securities
National Securities Corp (US)
Northeast Securities Inc.
David A. Noyes
Regal Securities Inc
SMH Capital Inc
M. L. Stern
Stonnington Group LLC
Summit Brokerage Services Inc
Torrey Pines Securities
JP Turner &amp; Co
Westminster Finl Sec Inc
BC Ziegler &amp; Co</t>
  </si>
  <si>
    <t>MERRILL//UBSEC/WACHOVIA/BAIRD/CROWELL
/FERRIS-BAKER/HILLIARD/JANNEY-LLC
/LADENBURG/MORGAN-KEEGAN/OPPENHEIMER-CO
/STIFEL/WEDBUSH-M/BB-T-CAP/DOMINICK
/J-B-HANAUER/RBC-CAP-MKTS/STERNE-AGEE
/ANDERSON/BREAN/E*TRADE-SEC/FIRST-SW
/ANDREW-GARRETT/HBHOEFER-ARNETT/HUMMER
/HUNTLEIGH-SEC/JESUP/JOHNSTON-LEMON
/MCGINN-SMITH/MESIROW-FIN
/MORGAN-WILSHIRE/NATL-SEC/NORTHEAST-SEC
/D-A-NOYES/REGAL-SEC-INC/SMH-CAPITAL
/M-L-STERN/STONNINGTON-LLC
/SUMMIT-BROKER/TORREY-PINES/J-P-TURNER
/WEST-FIN-SEC/ZIEGLER</t>
  </si>
  <si>
    <t>MERRILL
UBSEC
WACHOVIA
BAIRD
CROWELL
FERRIS-BAKER
HILLIARD
JANNEY-LLC
LADENBURG
MORGAN-KEEGAN
OPPENHEIMER-CO
STIFEL
WEDBUSH-M
BB-T-CAP
DOMINICK
J-B-HANAUER
RBC-CAP-MKTS
STERNE-AGEE
ANDERSON
BREAN
E*TRADE-SEC
FIRST-SW
ANDREW-GARRETT
HBHOEFER-ARNETT
HUMMER
HUNTLEIGH-SEC
JESUP
JOHNSTON-LEMON
MCGINN-SMITH
MESIROW-FIN
MORGAN-WILSHIRE
NATL-SEC
NORTHEAST-SEC
D-A-NOYES
REGAL-SEC-INC
SMH-CAPITAL
M-L-STERN
STONNINGTON-LLC
SUMMIT-BROKER
TORREY-PINES
J-P-TURNER
WEST-FIN-SEC
ZIEGLER</t>
  </si>
  <si>
    <t>Merrill Lynch &amp; Co Inc
UBS Securities Ltd
Wachovia Bank NA
Robert W Baird &amp; Co Inc
Crowell Weedon &amp; Co
Ferris Baker Watts Inc
JJB Hilliard WL Lyons Inc
Janney Montgomery Scott LLC
Ladenburg Thalmann &amp; Co
Morgan Keegan Inc
Oppenheimer &amp; Co Inc
Stifel Nicolaus &amp; Co Inc
Wedbush Securities
BB&amp;T Capital Markets
Dominick &amp; Dominick Inc
J. B. Hanauer &amp; Co.
RBC Capital Markets
Sterne Agee &amp; Leach Inc
Anderson &amp; Strudwick
Brean Murray &amp; Co Inc
E*Trade Securities Inc
First Southwest Company
Andrew Garrett Group
Howe Barnes Hoefer Arnett Inc
Wayne Hummer &amp; Co
Huntleigh Securities Corporation
Jesup &amp; Lamont Securities Co Inc
Johnston Lemon &amp; Co Inc
McGinn, Smith &amp; Co Inc
Mesirow Financial Corp
Morgan Wilshire Securities
National Securities Corp (US)
Northeast Securities Inc.
David A. Noyes &amp; Co.
Regal Securities Inc
SMH Capital Inc
M. L. Stern &amp; Co., Inc.
Stonnington Group LLC
Summit Brokerage Services Inc
Torrey Pines Securities, Inc.
JP Turner &amp; Co
Westminster Finl Sec Inc
BC Ziegler &amp; Co</t>
  </si>
  <si>
    <t>ReneSola Ltd</t>
  </si>
  <si>
    <t>SOLA.L</t>
  </si>
  <si>
    <t>75971T103</t>
  </si>
  <si>
    <t>London AIM</t>
  </si>
  <si>
    <t>Credit Suisse
Deutsche Bank Securities Corp
Piper Jaffray Cos
Lazard Capital Markets
Oppenheimer &amp; Co Inc</t>
  </si>
  <si>
    <t>07/26/08
07/26/08
07/26/08</t>
  </si>
  <si>
    <t>CREDIT-SUISSE(JB)/DEUTSCHE-BK-SEC(JB)
//PIPER-JAFFRAY/LAZARD-CAP-MKT
/OPPENHEIMER-CO</t>
  </si>
  <si>
    <t>CREDIT-SUISSE
(JB)/DEUTSCHE-BK-SEC(JB)
PIPER-JAFFRAY
LAZARD-CAP-MKT
OPPENHEIMER-CO</t>
  </si>
  <si>
    <t>Credit Suisse
Deutsche Bank Securities Corp.
Piper Jaffray Cos
Lazard Capital Markets
Oppenheimer &amp; Co Inc</t>
  </si>
  <si>
    <t>Cascal NV</t>
  </si>
  <si>
    <t>HOO</t>
  </si>
  <si>
    <t>N1842P109</t>
  </si>
  <si>
    <t>JP Morgan
Credit Suisse
Janney Montgomery Scott LLC
Hongkong &amp; Shanghai Bank (HK)</t>
  </si>
  <si>
    <t>07/27/08
07/27/08</t>
  </si>
  <si>
    <t>JPM(JB)/CREDIT-SUISSE(JB)//JANNEY-LLC
/HONG-SHANG-BKG</t>
  </si>
  <si>
    <t>JPM
(JB)/CREDIT-SUISSE(JB)
JANNEY-LLC
HONG-SHANG-BKG</t>
  </si>
  <si>
    <t>JP Morgan &amp; Co Inc
Credit Suisse
Janney Montgomery Scott LLC
Hongkong &amp; Shanghai Banking Corp Ltd</t>
  </si>
  <si>
    <t>Overture Acquisition Corp</t>
  </si>
  <si>
    <t>NLX</t>
  </si>
  <si>
    <t>NYSE Amex</t>
  </si>
  <si>
    <t>JP Morgan
Lazard Capital Markets
I-Bankers Securities Inc
Maxim Group LLC</t>
  </si>
  <si>
    <t>JPM/LAZARD-CAP-MKT(JOINT)
//I-BANKERS-SEC/MAXIM-GROUP</t>
  </si>
  <si>
    <t>JPM/LAZARD-CAP-MKT</t>
  </si>
  <si>
    <t>JPM
/LAZARD-CAP-MKT(JOINT)</t>
  </si>
  <si>
    <t>JP Morgan &amp; Co Inc
Lazard Capital Markets</t>
  </si>
  <si>
    <t>BBV Vietnam SEA Acq Corp</t>
  </si>
  <si>
    <t>Vietnam</t>
  </si>
  <si>
    <t>BBVUF</t>
  </si>
  <si>
    <t>LADENBURG
/CHARDAN-CAP-MKT(JB)</t>
  </si>
  <si>
    <t>Ladenburg Thalmann &amp; Co
Chardan Capital Markets LLC</t>
  </si>
  <si>
    <t>08/06/08
08/06/08</t>
  </si>
  <si>
    <t>LADENBURG(JB)/CHARDAN-CAP-MKT(JB)</t>
  </si>
  <si>
    <t>LADENBURG/CHARDAN-CAP-MKT</t>
  </si>
  <si>
    <t>LADENBURG
(JB)/CHARDAN-CAP-MKT(JB)</t>
  </si>
  <si>
    <t>Asia Time Corp</t>
  </si>
  <si>
    <t>TYM</t>
  </si>
  <si>
    <t>00650W300</t>
  </si>
  <si>
    <t>ArcSight Inc</t>
  </si>
  <si>
    <t>ARST</t>
  </si>
  <si>
    <t>039666102</t>
  </si>
  <si>
    <t>Morgan Stanley
Lehman Brothers
Wachovia Securities Inc
RBC Capital Markets</t>
  </si>
  <si>
    <t>08/12/08
08/12/08
08/12/08</t>
  </si>
  <si>
    <t>MORGAN-STANLEY/LEH(JOINT)//WACHOVIA-SEC
/RBC-CAP-MKTS</t>
  </si>
  <si>
    <t>MORGAN-STANLEY
/LEH(JOINT)
WACHOVIA-SEC
RBC-CAP-MKTS</t>
  </si>
  <si>
    <t>GHL Acquisition Corp</t>
  </si>
  <si>
    <t>GHQ</t>
  </si>
  <si>
    <t>36172H108</t>
  </si>
  <si>
    <t>Banc of America Securities LLC
Chardan Capital Markets LLC
Maxim Group LLC
Legend Merchant Group Inc
GunnAllen Financial Inc</t>
  </si>
  <si>
    <t>08/12/08
08/12/08</t>
  </si>
  <si>
    <t>BA-SEC-LLC//CHARDAN-CAP-MKT/MAXIM-GROUP
/LEGEND-MERCHANT/GUNNALLEN-FINL</t>
  </si>
  <si>
    <t>BA-SEC-LLC
CHARDAN-CAP-MKT
MAXIM-GROUP
LEGEND-MERCHANT
GUNNALLEN-FINL</t>
  </si>
  <si>
    <t>Banc of America Securities LLC
Chardan Capital Markets LLC
Maxim Group LLC
Legend Merchant Group Inc
GunnAllen Financial, Inc.</t>
  </si>
  <si>
    <t>MAKO Surgical Corp</t>
  </si>
  <si>
    <t>MAKO</t>
  </si>
  <si>
    <t>JP Morgan
Morgan Stanley
Cowen
Wachovia Securities Inc
National Securities Corp (US)</t>
  </si>
  <si>
    <t>JPM(JB)/MORGAN-STANLEY(JB)//COWEN
/WACHOVIA-SEC/NATL-SEC</t>
  </si>
  <si>
    <t>JPM
(JB)/MORGAN-STANLEY(JB)
COWEN
WACHOVIA-SEC
NATL-SEC</t>
  </si>
  <si>
    <t>JP Morgan &amp; Co Inc
Morgan Stanley
Cowen &amp; Co
Wachovia Securities Inc
National Securities Corp (US)</t>
  </si>
  <si>
    <t>Bioheart Inc</t>
  </si>
  <si>
    <t>BHRT</t>
  </si>
  <si>
    <t>DAWSON-JAMES</t>
  </si>
  <si>
    <t>09062F201</t>
  </si>
  <si>
    <t>Dawson James Securities
Newbridge Securities</t>
  </si>
  <si>
    <t>08/17/08
08/17/08</t>
  </si>
  <si>
    <t>DAWSON-JAMES//NEWBRIDGE</t>
  </si>
  <si>
    <t>Dawson James Securities</t>
  </si>
  <si>
    <t>BPW Acquisition Corp</t>
  </si>
  <si>
    <t>BPW</t>
  </si>
  <si>
    <t>055637201</t>
  </si>
  <si>
    <t>Citi
UBS Investment Bank
Piper Jaffray Cos
Sandler O'Neill Partners
Ladenburg Thalmann &amp; Co
Maxim Corporate Partners Inc
I-Bankers Securities Inc</t>
  </si>
  <si>
    <t>08/24/08
08/24/08</t>
  </si>
  <si>
    <t>CITI//UBS-INV-BANK/PIPER-JAFFRAY
/SANDLER-ONEILL/LADENBURG/MAXIM
/I-BANKERS-SEC</t>
  </si>
  <si>
    <t>CITI
UBS-INV-BANK
PIPER-JAFFRAY
SANDLER-ONEILL
LADENBURG
MAXIM
I-BANKERS-SEC</t>
  </si>
  <si>
    <t>Citi
UBS Investment Bank
Piper Jaffray Cos
Sandler O'Neill Partners  L.P.
Ladenburg Thalmann &amp; Co
Maxim Corporate Partners Inc
I-Bankers Securities Inc</t>
  </si>
  <si>
    <t>Spring Creek Acquisition Corp</t>
  </si>
  <si>
    <t>CRQF</t>
  </si>
  <si>
    <t>Earlybirdcapital Inc
Roth Capital Partners Inc</t>
  </si>
  <si>
    <t>08/25/08
08/25/08</t>
  </si>
  <si>
    <t>EARLYBIRD-CAP//ROTH-CAPITAL</t>
  </si>
  <si>
    <t>EARLYBIRD-CAP
ROTH-CAPITAL</t>
  </si>
  <si>
    <t>Hambrecht Asia Acq Corp</t>
  </si>
  <si>
    <t>Broadband Capital Management
Chardan Capital Markets LLC
Maxim Group LLC</t>
  </si>
  <si>
    <t>09/03/08
09/03/08</t>
  </si>
  <si>
    <t>BROADBAND//CHARDAN-CAP-MKT/MAXIM-GROUP</t>
  </si>
  <si>
    <t>BROADBAND
CHARDAN-CAP-MKT
MAXIM-GROUP</t>
  </si>
  <si>
    <t>Broadband Capital Management LLC
Chardan Capital Markets LLC
Maxim Group LLC</t>
  </si>
  <si>
    <t>Heritage-Crystal Clean Inc</t>
  </si>
  <si>
    <t>HCCI</t>
  </si>
  <si>
    <t>42726M106</t>
  </si>
  <si>
    <t>William Blair &amp; Co
Piper Jaffray Cos</t>
  </si>
  <si>
    <t>09/07/08
09/07/08</t>
  </si>
  <si>
    <t>WM-BLAIR//PIPER-JAFFRAY</t>
  </si>
  <si>
    <t>WM-BLAIR
PIPER-JAFFRAY</t>
  </si>
  <si>
    <t>CardioNet Inc</t>
  </si>
  <si>
    <t>BEAT</t>
  </si>
  <si>
    <t>14159L103</t>
  </si>
  <si>
    <t>Citi
Lehman Brothers
Leerink Swann &amp; Co
Thomas Weisel Partners</t>
  </si>
  <si>
    <t>09/14/08
09/14/08
09/14/08</t>
  </si>
  <si>
    <t>CITI//LEH/LEERINK-SWANN/THOMAS-WEISEL</t>
  </si>
  <si>
    <t>CITI
LEH
LEERINK-SWANN
THOMAS-WEISEL</t>
  </si>
  <si>
    <t>Visa Inc</t>
  </si>
  <si>
    <t>V</t>
  </si>
  <si>
    <t>JPM/GS(JB)
/BA-SEC-LLC(JB)
/CITI(JB)
/HONG-SHANG-BKG(JB)
/MERRILL(JB)
/UBS-SEC(JB)
/WACHOVIA-CAP(JB)</t>
  </si>
  <si>
    <t>92826C839</t>
  </si>
  <si>
    <t>JP Morgan
Goldman Sachs &amp; Co
Banc of America Securities LLC
Citi
Hongkong &amp; Shanghai Bank (HK)
Merrill Lynch
UBS Securities Inc
Wachovia Capital Markets
CIBC World Markets Inc
Daiwa Capital Markets America
Mitsubishi UFJ Sec Intl Plc
Piper Jaffray Cos
RBC Capital Markets
SunTrust Robinson Humphrey
Wells Fargo Bank NA
Mizuho Securities Co Ltd
Macquarie Capital Partners LLC
Credit Suisse
Santander Investment SA
TD Securities Inc
ABN AMRO Securities (USA) Inc
Barclays
Calyon Securities USA Inc
Lehman Brothers
Morgan Keegan Inc
Scotia Capital (USA) Inc.
Williams Capital Group LP
Fox-Pitt Kelton
FirstRand Bank
National Bank of Kuwait SAK
Samsung Securities
Gardner Rich &amp; Co
SG Cowen Securities Corp
Guzman &amp; Co
Keefe Bruyette &amp; Woods Inc
Utendahl Capital Partners
BBVA
Banco Bradesco SA
BB&amp;T Capital Markets
BNP Paribas Securities Corp
Loop Capital Markets
MR Beal &amp; Co
Muriel Siebert &amp; Co
Samuel A. Ramirez &amp; Co.
Dundee Securities Corporation</t>
  </si>
  <si>
    <t>008</t>
  </si>
  <si>
    <t>JPM(JB)/GS(JB)/BA-SEC-LLC(JB)/CITI(JB)
/HONG-SHANG-BKG(JB)/MERRILL(JB)
/UBS-SEC(JB)/WACHOVIA-CAP(JB)
//CIBC-WORLD/DAIWA-SEC-AMER
/MIT-UFJ-SEC-INT/PIPER-JAFFRAY
/RBC-CAP-MKTS/SUNTRUST-RH/WELLS-FARGO
/MIZUHO-SEC/MACQUARIE-CAP/CREDIT-SUISSE
/SANT-INVESTMENT/TD-SECURITIES/ABNUSA
/BARCLAYS-CAP/CALYON-SEC/LEH
/MORGAN-KEEGAN/SCOTIA-CAP/WILLIAMS-CAP
/FOX-PITT/FRBANK/NBK/SAMSUNG-SEC
/GARDNER-RICH/SG-COWEN/GUZMAN/KEEFE
/UTENDAHL-CAP/BBVA/BANCO-BRADESCO
/BB-T-CAP/BNP-CA/LOOP/M-R-BEAL/MURIEL
/RAMIREZ/DUNDEE-SEC</t>
  </si>
  <si>
    <t>JPM/GS/BA-SEC-LLC/CITI/HONG-SHANG-BKG
/MERRILL/UBS-SEC/WACHOVIA-CAP</t>
  </si>
  <si>
    <t>JPM
(JB)/GS(JB)
/BA-SEC-LLC(JB)
/CITI(JB)
/HONG-SHANG-BKG(JB)
/MERRILL(JB)
/UBS-SEC(JB)
/WACHOVIA-CAP(JB)</t>
  </si>
  <si>
    <t>JP Morgan &amp; Co Inc
Goldman Sachs &amp; Co
Banc of America Securities LLC
Citi
Hongkong &amp; Shanghai Banking Corp Ltd
Merrill Lynch &amp; Co Inc
UBS Securities Inc
Wachovia Capital Markets</t>
  </si>
  <si>
    <t>Healthy Fast Food Inc</t>
  </si>
  <si>
    <t>HFFI</t>
  </si>
  <si>
    <t>42223Y108</t>
  </si>
  <si>
    <t>06/17/08
06/17/08</t>
  </si>
  <si>
    <t>Intrepid Potash Inc</t>
  </si>
  <si>
    <t>IPI</t>
  </si>
  <si>
    <t>GS/MERRILL(JB)
/MORGAN-STANLEY(JB)</t>
  </si>
  <si>
    <t>46121Y102</t>
  </si>
  <si>
    <t>Goldman Sachs &amp; Co
Merrill Lynch
Morgan Stanley
RBC Capital Markets
BMO Capital Markets</t>
  </si>
  <si>
    <t>10/18/08
10/18/08</t>
  </si>
  <si>
    <t>GS(JB)/MERRILL(JB)/MORGAN-STANLEY(JB)
//RBC-CAP-MKTS/BMO-CAPITAL</t>
  </si>
  <si>
    <t>GS/MERRILL/MORGAN-STANLEY</t>
  </si>
  <si>
    <t>GS
(JB)/MERRILL(JB)
/MORGAN-STANLEY(JB)
RBC-CAP-MKTS
BMO-CAPITAL</t>
  </si>
  <si>
    <t>Goldman Sachs &amp; Co
Merrill Lynch &amp; Co Inc
Morgan Stanley
RBC Capital Markets
BMO Capital Markets</t>
  </si>
  <si>
    <t>American Water Works Co Inc</t>
  </si>
  <si>
    <t>AWK</t>
  </si>
  <si>
    <t>GS/CITI(JB)/MERRILL(JB)</t>
  </si>
  <si>
    <t>030420103</t>
  </si>
  <si>
    <t>Goldman Sachs &amp; Co
Citi
Merrill Lynch
Credit Suisse
JP Morgan
Morgan Stanley
UBS Investment Bank
Edward D Jones &amp; Co LP
Janney Montgomery Scott LLC
SG Americas Securities LLC
Wachovia Securities Inc
Boenning &amp; Scattergood
Cabrera Capital Markets Inc
Hongkong &amp; Shanghai Bank (HK)
Stanford Group Company
Williams Capital Group LP</t>
  </si>
  <si>
    <t>10/19/08
10/19/08
10/19/08</t>
  </si>
  <si>
    <t xml:space="preserve">
36.250</t>
  </si>
  <si>
    <t xml:space="preserve">
58000000.00</t>
  </si>
  <si>
    <t>GS(JB)/CITI(JB)/MERRILL(JB)
//CREDIT-SUISSE/JPM/MORGAN-STANLEY
/UBS-INV-BANK/ED-JONES-LP/JANNEY-LLC
/SG-AMERICAS-SEC/WACHOVIA-SEC/BOENNING
/CABRERA-CAPITAL/HONG-SHANG-BKG
/STANFORD-GROUP/WILLIAMS-CAP</t>
  </si>
  <si>
    <t>GS/CITI/MERRILL</t>
  </si>
  <si>
    <t>GS
(JB)/CITI(JB)
/MERRILL(JB)
CREDIT-SUISSE
JPM
MORGAN-STANLEY
UBS-INV-BANK
ED-JONES-LP
JANNEY-LLC
SG-AMERICAS-SEC
WACHOVIA-SEC
BOENNING
CABRERA-CAPITAL
HONG-SHANG-BKG
STANFORD-GROUP
WILLIAMS-CAP</t>
  </si>
  <si>
    <t>Goldman Sachs &amp; Co
Citi
Merrill Lynch &amp; Co Inc
Credit Suisse
JP Morgan &amp; Co Inc
Morgan Stanley
UBS Investment Bank
Edward D Jones &amp; Co LP
Janney Montgomery Scott LLC
SG Americas Securities LLC
Wachovia Securities Inc
Boenning &amp; Scattergood Inc.
Cabrera Capital Markets Inc
Hongkong &amp; Shanghai Banking Corp Ltd
Stanford Group Company
Williams Capital Group LP</t>
  </si>
  <si>
    <t>Hatteras Financial Corp</t>
  </si>
  <si>
    <t>HTS</t>
  </si>
  <si>
    <t>KEEFE/BA-SEC-LLC(JB)</t>
  </si>
  <si>
    <t>41902R103</t>
  </si>
  <si>
    <t>Keefe Bruyette &amp; Woods Inc
Banc of America Securities LLC
Wachovia Bank NA
JMP Securities LLC
Stifel Nicolaus &amp; Co Inc</t>
  </si>
  <si>
    <t>10/21/08
10/21/08</t>
  </si>
  <si>
    <t>KEEFE(JB)/BA-SEC-LLC(JB)//WACHOVIA
/JMP-SEC/STIFEL</t>
  </si>
  <si>
    <t>KEEFE/BA-SEC-LLC</t>
  </si>
  <si>
    <t>KEEFE
(JB)/BA-SEC-LLC(JB)
WACHOVIA
JMP-SEC
STIFEL</t>
  </si>
  <si>
    <t>Whiting USA Trust I</t>
  </si>
  <si>
    <t>WHX</t>
  </si>
  <si>
    <t>RAYMOND
/WACHOVIA-SEC(JB)</t>
  </si>
  <si>
    <t>Raymond James &amp; Associates Inc
Wachovia Securities Inc
RBC Capital Markets
Oppenheimer &amp; Co Inc
Stifel Nicolaus &amp; Co Inc</t>
  </si>
  <si>
    <t>RAYMOND(JB)/WACHOVIA-SEC(JB)
//RBC-CAP-MKTS/OPPENHEIMER-CO/STIFEL</t>
  </si>
  <si>
    <t>RAYMOND/WACHOVIA-SEC</t>
  </si>
  <si>
    <t>RAYMOND
(JB)/WACHOVIA-SEC(JB)
RBC-CAP-MKTS
OPPENHEIMER-CO
STIFEL</t>
  </si>
  <si>
    <t>Pioneer Southwest Energy Ptnrs</t>
  </si>
  <si>
    <t>PSE</t>
  </si>
  <si>
    <t>CITI
/DEUTSCHE-BK-SEC(JB)
/UBS-INV-BANK(JB)</t>
  </si>
  <si>
    <t>72388B106</t>
  </si>
  <si>
    <t>Citi
Deutsche Bank Securities Corp
UBS Investment Bank
Goldman Sachs &amp; Co
JP Morgan
Wachovia Securities Inc
Friedman Billings Ramsey Group
RBC Capital Markets
Raymond James &amp; Associates Inc
Wells Fargo Bank NA
Howard Weil Financial Corp
Johnson Rice &amp; Co</t>
  </si>
  <si>
    <t>10/27/08
10/27/08</t>
  </si>
  <si>
    <t>CITI(JB)/DEUTSCHE-BK-SEC(JB)
/UBS-INV-BANK(JB)//GS/JPM/WACHOVIA-SEC
/FRIEDMAN-B/RBC-CAP-MKTS/RAYMOND
/WELLS-FARGO/HOWARD-WEIL-FIN
/JOHNSON-RICE</t>
  </si>
  <si>
    <t>CITI/DEUTSCHE-BK-SEC/UBS-INV-BANK</t>
  </si>
  <si>
    <t>CITI
(JB)/DEUTSCHE-BK-SEC(JB)
/UBS-INV-BANK(JB)
GS
JPM
WACHOVIA-SEC
FRIEDMAN-B
RBC-CAP-MKTS
RAYMOND
WELLS-FARGO
HOWARD-WEIL-FIN
JOHNSON-RICE</t>
  </si>
  <si>
    <t>Citi
Deutsche Bank Securities Corp.
UBS Investment Bank
Goldman Sachs &amp; Co
JP Morgan &amp; Co Inc
Wachovia Securities Inc
Friedman Billings Ramsey Group
RBC Capital Markets
Raymond James &amp; Associates Inc
Wells Fargo Bank NA
Howard Weil Financial Corp
Johnson Rice &amp; Co</t>
  </si>
  <si>
    <t>Colfax Corp</t>
  </si>
  <si>
    <t>CFX</t>
  </si>
  <si>
    <t>MERRILL/LEH(JB)
/UBS-INV-BANK(JB)</t>
  </si>
  <si>
    <t>Merrill Lynch
Lehman Brothers
UBS Investment Bank
Robert W Baird &amp; Co Inc
Banc of America Securities LLC
Deutsche Bank Securities Corp
Key Banc Capital Markets</t>
  </si>
  <si>
    <t>11/03/08
11/03/08
11/03/08</t>
  </si>
  <si>
    <t xml:space="preserve">
23.572</t>
  </si>
  <si>
    <t xml:space="preserve">
9710268.00</t>
  </si>
  <si>
    <t>MERRILL(JB)/LEH(JB)/UBS-INV-BANK(JB)
//BAIRD/BA-SEC-LLC/DEUTSCHE-BK-SEC
/KEY-BANC-CAP</t>
  </si>
  <si>
    <t>MERRILL/LEH/UBS-INV-BANK</t>
  </si>
  <si>
    <t>MERRILL
(JB)/LEH(JB)
/UBS-INV-BANK(JB)
BAIRD
BA-SEC-LLC
DEUTSCHE-BK-SEC
KEY-BANC-CAP</t>
  </si>
  <si>
    <t>Merrill Lynch &amp; Co Inc
Lehman Brothers
UBS Investment Bank
Robert W Baird &amp; Co Inc
Banc of America Securities LLC
Deutsche Bank Securities Corp.
Key Banc Capital Markets</t>
  </si>
  <si>
    <t>Real Goods Solar Inc</t>
  </si>
  <si>
    <t>RSOL</t>
  </si>
  <si>
    <t>75601N104</t>
  </si>
  <si>
    <t>ThinkEquity Partners
Canaccord Adams
Broadpoint Securities Group</t>
  </si>
  <si>
    <t>11/04/08
11/04/08</t>
  </si>
  <si>
    <t>THINK//CAN-ADAMS/BROADPOINT-SEC</t>
  </si>
  <si>
    <t>THINK
CAN-ADAMS
BROADPOINT-SEC</t>
  </si>
  <si>
    <t>Western Gas Partners LP</t>
  </si>
  <si>
    <t>WES</t>
  </si>
  <si>
    <t>UBS-INV-BANK/CITI(JB)
/CREDIT-SUISSE(JB)
/MORGAN-STANLEY(JB)</t>
  </si>
  <si>
    <t>UBS Investment Bank
Citi
Credit Suisse
Morgan Stanley
Banc of America Securities LLC
Goldman Sachs &amp; Co
JP Morgan
Lehman Brothers
Wachovia Securities Inc
Scotia Capital (USA) Inc.
Bear Stearns &amp; Co Inc
Friedman Billings Ramsey &amp; Co
Stifel Nicolaus &amp; Co Inc</t>
  </si>
  <si>
    <t>UBS-INV-BANK(JB)/CITI(JB)
/CREDIT-SUISSE(JB)/MORGAN-STANLEY(JB)
//BA-SEC-LLC/GS/JPM/LEH/WACHOVIA-SEC
/SCOTIA-CAP/BEAR/FRIEDMAN-B-CO/STIFEL</t>
  </si>
  <si>
    <t>UBS-INV-BANK/CITI/CREDIT-SUISSE
/MORGAN-STANLEY</t>
  </si>
  <si>
    <t>UBS-INV-BANK
(JB)/CITI(JB)
/CREDIT-SUISSE(JB)
/MORGAN-STANLEY(JB)
BA-SEC-LLC
GS
JPM
LEH
WACHOVIA-SEC
SCOTIA-CAP
BEAR
FRIEDMAN-B-CO
STIFEL</t>
  </si>
  <si>
    <t>UBS Investment Bank
Citi
Credit Suisse
Morgan Stanley
Banc of America Securities LLC
Goldman Sachs &amp; Co
JP Morgan &amp; Co Inc
Lehman Brothers
Wachovia Securities Inc
Scotia Capital (USA) Inc.
Bear Stearns &amp; Co Inc
Friedman Billings Ramsey &amp; Co Inc
Stifel Nicolaus &amp; Co Inc</t>
  </si>
  <si>
    <t>American Capital Agency Corp</t>
  </si>
  <si>
    <t>AGNC</t>
  </si>
  <si>
    <t>02503X105</t>
  </si>
  <si>
    <t>Citi
Merrill Lynch
Credit Suisse
Deutsche Bank Securities Corp
Morgan Stanley
Banc of America Securities LLC
Hongkong &amp; Shanghai Bank (HK)
JMP Securities LLC
RBC Capital Markets</t>
  </si>
  <si>
    <t>11/10/08
11/10/08</t>
  </si>
  <si>
    <t>ACAS</t>
  </si>
  <si>
    <t>American Capital Strategies</t>
  </si>
  <si>
    <t>CITI(JB)/MERRILL(JB)//CREDIT-SUISSE
/DEUTSCHE-BK-SEC/MORGAN-STANLEY
/BA-SEC-LLC/HONG-SHANG-BKG/JMP-SEC
/RBC-CAP-MKTS</t>
  </si>
  <si>
    <t>CITI
(JB)/MERRILL(JB)
CREDIT-SUISSE
DEUTSCHE-BK-SEC
MORGAN-STANLEY
BA-SEC-LLC
HONG-SHANG-BKG
JMP-SEC
RBC-CAP-MKTS</t>
  </si>
  <si>
    <t>Citi
Merrill Lynch &amp; Co Inc
Credit Suisse
Deutsche Bank Securities Corp.
Morgan Stanley
Banc of America Securities LLC
Hongkong &amp; Shanghai Banking Corp Ltd
JMP Securities LLC
RBC Capital Markets</t>
  </si>
  <si>
    <t>Verso Paper Corp</t>
  </si>
  <si>
    <t>VRS</t>
  </si>
  <si>
    <t>CREDIT-SUISSE/CITI(JB)</t>
  </si>
  <si>
    <t>92531L108</t>
  </si>
  <si>
    <t>Credit Suisse
Citi
Deutsche Bank Securities Corp
JP Morgan
Lehman Brothers
Merrill Lynch
Morgan Stanley
Utendahl Capital Partners</t>
  </si>
  <si>
    <t>CREDIT-SUISSE(JB)/CITI(JB)
//DEUTSCHE-BK-SEC/JPM/LEH/MERRILL
/MORGAN-STANLEY/UTENDAHL-CAP</t>
  </si>
  <si>
    <t>CREDIT-SUISSE/CITI</t>
  </si>
  <si>
    <t>CREDIT-SUISSE
(JB)/CITI(JB)
DEUTSCHE-BK-SEC
JPM
LEH
MERRILL
MORGAN-STANLEY
UTENDAHL-CAP</t>
  </si>
  <si>
    <t>Credit Suisse
Citi
Deutsche Bank Securities Corp.
JP Morgan &amp; Co Inc
Lehman Brothers
Merrill Lynch &amp; Co Inc
Morgan Stanley
Utendahl Capital Partners</t>
  </si>
  <si>
    <t>China Fundamental Acq Corp</t>
  </si>
  <si>
    <t>CFQUF</t>
  </si>
  <si>
    <t>CHARDAN-CAP-MKT
/MAXIM-GROUP(JB)</t>
  </si>
  <si>
    <t>G2156W209</t>
  </si>
  <si>
    <t>Chardan Capital Markets LLC
Maxim Group LLC</t>
  </si>
  <si>
    <t>11/11/08
11/11/08</t>
  </si>
  <si>
    <t>CHARDAN-CAP-MKT(JB)/MAXIM-GROUP(JB)</t>
  </si>
  <si>
    <t>CHARDAN-CAP-MKT/MAXIM-GROUP</t>
  </si>
  <si>
    <t>CHARDAN-CAP-MKT
(JB)/MAXIM-GROUP(JB)</t>
  </si>
  <si>
    <t>Safe Bulkers Inc</t>
  </si>
  <si>
    <t>SB</t>
  </si>
  <si>
    <t>Y7388L103</t>
  </si>
  <si>
    <t>Merrill Lynch
Credit Suisse
Jefferies &amp; Co Inc
Dahlman Rose Weiss LLC
DnB Markets AS</t>
  </si>
  <si>
    <t>11/24/08
11/24/08
11/24/08</t>
  </si>
  <si>
    <t>MERRILL(JB)/CREDIT-SUISSE(JB)
//JEFFERIES/DAHLMAN-ROSE/DNBMAR</t>
  </si>
  <si>
    <t>MERRILL
(JB)/CREDIT-SUISSE(JB)
JEFFERIES
DAHLMAN-ROSE
DNBMAR</t>
  </si>
  <si>
    <t>Merrill Lynch &amp; Co Inc
Credit Suisse
Jefferies &amp; Co Inc
Dahlman Rose Weiss LLC
DnB Markets AS</t>
  </si>
  <si>
    <t>Fifth Street Finance Corp</t>
  </si>
  <si>
    <t>FSC</t>
  </si>
  <si>
    <t>GS/UBS-INV-BANK(JB)
/WACHOVIA-SEC(JB)</t>
  </si>
  <si>
    <t>31678A103</t>
  </si>
  <si>
    <t>Goldman Sachs &amp; Co
UBS Investment Bank
Wachovia Securities Inc
BMO Capital Markets
Stifel Nicolaus &amp; Co Inc</t>
  </si>
  <si>
    <t>12/08/08
12/08/08</t>
  </si>
  <si>
    <t>GS(JB)/UBS-INV-BANK(JB)
/WACHOVIA-SEC(JB)//BMO-CAPITAL/STIFEL</t>
  </si>
  <si>
    <t>GS/UBS-INV-BANK/WACHOVIA-SEC</t>
  </si>
  <si>
    <t>GS
(JB)/UBS-INV-BANK(JB)
/WACHOVIA-SEC(JB)
BMO-CAPITAL
STIFEL</t>
  </si>
  <si>
    <t>RHI Entertainment Inc</t>
  </si>
  <si>
    <t>RHIE</t>
  </si>
  <si>
    <t>74957T104</t>
  </si>
  <si>
    <t>JP Morgan
Banc of America Securities LLC
Cowen
Thomas Weisel Partners</t>
  </si>
  <si>
    <t>12/14/08
12/14/08</t>
  </si>
  <si>
    <t>JPM(JB)/BA-SEC-LLC(JB)//COWEN
/THOMAS-WEISEL</t>
  </si>
  <si>
    <t>JPM
(JB)/BA-SEC-LLC(JB)
COWEN
THOMAS-WEISEL</t>
  </si>
  <si>
    <t>JP Morgan &amp; Co Inc
Banc of America Securities LLC
Cowen &amp; Co
Thomas Weisel Partners</t>
  </si>
  <si>
    <t>Britannia Bulk Holdings Inc</t>
  </si>
  <si>
    <t>DWT</t>
  </si>
  <si>
    <t>Y0971E107</t>
  </si>
  <si>
    <t>Goldman Sachs &amp; Co
Banc of America Securities LLC
Dahlman Rose Weiss LLC
Oppenheimer &amp; Co Inc</t>
  </si>
  <si>
    <t>GS(JB)/BA-SEC-LLC(JB)//DAHLMAN-ROSE
/OPPENHEIMER-CO</t>
  </si>
  <si>
    <t>GS
(JB)/BA-SEC-LLC(JB)</t>
  </si>
  <si>
    <t>Goldman Sachs &amp; Co
Banc of America Securities LLC</t>
  </si>
  <si>
    <t>Hong Kong Highpower Tech Inc</t>
  </si>
  <si>
    <t>HPJ</t>
  </si>
  <si>
    <t>43858B207</t>
  </si>
  <si>
    <t>06/14/09
06/14/09</t>
  </si>
  <si>
    <t>Navios Maritime Acq Corp</t>
  </si>
  <si>
    <t>NNA</t>
  </si>
  <si>
    <t>Y62159127</t>
  </si>
  <si>
    <t>JP Morgan
Deutsche Bank Securities Corp
S Goldman Advisors LLC</t>
  </si>
  <si>
    <t>12/23/08
12/23/08</t>
  </si>
  <si>
    <t>JPM(JB)/DEUTSCHE-BK-SEC(JB)//S-GOLDMAN</t>
  </si>
  <si>
    <t>JPM
(JB)/DEUTSCHE-BK-SEC(JB)
S-GOLDMAN</t>
  </si>
  <si>
    <t>JP Morgan &amp; Co Inc
Deutsche Bank Securities Corp.
S Goldman Advisors LLC</t>
  </si>
  <si>
    <t>Energy Recovery Inc</t>
  </si>
  <si>
    <t>ERII</t>
  </si>
  <si>
    <t>29270J100</t>
  </si>
  <si>
    <t>Citi
Credit Suisse
Hongkong &amp; Shanghai Bank (HK)
Janney Montgomery Scott LLC
SEB
Poten Capital Services LLC</t>
  </si>
  <si>
    <t>12/28/08
12/28/08
12/28/08</t>
  </si>
  <si>
    <t>CITI(JB)/CREDIT-SUISSE(JB)
//HONG-SHANG-BKG/JANNEY-LLC/SEB
/POTEN-CAPITAL</t>
  </si>
  <si>
    <t>CITI
(JB)/CREDIT-SUISSE(JB)
HONG-SHANG-BKG
JANNEY-LLC
SEB
POTEN-CAPITAL</t>
  </si>
  <si>
    <t>Citi
Credit Suisse
Hongkong &amp; Shanghai Banking Corp Ltd
Janney Montgomery Scott LLC
SEB
Poten Capital Services LLC</t>
  </si>
  <si>
    <t>GT Solar International Inc</t>
  </si>
  <si>
    <t>SOLR</t>
  </si>
  <si>
    <t>3623E0209</t>
  </si>
  <si>
    <t>Credit Suisse
UBS Investment Bank
Banc of America Securities LLC
Deutsche Bank Securities Corp
Piper Jaffray Cos
Thomas Weisel Partners</t>
  </si>
  <si>
    <t>01/19/09
01/19/09
01/19/09</t>
  </si>
  <si>
    <t>GT Solar Holdings LLC</t>
  </si>
  <si>
    <t>CREDIT-SUISSE(JB)/UBS-INV-BANK(JB)
/BA-SEC-LLC(JOINT)//DEUTSCHE-BK-SEC
/PIPER-JAFFRAY/THOMAS-WEISEL</t>
  </si>
  <si>
    <t>CREDIT-SUISSE
(JB)/UBS-INV-BANK(JB)
/BA-SEC-LLC(JOINT)
DEUTSCHE-BK-SEC
PIPER-JAFFRAY
THOMAS-WEISEL</t>
  </si>
  <si>
    <t>Credit Suisse
UBS Investment Bank
Banc of America Securities LLC
Deutsche Bank Securities Corp.
Piper Jaffray Cos
Thomas Weisel Partners</t>
  </si>
  <si>
    <t>North Asia Investment Corp</t>
  </si>
  <si>
    <t>NHR</t>
  </si>
  <si>
    <t>G66202105</t>
  </si>
  <si>
    <t>Citi
Earlybirdcapital Inc
I-Bankers Securities Inc
Ladenburg Thalmann &amp; Co</t>
  </si>
  <si>
    <t>01/19/09
01/19/09</t>
  </si>
  <si>
    <t>CITI//EARLYBIRD-CAP/I-BANKERS-SEC
/LADENBURG</t>
  </si>
  <si>
    <t>CITI
EARLYBIRD-CAP
I-BANKERS-SEC
LADENBURG</t>
  </si>
  <si>
    <t>Homeowners Choice Inc</t>
  </si>
  <si>
    <t>HCII</t>
  </si>
  <si>
    <t>43741E103</t>
  </si>
  <si>
    <t>Not Available
Anderson &amp; Strudwick
GunnAllen Financial Inc</t>
  </si>
  <si>
    <t>10/22/08
10/22/08</t>
  </si>
  <si>
    <t>NOT-AVAILABLE/ANDERSON
/GUNNALLEN-FINL(JOINT)</t>
  </si>
  <si>
    <t>NOT-AVAILABLE/ANDERSON/GUNNALLEN-FINL</t>
  </si>
  <si>
    <t>NOT-AVAILABLE
/ANDERSON
/GUNNALLEN-FINL(JOINT)</t>
  </si>
  <si>
    <t>Not Available
Anderson &amp; Strudwick
GunnAllen Financial, Inc.</t>
  </si>
  <si>
    <t>China Distance Educ Hldgs Ltd</t>
  </si>
  <si>
    <t>DL</t>
  </si>
  <si>
    <t>16944W104</t>
  </si>
  <si>
    <t>Citi
Merrill Lynch
Oppenheimer &amp; Co Inc
Piper Jaffray Cos</t>
  </si>
  <si>
    <t>01/25/09
01/25/09
01/25/09
01/25/09</t>
  </si>
  <si>
    <t>180
180
180
180</t>
  </si>
  <si>
    <t>CITI(JB)/MERRILL(JB)//OPPENHEIMER-CO
/PIPER-JAFFRAY</t>
  </si>
  <si>
    <t>CITI
(JB)/MERRILL(JB)
OPPENHEIMER-CO
PIPER-JAFFRAY</t>
  </si>
  <si>
    <t>Citi
Merrill Lynch &amp; Co Inc
Oppenheimer &amp; Co Inc
Piper Jaffray Cos</t>
  </si>
  <si>
    <t>China Mass Med Int Adv Corp</t>
  </si>
  <si>
    <t>CMM</t>
  </si>
  <si>
    <t>Merrill Lynch
Oppenheimer &amp; Co Inc
BMO Capital Markets</t>
  </si>
  <si>
    <t>01/31/09
01/31/09
01/31/09</t>
  </si>
  <si>
    <t>MERRILL/OPPENHEIMER-CO(JOINT)
//BMO-CAPITAL</t>
  </si>
  <si>
    <t>MERRILL/OPPENHEIMER-CO</t>
  </si>
  <si>
    <t>MERRILL
/OPPENHEIMER-CO(JOINT)
BMO-CAPITAL</t>
  </si>
  <si>
    <t>Merrill Lynch &amp; Co Inc
Oppenheimer &amp; Co Inc
BMO Capital Markets</t>
  </si>
  <si>
    <t>Rackspace Hosting Inc</t>
  </si>
  <si>
    <t>RAX</t>
  </si>
  <si>
    <t>GS/CREDIT-SUISSE(JB)
/MERRILL(JB)</t>
  </si>
  <si>
    <t>Goldman Sachs &amp; Co
Credit Suisse
Merrill Lynch
WR Hambrecht &amp; Co LLC
Jefferies &amp; Co Inc
Cowen
RBC Capital Markets
JMP Securities LLC
Signal Hill Capital Group LLC
E*Trade Securities Inc</t>
  </si>
  <si>
    <t>02/03/09
02/03/09
02/03/09</t>
  </si>
  <si>
    <t>GS(JB)/CREDIT-SUISSE(JB)/MERRILL(JB)
//W-R-HAMBRECHT/JEFFERIES/COWEN
/RBC-CAP-MKTS/JMP-SEC/SIGNAL-HILL
/E*TRADE-SEC</t>
  </si>
  <si>
    <t>GS/CREDIT-SUISSE/MERRILL</t>
  </si>
  <si>
    <t>GS
(JB)/CREDIT-SUISSE(JB)
/MERRILL(JB)
W-R-HAMBRECHT
JEFFERIES
COWEN
RBC-CAP-MKTS
JMP-SEC
SIGNAL-HILL
E*TRADE-SEC</t>
  </si>
  <si>
    <t>Goldman Sachs &amp; Co
Credit Suisse
Merrill Lynch &amp; Co Inc
WR Hambrecht &amp; Co LLC
Jefferies &amp; Co Inc
Cowen &amp; Co
RBC Capital Markets
JMP Securities LLC
Signal Hill Capital Group LLC
E*Trade Securities Inc</t>
  </si>
  <si>
    <t>CS China Acquisition Corp</t>
  </si>
  <si>
    <t>CSACF</t>
  </si>
  <si>
    <t>G25783104</t>
  </si>
  <si>
    <t>02/07/09
02/07/09</t>
  </si>
  <si>
    <t>Chardan 2008 China Acq Corp</t>
  </si>
  <si>
    <t>CACA</t>
  </si>
  <si>
    <t>BREANMUR-CARRET
/MAXIM-GROUP(JB)
/ROTH-CAPITAL(JB)</t>
  </si>
  <si>
    <t>G8977T127</t>
  </si>
  <si>
    <t>Brean Murray Carret &amp; Co LLC
Maxim Group LLC
Roth Capital Partners Inc
Caris &amp; Company</t>
  </si>
  <si>
    <t>02/08/09
02/08/09</t>
  </si>
  <si>
    <t>BREANMUR-CARRET(JB)/MAXIM-GROUP(JB)
/ROTH-CAPITAL(JB)//CARIS-CO</t>
  </si>
  <si>
    <t>BREANMUR-CARRET/MAXIM-GROUP/ROTH-CAPITAL</t>
  </si>
  <si>
    <t>BREANMUR-CARRET
(JB)/MAXIM-GROUP(JB)
/ROTH-CAPITAL(JB)
CARIS-CO</t>
  </si>
  <si>
    <t>Westport Innovations Inc</t>
  </si>
  <si>
    <t>WPT</t>
  </si>
  <si>
    <t>TSXVenture</t>
  </si>
  <si>
    <t>Jefferies &amp; Co Inc
Lazard Capital Markets
Canaccord Capital Corp
National Bank Financial Inc
ThinkPanmure LLC</t>
  </si>
  <si>
    <t>JEFFERIES//LAZARD-CAP-MKT//CANACCORD
/NATL-BK-FIN/THINKPANMURE</t>
  </si>
  <si>
    <t>JEFFERIES
LAZARD-CAP-MKT</t>
  </si>
  <si>
    <t>Jefferies &amp; Co Inc
Lazard Capital Markets</t>
  </si>
  <si>
    <t>Morgan Stanley Frontier Inc</t>
  </si>
  <si>
    <t>FFD</t>
  </si>
  <si>
    <t>61757P101</t>
  </si>
  <si>
    <t>Morgan Stanley
Oppenheimer &amp; Co Inc
Janney Montgomery Scott LLC
RBC Capital Markets</t>
  </si>
  <si>
    <t>MORGAN-STANLEY//OPPENHEIMER-CO
/JANNEY-LLC/RBC-CAP-MKTS</t>
  </si>
  <si>
    <t>MORGAN-STANLEY
OPPENHEIMER-CO
JANNEY-LLC
RBC-CAP-MKTS</t>
  </si>
  <si>
    <t>Pansoft Co Ltd</t>
  </si>
  <si>
    <t>PSOF</t>
  </si>
  <si>
    <t>G6891W101</t>
  </si>
  <si>
    <t>Not Available
Anderson &amp; Strudwick</t>
  </si>
  <si>
    <t>12/04/08
12/04/08
12/04/08</t>
  </si>
  <si>
    <t>NOT-AVAILABLE/ANDERSON(JOINT)</t>
  </si>
  <si>
    <t>NOT-AVAILABLE/ANDERSON</t>
  </si>
  <si>
    <t>NOT-AVAILABLE
/ANDERSON(JOINT)</t>
  </si>
  <si>
    <t>Home Bancorp Inc</t>
  </si>
  <si>
    <t>43689E107</t>
  </si>
  <si>
    <t>Grand Canyon Education Inc</t>
  </si>
  <si>
    <t>LOPE</t>
  </si>
  <si>
    <t>38526M106</t>
  </si>
  <si>
    <t>Credit Suisse
Merrill Lynch
BMO Capital Markets
William Blair &amp; Co
Piper Jaffray Cos
Barrington Research Inc.</t>
  </si>
  <si>
    <t>05/18/09
05/18/09</t>
  </si>
  <si>
    <t>CREDIT-SUISSE(JB)/MERRILL(JB)
//BMO-CAPITAL/WM-BLAIR/PIPER-JAFFRAY
/BARRINGTON-RES</t>
  </si>
  <si>
    <t>CREDIT-SUISSE
(JB)/MERRILL(JB)
BMO-CAPITAL
WM-BLAIR
PIPER-JAFFRAY
BARRINGTON-RES</t>
  </si>
  <si>
    <t>Credit Suisse
Merrill Lynch &amp; Co Inc
BMO Capital Markets
William Blair &amp; Co
Piper Jaffray Cos
Barrington Research Inc.</t>
  </si>
  <si>
    <t>Hibernia Homestead Bancorp Inc</t>
  </si>
  <si>
    <t>HIBE</t>
  </si>
  <si>
    <t>NON-UNDERWRITTE</t>
  </si>
  <si>
    <t>42866N104</t>
  </si>
  <si>
    <t>Non Underwritten</t>
  </si>
  <si>
    <t>Mead Johnson Nutrition Co</t>
  </si>
  <si>
    <t>MJN</t>
  </si>
  <si>
    <t>CITI/MORGAN-STANLEY(JB)
/BA-SEC-LLC(JB)
/CREDIT-SUISSE(JB)
/JPM(JB)</t>
  </si>
  <si>
    <t>Citi
Morgan Stanley
Banc of America Securities LLC
Credit Suisse
JP Morgan
Lazard Capital Markets
RBC Capital Markets
UBS Investment Bank
Blaylock &amp; Co Inc
Melvin Securities Corporation
Samuel A. Ramirez &amp; Co.
Muriel Siebert &amp; Co
SL Hare Capital Inc</t>
  </si>
  <si>
    <t>BMY</t>
  </si>
  <si>
    <t>Bristol-Myers Squibb Co</t>
  </si>
  <si>
    <t>CITI(JB)/MORGAN-STANLEY(JB)
/BA-SEC-LLC(JB)/CREDIT-SUISSE(JB)
/JPM(JB)//LAZARD-CAP-MKT/RBC-CAP-MKTS
/UBS-INV-BANK//BLAYLOCK-CO/MELVIN-SEC
/RAMIREZ/MURIEL/SL-HARE</t>
  </si>
  <si>
    <t>CITI/MORGAN-STANLEY/BA-SEC-LLC
/CREDIT-SUISSE/JPM</t>
  </si>
  <si>
    <t>CITI
(JB)/MORGAN-STANLEY(JB)
/BA-SEC-LLC(JB)
/CREDIT-SUISSE(JB)
/JPM(JB)
LAZARD-CAP-MKT
RBC-CAP-MKTS
UBS-INV-BANK</t>
  </si>
  <si>
    <t>Citi
Morgan Stanley
Banc of America Securities LLC
Credit Suisse
JP Morgan &amp; Co Inc
Lazard Capital Markets
RBC Capital Markets
UBS Investment Bank</t>
  </si>
  <si>
    <t>Nuveen Municipal Value Fund 2</t>
  </si>
  <si>
    <t>NUW</t>
  </si>
  <si>
    <t>CITI/NUVEEN-INV(JB)
/HR-BLOCK-FIN(JB)
/BB-T-CAP(JB)
/DEUTSCHE-BK-SEC(JB)
/HILLIARD(JB)
/HONG-SHANG-BKG(JB)
/JANNEY-LLC(JB)
/LADENBURG(JB)
/MAXIM-GROUP(JB)
/OPPENHEIMER-CO(JB)
/RBC-CAP-MKTS(JB)
/SWS-SEC(JB)/STIFEL(JB)</t>
  </si>
  <si>
    <t>Citi
Nuveen Investments LLC
H&amp;R Block Financial Advisors
BB&amp;T Capital Markets
Deutsche Bank Securities Corp
JJB Hilliard WL Lyons Inc
Hongkong &amp; Shanghai Bank (HK)
Janney Montgomery Scott LLC
Ladenburg Thalmann &amp; Co
Maxim Group LLC
Oppenheimer &amp; Co Inc
RBC Capital Markets
Southwest Securities Inc
Stifel Nicolaus &amp; Co Inc
DA Davidson &amp; Co Inc
David A. Noyes
Dominick &amp; Dominick Inc
Howe Barnes Hoefer Arnett Inc
Huntleigh Securities Corp
Newbridge Securities
Regal Securities Inc
Stephens Inc
Summit Brokerage Services Inc
Andrew Garrett Group
Brean Murray Carret &amp; Co LLC
City Securities
Dawson James Securities
Johnston Lemon &amp; Co Inc
LaSalle Street Securities Inc
McGinn, Smith &amp; Co Inc
Morgan Wilshire Securities
Muriel Siebert &amp; Co
Northeast Securities Inc.
Torrey Pines Securities
Wayne Hummer &amp; Co
William Blair &amp; Co</t>
  </si>
  <si>
    <t>014</t>
  </si>
  <si>
    <t>CITI(JB)/NUVEEN-INV(JB)
/HR-BLOCK-FIN(JB)/BB-T-CAP(JB)
/DEUTSCHE-BK-SEC(JB)/HILLIARD(JB)
/HONG-SHANG-BKG(JB)/JANNEY-LLC(JB)
/LADENBURG(JB)/MAXIM-GROUP(JB)
/OPPENHEIMER-CO(JB)/RBC-CAP-MKTS(JB)
/SWS-SEC(JB)/STIFEL(JB)//DAVIDSON
/D-A-NOYES/DOMINICK/HBHOEFER-ARNETT
/HUNTLEIGH-SEC/NEWBRIDGE/REGAL-SEC-INC
/STEPHENS/SUMMIT-BROKER/ANDREW-GARRETT
/BREANMUR-CARRET/CITY-SEC/DAWSON-JAMES
/JOHNSTON-LEMON/LASALLE-SEC
/MCGINN-SMITH/MORGAN-WILSHIRE/MURIEL
/NORTHEAST-SEC/TORREY-PINES/HUMMER
/WM-BLAIR</t>
  </si>
  <si>
    <t>CITI/NUVEEN-INV/HR-BLOCK-FIN/BB-T-CAP
/DEUTSCHE-BK-SEC/HILLIARD/HONG-SHANG-BKG
/JANNEY-LLC/LADENBURG/MAXIM-GROUP
/OPPENHEIMER-CO/RBC-CAP-MKTS/SWS-SEC
/STIFEL</t>
  </si>
  <si>
    <t>CITI
(JB)/NUVEEN-INV(JB)
/HR-BLOCK-FIN(JB)
/BB-T-CAP(JB)
/DEUTSCHE-BK-SEC(JB)
/HILLIARD(JB)
/HONG-SHANG-BKG(JB)
/JANNEY-LLC(JB)
/LADENBURG(JB)
/MAXIM-GROUP(JB)
/OPPENHEIMER-CO(JB)
/RBC-CAP-MKTS(JB)
/SWS-SEC(JB)
/STIFEL(JB)</t>
  </si>
  <si>
    <t>Citi
Nuveen Investments LLC
H&amp;R Block Financial Advisors
BB&amp;T Capital Markets
Deutsche Bank Securities Corp.
JJB Hilliard WL Lyons Inc
Hongkong &amp; Shanghai Banking Corp Ltd
Janney Montgomery Scott LLC
Ladenburg Thalmann &amp; Co
Maxim Group LLC
Oppenheimer &amp; Co Inc
RBC Capital Markets
Southwest Securities Inc
Stifel Nicolaus &amp; Co Inc</t>
  </si>
  <si>
    <t>NIVS IntelliMedia Tech Gp Inc</t>
  </si>
  <si>
    <t>NIV</t>
  </si>
  <si>
    <t>62914U108</t>
  </si>
  <si>
    <t>Western Asset Mun Defined Opp</t>
  </si>
  <si>
    <t>MTT</t>
  </si>
  <si>
    <t>95768A109</t>
  </si>
  <si>
    <t>Wachovia Securities Inc
Citi
Raymond James &amp; Associates Inc
H&amp;R Block Financial Advisors
Crowell Weedon &amp; Co
JJB Hilliard WL Lyons Inc
Ladenburg Thalmann &amp; Co
Maxim Group LLC
Morgan Keegan Inc
RBC Capital Markets
Southwest Securities Inc
Stifel Nicolaus &amp; Co Inc
Wells Fargo Securities LLC
Andrew Garrett Group
BB&amp;T Capital Markets
Brean Murray Carret &amp; Co LLC
DA Davidson &amp; Co Inc
David A. Noyes
Dawson James Securities
Howe Barnes Hoefer Arnett Inc
JP Turner &amp; Co
Jesup &amp; Lamont Securities
Johnston Lemon &amp; Co Inc
Milkie/Ferguson Investments
Muriel Siebert &amp; Co
Newbridge Securities
Regal Securities Inc
Stonnington Group LLC
Summit Brokerage Services Inc
Wayne Hummer &amp; Co
Dominick &amp; Dominick Inc</t>
  </si>
  <si>
    <t>WACHOVIA-SEC(JB)/CITI(JB)//RAYMOND
/HR-BLOCK-FIN/CROWELL/HILLIARD
/LADENBURG/MAXIM-GROUP/MORGAN-KEEGAN
/RBC-CAP-MKTS/SWS-SEC/STIFEL
/WELLS-FARGO-SEC//ANDREW-GARRETT
/BB-T-CAP/BREANMUR-CARRET/DAVIDSON
/D-A-NOYES/DAWSON-JAMES/HBHOEFER-ARNETT
/J-P-TURNER/JESUP/JOHNSTON-LEMON
/MILKIE-FERGUSON/MURIEL/NEWBRIDGE
/REGAL-SEC-INC/STONNINGTON-LLC
/SUMMIT-BROKER/HUMMER/DOMINICK</t>
  </si>
  <si>
    <t>WACHOVIA-SEC
(JB)/CITI(JB)
RAYMOND
HR-BLOCK-FIN
CROWELL
HILLIARD
LADENBURG
MAXIM-GROUP
MORGAN-KEEGAN
RBC-CAP-MKTS
SWS-SEC
STIFEL
WELLS-FARGO-SEC</t>
  </si>
  <si>
    <t>Wachovia Securities Inc
Citi
Raymond James &amp; Associates Inc
H&amp;R Block Financial Advisors
Crowell Weedon &amp; Co
JJB Hilliard WL Lyons Inc
Ladenburg Thalmann &amp; Co
Maxim Group LLC
Morgan Keegan Inc
RBC Capital Markets
Southwest Securities Inc
Stifel Nicolaus &amp; Co Inc
Wells Fargo Securities LLC</t>
  </si>
  <si>
    <t>Changyou.com Ltd</t>
  </si>
  <si>
    <t>CYOU</t>
  </si>
  <si>
    <t>CS/MERRILL(JB)</t>
  </si>
  <si>
    <t>15911M107</t>
  </si>
  <si>
    <t>Credit Suisse
Merrill Lynch
Citi
Susquehanna Financial Group</t>
  </si>
  <si>
    <t>CS(JB)/MERRILL(JB)/CITI(JOINT)
//SUSQUEHANNA-FIN</t>
  </si>
  <si>
    <t>CS/MERRILL/CITI</t>
  </si>
  <si>
    <t>CS
(JB)/MERRILL(JB)
/CITI(JOINT)
SUSQUEHANNA-FIN</t>
  </si>
  <si>
    <t>Credit Suisse
Merrill Lynch &amp; Co Inc
Citi
Susquehanna Financial Group</t>
  </si>
  <si>
    <t>Bridgepoint Education Inc</t>
  </si>
  <si>
    <t>BPI</t>
  </si>
  <si>
    <t>10807M105</t>
  </si>
  <si>
    <t>Credit Suisse
JP Morgan
William Blair &amp; Co
BMO Capital Markets
Piper Jaffray Cos
Signal Hill Capital Group LLC</t>
  </si>
  <si>
    <t>CREDIT-SUISSE(JB)/JPM(JB)//WM-BLAIR
/BMO-CAPITAL/PIPER-JAFFRAY/SIGNAL-HILL</t>
  </si>
  <si>
    <t>CREDIT-SUISSE
(JB)/JPM(JB)
WM-BLAIR
BMO-CAPITAL
PIPER-JAFFRAY
SIGNAL-HILL</t>
  </si>
  <si>
    <t>Credit Suisse
JP Morgan &amp; Co Inc
William Blair &amp; Co
BMO Capital Markets
Piper Jaffray Cos
Signal Hill Capital Group LLC</t>
  </si>
  <si>
    <t>Rosetta Stone Inc</t>
  </si>
  <si>
    <t>RST</t>
  </si>
  <si>
    <t>MS/WM-BLAIR(JB)</t>
  </si>
  <si>
    <t>Morgan Stanley &amp; Co
William Blair &amp; Co
Jefferies &amp; Co Inc
Piper Jaffray Cos
Robert W Baird &amp; Co Inc</t>
  </si>
  <si>
    <t>MS(JB)/WM-BLAIR(JB)//JEFFERIES
/PIPER-JAFFRAY/BAIRD</t>
  </si>
  <si>
    <t>MS/WM-BLAIR</t>
  </si>
  <si>
    <t>MS
(JB)/WM-BLAIR(JB)
JEFFERIES
PIPER-JAFFRAY
BAIRD</t>
  </si>
  <si>
    <t>Nuveen California Municipal</t>
  </si>
  <si>
    <t>NCB</t>
  </si>
  <si>
    <t>MERRILL/CITI(JB)
/MORGAN-STANLEY(JB)
/NUVEEN-INV(JB)</t>
  </si>
  <si>
    <t>6706EB106</t>
  </si>
  <si>
    <t>Merrill Lynch
Citi
Morgan Stanley
Nuveen Investments LLC
Ladenburg Thalmann &amp; Co
Maxim Group LLC
RBC Capital Markets
Stifel Nicolaus &amp; Co Inc
Joseph Gunnar &amp; Co., LLC
Paulson Investment Co
Torrey Pines Securities</t>
  </si>
  <si>
    <t>MERRILL(JB)/CITI(JB)/MORGAN-STANLEY(JB)
/NUVEEN-INV(JB)//LADENBURG/MAXIM-GROUP
/RBC-CAP-MKTS/STIFEL//GUNNAR/PAULSON
/TORREY-PINES</t>
  </si>
  <si>
    <t>MERRILL/CITI/MORGAN-STANLEY/NUVEEN-INV</t>
  </si>
  <si>
    <t>MERRILL
(JB)/CITI(JB)
/MORGAN-STANLEY(JB)
/NUVEEN-INV(JB)
LADENBURG
MAXIM-GROUP
RBC-CAP-MKTS
STIFEL</t>
  </si>
  <si>
    <t>Merrill Lynch &amp; Co Inc
Citi
Morgan Stanley
Nuveen Investments LLC
Ladenburg Thalmann &amp; Co
Maxim Group LLC
RBC Capital Markets
Stifel Nicolaus &amp; Co Inc</t>
  </si>
  <si>
    <t>Nuveen New Jersey Municipal</t>
  </si>
  <si>
    <t>NJV</t>
  </si>
  <si>
    <t>Merrill Lynch
Citi
Morgan Stanley
Nuveen Investments LLC
Hongkong &amp; Shanghai Bank (HK)
JJB Hilliard WL Lyons Inc
Janney Montgomery Scott LLC
Ladenburg Thalmann &amp; Co
Maxim Group LLC
RBC Capital Markets
Stifel Nicolaus &amp; Co Inc
BB&amp;T Capital Markets
Dominick &amp; Dominick Inc
Joseph Gunnar &amp; Co., LLC
Jesup &amp; Lamont Securities
McGinn, Smith &amp; Co Inc
Paulson Investment Co
JP Turner &amp; Co</t>
  </si>
  <si>
    <t>MERRILL(JB)/CITI(JB)/MORGAN-STANLEY(JB)
/NUVEEN-INV(JB)//HONG-SHANG-BKG
/HILLIARD/JANNEY-LLC/LADENBURG
/MAXIM-GROUP/RBC-CAP-MKTS/STIFEL
//BB-T-CAP/DOMINICK/GUNNAR/JESUP
/MCGINN-SMITH/PAULSON/J-P-TURNER</t>
  </si>
  <si>
    <t>MERRILL
(JB)/CITI(JB)
/MORGAN-STANLEY(JB)
/NUVEEN-INV(JB)
HONG-SHANG-BKG
HILLIARD
JANNEY-LLC
LADENBURG
MAXIM-GROUP
RBC-CAP-MKTS
STIFEL</t>
  </si>
  <si>
    <t>Merrill Lynch &amp; Co Inc
Citi
Morgan Stanley
Nuveen Investments LLC
Hongkong &amp; Shanghai Banking Corp Ltd
JJB Hilliard WL Lyons Inc
Janney Montgomery Scott LLC
Ladenburg Thalmann &amp; Co
Maxim Group LLC
RBC Capital Markets
Stifel Nicolaus &amp; Co Inc</t>
  </si>
  <si>
    <t>Nuveen New York Municipal</t>
  </si>
  <si>
    <t>NYV</t>
  </si>
  <si>
    <t>Merrill Lynch
Citi
Morgan Stanley
Nuveen Investments LLC
Janney Montgomery Scott LLC
Ladenburg Thalmann &amp; Co
Maxim Group LLC
RBC Capital Markets
Stifel Nicolaus &amp; Co Inc
Hongkong &amp; Shanghai Bank (HK)
JJB Hilliard WL Lyons Inc
Brean Murray Carret &amp; Co LLC
Dominick &amp; Dominick Inc
Joseph Gunnar &amp; Co., LLC
Jesup &amp; Lamont Securities
McGinn, Smith &amp; Co Inc
Muriel Siebert &amp; Co
Torrey Pines Securities</t>
  </si>
  <si>
    <t>MERRILL(JB)/CITI(JB)/MORGAN-STANLEY(JB)
/NUVEEN-INV(JB)//JANNEY-LLC/LADENBURG
/MAXIM-GROUP/RBC-CAP-MKTS/STIFEL
//HONG-SHANG-BKG/HILLIARD
/BREANMUR-CARRET/DOMINICK/GUNNAR/JESUP
/MCGINN-SMITH/MURIEL/TORREY-PINES</t>
  </si>
  <si>
    <t>MERRILL
(JB)/CITI(JB)
/MORGAN-STANLEY(JB)
/NUVEEN-INV(JB)
JANNEY-LLC
LADENBURG
MAXIM-GROUP
RBC-CAP-MKTS
STIFEL</t>
  </si>
  <si>
    <t>Merrill Lynch &amp; Co Inc
Citi
Morgan Stanley
Nuveen Investments LLC
Janney Montgomery Scott LLC
Ladenburg Thalmann &amp; Co
Maxim Group LLC
RBC Capital Markets
Stifel Nicolaus &amp; Co Inc</t>
  </si>
  <si>
    <t>Nuveen Pennsylvania Municipal</t>
  </si>
  <si>
    <t>NPN</t>
  </si>
  <si>
    <t>67074K105</t>
  </si>
  <si>
    <t>Merrill Lynch
Citi
Morgan Stanley
Nuveen Investments LLC
JJB Hilliard WL Lyons Inc
Janney Montgomery Scott LLC
RBC Capital Markets
Stifel Nicolaus &amp; Co Inc
Jesup &amp; Lamont Securities
Maxim Group LLC</t>
  </si>
  <si>
    <t>MERRILL(JB)/CITI(JB)/MORGAN-STANLEY(JB)
/NUVEEN-INV(JB)//HILLIARD/JANNEY-LLC
/RBC-CAP-MKTS/STIFEL//JESUP/MAXIM-GROUP</t>
  </si>
  <si>
    <t>MERRILL
(JB)/CITI(JB)
/MORGAN-STANLEY(JB)
/NUVEEN-INV(JB)
HILLIARD
JANNEY-LLC
RBC-CAP-MKTS
STIFEL</t>
  </si>
  <si>
    <t>Merrill Lynch &amp; Co Inc
Citi
Morgan Stanley
Nuveen Investments LLC
JJB Hilliard WL Lyons Inc
Janney Montgomery Scott LLC
RBC Capital Markets
Stifel Nicolaus &amp; Co Inc</t>
  </si>
  <si>
    <t>DigitalGlobe Inc</t>
  </si>
  <si>
    <t>DGI</t>
  </si>
  <si>
    <t>25389M877</t>
  </si>
  <si>
    <t>Morgan Stanley
JP Morgan
Citi
Merrill Lynch
Jefferies &amp; Co Inc</t>
  </si>
  <si>
    <t>MORGAN-STANLEY(JB)/JPM(JB)//CITI
/MERRILL/JEFFERIES</t>
  </si>
  <si>
    <t>MORGAN-STANLEY
(JB)/JPM(JB)
CITI
MERRILL
JEFFERIES</t>
  </si>
  <si>
    <t>Morgan Stanley
JP Morgan &amp; Co Inc
Citi
Merrill Lynch &amp; Co Inc
Jefferies &amp; Co Inc</t>
  </si>
  <si>
    <t>SolarWinds Inc</t>
  </si>
  <si>
    <t>SWI</t>
  </si>
  <si>
    <t>JPM/GS(JB)
/MORGAN-STANLEY(JB)</t>
  </si>
  <si>
    <t>83416B109</t>
  </si>
  <si>
    <t>JP Morgan
Goldman Sachs &amp; Co
Morgan Stanley
Jefferies &amp; Co Inc
Thomas Weisel Partners
Ladenburg Thalmann &amp; Co</t>
  </si>
  <si>
    <t>JPM(JB)/GS(JB)/MORGAN-STANLEY(JB)
//JEFFERIES/THOMAS-WEISEL/LADENBURG</t>
  </si>
  <si>
    <t>JPM/GS/MORGAN-STANLEY</t>
  </si>
  <si>
    <t>JPM
(JB)/GS(JB)
/MORGAN-STANLEY(JB)
JEFFERIES
THOMAS-WEISEL
LADENBURG</t>
  </si>
  <si>
    <t>JP Morgan &amp; Co Inc
Goldman Sachs &amp; Co
Morgan Stanley
Jefferies &amp; Co Inc
Thomas Weisel Partners
Ladenburg Thalmann &amp; Co</t>
  </si>
  <si>
    <t>OpenTable Inc</t>
  </si>
  <si>
    <t>68372A104</t>
  </si>
  <si>
    <t>Merrill Lynch
Allen &amp; Co Inc
Stifel Nicolaus &amp; Co Inc
ThinkEquity Partners</t>
  </si>
  <si>
    <t>MERRILL//ALLEN/STIFEL/THINK</t>
  </si>
  <si>
    <t>MERRILL
ALLEN
STIFEL
THINK</t>
  </si>
  <si>
    <t>Merrill Lynch &amp; Co Inc
Allen &amp; Co Inc
Stifel Nicolaus &amp; Co Inc
ThinkEquity Partners</t>
  </si>
  <si>
    <t>Eaton Vance Natl Municipal Opp</t>
  </si>
  <si>
    <t>EOT</t>
  </si>
  <si>
    <t>UBS-INV-BANK/CITI(JB)</t>
  </si>
  <si>
    <t>27829L105</t>
  </si>
  <si>
    <t>UBS Investment Bank
Citi
Merrill Lynch
Morgan Stanley
Wachovia Securities Inc
RBC Capital Markets
H&amp;R Block Financial Advisors
Janney Montgomery Scott LLC
Oppenheimer &amp; Co Inc
Stifel Nicolaus &amp; Co Inc
JJB Hilliard WL Lyons Inc
Ladenburg Thalmann &amp; Co
Maxim Group LLC
Southwest Securities Inc
BB&amp;T Capital Markets
Bishop, Rosen &amp; Co
Brean Murray Carret &amp; Co LLC
Cantella &amp; Co.
Comerica Securities
Crowell Weedon &amp; Co
David A. Noyes
Dominick &amp; Dominick Inc
Dougherty &amp; Company LLC
Fifth Third Securities Inc
Hennion &amp; Walsh, Inc
Howe Barnes Hoefer Arnett Inc
Huntleigh Securities Corp
Jesup &amp; Lamont Securities
LaSalle Street Securities Inc
Morgan Keegan Inc
Muriel Siebert &amp; Co
Newbridge Securities
Regal Securities Inc
Stephens Inc
Summit Brokerage Services Inc
The Huntington Company
Wayne Hummer &amp; Co
Western Securities</t>
  </si>
  <si>
    <t>UBS-INV-BANK(JB)/CITI(JB)//MERRILL
/MORGAN-STANLEY/WACHOVIA-SEC
/RBC-CAP-MKTS/HR-BLOCK-FIN/JANNEY-LLC
/OPPENHEIMER-CO/STIFEL/HILLIARD
/LADENBURG/MAXIM-GROUP/SWS-SEC
//BB-T-CAP/BISHOP-ROSEN/BREANMUR-CARRET
/CANTELLA/COMERICA-SEC/CROWELL
/D-A-NOYES/DOMINICK/DOUGHERTY
/FIFTH-THIRD-SEC/HENNION-WALSH
/HBHOEFER-ARNETT/HUNTLEIGH-SEC/JESUP
/LASALLE-SEC/MORGAN-KEEGAN/MURIEL
/NEWBRIDGE/REGAL-SEC-INC/STEPHENS
/SUMMIT-BROKER/HUNTINGTON/HUMMER
/WESTERN-SEC</t>
  </si>
  <si>
    <t>UBS-INV-BANK/CITI</t>
  </si>
  <si>
    <t>UBS-INV-BANK
(JB)/CITI(JB)
MERRILL
MORGAN-STANLEY
WACHOVIA-SEC
RBC-CAP-MKTS
HR-BLOCK-FIN
JANNEY-LLC
OPPENHEIMER-CO
STIFEL
HILLIARD
LADENBURG
MAXIM-GROUP
SWS-SEC</t>
  </si>
  <si>
    <t>UBS Investment Bank
Citi
Merrill Lynch &amp; Co Inc
Morgan Stanley
Wachovia Securities Inc
RBC Capital Markets
H&amp;R Block Financial Advisors
Janney Montgomery Scott LLC
Oppenheimer &amp; Co Inc
Stifel Nicolaus &amp; Co Inc
JJB Hilliard WL Lyons Inc
Ladenburg Thalmann &amp; Co
Maxim Group LLC
Southwest Securities Inc</t>
  </si>
  <si>
    <t>Govt Ppty Income Tr</t>
  </si>
  <si>
    <t>GOV</t>
  </si>
  <si>
    <t>MERRILL
/WACHOVIA-SEC(JB)
/MORGAN-STANLEY(JB)</t>
  </si>
  <si>
    <t>38376A103</t>
  </si>
  <si>
    <t>Merrill Lynch
Wachovia Securities Inc
Morgan Stanley
Citi
Morgan Keegan Inc
RBC Capital Markets
UBS Investment Bank
BB&amp;T Capital Markets
Bank of New York Mellon Corp
Robert W Baird &amp; Co Inc
Barclays
JJB Hilliard WL Lyons Inc
Janney Montgomery Scott LLC
Macquarie Equity Capital Mkts
Oppenheimer &amp; Co Inc</t>
  </si>
  <si>
    <t>MERRILL(JB)/WACHOVIA-SEC(JB)
/MORGAN-STANLEY(JB)/CITI/MORGAN-KEEGAN
/RBC-CAP-MKTS/UBS-INV-BANK(JOINT)
//BB-T-CAP/BNY-MELLON/BAIRD
/BARCLAYS-CAP/HILLIARD/JANNEY-LLC
/MAC-EQ-CM/OPPENHEIMER-CO</t>
  </si>
  <si>
    <t>MERRILL/WACHOVIA-SEC/MORGAN-STANLEY/CITI
/MORGAN-KEEGAN/RBC-CAP-MKTS/UBS-INV-BANK</t>
  </si>
  <si>
    <t>MERRILL
(JB)/WACHOVIA-SEC(JB)
/MORGAN-STANLEY(JB)
/CITI
/MORGAN-KEEGAN
/RBC-CAP-MKTS
/UBS-INV-BANK(JOINT)</t>
  </si>
  <si>
    <t>Merrill Lynch &amp; Co Inc
Wachovia Securities Inc
Morgan Stanley
Citi
Morgan Keegan Inc
RBC Capital Markets
UBS Investment Bank</t>
  </si>
  <si>
    <t>Cypress Sharpridge Invest Inc</t>
  </si>
  <si>
    <t>CYS</t>
  </si>
  <si>
    <t>BARCLAYS-CAP</t>
  </si>
  <si>
    <t>23281A307</t>
  </si>
  <si>
    <t>Barclays
JMP Securities LLC
Stifel Nicolaus &amp; Co Inc
Oppenheimer &amp; Co Inc</t>
  </si>
  <si>
    <t>BARCLAYS-CAP//JMP-SEC/STIFEL
/OPPENHEIMER-CO</t>
  </si>
  <si>
    <t>BARCLAYS-CAP
JMP-SEC
STIFEL
OPPENHEIMER-CO</t>
  </si>
  <si>
    <t>Chemspec International Ltd</t>
  </si>
  <si>
    <t>CPC</t>
  </si>
  <si>
    <t>Credit Suisse
Citi
Oppenheimer &amp; Co Inc
Piper Jaffray Inc</t>
  </si>
  <si>
    <t>CREDIT-SUISSE(JB)/CITI(JB)
//OPPENHEIMER-CO/PIPER-J</t>
  </si>
  <si>
    <t>CREDIT-SUISSE
(JB)/CITI(JB)
OPPENHEIMER-CO
PIPER-J</t>
  </si>
  <si>
    <t>Duoyuan Global Water Inc</t>
  </si>
  <si>
    <t>DGW</t>
  </si>
  <si>
    <t>PIPER-J</t>
  </si>
  <si>
    <t>Piper Jaffray Inc
Oppenheimer &amp; Co Inc
Janney Montgomery Scott LLC</t>
  </si>
  <si>
    <t>PIPER-J//OPPENHEIMER-CO/JANNEY-LLC</t>
  </si>
  <si>
    <t>Piper Jaffray Inc</t>
  </si>
  <si>
    <t>Medidata Solutions Inc</t>
  </si>
  <si>
    <t>MDSO</t>
  </si>
  <si>
    <t>58471A105</t>
  </si>
  <si>
    <t>Citi
Credit Suisse
Jefferies &amp; Co Inc
Needham &amp; Co LLC</t>
  </si>
  <si>
    <t>CITI(JB)/CREDIT-SUISSE(JB)//JEFFERIES
/NEEDHAM</t>
  </si>
  <si>
    <t>CITI
(JB)/CREDIT-SUISSE(JB)
JEFFERIES
NEEDHAM</t>
  </si>
  <si>
    <t>Invesco Mortgage Capital Inc</t>
  </si>
  <si>
    <t>IVR</t>
  </si>
  <si>
    <t>46131B100</t>
  </si>
  <si>
    <t>Credit Suisse
Morgan Stanley
Barclays
Keefe Bruyette &amp; Woods Inc
Stifel Nicolaus &amp; Co Inc
Jackson Securities Inc
Siebert Financial Corp
Williams Capital Group LP</t>
  </si>
  <si>
    <t>12/22/09
12/22/09</t>
  </si>
  <si>
    <t>84.999
84.999</t>
  </si>
  <si>
    <t>8500000.00
8500000.00</t>
  </si>
  <si>
    <t>CREDIT-SUISSE(JB)/MORGAN-STANLEY(JB)
//BARCLAYS-CAP/KEEFE/STIFEL/JACKSON-SEC
/SIEBERT-FIN/WILLIAMS-CAP</t>
  </si>
  <si>
    <t>CREDIT-SUISSE
(JB)/MORGAN-STANLEY(JB)
BARCLAYS-CAP
KEEFE
STIFEL
JACKSON-SEC
SIEBERT-FIN
WILLIAMS-CAP</t>
  </si>
  <si>
    <t>Wstn Asset Invest Grade Define</t>
  </si>
  <si>
    <t>IGI</t>
  </si>
  <si>
    <t>MERRILL/CITI(JB)
/WACHOVIA-SEC(JB)</t>
  </si>
  <si>
    <t>95790A101</t>
  </si>
  <si>
    <t>Merrill Lynch
Citi
Wachovia Securities Inc
Raymond James &amp; Associates Inc
H&amp;R Block Financial Advisors
Janney Montgomery Scott LLC
Ladenburg Thalmann &amp; Co
Maxim Group LLC
RBC Capital Markets
Crowell Weedon &amp; Co
Dominick &amp; Dominick Inc
Paulson Investment Co
Wayne Hummer &amp; Co
Morgan Keegan Inc
Robert W Baird &amp; Co Inc
Regal Securities Inc
Wedbush Securities
Newbridge Securities
BB&amp;T Capital Markets
Summit Brokerage Services Inc
Howe Barnes Hoefer Arnett Inc
Muriel Siebert &amp; Co
Southwest Securities Inc</t>
  </si>
  <si>
    <t>MERRILL(JB)/CITI(JB)/WACHOVIA-SEC(JB)
//RAYMOND/HR-BLOCK-FIN/JANNEY-LLC
/LADENBURG/MAXIM-GROUP/RBC-CAP-MKTS
//CROWELL/DOMINICK/PAULSON/HUMMER
/MORGAN-KEEGAN/BAIRD/REGAL-SEC-INC
/WEDBUSH-M/NEWBRIDGE/BB-T-CAP
/SUMMIT-BROKER/HBHOEFER-ARNETT/MURIEL
/SWS-SEC</t>
  </si>
  <si>
    <t>MERRILL/CITI/WACHOVIA-SEC</t>
  </si>
  <si>
    <t>MERRILL
(JB)/CITI(JB)
/WACHOVIA-SEC(JB)
RAYMOND
HR-BLOCK-FIN
JANNEY-LLC
LADENBURG
MAXIM-GROUP
RBC-CAP-MKTS</t>
  </si>
  <si>
    <t>Merrill Lynch &amp; Co Inc
Citi
Wachovia Securities Inc
Raymond James &amp; Associates Inc
H&amp;R Block Financial Advisors
Janney Montgomery Scott LLC
Ladenburg Thalmann &amp; Co
Maxim Group LLC
RBC Capital Markets</t>
  </si>
  <si>
    <t>LogMeIn Inc</t>
  </si>
  <si>
    <t>LOGM</t>
  </si>
  <si>
    <t>JPM/BARCLAYS-CAP(JB)</t>
  </si>
  <si>
    <t>54142L109</t>
  </si>
  <si>
    <t>JP Morgan
Barclays
Thomas Weisel Partners
Piper Jaffray Cos
RBC Capital Markets</t>
  </si>
  <si>
    <t>JPM(JB)/BARCLAYS-CAP(JB)//THOMAS-WEISEL
/PIPER-JAFFRAY/RBC-CAP-MKTS</t>
  </si>
  <si>
    <t>JPM/BARCLAYS-CAP</t>
  </si>
  <si>
    <t>JPM
(JB)/BARCLAYS-CAP(JB)
THOMAS-WEISEL
PIPER-JAFFRAY
RBC-CAP-MKTS</t>
  </si>
  <si>
    <t>JP Morgan &amp; Co Inc
Barclays
Thomas Weisel Partners
Piper Jaffray Cos
RBC Capital Markets</t>
  </si>
  <si>
    <t>Territorial Bancorp Inc</t>
  </si>
  <si>
    <t>TBNK</t>
  </si>
  <si>
    <t>88145X108</t>
  </si>
  <si>
    <t>Globe Specialty Metals Inc</t>
  </si>
  <si>
    <t>GSM</t>
  </si>
  <si>
    <t>CREDIT-SUISSE
/JEFFERIES(JB)/JPM(JB)</t>
  </si>
  <si>
    <t>37954N206</t>
  </si>
  <si>
    <t>Credit Suisse
Jefferies &amp; Co Inc
JP Morgan
Societe Generale</t>
  </si>
  <si>
    <t>CREDIT-SUISSE(JB)/JEFFERIES(JB)/JPM(JB)
//SOC-GEN</t>
  </si>
  <si>
    <t>CREDIT-SUISSE/JEFFERIES/JPM</t>
  </si>
  <si>
    <t>CREDIT-SUISSE
(JB)/JEFFERIES(JB)
/JPM(JB)
SOC-GEN</t>
  </si>
  <si>
    <t>Credit Suisse
Jefferies &amp; Co Inc
JP Morgan &amp; Co Inc
Societe Generale SA</t>
  </si>
  <si>
    <t>Pennymac Mortgage Invest Trust</t>
  </si>
  <si>
    <t>PMT</t>
  </si>
  <si>
    <t>70931T103</t>
  </si>
  <si>
    <t>Merrill Lynch
Credit Suisse
Deutsche Bank Securities Corp
Stifel Nicolaus &amp; Co Inc
JMP Securities LLC</t>
  </si>
  <si>
    <t>MERRILL(JB)/CREDIT-SUISSE(JB)
/DEUTSCHE-BK-SEC(JB)//STIFEL/JMP-SEC</t>
  </si>
  <si>
    <t>MERRILL
(JB)/CREDIT-SUISSE(JB)
/DEUTSCHE-BK-SEC(JB)
STIFEL
JMP-SEC</t>
  </si>
  <si>
    <t>Merrill Lynch &amp; Co Inc
Credit Suisse
Deutsche Bank Securities Corp.
Stifel Nicolaus &amp; Co Inc
JMP Securities LLC</t>
  </si>
  <si>
    <t>Tortoise Power &amp; Energy</t>
  </si>
  <si>
    <t>TPZ</t>
  </si>
  <si>
    <t>WELLS-FARGO</t>
  </si>
  <si>
    <t>89147X104</t>
  </si>
  <si>
    <t>Wells Fargo Bank NA
UBS Investment Bank
RBC Capital Markets
Stifel Nicolaus &amp; Co Inc
Oppenheimer &amp; Co Inc
Barclays
JJB Hilliard WL Lyons Inc
Janney Montgomery Scott LLC
Ladenburg Thalmann &amp; Co
Maxim Group LLC
Morgan Keegan Inc
Southwest Securities Inc
Wedbush Securities
Wunderlich Securities Inc
BB&amp;T Capital Markets
Brean Murray &amp; Co Inc
David A. Noyes
Dawson James Securities
Dominick &amp; Dominick Inc
Howe Barnes Hoefer Arnett Inc
Jesup &amp; Lamont Securities
JP Turner &amp; Co
McGinn, Smith &amp; Co Inc
Muriel Siebert &amp; Co
National Securities Corp (US)
Newbridge Securities
Regal Securities Inc
Summit Brokerage Services Inc
vFinance Investments Inc
Wayne Hummer &amp; Co
White Pacific Securities Inc</t>
  </si>
  <si>
    <t>WELLS-FARGO//UBS-INV-BANK/RBC-CAP-MKTS
/STIFEL/OPPENHEIMER-CO/BARCLAYS-CAP
/HILLIARD/JANNEY-LLC/LADENBURG
/MAXIM-GROUP/MORGAN-KEEGAN/SWS-SEC
/WEDBUSH-M/WUNDERLICH//BB-T-CAP/BREAN
/D-A-NOYES/DAWSON-JAMES/DOMINICK
/HBHOEFER-ARNETT/JESUP/J-P-TURNER
/MCGINN-SMITH/MURIEL/NATL-SEC/NEWBRIDGE
/REGAL-SEC-INC/SUMMIT-BROKER/VFINANCE
/HUMMER/WHITE-PACIFIC</t>
  </si>
  <si>
    <t>WELLS-FARGO
UBS-INV-BANK
RBC-CAP-MKTS
STIFEL
OPPENHEIMER-CO
BARCLAYS-CAP
HILLIARD
JANNEY-LLC
LADENBURG
MAXIM-GROUP
MORGAN-KEEGAN
SWS-SEC
WEDBUSH-M
WUNDERLICH</t>
  </si>
  <si>
    <t>Wells Fargo Bank NA
UBS Investment Bank
RBC Capital Markets
Stifel Nicolaus &amp; Co Inc
Oppenheimer &amp; Co Inc
Barclays
JJB Hilliard WL Lyons Inc
Janney Montgomery Scott LLC
Ladenburg Thalmann &amp; Co
Maxim Group LLC
Morgan Keegan Inc
Southwest Securities Inc
Wedbush Securities
Wunderlich Securities Inc</t>
  </si>
  <si>
    <t>Recon Technology Ltd</t>
  </si>
  <si>
    <t>RCON</t>
  </si>
  <si>
    <t>G7415M108</t>
  </si>
  <si>
    <t>Not Applicable
Anderson &amp; Strudwick</t>
  </si>
  <si>
    <t>NOTAPP/ANDERSON(JOINT)</t>
  </si>
  <si>
    <t>NOTAPP/ANDERSON</t>
  </si>
  <si>
    <t>NOTAPP
/ANDERSON(JOINT)</t>
  </si>
  <si>
    <t>CDC Software Corp</t>
  </si>
  <si>
    <t>CDCS</t>
  </si>
  <si>
    <t>LAZARD-CAP-MKT
/JMP-SEC(JB)</t>
  </si>
  <si>
    <t>12507Y108</t>
  </si>
  <si>
    <t>Lazard Capital Markets
JMP Securities LLC
Cantor Fitzgerald Inc
Janney Montgomery Scott LLC
Macquarie Capital Partners LLC
Morgan Keegan Inc</t>
  </si>
  <si>
    <t>05/02/10
05/02/10</t>
  </si>
  <si>
    <t>100.000
100.000</t>
  </si>
  <si>
    <t>4800000.00
4800000.00</t>
  </si>
  <si>
    <t>LAZARD-CAP-MKT(JB)/JMP-SEC(JB)//CANTOR
/JANNEY-LLC/MACQUARIE-CAP/MORGAN-KEEGAN</t>
  </si>
  <si>
    <t>LAZARD-CAP-MKT/JMP-SEC</t>
  </si>
  <si>
    <t>LAZARD-CAP-MKT
(JB)/JMP-SEC(JB)
CANTOR
JANNEY-LLC
MACQUARIE-CAP
MORGAN-KEEGAN</t>
  </si>
  <si>
    <t>Avago Technologies Ltd</t>
  </si>
  <si>
    <t>DEUTSCHE-BK-SEC
/BARCLAYS-CAP(JB)
/MORGAN-STANLEY(JB)
/CITI(JB)</t>
  </si>
  <si>
    <t>Y0486S104</t>
  </si>
  <si>
    <t>Deutsche Bank Securities Corp
Barclays
Morgan Stanley
Citi
Credit Suisse
Goldman Sachs &amp; Co
JP Morgan
UBS Investment Bank
KKR Capital Markets LLC
ABN AMRO Incorporated
FTN MIDWEST RESEARCH SECURITIE</t>
  </si>
  <si>
    <t>02/01/10
02/01/10
02/01/10</t>
  </si>
  <si>
    <t>18.314
18.314
15.261</t>
  </si>
  <si>
    <t>43200000.00
43200000.00
36000000.00</t>
  </si>
  <si>
    <t>DEUTSCHE-BK-SEC(JB)/BARCLAYS-CAP(JB)
/MORGAN-STANLEY(JB)/CITI(JB)
//CREDIT-SUISSE/GS/JPM/UBS-INV-BANK
/KKR-CAPITAL/ABN-AMRO-INC/FTN-MIDWEST</t>
  </si>
  <si>
    <t>DEUTSCHE-BK-SEC/BARCLAYS-CAP
/MORGAN-STANLEY/CITI</t>
  </si>
  <si>
    <t>DEUTSCHE-BK-SEC
(JB)/BARCLAYS-CAP(JB)
/MORGAN-STANLEY(JB)
/CITI(JB)
CREDIT-SUISSE
GS
JPM
UBS-INV-BANK
KKR-CAPITAL
ABN-AMRO-INC
FTN-MIDWEST</t>
  </si>
  <si>
    <t>Deutsche Bank Securities Corp.
Barclays
Morgan Stanley
Citi
Credit Suisse
Goldman Sachs &amp; Co
JP Morgan &amp; Co Inc
UBS Investment Bank
KKR Capital Markets LLC
ABN AMRO Incorporated
FTN MIDWEST RESEARCH SECURITIE</t>
  </si>
  <si>
    <t>Cumberland Pharmaceuticals Inc</t>
  </si>
  <si>
    <t>CPIX</t>
  </si>
  <si>
    <t>UBS-INV-BANK
/JEFFERIES(JB)
/WELLS-FARGO(JB)</t>
  </si>
  <si>
    <t>UBS Investment Bank
Jefferies &amp; Co Inc
Wells Fargo Bank NA
Morgan Joseph &amp; Co Inc</t>
  </si>
  <si>
    <t>02/06/10
02/06/10</t>
  </si>
  <si>
    <t>29.255
29.255</t>
  </si>
  <si>
    <t>5000000.00
5000000.00</t>
  </si>
  <si>
    <t>UBS-INV-BANK(JB)/JEFFERIES(JB)
/WELLS-FARGO(JB)//MORGAN-JOSEPH</t>
  </si>
  <si>
    <t>UBS-INV-BANK/JEFFERIES/WELLS-FARGO</t>
  </si>
  <si>
    <t>UBS-INV-BANK
(JB)/JEFFERIES(JB)
/WELLS-FARGO(JB)
MORGAN-JOSEPH</t>
  </si>
  <si>
    <t>Emdeon Inc</t>
  </si>
  <si>
    <t>EM</t>
  </si>
  <si>
    <t>MORGAN-STANLEY/GS(JB)
/UBS-INV-BANK(JB)
/BARCLAYS-CAP(JB)</t>
  </si>
  <si>
    <t>29084T104</t>
  </si>
  <si>
    <t>Morgan Stanley
Goldman Sachs &amp; Co
UBS Investment Bank
Barclays
Citi
Credit Suisse
Jefferies &amp; Co Inc
William Blair &amp; Co
Oppenheimer &amp; Co Inc
Piper Jaffray Cos
Wells Fargo Bank NA</t>
  </si>
  <si>
    <t>MORGAN-STANLEY(JB)/GS(JB)
/UBS-INV-BANK(JB)/BARCLAYS-CAP(JB)
//CITI/CREDIT-SUISSE/JEFFERIES/WM-BLAIR
/OPPENHEIMER-CO/PIPER-JAFFRAY
/WELLS-FARGO</t>
  </si>
  <si>
    <t>MORGAN-STANLEY/GS/UBS-INV-BANK
/BARCLAYS-CAP</t>
  </si>
  <si>
    <t>MORGAN-STANLEY
(JB)/GS(JB)
/UBS-INV-BANK(JB)
/BARCLAYS-CAP(JB)
CITI
CREDIT-SUISSE
JEFFERIES
WM-BLAIR
OPPENHEIMER-CO
PIPER-JAFFRAY
WELLS-FARGO</t>
  </si>
  <si>
    <t>Starwood Property Trust Inc</t>
  </si>
  <si>
    <t>STWD</t>
  </si>
  <si>
    <t>MERRILL
/DEUTSCHE-BK-SEC(JB)
/CITI(JB)</t>
  </si>
  <si>
    <t>85571B105</t>
  </si>
  <si>
    <t>Merrill Lynch
Deutsche Bank Securities Corp
Citi
Barclays
Wells Fargo Bank NA
Calyon Securities USA Inc
Cantor Fitzgerald Inc
Piper Jaffray Inc
Scotia Capital (USA) Inc.</t>
  </si>
  <si>
    <t>02/07/10
02/07/10</t>
  </si>
  <si>
    <t>MERRILL(JB)/DEUTSCHE-BK-SEC(JB)
/CITI(JB)//BARCLAYS-CAP/WELLS-FARGO
/CALYON-SEC/CANTOR/PIPER-J/SCOTIA-CAP</t>
  </si>
  <si>
    <t>MERRILL/DEUTSCHE-BK-SEC/CITI</t>
  </si>
  <si>
    <t>MERRILL
(JB)/DEUTSCHE-BK-SEC(JB)
/CITI(JB)
BARCLAYS-CAP
WELLS-FARGO
CALYON-SEC
CANTOR
PIPER-J
SCOTIA-CAP</t>
  </si>
  <si>
    <t>Merrill Lynch &amp; Co Inc
Deutsche Bank Securities Corp.
Citi
Barclays
Wells Fargo Bank NA
Calyon Securities USA Inc
Cantor Fitzgerald Inc
Piper Jaffray Inc
Scotia Capital (USA) Inc.</t>
  </si>
  <si>
    <t>Lihua International Inc</t>
  </si>
  <si>
    <t>LIWA</t>
  </si>
  <si>
    <t>BROADBAND/RODMAN(JB)</t>
  </si>
  <si>
    <t>Broadband Capital Management
Rodman &amp; Renshaw Inc</t>
  </si>
  <si>
    <t>BROADBAND(JB)/RODMAN(JB)</t>
  </si>
  <si>
    <t>BROADBAND/RODMAN</t>
  </si>
  <si>
    <t>BROADBAND
(JB)/RODMAN(JB)</t>
  </si>
  <si>
    <t>Broadband Capital Management LLC
Rodman &amp; Renshaw Inc</t>
  </si>
  <si>
    <t>Tri Tech Holding Inc</t>
  </si>
  <si>
    <t>TRIT</t>
  </si>
  <si>
    <t>CreXus Investment Corp</t>
  </si>
  <si>
    <t>CXS</t>
  </si>
  <si>
    <t>Deutsche Bank Securities Corp
Merrill Lynch
JMP Securities LLC
Keefe Bruyette &amp; Woods Inc
RBC Capital Markets</t>
  </si>
  <si>
    <t>03/15/10
03/15/10</t>
  </si>
  <si>
    <t>73.620
73.620</t>
  </si>
  <si>
    <t>13333334.00
13333334.00</t>
  </si>
  <si>
    <t>DEUTSCHE-BK-SEC(JB)/MERRILL(JB)
//JMP-SEC/KEEFE/RBC-CAP-MKTS</t>
  </si>
  <si>
    <t>DEUTSCHE-BK-SEC
(JB)/MERRILL(JB)
JMP-SEC
KEEFE
RBC-CAP-MKTS</t>
  </si>
  <si>
    <t>Deutsche Bank Securities Corp.
Merrill Lynch &amp; Co Inc
JMP Securities LLC
Keefe Bruyette &amp; Woods Inc
RBC Capital Markets</t>
  </si>
  <si>
    <t>A123 Systems Inc</t>
  </si>
  <si>
    <t>AONE</t>
  </si>
  <si>
    <t>03739T108</t>
  </si>
  <si>
    <t>Morgan Stanley &amp; Co
Goldman Sachs &amp; Co
Merrill Lynch
Deutsche Bank Securities Corp
Lazard Capital Markets
Pacific Crest Securities Inc</t>
  </si>
  <si>
    <t>03/22/10
03/22/10</t>
  </si>
  <si>
    <t>28.703
28.703</t>
  </si>
  <si>
    <t>28180501.00
28180501.00</t>
  </si>
  <si>
    <t>MS(JB)/GS(JB)//MERRILL/DEUTSCHE-BK-SEC
/LAZARD-CAP-MKT/PACIFIC-CREST</t>
  </si>
  <si>
    <t>MS
(JB)/GS(JB)
MERRILL
DEUTSCHE-BK-SEC
LAZARD-CAP-MKT
PACIFIC-CREST</t>
  </si>
  <si>
    <t>Morgan Stanley &amp; Co
Goldman Sachs &amp; Co
Merrill Lynch &amp; Co Inc
Deutsche Bank Securities Corp.
Lazard Capital Markets
Pacific Crest Securities Inc</t>
  </si>
  <si>
    <t>Apollo Coml RE Fin Inc</t>
  </si>
  <si>
    <t>ARI</t>
  </si>
  <si>
    <t>JPM/CITI(JB)
/BARCLAYS-CAP(JB)</t>
  </si>
  <si>
    <t>03762U105</t>
  </si>
  <si>
    <t>JP Morgan
Citi
Barclays
Wells Fargo Bank NA
Raymond James &amp; Associates Inc
RBC Capital Markets
Stifel Nicolaus &amp; Co Inc</t>
  </si>
  <si>
    <t>JPM(JB)/CITI(JB)/BARCLAYS-CAP(JB)
//WELLS-FARGO/RAYMOND/RBC-CAP-MKTS
/STIFEL</t>
  </si>
  <si>
    <t>JPM/CITI/BARCLAYS-CAP</t>
  </si>
  <si>
    <t>JPM
(JB)/CITI(JB)
/BARCLAYS-CAP(JB)
WELLS-FARGO
RAYMOND
RBC-CAP-MKTS
STIFEL</t>
  </si>
  <si>
    <t>JP Morgan &amp; Co Inc
Citi
Barclays
Wells Fargo Bank NA
Raymond James &amp; Associates Inc
RBC Capital Markets
Stifel Nicolaus &amp; Co Inc</t>
  </si>
  <si>
    <t>Artio Global Investors Inc</t>
  </si>
  <si>
    <t>ART</t>
  </si>
  <si>
    <t>04315B107</t>
  </si>
  <si>
    <t>Goldman Sachs &amp; Co
Merrill Lynch
UBS Investment Bank
Deutsche Bank Securities Corp
Keefe Bruyette &amp; Woods Inc</t>
  </si>
  <si>
    <t>GS/MERRILL(JOINT)//UBS-INV-BANK
/DEUTSCHE-BK-SEC/KEEFE</t>
  </si>
  <si>
    <t>GS
/MERRILL(JOINT)
UBS-INV-BANK
DEUTSCHE-BK-SEC
KEEFE</t>
  </si>
  <si>
    <t>Goldman Sachs &amp; Co
Merrill Lynch &amp; Co Inc
UBS Investment Bank
Deutsche Bank Securities Corp.
Keefe Bruyette &amp; Woods Inc</t>
  </si>
  <si>
    <t>Colony Financial Inc</t>
  </si>
  <si>
    <t>CLNY</t>
  </si>
  <si>
    <t>MERRILL/GS(JB)
/MORGAN-STANLEY(JB)
/UBS-INV-BANK(JB)</t>
  </si>
  <si>
    <t>19624R106</t>
  </si>
  <si>
    <t>Merrill Lynch
Goldman Sachs &amp; Co
Morgan Stanley
UBS Investment Bank
Calyon Securities USA Inc
Hongkong &amp; Shanghai Bank (HK)
JMP Securities LLC
Keefe Bruyette &amp; Woods Inc
RBC Capital Markets</t>
  </si>
  <si>
    <t>MERRILL(JB)/GS(JB)/MORGAN-STANLEY(JB)
/UBS-INV-BANK(JB)//CALYON-SEC
/HONG-SHANG-BKG/JMP-SEC/KEEFE
/RBC-CAP-MKTS</t>
  </si>
  <si>
    <t>MERRILL/GS/MORGAN-STANLEY/UBS-INV-BANK</t>
  </si>
  <si>
    <t>MERRILL
(JB)/GS(JB)
/MORGAN-STANLEY(JB)
/UBS-INV-BANK(JB)
CALYON-SEC
HONG-SHANG-BKG
JMP-SEC
KEEFE
RBC-CAP-MKTS</t>
  </si>
  <si>
    <t>Merrill Lynch &amp; Co Inc
Goldman Sachs &amp; Co
Morgan Stanley
UBS Investment Bank
Calyon Securities USA Inc
Hongkong &amp; Shanghai Banking Corp Ltd
JMP Securities LLC
Keefe Bruyette &amp; Woods Inc
RBC Capital Markets</t>
  </si>
  <si>
    <t>Vitacost.com Inc</t>
  </si>
  <si>
    <t>VITC</t>
  </si>
  <si>
    <t>JEFFERIES
/OPPENHEIMER-CO(JB)</t>
  </si>
  <si>
    <t>92847A200</t>
  </si>
  <si>
    <t>Jefferies &amp; Co Inc
Oppenheimer &amp; Co Inc
Needham &amp; Co LLC
Roth Capital Partners Inc</t>
  </si>
  <si>
    <t>40.017
40.017</t>
  </si>
  <si>
    <t>11000000.00
11000000.00</t>
  </si>
  <si>
    <t>JEFFERIES(JB)/OPPENHEIMER-CO(JB)
//NEEDHAM/ROTH-CAPITAL</t>
  </si>
  <si>
    <t>JEFFERIES/OPPENHEIMER-CO</t>
  </si>
  <si>
    <t>JEFFERIES
(JB)/OPPENHEIMER-CO(JB)
NEEDHAM
ROTH-CAPITAL</t>
  </si>
  <si>
    <t>Nuveen Enhanced Municipal</t>
  </si>
  <si>
    <t>NEV</t>
  </si>
  <si>
    <t>MERRILL/WELLS-FARGO(JB)
/NUVEEN-INV(JB)</t>
  </si>
  <si>
    <t>67074M101</t>
  </si>
  <si>
    <t>Merrill Lynch
Wells Fargo Bank NA
Nuveen Investments LLC
Raymond James &amp; Associates Inc
RBC Capital Markets
Ameriprise Financial Inc
BB&amp;T Capital Markets
JJB Hilliard WL Lyons Inc
Janney Montgomery Scott LLC
Ladenburg Thalmann &amp; Co
Maxim Group LLC
Stifel Nicolaus &amp; Co Inc
Dominick &amp; Dominick Inc
Bernard Herold &amp; Co
Howe Barnes Hoefer Arnett Inc
Wayne Hummer &amp; Co
Huntleigh Securities Corp
McGinn, Smith &amp; Co Inc
Newbridge Securities
Northeast Securities Inc.
David A. Noyes
Paulson Investment Co
Southwest Securities Inc
Summit Brokerage Services Inc
JP Turner &amp; Co</t>
  </si>
  <si>
    <t>MERRILL(JB)/WELLS-FARGO(JB)
/NUVEEN-INV(JB)//RAYMOND/RBC-CAP-MKTS
/AMERIPRISE-FIN/BB-T-CAP/HILLIARD
/JANNEY-LLC/LADENBURG/MAXIM-GROUP
/STIFEL//DOMINICK/BERNARD-HER
/HBHOEFER-ARNETT/HUMMER/HUNTLEIGH-SEC
/MCGINN-SMITH/NEWBRIDGE/NORTHEAST-SEC
/D-A-NOYES/PAULSON/SWS-SEC
/SUMMIT-BROKER/J-P-TURNER</t>
  </si>
  <si>
    <t>MERRILL/WELLS-FARGO/NUVEEN-INV</t>
  </si>
  <si>
    <t>MERRILL
(JB)/WELLS-FARGO(JB)
/NUVEEN-INV(JB)
RAYMOND
RBC-CAP-MKTS
AMERIPRISE-FIN
BB-T-CAP
HILLIARD
JANNEY-LLC
LADENBURG
MAXIM-GROUP
STIFEL</t>
  </si>
  <si>
    <t>Merrill Lynch &amp; Co Inc
Wells Fargo Bank NA
Nuveen Investments LLC
Raymond James &amp; Associates Inc
RBC Capital Markets
Ameriprise Financial Inc
BB&amp;T Capital Markets
JJB Hilliard WL Lyons Inc
Janney Montgomery Scott LLC
Ladenburg Thalmann &amp; Co
Maxim Group LLC
Stifel Nicolaus &amp; Co Inc</t>
  </si>
  <si>
    <t>Shanda Games Ltd</t>
  </si>
  <si>
    <t>81941U105</t>
  </si>
  <si>
    <t>Goldman Sachs &amp; Co
JP Morgan
Nomura Securities New York Inc
Oppenheimer &amp; Co Inc
Susquehanna Financial Group</t>
  </si>
  <si>
    <t>GS(JB)/JPM(JB)//NOMURA-SEC
/OPPENHEIMER-CO/SUSQUEHANNA-FIN</t>
  </si>
  <si>
    <t>GS
(JB)/JPM(JB)</t>
  </si>
  <si>
    <t>Goldman Sachs &amp; Co
JP Morgan &amp; Co Inc</t>
  </si>
  <si>
    <t>Select Medical Holdings Corp</t>
  </si>
  <si>
    <t>SEM</t>
  </si>
  <si>
    <t>GS/MS(JB)/JPM(JB)
/MERRILL(JB)</t>
  </si>
  <si>
    <t>81619Q105</t>
  </si>
  <si>
    <t>Goldman Sachs &amp; Co
Morgan Stanley &amp; Co
JP Morgan
Merrill Lynch
Wells Fargo Bank NA
RBC Capital Markets</t>
  </si>
  <si>
    <t>03/24/10
03/24/10</t>
  </si>
  <si>
    <t>19.219
19.219</t>
  </si>
  <si>
    <t>30000000.00
30000000.00</t>
  </si>
  <si>
    <t>GS(JB)/MS(JB)/JPM(JB)/MERRILL(JB)
//WELLS-FARGO/RBC-CAP-MKTS</t>
  </si>
  <si>
    <t>GS/MS/JPM/MERRILL</t>
  </si>
  <si>
    <t>GS
(JB)/MS(JB)
/JPM(JB)
/MERRILL(JB)
WELLS-FARGO
RBC-CAP-MKTS</t>
  </si>
  <si>
    <t>Goldman Sachs &amp; Co
Morgan Stanley &amp; Co
JP Morgan &amp; Co Inc
Merrill Lynch &amp; Co Inc
Wells Fargo Bank NA
RBC Capital Markets</t>
  </si>
  <si>
    <t>Talecris Biotherapeutics Hldg</t>
  </si>
  <si>
    <t>TLCR</t>
  </si>
  <si>
    <t>MORGAN-STANLEY/GS(JB)
/CITI(JB)/JPM(JB)</t>
  </si>
  <si>
    <t>Morgan Stanley
Goldman Sachs &amp; Co
Citi
JP Morgan
Wells Fargo Bank NA
Barclays
UBS Investment Bank</t>
  </si>
  <si>
    <t>03/29/10
03/29/10</t>
  </si>
  <si>
    <t>41.742
41.742</t>
  </si>
  <si>
    <t>50000000.00
50000000.00</t>
  </si>
  <si>
    <t>MORGAN-STANLEY(JB)/GS(JB)/CITI(JB)
/JPM(JB)//WELLS-FARGO/BARCLAYS-CAP
/UBS-INV-BANK</t>
  </si>
  <si>
    <t>MORGAN-STANLEY/GS/CITI/JPM</t>
  </si>
  <si>
    <t>MORGAN-STANLEY
(JB)/GS(JB)
/CITI(JB)
/JPM(JB)
WELLS-FARGO
BARCLAYS-CAP
UBS-INV-BANK</t>
  </si>
  <si>
    <t>Morgan Stanley
Goldman Sachs &amp; Co
Citi
JP Morgan &amp; Co Inc
Wells Fargo Bank NA
Barclays
UBS Investment Bank</t>
  </si>
  <si>
    <t>Echo Global Logistics Inc</t>
  </si>
  <si>
    <t>ECHO</t>
  </si>
  <si>
    <t>27875T101</t>
  </si>
  <si>
    <t>Morgan Stanley
Credit Suisse
Thomas Weisel Partners
William Blair &amp; Co
Barrington Research Inc.
Craig-Hallum, Inc.</t>
  </si>
  <si>
    <t>03/30/10
03/30/10</t>
  </si>
  <si>
    <t>26.519
26.519</t>
  </si>
  <si>
    <t>5700000.00
5700000.00</t>
  </si>
  <si>
    <t>MORGAN-STANLEY(JB)/CREDIT-SUISSE(JB)
//THOMAS-WEISEL/WM-BLAIR/BARRINGTON-RES
/CRAIG-HALLUM</t>
  </si>
  <si>
    <t>MORGAN-STANLEY
(JB)/CREDIT-SUISSE(JB)
THOMAS-WEISEL
WM-BLAIR
BARRINGTON-RES
CRAIG-HALLUM</t>
  </si>
  <si>
    <t>Education Management Corp</t>
  </si>
  <si>
    <t>EDMC</t>
  </si>
  <si>
    <t>GS/JPM(JB)/MERRILL(JB)
/BARCLAYS-CAP(JB)
/CREDIT-SUISSE(JB)
/MORGAN-STANLEY(JB)</t>
  </si>
  <si>
    <t>28140M103</t>
  </si>
  <si>
    <t>Goldman Sachs &amp; Co
JP Morgan
Merrill Lynch
Barclays
Credit Suisse
Morgan Stanley
BMO Capital Markets
Piper Jaffray Inc
Robert W Baird &amp; Co Inc
William Blair &amp; Co
Barrington Research Inc.
Signal Hill Capital Group LLC
Stifel Nicolaus &amp; Co Inc</t>
  </si>
  <si>
    <t>03/30/10
03/30/10
03/30/10</t>
  </si>
  <si>
    <t>14.309
14.309
14.309</t>
  </si>
  <si>
    <t>20000000.00
20000000.00
20000000.00</t>
  </si>
  <si>
    <t>GS(JB)/JPM(JB)/MERRILL(JB)
/BARCLAYS-CAP(JB)/CREDIT-SUISSE(JB)
/MORGAN-STANLEY(JB)//BMO-CAPITAL
/PIPER-J/BAIRD/WM-BLAIR/BARRINGTON-RES
/SIGNAL-HILL/STIFEL</t>
  </si>
  <si>
    <t>GS/JPM/MERRILL/BARCLAYS-CAP
/CREDIT-SUISSE/MORGAN-STANLEY</t>
  </si>
  <si>
    <t>GS
(JB)/JPM(JB)
/MERRILL(JB)
/BARCLAYS-CAP(JB)
/CREDIT-SUISSE(JB)
/MORGAN-STANLEY(JB)
BMO-CAPITAL
PIPER-J
BAIRD
WM-BLAIR
BARRINGTON-RES
SIGNAL-HILL
STIFEL</t>
  </si>
  <si>
    <t>Goldman Sachs &amp; Co
JP Morgan &amp; Co Inc
Merrill Lynch &amp; Co Inc
Barclays
Credit Suisse
Morgan Stanley
BMO Capital Markets
Piper Jaffray Inc
Robert W Baird &amp; Co Inc
William Blair &amp; Co
Barrington Research Inc.
Signal Hill Capital Group LLC
Stifel Nicolaus &amp; Co Inc</t>
  </si>
  <si>
    <t>Banco Santander(Brasil)SA</t>
  </si>
  <si>
    <t>SANB11</t>
  </si>
  <si>
    <t>SANTANDER-SP</t>
  </si>
  <si>
    <t>05967A107</t>
  </si>
  <si>
    <t>Banco Santander SA</t>
  </si>
  <si>
    <t>SAN</t>
  </si>
  <si>
    <t>BOA-MERRILL
/CREDIT-SEC-USA(JB)
/UBS-INV-BANK(JB)</t>
  </si>
  <si>
    <t>Bank of America Merrill Lynch
Credit Suisse Securities (USA)
UBS Investment Bank
Barclays
Bradesco BBI
Calyon Securities USA Inc
Deutsche Bank Securities Corp
Credit Suisse
Banco de Santander SA</t>
  </si>
  <si>
    <t>BOA-MERRILL(JB)/CREDIT-SEC-USA(JB)
/UBS-INV-BANK(JB)//BARCLAYS-CAP
/BANCO-BBI/CALYON-SEC/DEUTSCHE-BK-SEC
//CREDIT-SUISSE(GC)/BANCO-SANTANDER(GC)</t>
  </si>
  <si>
    <t>BOA-MERRILL/CREDIT-SEC-USA/UBS-INV-BANK</t>
  </si>
  <si>
    <t>BOA-MERRILL
(JB)/CREDIT-SEC-USA(JB)
/UBS-INV-BANK(JB)
BARCLAYS-CAP
BANCO-BBI
CALYON-SEC
DEUTSCHE-BK-SEC</t>
  </si>
  <si>
    <t>Bank of America Merrill Lynch
Credit Suisse Securities (USA) LLC
UBS Investment Bank
Barclays
Bradesco BBI
Calyon Securities USA Inc
Deutsche Bank Securities Corp.</t>
  </si>
  <si>
    <t>Verisk Analytics Inc</t>
  </si>
  <si>
    <t>VRSK</t>
  </si>
  <si>
    <t>92345Y106</t>
  </si>
  <si>
    <t>Merrill Lynch
Morgan Stanley
JP Morgan
Wells Fargo Bank NA
William Blair &amp; Co
Keefe Bruyette &amp; Woods Inc
Fox-Pitt Kelton</t>
  </si>
  <si>
    <t>04/04/10
04/04/10</t>
  </si>
  <si>
    <t>MERRILL(JB)/MORGAN-STANLEY(JB)//JPM
/WELLS-FARGO/WM-BLAIR/KEEFE/FOX-PITT</t>
  </si>
  <si>
    <t>MERRILL
(JB)/MORGAN-STANLEY(JB)
JPM
WELLS-FARGO
WM-BLAIR
KEEFE
FOX-PITT</t>
  </si>
  <si>
    <t>Merrill Lynch &amp; Co Inc
Morgan Stanley
JP Morgan &amp; Co Inc
Wells Fargo Bank NA
William Blair &amp; Co
Keefe Bruyette &amp; Woods Inc
Fox-Pitt Kelton</t>
  </si>
  <si>
    <t>Mistras Group Inc</t>
  </si>
  <si>
    <t>MG</t>
  </si>
  <si>
    <t>JPM/CREDIT-SUISSE(JB)
/MERRILL(JB)</t>
  </si>
  <si>
    <t>60649T107</t>
  </si>
  <si>
    <t>JP Morgan
Credit Suisse
Merrill Lynch
Robert W Baird &amp; Co Inc</t>
  </si>
  <si>
    <t>JPM(JB)/CREDIT-SUISSE(JB)/MERRILL(JB)
//BAIRD</t>
  </si>
  <si>
    <t>JPM/CREDIT-SUISSE/MERRILL</t>
  </si>
  <si>
    <t>JPM
(JB)/CREDIT-SUISSE(JB)
/MERRILL(JB)
BAIRD</t>
  </si>
  <si>
    <t>JP Morgan &amp; Co Inc
Credit Suisse
Merrill Lynch &amp; Co Inc
Robert W Baird &amp; Co Inc</t>
  </si>
  <si>
    <t>Omeros Corp</t>
  </si>
  <si>
    <t>OMER</t>
  </si>
  <si>
    <t>Deutsche Bank Securities Corp
Wedbush Securities
Canaccord Adams
Needham &amp; Co LLC
Chicago Investment Group LLC
National Securities Corp (US)</t>
  </si>
  <si>
    <t>DEUTSCHE-BK-SEC//WEDBUSH-SEC/CAN-ADAMS
/NEEDHAM/CHICAGO-INV/NATL-SEC</t>
  </si>
  <si>
    <t>DEUTSCHE-BK-SEC
WEDBUSH-SEC
CAN-ADAMS
NEEDHAM
CHICAGO-INV
NATL-SEC</t>
  </si>
  <si>
    <t>Deutsche Bank Securities Corp.
Wedbush Securities, Inc.
Canaccord Adams
Needham &amp; Co LLC
Chicago Investment Group LLC
National Securities Corp (US)</t>
  </si>
  <si>
    <t>RailAmerica Inc</t>
  </si>
  <si>
    <t>RA</t>
  </si>
  <si>
    <t>JPM/CITI(JB)
/DEUTSCHE-BK-SEC(JB)
/MORGAN-STANLEY(JB)</t>
  </si>
  <si>
    <t>JP Morgan
Citi
Deutsche Bank Securities Corp
Morgan Stanley
Wells Fargo Bank NA
Dahlman Rose Weiss LLC
Lazard Capital Markets
Stifel Nicolaus &amp; Co Inc
Williams Holding Co Inc</t>
  </si>
  <si>
    <t>04/10/10
04/10/10
04/10/10</t>
  </si>
  <si>
    <t>RR Acquisition Holdings</t>
  </si>
  <si>
    <t>JPM(JB)/CITI(JB)/DEUTSCHE-BK-SEC(JB)
/MORGAN-STANLEY(JB)//WELLS-FARGO
/DAHLMAN-ROSE/LAZARD-CAP-MKT/STIFEL
/WILLIAMS-HLDG</t>
  </si>
  <si>
    <t>JPM/CITI/DEUTSCHE-BK-SEC/MORGAN-STANLEY</t>
  </si>
  <si>
    <t>JPM
(JB)/CITI(JB)
/DEUTSCHE-BK-SEC(JB)
/MORGAN-STANLEY(JB)
WELLS-FARGO
DAHLMAN-ROSE
LAZARD-CAP-MKT
STIFEL
WILLIAMS-HLDG</t>
  </si>
  <si>
    <t>JP Morgan &amp; Co Inc
Citi
Deutsche Bank Securities Corp.
Morgan Stanley
Wells Fargo Bank NA
Dahlman Rose Weiss LLC
Lazard Capital Markets
Stifel Nicolaus &amp; Co Inc
Williams Holding Co Inc</t>
  </si>
  <si>
    <t>DragonWave Inc</t>
  </si>
  <si>
    <t>DWI</t>
  </si>
  <si>
    <t>CANACCORD
/PIPER-JAFFRAY(JB)</t>
  </si>
  <si>
    <t>26144M103</t>
  </si>
  <si>
    <t>Canaccord Capital Corp
Piper Jaffray Cos
CIBC World Markets Inc
GMP Securities Ltd.
RBC Capital Markets
Dundee Securities Corporation
TD Securities Inc
Pacific Crest Securities Inc</t>
  </si>
  <si>
    <t>CANACCORD(JB)/PIPER-JAFFRAY(JB)
//CIBC-WORLD/GMP-SEC/RBC-CAP-MKTS
/DUNDEE-SEC/TD-SECURITIES/PACIFIC-CREST</t>
  </si>
  <si>
    <t>CANACCORD/PIPER-JAFFRAY</t>
  </si>
  <si>
    <t>CANACCORD
(JB)/PIPER-JAFFRAY(JB)</t>
  </si>
  <si>
    <t>Canaccord Capital Corp
Piper Jaffray Cos</t>
  </si>
  <si>
    <t>China RE Info Corp</t>
  </si>
  <si>
    <t>CRIC</t>
  </si>
  <si>
    <t>16948Q103</t>
  </si>
  <si>
    <t>Credit Suisse
UBS Investment Bank
Merrill Lynch</t>
  </si>
  <si>
    <t xml:space="preserve">
1600000.00</t>
  </si>
  <si>
    <t>CREDIT-SUISSE(JB)/UBS-INV-BANK(JB)
//MERRILL</t>
  </si>
  <si>
    <t>CREDIT-SUISSE
(JB)/UBS-INV-BANK(JB)</t>
  </si>
  <si>
    <t>Credit Suisse
UBS Investment Bank</t>
  </si>
  <si>
    <t>Penn Millers Holding Corp</t>
  </si>
  <si>
    <t>PMIC</t>
  </si>
  <si>
    <t>Not Applicable
Griffin Financial Group LLC</t>
  </si>
  <si>
    <t>NOTAPP/GRIFFIN-FIN(JOINT)</t>
  </si>
  <si>
    <t>NOTAPP/GRIFFIN-FIN</t>
  </si>
  <si>
    <t>NOTAPP
/GRIFFIN-FIN(JOINT)</t>
  </si>
  <si>
    <t>AGA Medical Holdings Inc</t>
  </si>
  <si>
    <t>AGAM</t>
  </si>
  <si>
    <t>MERRILL/CITI(JB)
/DEUTSCHE-BK-SEC(JB)
/LEERINK-SWANN(JB)
/WELLS-FARGO-SEC(JB)</t>
  </si>
  <si>
    <t>008368102</t>
  </si>
  <si>
    <t>Merrill Lynch
Citi
Deutsche Bank Securities Corp
Leerink Swann &amp; Co
Wells Fargo Securities LLC
Natixis</t>
  </si>
  <si>
    <t>04/18/10
04/18/10</t>
  </si>
  <si>
    <t>MERRILL(JB)/CITI(JB)
/DEUTSCHE-BK-SEC(JB)/LEERINK-SWANN(JB)
/WELLS-FARGO-SEC(JB)//NATIXIS</t>
  </si>
  <si>
    <t>MERRILL/CITI/DEUTSCHE-BK-SEC
/LEERINK-SWANN/WELLS-FARGO-SEC</t>
  </si>
  <si>
    <t>MERRILL
(JB)/CITI(JB)
/DEUTSCHE-BK-SEC(JB)
/LEERINK-SWANN(JB)
/WELLS-FARGO-SEC(JB)
NATIXIS</t>
  </si>
  <si>
    <t>Merrill Lynch &amp; Co Inc
Citi
Deutsche Bank Securities Corp.
Leerink Swann &amp; Co
Wells Fargo Securities LLC
Natixis</t>
  </si>
  <si>
    <t>ZST Digital Networks Inc</t>
  </si>
  <si>
    <t>ZSTN</t>
  </si>
  <si>
    <t>RODMAN
/WEST-PARK-CAP(JB)</t>
  </si>
  <si>
    <t>98878T109</t>
  </si>
  <si>
    <t>Rodman &amp; Renshaw Inc
West Park Capital</t>
  </si>
  <si>
    <t>RODMAN(JB)/WEST-PARK-CAP(JB)</t>
  </si>
  <si>
    <t>RODMAN/WEST-PARK-CAP</t>
  </si>
  <si>
    <t>RODMAN
(JB)/WEST-PARK-CAP(JB)</t>
  </si>
  <si>
    <t>Dole Food Co Inc</t>
  </si>
  <si>
    <t>0175</t>
  </si>
  <si>
    <t>DOLE</t>
  </si>
  <si>
    <t>GS/MERRILL(JB)
/DEUTSCHE-BK-SEC(JB)
/WELLS-FARGO(JB)</t>
  </si>
  <si>
    <t>Goldman Sachs &amp; Co
Merrill Lynch
Deutsche Bank Securities Corp
Wells Fargo Bank NA
JP Morgan
Morgan Stanley
BB&amp;T Capital Markets
Hongkong &amp; Shanghai Bank (HK)
Scotia Capital (USA) Inc.</t>
  </si>
  <si>
    <t>GS(JB)/MERRILL(JB)/DEUTSCHE-BK-SEC(JB)
/WELLS-FARGO(JB)//JPM/MORGAN-STANLEY
/BB-T-CAP/HONG-SHANG-BKG/SCOTIA-CAP</t>
  </si>
  <si>
    <t>GS/MERRILL/DEUTSCHE-BK-SEC/WELLS-FARGO</t>
  </si>
  <si>
    <t>GS
(JB)/MERRILL(JB)
/DEUTSCHE-BK-SEC(JB)
/WELLS-FARGO(JB)
JPM
MORGAN-STANLEY
BB-T-CAP
HONG-SHANG-BKG
SCOTIA-CAP</t>
  </si>
  <si>
    <t>Goldman Sachs &amp; Co
Merrill Lynch &amp; Co Inc
Deutsche Bank Securities Corp.
Wells Fargo Bank NA
JP Morgan &amp; Co Inc
Morgan Stanley
BB&amp;T Capital Markets
Hongkong &amp; Shanghai Banking Corp Ltd
Scotia Capital (USA) Inc.</t>
  </si>
  <si>
    <t>Addus HomeCare Corp</t>
  </si>
  <si>
    <t>ADUS</t>
  </si>
  <si>
    <t>BAIRD
/OPPENHEIMER-CO(JB)</t>
  </si>
  <si>
    <t>006739106</t>
  </si>
  <si>
    <t>Robert W Baird &amp; Co Inc
Oppenheimer &amp; Co Inc
Stephens Inc</t>
  </si>
  <si>
    <t>BAIRD(JB)/OPPENHEIMER-CO(JB)//STEPHENS</t>
  </si>
  <si>
    <t>BAIRD/OPPENHEIMER-CO</t>
  </si>
  <si>
    <t>BAIRD
(JB)/OPPENHEIMER-CO(JB)
STEPHENS</t>
  </si>
  <si>
    <t>Vitamin Shoppe Inc</t>
  </si>
  <si>
    <t>VSI</t>
  </si>
  <si>
    <t>JPM/MERRILL(JB)
/BARCLAYS-CAP(JB)</t>
  </si>
  <si>
    <t>92849E101</t>
  </si>
  <si>
    <t>JP Morgan
Merrill Lynch
Barclays
Piper Jaffray Cos
Robert W Baird &amp; Co Inc
Stifel Nicolaus &amp; Co Inc</t>
  </si>
  <si>
    <t>04/25/10
04/25/10
04/25/10</t>
  </si>
  <si>
    <t>JPM(JB)/MERRILL(JB)/BARCLAYS-CAP(JB)
//PIPER-JAFFRAY/BAIRD/STIFEL</t>
  </si>
  <si>
    <t>JPM/MERRILL/BARCLAYS-CAP</t>
  </si>
  <si>
    <t>JPM
(JB)/MERRILL(JB)
/BARCLAYS-CAP(JB)
PIPER-JAFFRAY
BAIRD
STIFEL</t>
  </si>
  <si>
    <t>JP Morgan &amp; Co Inc
Merrill Lynch &amp; Co Inc
Barclays
Piper Jaffray Cos
Robert W Baird &amp; Co Inc
Stifel Nicolaus &amp; Co Inc</t>
  </si>
  <si>
    <t>Ancestry.com Inc</t>
  </si>
  <si>
    <t>ACOM</t>
  </si>
  <si>
    <t>032803108</t>
  </si>
  <si>
    <t>Morgan Stanley
Merrill Lynch
Jefferies &amp; Co Inc
Piper Jaffray Inc
BMO Capital Markets</t>
  </si>
  <si>
    <t>MORGAN-STANLEY(JB)/MERRILL(JB)
//JEFFERIES/PIPER-J/BMO-CAPITAL</t>
  </si>
  <si>
    <t>MORGAN-STANLEY
(JB)/MERRILL(JB)
JEFFERIES
PIPER-J
BMO-CAPITAL</t>
  </si>
  <si>
    <t>Morgan Stanley
Merrill Lynch &amp; Co Inc
Jefferies &amp; Co Inc
Piper Jaffray Inc
BMO Capital Markets</t>
  </si>
  <si>
    <t>Hyatt Hotels Corp</t>
  </si>
  <si>
    <t>H</t>
  </si>
  <si>
    <t>Goldman Sachs &amp; Co
Deutsche Bank Securities Corp
JP Morgan
Merrill Lynch
Citi
UBS Investment Bank
Wells Fargo Bank NA
Hongkong &amp; Shanghai Bank (HK)
Piper Jaffray Inc
Scotia Capital (USA) Inc.
Robert W Baird &amp; Co Inc
Loop Capital Markets
MR Beal &amp; Co
Samuel A. Ramirez &amp; Co.
Muriel Siebert &amp; Co
Williams Capital Group LP</t>
  </si>
  <si>
    <t>GS/DEUTSCHE-BK-SEC/JPM(JOINT)//MERRILL
/CITI/UBS-INV-BANK/WELLS-FARGO
/HONG-SHANG-BKG/PIPER-J/SCOTIA-CAP
/BAIRD/LOOP/M-R-BEAL/RAMIREZ/MURIEL
/WILLIAMS-CAP</t>
  </si>
  <si>
    <t>GS/DEUTSCHE-BK-SEC/JPM</t>
  </si>
  <si>
    <t>GS
/DEUTSCHE-BK-SEC
/JPM(JOINT)
MERRILL
CITI
UBS-INV-BANK
WELLS-FARGO
HONG-SHANG-BKG
PIPER-J
SCOTIA-CAP
BAIRD
LOOP
M-R-BEAL
RAMIREZ
MURIEL
WILLIAMS-CAP</t>
  </si>
  <si>
    <t>Goldman Sachs &amp; Co
Deutsche Bank Securities Corp.
JP Morgan &amp; Co Inc
Merrill Lynch &amp; Co Inc
Citi
UBS Investment Bank
Wells Fargo Bank NA
Hongkong &amp; Shanghai Banking Corp Ltd
Piper Jaffray Inc
Scotia Capital (USA) Inc.
Robert W Baird &amp; Co Inc
Loop Capital Markets
MR Beal &amp; Co
Samuel A. Ramirez &amp; Co.
Muriel Siebert &amp; Co
Williams Capital Group LP</t>
  </si>
  <si>
    <t>Duoyuan Printing Inc</t>
  </si>
  <si>
    <t>DYP</t>
  </si>
  <si>
    <t>26605B109</t>
  </si>
  <si>
    <t>Piper Jaffray Inc
Roth Capital Partners Inc</t>
  </si>
  <si>
    <t>PIPER-J//ROTH-CAPITAL</t>
  </si>
  <si>
    <t>PIPER-J
ROTH-CAPITAL</t>
  </si>
  <si>
    <t>STR Holdings Inc</t>
  </si>
  <si>
    <t>STRI</t>
  </si>
  <si>
    <t>78478V100</t>
  </si>
  <si>
    <t>Credit Suisse
Goldman Sachs &amp; Co
Cowen
Jefferies &amp; Co Inc
Lazard Capital Markets
Macquarie Capital Partners LLC
Natixis</t>
  </si>
  <si>
    <t>05/05/10
05/05/10
05/05/10</t>
  </si>
  <si>
    <t>CREDIT-SUISSE(JB)/GS(JB)//COWEN
/JEFFERIES/LAZARD-CAP-MKT/MACQUARIE-CAP
//NATIXIS</t>
  </si>
  <si>
    <t>CREDIT-SUISSE
(JB)/GS(JB)
COWEN
JEFFERIES
LAZARD-CAP-MKT
MACQUARIE-CAP</t>
  </si>
  <si>
    <t>Credit Suisse
Goldman Sachs &amp; Co
Cowen &amp; Co
Jefferies &amp; Co Inc
Lazard Capital Markets
Macquarie Capital Partners LLC</t>
  </si>
  <si>
    <t>Dollar General Corp</t>
  </si>
  <si>
    <t>DG</t>
  </si>
  <si>
    <t>CITI/GS(JB)
/KKR-CAPITAL(JB)
/MERRILL(JB)/JPM(JB)</t>
  </si>
  <si>
    <t>Citi
Goldman Sachs &amp; Co
KKR Capital Markets LLC
Merrill Lynch
JP Morgan
Barclays
Wells Fargo Bank NA
Deutsche Bank Securities Corp
Hongkong &amp; Shanghai Bank (HK)</t>
  </si>
  <si>
    <t>05/11/10
05/11/10
05/11/10</t>
  </si>
  <si>
    <t>CITI(JB)/GS(JB)/KKR-CAPITAL(JB)
/MERRILL(JB)/JPM(JB)//BARCLAYS-CAP
/WELLS-FARGO/DEUTSCHE-BK-SEC
/HONG-SHANG-BKG</t>
  </si>
  <si>
    <t>CITI/GS/KKR-CAPITAL/MERRILL/JPM</t>
  </si>
  <si>
    <t>CITI
(JB)/GS(JB)
/KKR-CAPITAL(JB)
/MERRILL(JB)
/JPM(JB)
BARCLAYS-CAP
WELLS-FARGO
DEUTSCHE-BK-SEC
HONG-SHANG-BKG</t>
  </si>
  <si>
    <t>Citi
Goldman Sachs &amp; Co
KKR Capital Markets LLC
Merrill Lynch &amp; Co Inc
JP Morgan &amp; Co Inc
Barclays
Wells Fargo Bank NA
Deutsche Bank Securities Corp.
Hongkong &amp; Shanghai Banking Corp Ltd</t>
  </si>
  <si>
    <t>rue21 inc</t>
  </si>
  <si>
    <t>RUE</t>
  </si>
  <si>
    <t>Merrill Lynch
Goldman Sachs &amp; Co
JP Morgan
Piper Jaffray Inc</t>
  </si>
  <si>
    <t>MERRILL(JB)/GS(JB)/JPM(JB)//PIPER-J</t>
  </si>
  <si>
    <t>MERRILL
(JB)/GS(JB)
/JPM(JB)
PIPER-J</t>
  </si>
  <si>
    <t>Merrill Lynch &amp; Co Inc
Goldman Sachs &amp; Co
JP Morgan &amp; Co Inc
Piper Jaffray Inc</t>
  </si>
  <si>
    <t>Fortinet Inc</t>
  </si>
  <si>
    <t>FTNT</t>
  </si>
  <si>
    <t>MORGAN-STANLEY/JPM(JB)
/DEUTSCHE-BK-SEC(JB)</t>
  </si>
  <si>
    <t>34959E109</t>
  </si>
  <si>
    <t>Morgan Stanley
JP Morgan
Deutsche Bank Securities Corp
Robert W Baird &amp; Co Inc
RBC Capital Markets
ThinkEquity Partners
JMP Securities LLC
Signal Hill Capital Group LLC</t>
  </si>
  <si>
    <t>05/16/10
05/16/10
05/16/10</t>
  </si>
  <si>
    <t>MORGAN-STANLEY(JB)/JPM(JB)
/DEUTSCHE-BK-SEC(JB)//BAIRD
/RBC-CAP-MKTS/THINK/JMP-SEC/SIGNAL-HILL</t>
  </si>
  <si>
    <t>MORGAN-STANLEY/JPM/DEUTSCHE-BK-SEC</t>
  </si>
  <si>
    <t>MORGAN-STANLEY
(JB)/JPM(JB)
/DEUTSCHE-BK-SEC(JB)
BAIRD
RBC-CAP-MKTS
THINK
JMP-SEC
SIGNAL-HILL</t>
  </si>
  <si>
    <t>Morgan Stanley
JP Morgan &amp; Co Inc
Deutsche Bank Securities Corp.
Robert W Baird &amp; Co Inc
RBC Capital Markets
ThinkEquity Partners
JMP Securities LLC
Signal Hill Capital Group LLC</t>
  </si>
  <si>
    <t>Archipelago Learning Inc</t>
  </si>
  <si>
    <t>ARCL</t>
  </si>
  <si>
    <t>MERRILL/WM-BLAIR(JB)</t>
  </si>
  <si>
    <t>03956P102</t>
  </si>
  <si>
    <t>Merrill Lynch
William Blair &amp; Co
Robert W Baird &amp; Co Inc
Piper Jaffray Inc
Stifel Nicolaus &amp; Co Inc</t>
  </si>
  <si>
    <t>05/18/10
05/18/10
05/18/10</t>
  </si>
  <si>
    <t>MERRILL(JB)/WM-BLAIR(JB)//BAIRD/PIPER-J
/STIFEL</t>
  </si>
  <si>
    <t>MERRILL/WM-BLAIR</t>
  </si>
  <si>
    <t>MERRILL
(JB)/WM-BLAIR(JB)
BAIRD
PIPER-J
STIFEL</t>
  </si>
  <si>
    <t>Merrill Lynch &amp; Co Inc
William Blair &amp; Co
Robert W Baird &amp; Co Inc
Piper Jaffray Inc
Stifel Nicolaus &amp; Co Inc</t>
  </si>
  <si>
    <t>Cloud Peak Energy Inc</t>
  </si>
  <si>
    <t>CLD</t>
  </si>
  <si>
    <t>CREDIT-SUISSE
/MORGAN-STANLEY(JB)
/RBC-CAP-MKTS(JB)</t>
  </si>
  <si>
    <t>18911Q102</t>
  </si>
  <si>
    <t>Credit Suisse
Morgan Stanley
RBC Capital Markets
Calyon Securities USA Inc
JP Morgan
Scotia Capital (USA) Inc.
Societe Generale
Wells Fargo Bank NA
BMO Capital Markets
Citi
ING
Natixis
PNC Capital Markets
Raymond James &amp; Associates Inc
SunTrust Robinson Humphrey
Capital One Southcoast Inc</t>
  </si>
  <si>
    <t>CREDIT-SUISSE(JB)/MORGAN-STANLEY(JB)
/RBC-CAP-MKTS(JB)//CALYON-SEC/JPM
/SCOTIA-CAP/SOC-GEN/WELLS-FARGO
/BMO-CAPITAL/CITI/ING/NATIXIS
/PNC-CAPITAL/RAYMOND/SUNTRUST-RH
/CAP-ONE-SOUTH</t>
  </si>
  <si>
    <t>CREDIT-SUISSE/MORGAN-STANLEY
/RBC-CAP-MKTS</t>
  </si>
  <si>
    <t>CREDIT-SUISSE
(JB)/MORGAN-STANLEY(JB)
/RBC-CAP-MKTS(JB)
CALYON-SEC
JPM
SCOTIA-CAP
SOC-GEN
WELLS-FARGO
BMO-CAPITAL
CITI
ING
NATIXIS
PNC-CAPITAL
RAYMOND
SUNTRUST-RH
CAP-ONE-SOUTH</t>
  </si>
  <si>
    <t>Credit Suisse
Morgan Stanley
RBC Capital Markets
Calyon Securities USA Inc
JP Morgan &amp; Co Inc
Scotia Capital (USA) Inc.
Societe Generale SA
Wells Fargo Bank NA
BMO Capital Markets
Citi
ING
Natixis
PNC Capital Markets
Raymond James &amp; Associates Inc
SunTrust Robinson Humphrey
Capital One Southcoast Inc</t>
  </si>
  <si>
    <t>GLG Life Tech Corp</t>
  </si>
  <si>
    <t>GLG</t>
  </si>
  <si>
    <t>CANACCORD</t>
  </si>
  <si>
    <t>Canaccord Capital Corp
GMP Securities Ltd.
Desjardins Securities Inc.
Wellington West Capital Inc
Roth Capital Partners Inc</t>
  </si>
  <si>
    <t>CANACCORD//GMP-SEC//DESJARDINS-SEC
/WELLINGTON-WEST/ROTH-CAPITAL</t>
  </si>
  <si>
    <t>CANACCORD
GMP-SEC</t>
  </si>
  <si>
    <t>Canaccord Capital Corp
GMP Securities Ltd.</t>
  </si>
  <si>
    <t>GSME Acquisition Partners I</t>
  </si>
  <si>
    <t>GSMEF</t>
  </si>
  <si>
    <t>COHEN-CO</t>
  </si>
  <si>
    <t>Cohen &amp; Co
Rodman &amp; Renshaw Inc
I-Bankers Securities Inc</t>
  </si>
  <si>
    <t>COHEN-CO//RODMAN/I-BANKERS-SEC</t>
  </si>
  <si>
    <t>COHEN-CO
RODMAN
I-BANKERS-SEC</t>
  </si>
  <si>
    <t>Global Defense Tech &amp; Sys Inc</t>
  </si>
  <si>
    <t>GTEC</t>
  </si>
  <si>
    <t>37950B107</t>
  </si>
  <si>
    <t>Cowen &amp; Co
Stifel Nicolaus &amp; Co Inc
Raymond James &amp; Associates Inc
SunTrust Robinson Humphrey</t>
  </si>
  <si>
    <t>COWEN-CO//STIFEL/RAYMOND/SUNTRUST-RH</t>
  </si>
  <si>
    <t>COWEN-CO
STIFEL
RAYMOND
SUNTRUST-RH</t>
  </si>
  <si>
    <t>7 Days Group Holdings Ltd</t>
  </si>
  <si>
    <t>SVN</t>
  </si>
  <si>
    <t>JPM/CITI(JB)</t>
  </si>
  <si>
    <t>81783J101</t>
  </si>
  <si>
    <t>JP Morgan
Citi
Oppenheimer &amp; Co Inc</t>
  </si>
  <si>
    <t>JPM(JB)/CITI(JB)//OPPENHEIMER-CO</t>
  </si>
  <si>
    <t>JPM/CITI</t>
  </si>
  <si>
    <t>JPM
(JB)/CITI(JB)
OPPENHEIMER-CO</t>
  </si>
  <si>
    <t>JP Morgan &amp; Co Inc
Citi
Oppenheimer &amp; Co Inc</t>
  </si>
  <si>
    <t>Western Asset Global Corporate</t>
  </si>
  <si>
    <t>GDO</t>
  </si>
  <si>
    <t>CITI/MORGAN-STANLEY(JB)
/MERRILL(JB)</t>
  </si>
  <si>
    <t>95790C107</t>
  </si>
  <si>
    <t>Citi
Morgan Stanley
Merrill Lynch
JJB Hilliard WL Lyons Inc
Janney Montgomery Scott LLC
Ladenburg Thalmann &amp; Co
Morgan Keegan Inc
RBC Capital Markets
Stifel Nicolaus &amp; Co Inc
BB&amp;T Capital Markets
David A. Noyes
Dominick &amp; Dominick Inc
Howe Barnes Hoefer Arnett Inc
Huntleigh Securities Corp
Muriel Siebert &amp; Co
Newbridge Securities
Paulson Investment Co
Southwest Securities Inc
Wedbush Securities</t>
  </si>
  <si>
    <t>CITI(JB)/MORGAN-STANLEY(JB)/MERRILL(JB)
//HILLIARD/JANNEY-LLC/LADENBURG
/MORGAN-KEEGAN/RBC-CAP-MKTS/STIFEL
//BB-T-CAP/D-A-NOYES/DOMINICK
/HBHOEFER-ARNETT/HUNTLEIGH-SEC/MURIEL
/NEWBRIDGE/PAULSON/SWS-SEC/WEDBUSH-M</t>
  </si>
  <si>
    <t>CITI/MORGAN-STANLEY/MERRILL</t>
  </si>
  <si>
    <t>CITI
(JB)/MORGAN-STANLEY(JB)
/MERRILL(JB)
HILLIARD
JANNEY-LLC
LADENBURG
MORGAN-KEEGAN
RBC-CAP-MKTS
STIFEL</t>
  </si>
  <si>
    <t>Citi
Morgan Stanley
Merrill Lynch &amp; Co Inc
JJB Hilliard WL Lyons Inc
Janney Montgomery Scott LLC
Ladenburg Thalmann &amp; Co
Morgan Keegan Inc
RBC Capital Markets
Stifel Nicolaus &amp; Co Inc</t>
  </si>
  <si>
    <t>Nuveen Mortgage Opportunity</t>
  </si>
  <si>
    <t>JLS</t>
  </si>
  <si>
    <t>WELLS-FARGO/MERRILL(JB)
/UBS-INV-BANK(JB)
/NUVEEN-INV(JB)</t>
  </si>
  <si>
    <t>Wells Fargo Bank NA
Merrill Lynch
UBS Investment Bank
Nuveen Investments LLC
Janney Montgomery Scott LLC
Raymond James &amp; Associates Inc
RBC Capital Markets
Stifel Nicolaus &amp; Co Inc
Ladenburg Thalmann &amp; Co
Maxim Group LLC
Wunderlich Securities Inc
BB&amp;T Capital Markets
DA Davidson &amp; Co Inc
David A. Noyes
Dawson James Securities
GMS Group
Henley Group Inc
Huntleigh Securities Corp
Jesup &amp; Lamont Securities
Northeast Securities Inc.
Southwest Securities Inc
Wayne Hummer &amp; Co</t>
  </si>
  <si>
    <t>WELLS-FARGO(JB)/MERRILL(JB)
/UBS-INV-BANK(JB)/NUVEEN-INV(JB)
//JANNEY-LLC/RAYMOND/RBC-CAP-MKTS
/STIFEL/LADENBURG/MAXIM-GROUP
/WUNDERLICH//BB-T-CAP/DAVIDSON
/D-A-NOYES/DAWSON-JAMES/GMS-GROUP
/HENLEY-GROUP/HUNTLEIGH-SEC/JESUP
/NORTHEAST-SEC/SWS-SEC/HUMMER</t>
  </si>
  <si>
    <t>WELLS-FARGO/MERRILL/UBS-INV-BANK
/NUVEEN-INV</t>
  </si>
  <si>
    <t>WELLS-FARGO
(JB)/MERRILL(JB)
/UBS-INV-BANK(JB)
/NUVEEN-INV(JB)
JANNEY-LLC
RAYMOND
RBC-CAP-MKTS
STIFEL
LADENBURG
MAXIM-GROUP
WUNDERLICH</t>
  </si>
  <si>
    <t>Wells Fargo Bank NA
Merrill Lynch &amp; Co Inc
UBS Investment Bank
Nuveen Investments LLC
Janney Montgomery Scott LLC
Raymond James &amp; Associates Inc
RBC Capital Markets
Stifel Nicolaus &amp; Co Inc
Ladenburg Thalmann &amp; Co
Maxim Group LLC
Wunderlich Securities Inc</t>
  </si>
  <si>
    <t>Seligman Premium Technology</t>
  </si>
  <si>
    <t>STK</t>
  </si>
  <si>
    <t>WELLS-FARGO
/UBS-INV-BANK(JB)
/AMERIPRISE-FIN(JB)</t>
  </si>
  <si>
    <t>81634U107</t>
  </si>
  <si>
    <t>Wells Fargo Bank NA
UBS Investment Bank
Ameriprise Financial Inc
Raymond James &amp; Associates Inc
Janney Montgomery Scott LLC
Oppenheimer &amp; Co Inc
RBC Capital Markets
Stifel Nicolaus &amp; Co Inc
Robert W Baird &amp; Co Inc
JJB Hilliard WL Lyons Inc
Maxim Group LLC
Wedbush Securities
Wunderlich Securities Inc
DA Davidson &amp; Co Inc
Dominick &amp; Dominick Inc
Morgan Keegan Inc
R. M. Stark &amp; Co
White Pacific Securities Inc
Andrew Garrett Group
Bishop, Rosen &amp; Co
Crowell Weedon &amp; Co
David A. Noyes
Henley Group Inc
Howe Barnes Hoefer Arnett Inc
Jesup &amp; Lamont Securities
Joseph Gunnar &amp; Co., LLC
McGinn, Smith &amp; Co Inc
Muriel Siebert &amp; Co
Southwest Securities Inc
Summit Brokerage Services Inc
Newbridge Securities</t>
  </si>
  <si>
    <t>WELLS-FARGO(JB)/UBS-INV-BANK(JB)
/AMERIPRISE-FIN(JB)//RAYMOND/JANNEY-LLC
/OPPENHEIMER-CO/RBC-CAP-MKTS/STIFEL
/BAIRD/HILLIARD/MAXIM-GROUP/WEDBUSH-M
/WUNDERLICH/DAVIDSON/DOMINICK
/MORGAN-KEEGAN/R-M-STARK/WHITE-PACIFIC
/ANDREW-GARRETT/BISHOP-ROSEN//CROWELL
/D-A-NOYES/HENLEY-GROUP/HBHOEFER-ARNETT
/JESUP/GUNNAR/MCGINN-SMITH/MURIEL
/SWS-SEC/SUMMIT-BROKER/NEWBRIDGE</t>
  </si>
  <si>
    <t>WELLS-FARGO/UBS-INV-BANK/AMERIPRISE-FIN</t>
  </si>
  <si>
    <t>WELLS-FARGO
(JB)/UBS-INV-BANK(JB)
/AMERIPRISE-FIN(JB)
RAYMOND
JANNEY-LLC
OPPENHEIMER-CO
RBC-CAP-MKTS
STIFEL
BAIRD
HILLIARD
MAXIM-GROUP
WEDBUSH-M
WUNDERLICH
DAVIDSON
DOMINICK
MORGAN-KEEGAN
R-M-STARK
WHITE-PACIFIC
ANDREW-GARRETT
BISHOP-ROSEN</t>
  </si>
  <si>
    <t>Wells Fargo Bank NA
UBS Investment Bank
Ameriprise Financial Inc
Raymond James &amp; Associates Inc
Janney Montgomery Scott LLC
Oppenheimer &amp; Co Inc
RBC Capital Markets
Stifel Nicolaus &amp; Co Inc
Robert W Baird &amp; Co Inc
JJB Hilliard WL Lyons Inc
Maxim Group LLC
Wedbush Securities
Wunderlich Securities Inc
DA Davidson &amp; Co Inc
Dominick &amp; Dominick Inc
Morgan Keegan Inc
R. M. Stark Co., Inc.
White Pacific Securities Inc
Andrew Garrett Group
Bishop, Rosen &amp; Co, Inc.</t>
  </si>
  <si>
    <t>Pebblebrook Hotel Trust</t>
  </si>
  <si>
    <t>PEB</t>
  </si>
  <si>
    <t>MERRILL/RAYMOND(JB)
/WELLS-FARGO(JB)</t>
  </si>
  <si>
    <t>70509V100</t>
  </si>
  <si>
    <t>Merrill Lynch
Raymond James &amp; Associates Inc
Wells Fargo Bank NA
Calyon Securities USA Inc
RBC Capital Markets</t>
  </si>
  <si>
    <t>06/06/10
06/06/10</t>
  </si>
  <si>
    <t>MERRILL(JB)/RAYMOND(JB)/WELLS-FARGO(JB)
//CALYON-SEC/RBC-CAP-MKTS</t>
  </si>
  <si>
    <t>MERRILL/RAYMOND/WELLS-FARGO</t>
  </si>
  <si>
    <t>MERRILL
(JB)/RAYMOND(JB)
/WELLS-FARGO(JB)
CALYON-SEC
RBC-CAP-MKTS</t>
  </si>
  <si>
    <t>Merrill Lynch &amp; Co Inc
Raymond James &amp; Associates Inc
Wells Fargo Bank NA
Calyon Securities USA Inc
RBC Capital Markets</t>
  </si>
  <si>
    <t>China Nuokang Bio-Pharm Inc</t>
  </si>
  <si>
    <t>NKBP</t>
  </si>
  <si>
    <t>16949B105</t>
  </si>
  <si>
    <t>Jefferies &amp; Co Inc
Oppenheimer &amp; Co Inc</t>
  </si>
  <si>
    <t>JEFFERIES//OPPENHEIMER-CO</t>
  </si>
  <si>
    <t>JEFFERIES
OPPENHEIMER-CO</t>
  </si>
  <si>
    <t>KAR Auction Services Inc</t>
  </si>
  <si>
    <t>GS/CREDIT-SUISSE(JB)
/JPM(JB)/MERRILL(JB)</t>
  </si>
  <si>
    <t>48238T109</t>
  </si>
  <si>
    <t>Goldman Sachs &amp; Co
Credit Suisse
JP Morgan
Merrill Lynch
Barclays
BMO Capital Markets
BB&amp;T Capital Markets
Robert W Baird &amp; Co Inc
Barrington Research Inc.
RBC Capital Markets
Stephens Inc</t>
  </si>
  <si>
    <t>06/08/10
06/08/10
06/08/10</t>
  </si>
  <si>
    <t>GS(JB)/CREDIT-SUISSE(JB)/JPM(JB)
/MERRILL(JB)/BARCLAYS-CAP
/BMO-CAPITAL(JOINT)//BB-T-CAP/BAIRD
/BARRINGTON-RES/RBC-CAP-MKTS/STEPHENS</t>
  </si>
  <si>
    <t>GS/CREDIT-SUISSE/JPM/MERRILL
/BARCLAYS-CAP/BMO-CAPITAL</t>
  </si>
  <si>
    <t>GS
(JB)/CREDIT-SUISSE(JB)
/JPM(JB)
/MERRILL(JB)
/BARCLAYS-CAP
/BMO-CAPITAL(JOINT)
BB-T-CAP
BAIRD
BARRINGTON-RES
RBC-CAP-MKTS
STEPHENS</t>
  </si>
  <si>
    <t>Goldman Sachs &amp; Co
Credit Suisse
JP Morgan &amp; Co Inc
Merrill Lynch &amp; Co Inc
Barclays
BMO Capital Markets
BB&amp;T Capital Markets
Robert W Baird &amp; Co Inc
Barrington Research Inc.
RBC Capital Markets
Stephens Inc</t>
  </si>
  <si>
    <t>Concord Med Svcs Hldg Ltd</t>
  </si>
  <si>
    <t>CCM</t>
  </si>
  <si>
    <t>MORGAN-STANLEY/JPM(JB)
/CHINA-CAPITAL(JB)</t>
  </si>
  <si>
    <t>Morgan Stanley
JP Morgan
China International Capital Co</t>
  </si>
  <si>
    <t>06/09/10
06/09/10</t>
  </si>
  <si>
    <t>MORGAN-STANLEY(JB)/JPM(JB)
/CHINA-CAPITAL(JB)</t>
  </si>
  <si>
    <t>MORGAN-STANLEY/JPM/CHINA-CAPITAL</t>
  </si>
  <si>
    <t>MORGAN-STANLEY
(JB)/JPM(JB)
/CHINA-CAPITAL(JB)</t>
  </si>
  <si>
    <t>Morgan Stanley
JP Morgan &amp; Co Inc
China International Capital Corp</t>
  </si>
  <si>
    <t>Cobalt Intl Energy Inc</t>
  </si>
  <si>
    <t>CIE</t>
  </si>
  <si>
    <t>CREDIT-SUISSE/GS(JB)
/JPM(JB)</t>
  </si>
  <si>
    <t>19075F106</t>
  </si>
  <si>
    <t>Credit Suisse
Goldman Sachs &amp; Co
JP Morgan
Morgan Stanley
Tudor Pickering &amp; Co LLC
UBS Investment Bank
Deutsche Bank Securities Corp
RBC Capital Markets
Howard Weil Financial Corp
Friedman Billings Ramsey Group
Thomas Weisel Partners
Natixis
Capital One Southcoast Inc</t>
  </si>
  <si>
    <t>06/13/10
06/13/10
06/13/10</t>
  </si>
  <si>
    <t>CREDIT-SUISSE(JB)/GS(JB)/JPM(JB)
//MORGAN-STANLEY/TUDOR-PICKERING
/UBS-INV-BANK/DEUTSCHE-BK-SEC
/RBC-CAP-MKTS/HOWARD-WEIL-FIN
/FRIEDMAN-B/THOMAS-WEISEL/NATIXIS
/CAP-ONE-SOUTH</t>
  </si>
  <si>
    <t>CREDIT-SUISSE/GS/JPM</t>
  </si>
  <si>
    <t>CREDIT-SUISSE
(JB)/GS(JB)
/JPM(JB)
MORGAN-STANLEY
TUDOR-PICKERING
UBS-INV-BANK
DEUTSCHE-BK-SEC
RBC-CAP-MKTS
HOWARD-WEIL-FIN
FRIEDMAN-B
THOMAS-WEISEL
NATIXIS
CAP-ONE-SOUTH</t>
  </si>
  <si>
    <t>Credit Suisse
Goldman Sachs &amp; Co
JP Morgan &amp; Co Inc
Morgan Stanley
Tudor Pickering &amp; Co LLC
UBS Investment Bank
Deutsche Bank Securities Corp.
RBC Capital Markets
Howard Weil Financial Corp
Friedman Billings Ramsey Group
Thomas Weisel Partners
Natixis
Capital One Southcoast Inc</t>
  </si>
  <si>
    <t>TeamHealth Inc</t>
  </si>
  <si>
    <t>TMH</t>
  </si>
  <si>
    <t>MERRILL/GS(JB)
/BARCLAYS-CAP(JB)
/CITI(JB)</t>
  </si>
  <si>
    <t>87817A107</t>
  </si>
  <si>
    <t>Merrill Lynch
Goldman Sachs &amp; Co
Barclays
Citi
Credit Suisse
Deutsche Bank Securities Corp
UBS Investment Bank
Morgan Keegan Inc
Stephens Inc</t>
  </si>
  <si>
    <t>MERRILL(JB)/GS(JB)/BARCLAYS-CAP(JB)
/CITI(JB)//CREDIT-SUISSE
/DEUTSCHE-BK-SEC/UBS-INV-BANK
/MORGAN-KEEGAN/STEPHENS</t>
  </si>
  <si>
    <t>MERRILL/GS/BARCLAYS-CAP/CITI</t>
  </si>
  <si>
    <t>MERRILL
(JB)/GS(JB)
/BARCLAYS-CAP(JB)
/CITI(JB)
CREDIT-SUISSE
DEUTSCHE-BK-SEC
UBS-INV-BANK
MORGAN-KEEGAN
STEPHENS</t>
  </si>
  <si>
    <t>Merrill Lynch &amp; Co Inc
Goldman Sachs &amp; Co
Barclays
Citi
Credit Suisse
Deutsche Bank Securities Corp.
UBS Investment Bank
Morgan Keegan Inc
Stephens Inc</t>
  </si>
  <si>
    <t>Kraton Performance Polymers</t>
  </si>
  <si>
    <t>KRA</t>
  </si>
  <si>
    <t>CREDIT-SUISSE
/MERRILL(JB)
/MORGAN-STANLEY(JB)
/OPPENHEIMER-CO(JB)</t>
  </si>
  <si>
    <t>50077C106</t>
  </si>
  <si>
    <t>Credit Suisse
Merrill Lynch
Morgan Stanley
Oppenheimer &amp; Co Inc
Goldman Sachs &amp; Co
KeyBanc Capital Markets Inc</t>
  </si>
  <si>
    <t>06/14/10
06/14/10</t>
  </si>
  <si>
    <t>CREDIT-SUISSE(JB)/MERRILL(JB)
/MORGAN-STANLEY(JB)/OPPENHEIMER-CO(JB)
//GS/KEYBANC</t>
  </si>
  <si>
    <t>CREDIT-SUISSE/MERRILL/MORGAN-STANLEY
/OPPENHEIMER-CO</t>
  </si>
  <si>
    <t>CREDIT-SUISSE
(JB)/MERRILL(JB)
/MORGAN-STANLEY(JB)
/OPPENHEIMER-CO(JB)
GS
KEYBANC</t>
  </si>
  <si>
    <t>Credit Suisse
Merrill Lynch &amp; Co Inc
Morgan Stanley
Oppenheimer &amp; Co Inc
Goldman Sachs &amp; Co
KeyBanc Capital Markets Inc</t>
  </si>
  <si>
    <t>Northwest Bancshares Inc</t>
  </si>
  <si>
    <t>NWBI</t>
  </si>
  <si>
    <t>Stifel Nicolaus &amp; Co Inc
Janney Montgomery Scott LLC
RBC Capital Markets
Sandler O'Neill Partners
Sterne Agee &amp; Leach Inc</t>
  </si>
  <si>
    <t>03/18/10
03/18/10</t>
  </si>
  <si>
    <t>STIFEL//JANNEY-LLC/RBC-CAP-MKTS
/SANDLER-ONEILL/STERNE-AGEE</t>
  </si>
  <si>
    <t>STIFEL
JANNEY-LLC
RBC-CAP-MKTS
SANDLER-ONEILL
STERNE-AGEE</t>
  </si>
  <si>
    <t>Stifel Nicolaus &amp; Co Inc
Janney Montgomery Scott LLC
RBC Capital Markets
Sandler O'Neill Partners  L.P.
Sterne Agee &amp; Leach Inc</t>
  </si>
  <si>
    <t>Athens Bancshares Corp</t>
  </si>
  <si>
    <t>AFCB</t>
  </si>
  <si>
    <t>047042106</t>
  </si>
  <si>
    <t>Saguaro Resources Inc</t>
  </si>
  <si>
    <t>78704P109</t>
  </si>
  <si>
    <t>Keating Capital Inc</t>
  </si>
  <si>
    <t>KIPO</t>
  </si>
  <si>
    <t>48722R106</t>
  </si>
  <si>
    <t>OBA Financial Services Inc</t>
  </si>
  <si>
    <t>OBAF</t>
  </si>
  <si>
    <t>67424G101</t>
  </si>
  <si>
    <t>Cellu Tissue Holdings Inc</t>
  </si>
  <si>
    <t>CLU</t>
  </si>
  <si>
    <t>Goldman Sachs &amp; Co
JP Morgan
Merrill Lynch
Robert W Baird &amp; Co Inc
William Blair &amp; Co
DA Davidson &amp; Co Inc</t>
  </si>
  <si>
    <t>07/20/10
07/20/10
07/20/10</t>
  </si>
  <si>
    <t>GS(JB)/JPM(JB)//MERRILL/BAIRD/WM-BLAIR
/DAVIDSON</t>
  </si>
  <si>
    <t>GS
(JB)/JPM(JB)
MERRILL
BAIRD
WM-BLAIR
DAVIDSON</t>
  </si>
  <si>
    <t>Goldman Sachs &amp; Co
JP Morgan &amp; Co Inc
Merrill Lynch &amp; Co Inc
Robert W Baird &amp; Co Inc
William Blair &amp; Co
DA Davidson &amp; Co Inc</t>
  </si>
  <si>
    <t>Chesapeake Lodging Trust</t>
  </si>
  <si>
    <t>CHSP</t>
  </si>
  <si>
    <t>JP Morgan
Deutsche Bank Securities Corp
FBR Capital Markets Corp
KeyBanc Capital Markets Inc
Robert W Baird &amp; Co Inc
RBC Capital Markets
JMP Securities LLC</t>
  </si>
  <si>
    <t>07/20/10
07/20/10</t>
  </si>
  <si>
    <t>JPM(JB)/DEUTSCHE-BK-SEC(JB)
/FBR-CAPITAL(JOINT)//KEYBANC/BAIRD
/RBC-CAP-MKTS/JMP-SEC</t>
  </si>
  <si>
    <t>JPM/DEUTSCHE-BK-SEC/FBR-CAPITAL</t>
  </si>
  <si>
    <t>JPM
(JB)/DEUTSCHE-BK-SEC(JB)
/FBR-CAPITAL(JOINT)
KEYBANC
BAIRD
RBC-CAP-MKTS
JMP-SEC</t>
  </si>
  <si>
    <t>JP Morgan &amp; Co Inc
Deutsche Bank Securities Corp.
FBR Capital Markets Corp
KeyBanc Capital Markets Inc
Robert W Baird &amp; Co Inc
RBC Capital Markets
JMP Securities LLC</t>
  </si>
  <si>
    <t>OmniAmerican Bancorp Inc</t>
  </si>
  <si>
    <t>OABC</t>
  </si>
  <si>
    <t>68216R107</t>
  </si>
  <si>
    <t>Symetra Financial Corp</t>
  </si>
  <si>
    <t>SYA</t>
  </si>
  <si>
    <t>MERRILL/JPM(JB)/GS(JB)
/BARCLAYS-CAP(JB)</t>
  </si>
  <si>
    <t>87151Q106</t>
  </si>
  <si>
    <t>Merrill Lynch
JP Morgan
Goldman Sachs &amp; Co
Barclays
UBS Investment Bank
Wells Fargo Bank NA
Dowling &amp; Partners Securities
Keefe Bruyette &amp; Woods Inc
Sandler O'Neill Partners
Sterne Agee &amp; Leach Inc</t>
  </si>
  <si>
    <t>MERRILL(JB)/JPM(JB)/GS(JB)
/BARCLAYS-CAP(JB)//UBS-INV-BANK
/WELLS-FARGO/DOWL/KEEFE/SANDLER-ONEILL
/STERNE-AGEE</t>
  </si>
  <si>
    <t>MERRILL/JPM/GS/BARCLAYS-CAP</t>
  </si>
  <si>
    <t>MERRILL
(JB)/JPM(JB)
/GS(JB)
/BARCLAYS-CAP(JB)
UBS-INV-BANK
WELLS-FARGO
DOWL
KEEFE
SANDLER-ONEILL
STERNE-AGEE</t>
  </si>
  <si>
    <t>Merrill Lynch &amp; Co Inc
JP Morgan &amp; Co Inc
Goldman Sachs &amp; Co
Barclays
UBS Investment Bank
Wells Fargo Bank NA
Dowling &amp; Partners Securities LLC
Keefe Bruyette &amp; Woods Inc
Sandler O'Neill Partners  L.P.
Sterne Agee &amp; Leach Inc</t>
  </si>
  <si>
    <t>China Hydroelectric Corp</t>
  </si>
  <si>
    <t>CHC</t>
  </si>
  <si>
    <t>16949D101</t>
  </si>
  <si>
    <t>Broadband Capital Management
I-Bankers Securities Inc
Merriman Curhan Ford &amp; Co
Maxim Group LLC
Morgan Joseph &amp; Co Inc
Joseph Gunnar &amp; Co., LLC</t>
  </si>
  <si>
    <t>07/24/10
07/24/10
07/24/10</t>
  </si>
  <si>
    <t>BROADBAND//I-BANKERS-SEC/MERR-CUR
/MAXIM-GROUP/MORGAN-JOSEPH/GUNNAR</t>
  </si>
  <si>
    <t>BROADBAND
I-BANKERS-SEC
MERR-CUR
MAXIM-GROUP
MORGAN-JOSEPH
GUNNAR</t>
  </si>
  <si>
    <t>Broadband Capital Management LLC
I-Bankers Securities Inc
Merriman Curhan Ford &amp; Co
Maxim Group LLC
Morgan Joseph &amp; Co Inc
Joseph Gunnar &amp; Co., LLC</t>
  </si>
  <si>
    <t>Federated Enhanced Treasury</t>
  </si>
  <si>
    <t>FTT</t>
  </si>
  <si>
    <t>WELLS-FARGO
/UBS-INV-BANK(JB)
/RAYMOND(JB)</t>
  </si>
  <si>
    <t>Wells Fargo Bank NA
UBS Investment Bank
Raymond James &amp; Associates Inc
Janney Montgomery Scott LLC
Ladenburg Thalmann &amp; Co
Morgan Keegan Inc
JJB Hilliard WL Lyons Inc
Maxim Group LLC
Newbridge Securities
Wedbush Securities
Wunderlich Securities Inc
Andrew Garrett Group
BB&amp;T Capital Markets
Bernard Herold &amp; Co
Brean Murray Carret &amp; Co LLC
DA Davidson &amp; Co Inc
David A. Noyes
Dawson James Securities
Dominick &amp; Dominick Inc
GMS Group
Jesup &amp; Lamont Securities
Muriel Siebert &amp; Co
Paulson Investment Co
RBC Capital Markets
Southwest Securities Inc
Summit Brokerage Services Inc
Synovus Securities Inc
Wayne Hummer &amp; Co
White Pacific Securities Inc
Dinosaur Group</t>
  </si>
  <si>
    <t>WELLS-FARGO(JB)/UBS-INV-BANK(JB)
/RAYMOND(JB)//JANNEY-LLC/LADENBURG
/MORGAN-KEEGAN/HILLIARD/MAXIM-GROUP
/NEWBRIDGE/WEDBUSH-M/WUNDERLICH
//ANDREW-GARRETT/BB-T-CAP/BERNARD-HER
/BREANMUR-CARRET/DAVIDSON/D-A-NOYES
/DAWSON-JAMES/DOMINICK/GMS-GROUP/JESUP
/MURIEL/PAULSON/RBC-CAP-MKTS/SWS-SEC
/SUMMIT-BROKER/SYNOVUS-SEC/HUMMER
/WHITE-PACIFIC/DINOSAUR</t>
  </si>
  <si>
    <t>WELLS-FARGO/UBS-INV-BANK/RAYMOND</t>
  </si>
  <si>
    <t>WELLS-FARGO
(JB)/UBS-INV-BANK(JB)
/RAYMOND(JB)
JANNEY-LLC
LADENBURG
MORGAN-KEEGAN
HILLIARD
MAXIM-GROUP
NEWBRIDGE
WEDBUSH-M
WUNDERLICH</t>
  </si>
  <si>
    <t>Wells Fargo Bank NA
UBS Investment Bank
Raymond James &amp; Associates Inc
Janney Montgomery Scott LLC
Ladenburg Thalmann &amp; Co
Morgan Keegan Inc
JJB Hilliard WL Lyons Inc
Maxim Group LLC
Newbridge Securities
Wedbush Securities
Wunderlich Securities Inc</t>
  </si>
  <si>
    <t>ING Infrastructure Industrials</t>
  </si>
  <si>
    <t>CITI/MORGAN-STANLEY(JB)
/MERRILL(JB)
/UBS-INV-BANK(JB)
/WELLS-FARGO(JB)
/AMERIPRISE-FIN(JB)</t>
  </si>
  <si>
    <t>45685U100</t>
  </si>
  <si>
    <t>Citi
Morgan Stanley
Merrill Lynch
UBS Investment Bank
Wells Fargo Bank NA
Ameriprise Financial Inc
JJB Hilliard WL Lyons Inc
Janney Montgomery Scott LLC
Ladenburg Thalmann &amp; Co
Maxim Group LLC
Morgan Keegan Inc
Muriel Siebert &amp; Co
Oppenheimer &amp; Co Inc
RBC Capital Markets
Southwest Securities Inc
Stifel Nicolaus &amp; Co Inc
Wedbush Securities
Wunderlich Securities Inc
BB&amp;T Capital Markets
Brean Murray Carret &amp; Co LLC
Crowell Weedon &amp; Co
DA Davidson &amp; Co Inc
David A. Noyes
Dominick &amp; Dominick Inc
Fifth Third Securities Inc
Huntleigh Securities Corp
Newbridge Securities
Summit Brokerage Services Inc
Torrey Pines Securities
Wayne Hummer &amp; Co</t>
  </si>
  <si>
    <t>CITI(JB)/MORGAN-STANLEY(JB)/MERRILL(JB)
/UBS-INV-BANK(JB)/WELLS-FARGO(JB)
/AMERIPRISE-FIN(JB)//HILLIARD
/JANNEY-LLC/LADENBURG/MAXIM-GROUP
/MORGAN-KEEGAN/MURIEL/OPPENHEIMER-CO
/RBC-CAP-MKTS/SWS-SEC/STIFEL/WEDBUSH-M
/WUNDERLICH//BB-T-CAP/BREANMUR-CARRET
/CROWELL/DAVIDSON/D-A-NOYES/DOMINICK
/FIFTH-THIRD-SEC/HUNTLEIGH-SEC
/NEWBRIDGE/SUMMIT-BROKER/TORREY-PINES
/HUMMER</t>
  </si>
  <si>
    <t>CITI/MORGAN-STANLEY/MERRILL/UBS-INV-BANK
/WELLS-FARGO/AMERIPRISE-FIN</t>
  </si>
  <si>
    <t>CITI
(JB)/MORGAN-STANLEY(JB)
/MERRILL(JB)
/UBS-INV-BANK(JB)
/WELLS-FARGO(JB)
/AMERIPRISE-FIN(JB)
HILLIARD
JANNEY-LLC
LADENBURG
MAXIM-GROUP
MORGAN-KEEGAN
MURIEL
OPPENHEIMER-CO
RBC-CAP-MKTS
SWS-SEC
STIFEL
WEDBUSH-M
WUNDERLICH</t>
  </si>
  <si>
    <t>Citi
Morgan Stanley
Merrill Lynch &amp; Co Inc
UBS Investment Bank
Wells Fargo Bank NA
Ameriprise Financial Inc
JJB Hilliard WL Lyons Inc
Janney Montgomery Scott LLC
Ladenburg Thalmann &amp; Co
Maxim Group LLC
Morgan Keegan Inc
Muriel Siebert &amp; Co
Oppenheimer &amp; Co Inc
RBC Capital Markets
Southwest Securities Inc
Stifel Nicolaus &amp; Co Inc
Wedbush Securities
Wunderlich Securities Inc</t>
  </si>
  <si>
    <t>Andatee China Marine Fuel Svcs</t>
  </si>
  <si>
    <t>AMCF</t>
  </si>
  <si>
    <t>RODMAN/NEWBRIDGE(JB)</t>
  </si>
  <si>
    <t>67086W105</t>
  </si>
  <si>
    <t>Rodman &amp; Renshaw Inc
Newbridge Securities</t>
  </si>
  <si>
    <t>07/20/11
07/20/11</t>
  </si>
  <si>
    <t>540
540</t>
  </si>
  <si>
    <t>RODMAN(JB)/NEWBRIDGE(JB)</t>
  </si>
  <si>
    <t>RODMAN/NEWBRIDGE</t>
  </si>
  <si>
    <t>RODMAN
(JB)/NEWBRIDGE(JB)</t>
  </si>
  <si>
    <t>IFM Investments Ltd</t>
  </si>
  <si>
    <t>CTC</t>
  </si>
  <si>
    <t>45172L100</t>
  </si>
  <si>
    <t>Goldman Sachs &amp; Co
Morgan Stanley
William Blair &amp; Co
Oppenheimer &amp; Co Inc</t>
  </si>
  <si>
    <t>07/26/10
07/26/10
07/26/10</t>
  </si>
  <si>
    <t>GS(JB)/MORGAN-STANLEY(JB)//WM-BLAIR
/OPPENHEIMER-CO</t>
  </si>
  <si>
    <t>GS
(JB)/MORGAN-STANLEY(JB)
WM-BLAIR
OPPENHEIMER-CO</t>
  </si>
  <si>
    <t>China Electric Motor Inc</t>
  </si>
  <si>
    <t>CELM</t>
  </si>
  <si>
    <t>ROTH-CAPITAL
/WEST-PARK-CAP(JB)</t>
  </si>
  <si>
    <t>16890A106</t>
  </si>
  <si>
    <t>Roth Capital Partners Inc
West Park Capital</t>
  </si>
  <si>
    <t>ROTH-CAPITAL(JB)/WEST-PARK-CAP(JB)</t>
  </si>
  <si>
    <t>ROTH-CAPITAL/WEST-PARK-CAP</t>
  </si>
  <si>
    <t>ROTH-CAPITAL
(JB)/WEST-PARK-CAP(JB)</t>
  </si>
  <si>
    <t>Ironwood Pharmaceuticals Inc</t>
  </si>
  <si>
    <t>IRWD</t>
  </si>
  <si>
    <t>JPM/MORGAN-STANLEY(JB)
/CREDIT-SUISSE(JB)</t>
  </si>
  <si>
    <t>46333X108</t>
  </si>
  <si>
    <t>JP Morgan
Morgan Stanley
Credit Suisse
Merrill Lynch
Wedbush Securities</t>
  </si>
  <si>
    <t>08/01/10
08/01/10</t>
  </si>
  <si>
    <t>JPM(JB)/MORGAN-STANLEY(JB)
/CREDIT-SUISSE(JB)//MERRILL/WEDBUSH-SEC</t>
  </si>
  <si>
    <t>JPM/MORGAN-STANLEY/CREDIT-SUISSE</t>
  </si>
  <si>
    <t>JPM
(JB)/MORGAN-STANLEY(JB)
/CREDIT-SUISSE(JB)
MERRILL
WEDBUSH-SEC</t>
  </si>
  <si>
    <t>JP Morgan &amp; Co Inc
Morgan Stanley
Credit Suisse
Merrill Lynch &amp; Co Inc
Wedbush Securities, Inc.</t>
  </si>
  <si>
    <t>Solar Capital Ltd</t>
  </si>
  <si>
    <t>SLRC</t>
  </si>
  <si>
    <t>CITI/JPM(JB)
/MORGAN-STANLEY(JB)
/SUNTRUST-RH(JB)</t>
  </si>
  <si>
    <t>83413U100</t>
  </si>
  <si>
    <t>Citi
JP Morgan
Morgan Stanley
SunTrust Robinson Humphrey
BMO Capital Markets
BB&amp;T Capital Markets
RBC Capital Markets</t>
  </si>
  <si>
    <t>CITI(JB)/JPM(JB)/MORGAN-STANLEY(JB)
/SUNTRUST-RH(JB)//BMO-CAPITAL/BB-T-CAP
/RBC-CAP-MKTS</t>
  </si>
  <si>
    <t>CITI/JPM/MORGAN-STANLEY/SUNTRUST-RH</t>
  </si>
  <si>
    <t>CITI
(JB)/JPM(JB)
/MORGAN-STANLEY(JB)
/SUNTRUST-RH(JB)
BMO-CAPITAL
BB-T-CAP
RBC-CAP-MKTS</t>
  </si>
  <si>
    <t>Citi
JP Morgan &amp; Co Inc
Morgan Stanley
SunTrust Robinson Humphrey
BMO Capital Markets
BB&amp;T Capital Markets
RBC Capital Markets</t>
  </si>
  <si>
    <t>Terreno Realty Corp</t>
  </si>
  <si>
    <t>TRNO</t>
  </si>
  <si>
    <t>88146M101</t>
  </si>
  <si>
    <t>Goldman Sachs &amp; Co
KeyBanc Capital Markets Inc
Robert W Baird &amp; Co Inc
Stifel Nicolaus &amp; Co Inc</t>
  </si>
  <si>
    <t>08/08/10
08/08/10</t>
  </si>
  <si>
    <t>GS/KEYBANC(JOINT)//BAIRD/STIFEL</t>
  </si>
  <si>
    <t>GS/KEYBANC</t>
  </si>
  <si>
    <t>GS
/KEYBANC(JOINT)
BAIRD
STIFEL</t>
  </si>
  <si>
    <t>Generac Holdings Inc</t>
  </si>
  <si>
    <t>GNRC</t>
  </si>
  <si>
    <t>GS/JPM(JB)/BAIRD(JB)
/MERRILL(JB)</t>
  </si>
  <si>
    <t>Goldman Sachs &amp; Co
JP Morgan
Robert W Baird &amp; Co Inc
Merrill Lynch
Morgan Stanley
KeyBanc Capital Markets Inc
William Blair &amp; Co
Stephens Inc</t>
  </si>
  <si>
    <t>08/09/10
08/09/10
08/09/10</t>
  </si>
  <si>
    <t>CCMP Capital Advisors LLC</t>
  </si>
  <si>
    <t>GS(JB)/JPM(JB)/BAIRD(JB)/MERRILL(JB)
/MORGAN-STANLEY(JOINT)//KEYBANC
/WM-BLAIR/STEPHENS</t>
  </si>
  <si>
    <t>GS/JPM/BAIRD/MERRILL/MORGAN-STANLEY</t>
  </si>
  <si>
    <t>GS
(JB)/JPM(JB)
/BAIRD(JB)
/MERRILL(JB)
/MORGAN-STANLEY(JOINT)
KEYBANC
WM-BLAIR
STEPHENS</t>
  </si>
  <si>
    <t>Goldman Sachs &amp; Co
JP Morgan &amp; Co Inc
Robert W Baird &amp; Co Inc
Merrill Lynch &amp; Co Inc
Morgan Stanley
KeyBanc Capital Markets Inc
William Blair &amp; Co
Stephens Inc</t>
  </si>
  <si>
    <t>Graham Packaging Co Inc</t>
  </si>
  <si>
    <t>GRM</t>
  </si>
  <si>
    <t>CITI/GS(JB)
/DEUTSCHE-BK-SEC(JB)</t>
  </si>
  <si>
    <t>Citi
Goldman Sachs &amp; Co
Deutsche Bank Securities Corp
Merrill Lynch
UBS Investment Bank
KeyBanc Capital Markets Inc
Robert W Baird &amp; Co Inc
Chapin, Davis</t>
  </si>
  <si>
    <t>08/09/10
08/09/10</t>
  </si>
  <si>
    <t>CITI(JB)/GS(JB)/DEUTSCHE-BK-SEC(JB)
//MERRILL/UBS-INV-BANK/KEYBANC/BAIRD
/CHAPIN-DAVIS</t>
  </si>
  <si>
    <t>CITI/GS/DEUTSCHE-BK-SEC</t>
  </si>
  <si>
    <t>CITI
(JB)/GS(JB)
/DEUTSCHE-BK-SEC(JB)
MERRILL
UBS-INV-BANK
KEYBANC
BAIRD
CHAPIN-DAVIS</t>
  </si>
  <si>
    <t>Citi
Goldman Sachs &amp; Co
Deutsche Bank Securities Corp.
Merrill Lynch &amp; Co Inc
UBS Investment Bank
KeyBanc Capital Markets Inc
Robert W Baird &amp; Co Inc
Chapin, Davis &amp; Co., Inc.</t>
  </si>
  <si>
    <t>QuinStreet Inc</t>
  </si>
  <si>
    <t>QNST</t>
  </si>
  <si>
    <t>CREDIT-SUISSE
/MERRILL(JB)/JPM(JB)</t>
  </si>
  <si>
    <t>74874Q100</t>
  </si>
  <si>
    <t>Credit Suisse
Merrill Lynch
JP Morgan</t>
  </si>
  <si>
    <t>CREDIT-SUISSE(JB)/MERRILL(JB)/JPM(JB)</t>
  </si>
  <si>
    <t>CREDIT-SUISSE/MERRILL/JPM</t>
  </si>
  <si>
    <t>CREDIT-SUISSE
(JB)/MERRILL(JB)
/JPM(JB)</t>
  </si>
  <si>
    <t>Credit Suisse
Merrill Lynch &amp; Co Inc
JP Morgan &amp; Co Inc</t>
  </si>
  <si>
    <t>Midas Medici Grp Hldg Inc</t>
  </si>
  <si>
    <t>N/A</t>
  </si>
  <si>
    <t>NATL-SEC</t>
  </si>
  <si>
    <t>59564J102</t>
  </si>
  <si>
    <t>National Securities Corp (US)</t>
  </si>
  <si>
    <t>08/15/10
08/15/10</t>
  </si>
  <si>
    <t>Western Ast Mtg Defined Oppor</t>
  </si>
  <si>
    <t>DMO</t>
  </si>
  <si>
    <t>MERRILL/WELLS-FARGO(JB)</t>
  </si>
  <si>
    <t>95790B109</t>
  </si>
  <si>
    <t>Merrill Lynch
Wells Fargo Bank NA
Ladenburg Thalmann &amp; Co
Maxim Group LLC
Stifel Nicolaus &amp; Co Inc
Wunderlich Securities Inc
BB&amp;T Capital Markets
DA Davidson &amp; Co Inc
Dominick &amp; Dominick Inc
Joseph Gunnar &amp; Co., LLC
Jesup &amp; Lamont Securities
Newbridge Securities
Paulson Investment Co
RBC Capital Markets
Southwest Securities Inc</t>
  </si>
  <si>
    <t>MERRILL(JB)/WELLS-FARGO(JB)//LADENBURG
/MAXIM-GROUP/STIFEL/WUNDERLICH
//BB-T-CAP/DAVIDSON/DOMINICK/GUNNAR
/JESUP/NEWBRIDGE/PAULSON/RBC-CAP-MKTS
/SWS-SEC</t>
  </si>
  <si>
    <t>MERRILL/WELLS-FARGO</t>
  </si>
  <si>
    <t>MERRILL
(JB)/WELLS-FARGO(JB)
LADENBURG
MAXIM-GROUP
STIFEL
WUNDERLICH</t>
  </si>
  <si>
    <t>Merrill Lynch &amp; Co Inc
Wells Fargo Bank NA
Ladenburg Thalmann &amp; Co
Maxim Group LLC
Stifel Nicolaus &amp; Co Inc
Wunderlich Securities Inc</t>
  </si>
  <si>
    <t>Anthera Pharmaceuticals Inc</t>
  </si>
  <si>
    <t>ANTH</t>
  </si>
  <si>
    <t>03674U102</t>
  </si>
  <si>
    <t>Deutsche Bank Securities Corp
Piper Jaffray Inc
Cowen
Merriman Curhan Ford &amp; Co</t>
  </si>
  <si>
    <t>08/28/10
08/28/10</t>
  </si>
  <si>
    <t>DEUTSCHE-BK-SEC//PIPER-J/COWEN/MERR-CUR</t>
  </si>
  <si>
    <t>DEUTSCHE-BK-SEC
PIPER-J
COWEN
MERR-CUR</t>
  </si>
  <si>
    <t>Deutsche Bank Securities Corp.
Piper Jaffray Inc
Cowen &amp; Co
Merriman Curhan Ford &amp; Co</t>
  </si>
  <si>
    <t>Baltic Trading Ltd</t>
  </si>
  <si>
    <t>BALT</t>
  </si>
  <si>
    <t>MORGAN-STANLEY
/DAHLMAN-ROSE(JB)</t>
  </si>
  <si>
    <t>Y0553W103</t>
  </si>
  <si>
    <t>Morgan Stanley
Dahlman Rose Weiss LLC
Jefferies &amp; Co Inc
Lazard Capital Markets
DnB NOR BANK ASA</t>
  </si>
  <si>
    <t>09/04/10
09/04/10</t>
  </si>
  <si>
    <t>179
179</t>
  </si>
  <si>
    <t>MORGAN-STANLEY(JB)/DAHLMAN-ROSE(JB)
//JEFFERIES/LAZARD-CAP-MKT/DNB-NOR</t>
  </si>
  <si>
    <t>MORGAN-STANLEY/DAHLMAN-ROSE</t>
  </si>
  <si>
    <t>MORGAN-STANLEY
(JB)/DAHLMAN-ROSE(JB)
JEFFERIES
LAZARD-CAP-MKT
DNB-NOR</t>
  </si>
  <si>
    <t>Sensata Tech Hldg NV</t>
  </si>
  <si>
    <t>ST</t>
  </si>
  <si>
    <t>MORGAN-STANLEY
/BARCLAYS-CAP(JB)
/GS(JB)/MERRILL(JB)
/JPM(JB)</t>
  </si>
  <si>
    <t>Morgan Stanley
Barclays
Goldman Sachs &amp; Co
Merrill Lynch
JP Morgan
Citi
Credit Suisse
BMO Capital Markets
Oppenheimer &amp; Co Inc
RBC Capital Markets
Williams Capital Group LP</t>
  </si>
  <si>
    <t>09/06/10
09/06/10</t>
  </si>
  <si>
    <t>MORGAN-STANLEY(JB)/BARCLAYS-CAP(JB)
/GS(JB)/MERRILL(JB)/JPM(JB)//CITI
/CREDIT-SUISSE/BMO-CAPITAL
/OPPENHEIMER-CO/RBC-CAP-MKTS
/WILLIAMS-CAP</t>
  </si>
  <si>
    <t>MORGAN-STANLEY/BARCLAYS-CAP/GS/MERRILL
/JPM</t>
  </si>
  <si>
    <t>MORGAN-STANLEY
(JB)/BARCLAYS-CAP(JB)
/GS(JB)
/MERRILL(JB)
/JPM(JB)
CITI
CREDIT-SUISSE
BMO-CAPITAL
OPPENHEIMER-CO
RBC-CAP-MKTS
WILLIAMS-CAP</t>
  </si>
  <si>
    <t>Morgan Stanley
Barclays
Goldman Sachs &amp; Co
Merrill Lynch &amp; Co Inc
JP Morgan &amp; Co Inc
Citi
Credit Suisse
BMO Capital Markets
Oppenheimer &amp; Co Inc
RBC Capital Markets
Williams Capital Group LP</t>
  </si>
  <si>
    <t>AVEO Pharmaceuticals Inc</t>
  </si>
  <si>
    <t>AVEO</t>
  </si>
  <si>
    <t>053588109</t>
  </si>
  <si>
    <t>JP Morgan
Morgan Stanley
Leerink Swann &amp; Co
Canaccord Adams</t>
  </si>
  <si>
    <t>09/07/10
09/07/10
09/07/10</t>
  </si>
  <si>
    <t>JPM(JB)/MORGAN-STANLEY(JB)
//LEERINK-SWANN/CAN-ADAMS</t>
  </si>
  <si>
    <t>JPM
(JB)/MORGAN-STANLEY(JB)
LEERINK-SWANN
CAN-ADAMS</t>
  </si>
  <si>
    <t>JP Morgan &amp; Co Inc
Morgan Stanley
Leerink Swann &amp; Co
Canaccord Adams</t>
  </si>
  <si>
    <t>Crude Carriers Corp</t>
  </si>
  <si>
    <t>CRU</t>
  </si>
  <si>
    <t>UBS-INV-BANK
/MERRILL(JB)
/WELLS-FARGO(JB)</t>
  </si>
  <si>
    <t>Y1820X106</t>
  </si>
  <si>
    <t>UBS Investment Bank
Merrill Lynch
Wells Fargo Bank NA
Nordea Markets
Oppenheimer &amp; Co Inc
Cantor Fitzgerald Inc
Pareto Securities
RS Platou Markets AS
ING</t>
  </si>
  <si>
    <t>09/07/10
09/07/10</t>
  </si>
  <si>
    <t>UBS-INV-BANK(JB)/MERRILL(JB)
/WELLS-FARGO(JB)//NORDEA-MKTS
/OPPENHEIMER-CO/CANTOR/PARETO-SEC
/RS-PLAT-MARK/ING</t>
  </si>
  <si>
    <t>UBS-INV-BANK/MERRILL/WELLS-FARGO</t>
  </si>
  <si>
    <t>UBS-INV-BANK
(JB)/MERRILL(JB)
/WELLS-FARGO(JB)
NORDEA-MKTS
OPPENHEIMER-CO
CANTOR
PARETO-SEC
RS-PLAT-MARK
ING</t>
  </si>
  <si>
    <t>UBS Investment Bank
Merrill Lynch &amp; Co Inc
Wells Fargo Bank NA
Nordea Markets
Oppenheimer &amp; Co Inc
Cantor Fitzgerald Inc
Pareto Securities
RS Platou Markets AS
ING</t>
  </si>
  <si>
    <t>Financial Engines Inc</t>
  </si>
  <si>
    <t>FNGN</t>
  </si>
  <si>
    <t>Goldman Sachs &amp; Co
UBS Investment Bank
Piper Jaffray Inc
Cowen</t>
  </si>
  <si>
    <t>08/25/10
08/25/10</t>
  </si>
  <si>
    <t>163
163</t>
  </si>
  <si>
    <t>GS//UBS-INV-BANK/PIPER-J/COWEN</t>
  </si>
  <si>
    <t>GS
UBS-INV-BANK
PIPER-J
COWEN</t>
  </si>
  <si>
    <t>Goldman Sachs &amp; Co
UBS Investment Bank
Piper Jaffray Inc
Cowen &amp; Co</t>
  </si>
  <si>
    <t>Golden Minerals Co</t>
  </si>
  <si>
    <t>AUM</t>
  </si>
  <si>
    <t>DAHLMAN-ROSE
/CANACCORD(JB)</t>
  </si>
  <si>
    <t>Dahlman Rose Weiss LLC
Canaccord Capital Corp
Rodman &amp; Renshaw Inc</t>
  </si>
  <si>
    <t>DAHLMAN-ROSE(JB)/CANACCORD(JB)//RODMAN</t>
  </si>
  <si>
    <t>DAHLMAN-ROSE/CANACCORD</t>
  </si>
  <si>
    <t>DAHLMAN-ROSE
(JB)/CANACCORD(JB)</t>
  </si>
  <si>
    <t>Dahlman Rose Weiss LLC
Canaccord Capital Corp</t>
  </si>
  <si>
    <t>First Interstate BancSystem In</t>
  </si>
  <si>
    <t>FIBK</t>
  </si>
  <si>
    <t>32055Y201</t>
  </si>
  <si>
    <t>Barclays
DA Davidson &amp; Co Inc
Keefe Bruyette &amp; Woods Inc
Sandler O'Neill Partners</t>
  </si>
  <si>
    <t>09/19/10
09/19/10
09/19/10</t>
  </si>
  <si>
    <t>BARCLAYS-CAP//DAVIDSON/KEEFE
/SANDLER-ONEILL</t>
  </si>
  <si>
    <t>BARCLAYS-CAP
DAVIDSON
KEEFE
SANDLER-ONEILL</t>
  </si>
  <si>
    <t>Barclays
DA Davidson &amp; Co Inc
Keefe Bruyette &amp; Woods Inc
Sandler O'Neill Partners  L.P.</t>
  </si>
  <si>
    <t>MaxLinear Inc</t>
  </si>
  <si>
    <t>MXI</t>
  </si>
  <si>
    <t>57776J100</t>
  </si>
  <si>
    <t>Morgan Stanley
Deutsche Bank Securities Corp
UBS Investment Bank
Thomas Weisel Partners
Needham &amp; Co LLC</t>
  </si>
  <si>
    <t>09/19/10
09/19/10
09/19/10
09/19/10</t>
  </si>
  <si>
    <t>MORGAN-STANLEY(JB)/DEUTSCHE-BK-SEC(JB)
//UBS-INV-BANK/THOMAS-WEISEL/NEEDHAM</t>
  </si>
  <si>
    <t>MORGAN-STANLEY
(JB)/DEUTSCHE-BK-SEC(JB)
UBS-INV-BANK
THOMAS-WEISEL
NEEDHAM</t>
  </si>
  <si>
    <t>Morgan Stanley
Deutsche Bank Securities Corp.
UBS Investment Bank
Thomas Weisel Partners
Needham &amp; Co LLC</t>
  </si>
  <si>
    <t>Calix Inc</t>
  </si>
  <si>
    <t>CALX</t>
  </si>
  <si>
    <t>GS/MORGAN-STANLEY(JB)
/UBS-INV-BANK(JB)
/JEFFERIES(JB)</t>
  </si>
  <si>
    <t>13100M509</t>
  </si>
  <si>
    <t>Goldman Sachs &amp; Co
Morgan Stanley
UBS Investment Bank
Jefferies &amp; Co Inc</t>
  </si>
  <si>
    <t>10/04/10
10/04/10
10/04/10</t>
  </si>
  <si>
    <t>194
194
194</t>
  </si>
  <si>
    <t>GS(JB)/MORGAN-STANLEY(JB)
/UBS-INV-BANK(JB)/JEFFERIES(JB)</t>
  </si>
  <si>
    <t>GS/MORGAN-STANLEY/UBS-INV-BANK/JEFFERIES</t>
  </si>
  <si>
    <t>GS
(JB)/MORGAN-STANLEY(JB)
/UBS-INV-BANK(JB)
/JEFFERIES(JB)</t>
  </si>
  <si>
    <t>CorMedix Inc</t>
  </si>
  <si>
    <t>CRMD.U</t>
  </si>
  <si>
    <t>21900C100</t>
  </si>
  <si>
    <t>09/20/10
09/20/10
09/20/10</t>
  </si>
  <si>
    <t>China Lodging Group Ltd</t>
  </si>
  <si>
    <t>HTHT</t>
  </si>
  <si>
    <t>16949N109</t>
  </si>
  <si>
    <t>Goldman Sachs &amp; Co
Morgan Stanley
Oppenheimer &amp; Co Inc</t>
  </si>
  <si>
    <t>09/21/10
09/21/10
09/21/10</t>
  </si>
  <si>
    <t>GS(JB)/MORGAN-STANLEY(JB)
//OPPENHEIMER-CO</t>
  </si>
  <si>
    <t>GS
(JB)/MORGAN-STANLEY(JB)
OPPENHEIMER-CO</t>
  </si>
  <si>
    <t>Meru Networks Inc</t>
  </si>
  <si>
    <t>MERU</t>
  </si>
  <si>
    <t>59047Q103</t>
  </si>
  <si>
    <t>Merrill Lynch
Robert W Baird &amp; Co Inc
Cowen
JMP Securities LLC
ThinkEquity Partners</t>
  </si>
  <si>
    <t>09/26/10
09/26/10</t>
  </si>
  <si>
    <t>MERRILL//BAIRD/COWEN/JMP-SEC/THINK</t>
  </si>
  <si>
    <t>MERRILL
BAIRD
COWEN
JMP-SEC
THINK</t>
  </si>
  <si>
    <t>Merrill Lynch &amp; Co Inc
Robert W Baird &amp; Co Inc
Cowen &amp; Co
JMP Securities LLC
ThinkEquity Partners</t>
  </si>
  <si>
    <t>SS&amp;C Technologies Hold</t>
  </si>
  <si>
    <t>SSNC</t>
  </si>
  <si>
    <t>JPM/CREDIT-SUISSE(JB)
/MORGAN-STANLEY(JB)
/DEUTSCHE-BK-SEC(JB)</t>
  </si>
  <si>
    <t>78467J100</t>
  </si>
  <si>
    <t>JP Morgan
Credit Suisse
Morgan Stanley
Deutsche Bank Securities Corp
Jefferies &amp; Co Inc
Raymond James &amp; Associates Inc
Wells Fargo Bank NA
Blaylock Robert Van
Loop Capital Markets
Williams Capital Group LP</t>
  </si>
  <si>
    <t>JPM(JB)/CREDIT-SUISSE(JB)
/MORGAN-STANLEY(JB)/DEUTSCHE-BK-SEC(JB)
//JEFFERIES/RAYMOND/WELLS-FARGO
//BLAYLOCK-RV/LOOP/WILLIAMS-CAP</t>
  </si>
  <si>
    <t>JPM/CREDIT-SUISSE/MORGAN-STANLEY
/DEUTSCHE-BK-SEC</t>
  </si>
  <si>
    <t>JPM
(JB)/CREDIT-SUISSE(JB)
/MORGAN-STANLEY(JB)
/DEUTSCHE-BK-SEC(JB)
JEFFERIES
RAYMOND
WELLS-FARGO</t>
  </si>
  <si>
    <t>JP Morgan &amp; Co Inc
Credit Suisse
Morgan Stanley
Deutsche Bank Securities Corp.
Jefferies &amp; Co Inc
Raymond James &amp; Associates Inc
Wells Fargo Bank NA</t>
  </si>
  <si>
    <t>Scorpio Tankers Inc</t>
  </si>
  <si>
    <t>Monaco</t>
  </si>
  <si>
    <t>STNG</t>
  </si>
  <si>
    <t>Y7542C106</t>
  </si>
  <si>
    <t>Morgan Stanley
Dahlman Rose Weiss LLC
Fearnley Fonds A/S
Nordea Markets
DnB NOR BANK ASA
Fortis Bank Nederland NV</t>
  </si>
  <si>
    <t>09/26/10
09/26/10
09/26/10</t>
  </si>
  <si>
    <t>MORGAN-STANLEY(JB)/DAHLMAN-ROSE(JB)
//FEARNLEY/NORDEA-MKTS/DNB-NOR
/FORTIS-NED</t>
  </si>
  <si>
    <t>MORGAN-STANLEY
(JB)/DAHLMAN-ROSE(JB)
FEARNLEY
NORDEA-MKTS
DNB-NOR
FORTIS-NED</t>
  </si>
  <si>
    <t>Primerica Inc</t>
  </si>
  <si>
    <t>PRI</t>
  </si>
  <si>
    <t>74164M108</t>
  </si>
  <si>
    <t>Citi
UBS Investment Bank
Deutsche Bank Securities Corp
Morgan Stanley
Keefe Bruyette &amp; Woods Inc
Macquarie Equity Capital Mkts
Raymond James &amp; Associates Inc
Sandler O'Neill Partners
SunTrust Robinson Humphrey
CastleOak Securities LP
ING
Willis Capital Markets
KKR Capital Markets LLC
MR Beal &amp; Co
Muriel Siebert &amp; Co
Samuel A. Ramirez &amp; Co.
Williams Capital Group LP</t>
  </si>
  <si>
    <t>09/27/10
09/27/10
09/27/10</t>
  </si>
  <si>
    <t>CITI//UBS-INV-BANK/DEUTSCHE-BK-SEC
/MORGAN-STANLEY/KEEFE/MAC-EQ-CM/RAYMOND
/SANDLER-ONEILL/SUNTRUST-RH
/CASTLEOAK-SEC/ING/WILLIS-CAP
//KKR-CAPITAL/M-R-BEAL/MURIEL/RAMIREZ
/WILLIAMS-CAP</t>
  </si>
  <si>
    <t>CITI
UBS-INV-BANK
DEUTSCHE-BK-SEC
MORGAN-STANLEY
KEEFE
MAC-EQ-CM
RAYMOND
SANDLER-ONEILL
SUNTRUST-RH
CASTLEOAK-SEC
ING
WILLIS-CAP</t>
  </si>
  <si>
    <t>Citi
UBS Investment Bank
Deutsche Bank Securities Corp.
Morgan Stanley
Keefe Bruyette &amp; Woods Inc
Macquarie Equity Capital Markets
Raymond James &amp; Associates Inc
Sandler O'Neill Partners  L.P.
SunTrust Robinson Humphrey
CastleOak Securities LP
ING
Willis Capital Markets &amp; Advisory</t>
  </si>
  <si>
    <t>Metals USA Holdings Corp</t>
  </si>
  <si>
    <t>MUSA</t>
  </si>
  <si>
    <t>59132A104</t>
  </si>
  <si>
    <t>Goldman Sachs &amp; Co
Credit Suisse
JP Morgan
Morgan Stanley
Jefferies &amp; Co Inc
Moelis &amp; Co
Lazard Capital Markets
KeyBanc Capital Markets Inc
Dahlman Rose Weiss LLC</t>
  </si>
  <si>
    <t>10/05/10
10/05/10
10/05/10</t>
  </si>
  <si>
    <t>GS(JB)/CREDIT-SUISSE(JB)/JPM(JB)
/MORGAN-STANLEY(JB)/JEFFERIES(JOINT)
//MOELIS-CO/LAZARD-CAP-MKT/KEYBANC
/DAHLMAN-ROSE</t>
  </si>
  <si>
    <t>GS/CREDIT-SUISSE/JPM/MORGAN-STANLEY
/JEFFERIES</t>
  </si>
  <si>
    <t>GS
(JB)/CREDIT-SUISSE(JB)
/JPM(JB)
/MORGAN-STANLEY(JB)
/JEFFERIES(JOINT)
MOELIS-CO
LAZARD-CAP-MKT
KEYBANC
DAHLMAN-ROSE</t>
  </si>
  <si>
    <t>Goldman Sachs &amp; Co
Credit Suisse
JP Morgan &amp; Co Inc
Morgan Stanley
Jefferies &amp; Co Inc
Moelis &amp; Co
Lazard Capital Markets
KeyBanc Capital Markets Inc
Dahlman Rose Weiss LLC</t>
  </si>
  <si>
    <t>Tengion Inc</t>
  </si>
  <si>
    <t>TNGN</t>
  </si>
  <si>
    <t>PIPER-J
/LEERINK-SWANN(JB)</t>
  </si>
  <si>
    <t>88034G109</t>
  </si>
  <si>
    <t>Piper Jaffray Inc
Leerink Swann &amp; Co</t>
  </si>
  <si>
    <t>10/06/10
10/06/10
10/06/10</t>
  </si>
  <si>
    <t>PIPER-J(JB)/LEERINK-SWANN(JB)</t>
  </si>
  <si>
    <t>PIPER-J/LEERINK-SWANN</t>
  </si>
  <si>
    <t>PIPER-J
(JB)/LEERINK-SWANN(JB)</t>
  </si>
  <si>
    <t>Golub Capital BDC Inc</t>
  </si>
  <si>
    <t>GBDC</t>
  </si>
  <si>
    <t>WELLS-FARGO
/UBS-INV-BANK(JB)</t>
  </si>
  <si>
    <t>38173M102</t>
  </si>
  <si>
    <t>Wells Fargo Bank NA
UBS Investment Bank
Stifel Nicolaus &amp; Co Inc
BMO Capital Markets
RBC Capital Markets
Janney Montgomery Scott LLC</t>
  </si>
  <si>
    <t>10/11/10
10/11/10
10/11/10</t>
  </si>
  <si>
    <t>WELLS-FARGO(JB)/UBS-INV-BANK(JB)
//STIFEL/BMO-CAPITAL/RBC-CAP-MKTS
/JANNEY-LLC</t>
  </si>
  <si>
    <t>WELLS-FARGO/UBS-INV-BANK</t>
  </si>
  <si>
    <t>WELLS-FARGO
(JB)/UBS-INV-BANK(JB)
STIFEL
BMO-CAPITAL
RBC-CAP-MKTS
JANNEY-LLC</t>
  </si>
  <si>
    <t>Chatham Lodging Trust</t>
  </si>
  <si>
    <t>CLDT</t>
  </si>
  <si>
    <t>BARCLAYS-CAP
/FBR-CAPITAL(JB)</t>
  </si>
  <si>
    <t>16208T102</t>
  </si>
  <si>
    <t>Barclays
FBR Capital Markets Corp
Morgan Keegan Inc
Stifel Nicolaus &amp; Co Inc
Credit Agricole CIB
JMP Securities LLC</t>
  </si>
  <si>
    <t>10/12/10
10/12/10</t>
  </si>
  <si>
    <t>BARCLAYS-CAP(JB)/FBR-CAPITAL(JB)
//MORGAN-KEEGAN/STIFEL/CREDIT-AGRI-CIB
/JMP-SEC</t>
  </si>
  <si>
    <t>BARCLAYS-CAP/FBR-CAPITAL</t>
  </si>
  <si>
    <t>BARCLAYS-CAP
(JB)/FBR-CAPITAL(JB)
MORGAN-KEEGAN
STIFEL
CREDIT-AGRI-CIB
JMP-SEC</t>
  </si>
  <si>
    <t>Barclays
FBR Capital Markets Corp
Morgan Keegan Inc
Stifel Nicolaus &amp; Co Inc
Credit Agricole Corporate &amp; Investment Bank
JMP Securities LLC</t>
  </si>
  <si>
    <t>Codexis Inc</t>
  </si>
  <si>
    <t>CDXS</t>
  </si>
  <si>
    <t>Credit Suisse
Piper Jaffray Inc
RBC Capital Markets
Pacific Crest Securities Inc</t>
  </si>
  <si>
    <t>11/15/10
11/15/10
11/15/10</t>
  </si>
  <si>
    <t>208
208
208</t>
  </si>
  <si>
    <t>CREDIT-SUISSE//PIPER-J/RBC-CAP-MKTS
/PACIFIC-CREST</t>
  </si>
  <si>
    <t>CREDIT-SUISSE
PIPER-J
RBC-CAP-MKTS
PACIFIC-CREST</t>
  </si>
  <si>
    <t>DeHaier Medical Systems Ltd</t>
  </si>
  <si>
    <t>DHRM</t>
  </si>
  <si>
    <t>DynaVox Inc</t>
  </si>
  <si>
    <t>DVOX</t>
  </si>
  <si>
    <t>26817F104</t>
  </si>
  <si>
    <t>Piper Jaffray Cos
Jefferies &amp; Co Inc
William Blair &amp; Co
Wells Fargo Bank NA</t>
  </si>
  <si>
    <t>10/18/10
10/18/10</t>
  </si>
  <si>
    <t>Vestar Capital Partners Inc</t>
  </si>
  <si>
    <t>PIPER-JAFFRAY(JB)/JEFFERIES(JB)
//WM-BLAIR/WELLS-FARGO</t>
  </si>
  <si>
    <t>PIPER-JAFFRAY
(JB)/JEFFERIES(JB)
WM-BLAIR
WELLS-FARGO</t>
  </si>
  <si>
    <t>Mitel Networks Corp</t>
  </si>
  <si>
    <t>MITL</t>
  </si>
  <si>
    <t>MERRILL/JPM(JB)
/UBS-INV-BANK(JB)</t>
  </si>
  <si>
    <t>60671Q104</t>
  </si>
  <si>
    <t>Merrill Lynch
JP Morgan
UBS Investment Bank
Genuity Capital Markets
Piper Jaffray Cos
JMP Securities LLC</t>
  </si>
  <si>
    <t>MERRILL(JB)/JPM(JB)/UBS-INV-BANK(JB)
//GENUITY/PIPER-JAFFRAY/JMP-SEC</t>
  </si>
  <si>
    <t>MERRILL/JPM/UBS-INV-BANK</t>
  </si>
  <si>
    <t>MERRILL
(JB)/JPM(JB)
/UBS-INV-BANK(JB)</t>
  </si>
  <si>
    <t>Merrill Lynch &amp; Co Inc
JP Morgan &amp; Co Inc
UBS Investment Bank</t>
  </si>
  <si>
    <t>THL Credit Inc</t>
  </si>
  <si>
    <t>TCRD</t>
  </si>
  <si>
    <t>10/18/10
10/18/10
10/18/10</t>
  </si>
  <si>
    <t>MERRILL/CITI(JB)
/DEUTSCHE-BK-SEC(JB)</t>
  </si>
  <si>
    <t>Merrill Lynch
Citi
Deutsche Bank Securities Corp
Stifel Nicolaus &amp; Co Inc
BB&amp;T Capital Markets
Houlihan Lokey
Keefe Bruyette &amp; Woods Inc
RBC Capital Markets</t>
  </si>
  <si>
    <t>MERRILL(JB)/CITI(JB)
/DEUTSCHE-BK-SEC(JB)/STIFEL(JOINT)
//BB-T-CAP/HOULIHAN-LOKEY/KEEFE
/RBC-CAP-MKTS</t>
  </si>
  <si>
    <t>MERRILL/CITI/DEUTSCHE-BK-SEC/STIFEL</t>
  </si>
  <si>
    <t>MERRILL
(JB)/CITI(JB)
/DEUTSCHE-BK-SEC(JB)
/STIFEL(JOINT)
BB-T-CAP
HOULIHAN-LOKEY
KEEFE
RBC-CAP-MKTS</t>
  </si>
  <si>
    <t>Merrill Lynch &amp; Co Inc
Citi
Deutsche Bank Securities Corp.
Stifel Nicolaus &amp; Co Inc
BB&amp;T Capital Markets
Houlihan Lokey
Keefe Bruyette &amp; Woods Inc
RBC Capital Markets</t>
  </si>
  <si>
    <t>Alimera Sciences Inc</t>
  </si>
  <si>
    <t>ALIM</t>
  </si>
  <si>
    <t>016259103</t>
  </si>
  <si>
    <t>Credit Suisse
Citi
Cowen &amp; Co
Oppenheimer &amp; Co Inc</t>
  </si>
  <si>
    <t>CREDIT-SUISSE(JB)/CITI(JB)//COWEN-CO
/OPPENHEIMER-CO</t>
  </si>
  <si>
    <t>CREDIT-SUISSE
(JB)/CITI(JB)
COWEN-CO
OPPENHEIMER-CO</t>
  </si>
  <si>
    <t>Excel Trust Inc</t>
  </si>
  <si>
    <t>EXL</t>
  </si>
  <si>
    <t>MORGAN-STANLEY
/BARCLAYS-CAP(JB)
/UBS-INV-BANK(JB)</t>
  </si>
  <si>
    <t>30068C109</t>
  </si>
  <si>
    <t>Morgan Stanley
Barclays
UBS Investment Bank
Wells Fargo Bank NA
KeyBanc Capital Markets Inc
Raymond James &amp; Associates Inc
Stifel Nicolaus &amp; Co Inc
HFF Securities LP
PNC Capital Markets</t>
  </si>
  <si>
    <t>10/19/10
10/19/10</t>
  </si>
  <si>
    <t>MORGAN-STANLEY(JB)/BARCLAYS-CAP(JB)
/UBS-INV-BANK(JB)/WELLS-FARGO
/KEYBANC(JOINT)//RAYMOND/STIFEL
/HFF-SECURITIES/PNC-CAPITAL</t>
  </si>
  <si>
    <t>MORGAN-STANLEY/BARCLAYS-CAP/UBS-INV-BANK
/WELLS-FARGO/KEYBANC</t>
  </si>
  <si>
    <t>MORGAN-STANLEY
(JB)/BARCLAYS-CAP(JB)
/UBS-INV-BANK(JB)
/WELLS-FARGO
/KEYBANC(JOINT)
RAYMOND
STIFEL
HFF-SECURITIES
PNC-CAPITAL</t>
  </si>
  <si>
    <t>Global Geophysical Svcs Inc</t>
  </si>
  <si>
    <t>GGS</t>
  </si>
  <si>
    <t>CREDIT-SUISSE
/BARCLAYS-CAP(JB)</t>
  </si>
  <si>
    <t>37946S107</t>
  </si>
  <si>
    <t>Credit Suisse
Barclays
Tudor Pickering &amp; Co LLC
Raymond James &amp; Associates Inc
Simmons &amp; Co International</t>
  </si>
  <si>
    <t>10/19/10
10/19/10
10/19/10
10/19/10</t>
  </si>
  <si>
    <t>CREDIT-SUISSE(JB)/BARCLAYS-CAP(JB)
//TUDOR-PICKERING/RAYMOND/SIMMONS</t>
  </si>
  <si>
    <t>CREDIT-SUISSE/BARCLAYS-CAP</t>
  </si>
  <si>
    <t>CREDIT-SUISSE
(JB)/BARCLAYS-CAP(JB)
TUDOR-PICKERING
RAYMOND
SIMMONS</t>
  </si>
  <si>
    <t>SPS Commerce Inc</t>
  </si>
  <si>
    <t>SPSC</t>
  </si>
  <si>
    <t>78463M107</t>
  </si>
  <si>
    <t>Thomas Weisel Partners
William Blair &amp; Co
Needham &amp; Co LLC
JMP Securities LLC</t>
  </si>
  <si>
    <t>THOMAS-WEISEL//WM-BLAIR/NEEDHAM/JMP-SEC</t>
  </si>
  <si>
    <t>THOMAS-WEISEL
WM-BLAIR
NEEDHAM
JMP-SEC</t>
  </si>
  <si>
    <t>Nuveen Build Amer Bond Term Fu</t>
  </si>
  <si>
    <t>NBB</t>
  </si>
  <si>
    <t>NUVEEN-INV/MERRILL(JB)
/CITI(JB)
/MORGAN-STANLEY(JB)
/WELLS-FARGO(JB)
/RAYMOND(JB)
/AMERIPRISE-FIN(JB)</t>
  </si>
  <si>
    <t>67074C103</t>
  </si>
  <si>
    <t>Nuveen Investments LLC
Merrill Lynch
Citi
Morgan Stanley
Wells Fargo Bank NA
Raymond James &amp; Associates Inc
Ameriprise Financial Inc
Hilliard Lyons Inc
Janney Montgomery Scott LLC
Ladenburg Thalmann &amp; Co
Maxim Group LLC
Oppenheimer &amp; Co Inc
RBC Capital Markets
Stifel Nicolaus &amp; Co Inc
BB&amp;T Capital Markets
Brean Murray Carret &amp; Co LLC
DA Davidson &amp; Co Inc
Dominick &amp; Dominick Inc
Joseph Gunnar &amp; Co., LLC
Bernard Herold &amp; Co
Howe Barnes Hoefer Arnett Inc
Jesup &amp; Lamont Securities
Newbridge Securities
David A. Noyes
Paulson Investment Co
Southwest Securities Inc
Summit Brokerage Services Inc
JP Turner &amp; Co</t>
  </si>
  <si>
    <t>Nuveen Asset Management</t>
  </si>
  <si>
    <t>NUVEEN-INV(JB)/MERRILL(JB)/CITI(JB)
/MORGAN-STANLEY(JB)/WELLS-FARGO(JB)
/RAYMOND(JB)/AMERIPRISE-FIN(JB)
//HILLIARD-LYONS/JANNEY-LLC/LADENBURG
/MAXIM-GROUP/OPPENHEIMER-CO
/RBC-CAP-MKTS/STIFEL/BB-T-CAP
/BREANMUR-CARRET/DAVIDSON/DOMINICK
/GUNNAR/BERNARD-HER/HBHOEFER-ARNETT
/JESUP/NEWBRIDGE/D-A-NOYES/PAULSON
/SWS-SEC/SUMMIT-BROKER/J-P-TURNER</t>
  </si>
  <si>
    <t>NUVEEN-INV/MERRILL/CITI/MORGAN-STANLEY
/WELLS-FARGO/RAYMOND/AMERIPRISE-FIN</t>
  </si>
  <si>
    <t>NUVEEN-INV
(JB)/MERRILL(JB)
/CITI(JB)
/MORGAN-STANLEY(JB)
/WELLS-FARGO(JB)
/RAYMOND(JB)
/AMERIPRISE-FIN(JB)
HILLIARD-LYONS
JANNEY-LLC
LADENBURG
MAXIM-GROUP
OPPENHEIMER-CO
RBC-CAP-MKTS
STIFEL
BB-T-CAP
BREANMUR-CARRET
DAVIDSON
DOMINICK
GUNNAR
BERNARD-HER
HBHOEFER-ARNETT
JESUP
NEWBRIDGE
D-A-NOYES
PAULSON
SWS-SEC
SUMMIT-BROKER
J-P-TURNER</t>
  </si>
  <si>
    <t>Nuveen Investments LLC
Merrill Lynch &amp; Co Inc
Citi
Morgan Stanley
Wells Fargo Bank NA
Raymond James &amp; Associates Inc
Ameriprise Financial Inc
Hilliard Lyons Inc
Janney Montgomery Scott LLC
Ladenburg Thalmann &amp; Co
Maxim Group LLC
Oppenheimer &amp; Co Inc
RBC Capital Markets
Stifel Nicolaus &amp; Co Inc
BB&amp;T Capital Markets
Brean Murray Carret &amp; Co LLC
DA Davidson &amp; Co Inc
Dominick &amp; Dominick Inc
Joseph Gunnar &amp; Co., LLC
Bernard Herold &amp; Co
Howe Barnes Hoefer Arnett Inc
Jesup &amp; Lamont Securities Co Inc
Newbridge Securities
David A. Noyes &amp; Co.
Paulson Investment Co
Southwest Securities Inc
Summit Brokerage Services Inc
JP Turner &amp; Co</t>
  </si>
  <si>
    <t>Convio Inc</t>
  </si>
  <si>
    <t>CNVO</t>
  </si>
  <si>
    <t>THOMAS-WEISEL
/PIPER-JAFFRAY(JB)</t>
  </si>
  <si>
    <t>21257W105</t>
  </si>
  <si>
    <t>Thomas Weisel Partners
Piper Jaffray Cos
William Blair &amp; Co
JMP Securities LLC
Pacific Crest Securities Inc</t>
  </si>
  <si>
    <t>10/26/10
10/26/10</t>
  </si>
  <si>
    <t>THOMAS-WEISEL(JB)/PIPER-JAFFRAY(JB)
//WM-BLAIR/JMP-SEC/PACIFIC-CREST</t>
  </si>
  <si>
    <t>THOMAS-WEISEL
(JB)/PIPER-JAFFRAY(JB)
WM-BLAIR
JMP-SEC
PACIFIC-CREST</t>
  </si>
  <si>
    <t>PAA Natural Gas Storage LP</t>
  </si>
  <si>
    <t>PNG</t>
  </si>
  <si>
    <t>BARCLAYS-CAP
/UBS-INV-BANK(JB)
/CITI(JB)
/WELLS-FARGO(JB)</t>
  </si>
  <si>
    <t>Barclays
UBS Investment Bank
Citi
Wells Fargo Bank NA
Merrill Lynch
JP Morgan
Raymond James &amp; Associates Inc
Madison Williams &amp; Co
Morgan Keegan Inc
RBC Capital Markets
Stifel Nicolaus &amp; Co Inc</t>
  </si>
  <si>
    <t>BARCLAYS-CAP(JB)/UBS-INV-BANK(JB)
/CITI(JB)/WELLS-FARGO(JB)//MERRILL/JPM
/RAYMOND/MADISON-WILLIAM/MORGAN-KEEGAN
/RBC-CAP-MKTS/STIFEL</t>
  </si>
  <si>
    <t>BARCLAYS-CAP/UBS-INV-BANK/CITI
/WELLS-FARGO</t>
  </si>
  <si>
    <t>BARCLAYS-CAP
(JB)/UBS-INV-BANK(JB)
/CITI(JB)
/WELLS-FARGO(JB)
MERRILL
JPM
RAYMOND
MADISON-WILLIAM
MORGAN-KEEGAN
RBC-CAP-MKTS
STIFEL</t>
  </si>
  <si>
    <t>Barclays
UBS Investment Bank
Citi
Wells Fargo Bank NA
Merrill Lynch &amp; Co Inc
JP Morgan &amp; Co Inc
Raymond James &amp; Associates Inc
Madison Williams &amp; Co
Morgan Keegan Inc
RBC Capital Markets
Stifel Nicolaus &amp; Co Inc</t>
  </si>
  <si>
    <t>Alpha &amp; Omega Semiconductor Lt</t>
  </si>
  <si>
    <t>AOSL</t>
  </si>
  <si>
    <t>DEUTSCHE-BK-SEC
/PIPER-J(JB)</t>
  </si>
  <si>
    <t>G6331P104</t>
  </si>
  <si>
    <t>Deutsche Bank Securities Corp
Piper Jaffray Inc
Thomas Weisel Partners
Caris &amp; Company</t>
  </si>
  <si>
    <t>DEUTSCHE-BK-SEC(JB)/PIPER-J(JB)
//THOMAS-WEISEL/CARIS-CO</t>
  </si>
  <si>
    <t>DEUTSCHE-BK-SEC/PIPER-J</t>
  </si>
  <si>
    <t>DEUTSCHE-BK-SEC
(JB)/PIPER-J(JB)
THOMAS-WEISEL
CARIS-CO</t>
  </si>
  <si>
    <t>Deutsche Bank Securities Corp.
Piper Jaffray Inc
Thomas Weisel Partners
Caris &amp; Company</t>
  </si>
  <si>
    <t>S&amp;W Seed Co</t>
  </si>
  <si>
    <t>0139</t>
  </si>
  <si>
    <t>SANW</t>
  </si>
  <si>
    <t>Paulson Investment Co
Feltl &amp; Co</t>
  </si>
  <si>
    <t>10/30/10
10/30/10</t>
  </si>
  <si>
    <t>PAULSON//FELTL</t>
  </si>
  <si>
    <t>PAULSON
FELTL</t>
  </si>
  <si>
    <t>Charm Communications Inc</t>
  </si>
  <si>
    <t>CHRM</t>
  </si>
  <si>
    <t>16112R101</t>
  </si>
  <si>
    <t>Credit Suisse
Oppenheimer &amp; Co Inc
Piper Jaffray Inc</t>
  </si>
  <si>
    <t>10/31/10
10/31/10
10/31/10</t>
  </si>
  <si>
    <t>CREDIT-SUISSE//OPPENHEIMER-CO/PIPER-J</t>
  </si>
  <si>
    <t>CREDIT-SUISSE
OPPENHEIMER-CO
PIPER-J</t>
  </si>
  <si>
    <t>Douglas Dynamics Inc</t>
  </si>
  <si>
    <t>PLOW</t>
  </si>
  <si>
    <t>CREDIT-SUISSE
/OPPENHEIMER-CO(JB)</t>
  </si>
  <si>
    <t>25960R105</t>
  </si>
  <si>
    <t>Credit Suisse
Oppenheimer &amp; Co Inc
Robert W Baird &amp; Co Inc
Piper Jaffray Inc</t>
  </si>
  <si>
    <t>Aurora Capital Group</t>
  </si>
  <si>
    <t>CREDIT-SUISSE(JB)/OPPENHEIMER-CO(JB)
//BAIRD/PIPER-J</t>
  </si>
  <si>
    <t>CREDIT-SUISSE/OPPENHEIMER-CO</t>
  </si>
  <si>
    <t>CREDIT-SUISSE
(JB)/OPPENHEIMER-CO(JB)
BAIRD
PIPER-J</t>
  </si>
  <si>
    <t>Niska Gas Storage Partners LLC</t>
  </si>
  <si>
    <t>NKA</t>
  </si>
  <si>
    <t>GS/MORGAN-STANLEY(JB)
/BARCLAYS-CAP(JB)
/CITI(JB)
/CREDIT-SUISSE(JB)
/RBC-CAP-MKTS(JB)
/UBS-INV-BANK(JB)</t>
  </si>
  <si>
    <t>Goldman Sachs &amp; Co
Morgan Stanley
Barclays
Citi
Credit Suisse
RBC Capital Markets
UBS Investment Bank
Wells Fargo Bank NA
Raymond James &amp; Associates Inc
Lazard Capital Markets
Stifel Nicolaus &amp; Co Inc</t>
  </si>
  <si>
    <t>11/07/10
11/07/10</t>
  </si>
  <si>
    <t>GS(JB)/MORGAN-STANLEY(JB)
/BARCLAYS-CAP(JB)/CITI(JB)
/CREDIT-SUISSE(JB)/RBC-CAP-MKTS(JB)
/UBS-INV-BANK(JB)//WELLS-FARGO/RAYMOND
/LAZARD-CAP-MKT/STIFEL</t>
  </si>
  <si>
    <t>GS/MORGAN-STANLEY/BARCLAYS-CAP/CITI
/CREDIT-SUISSE/RBC-CAP-MKTS/UBS-INV-BANK</t>
  </si>
  <si>
    <t>GS
(JB)/MORGAN-STANLEY(JB)
/BARCLAYS-CAP(JB)
/CITI(JB)
/CREDIT-SUISSE(JB)
/RBC-CAP-MKTS(JB)
/UBS-INV-BANK(JB)
WELLS-FARGO
RAYMOND
LAZARD-CAP-MKT
STIFEL</t>
  </si>
  <si>
    <t>Express Inc</t>
  </si>
  <si>
    <t>EXPR</t>
  </si>
  <si>
    <t>30219E103</t>
  </si>
  <si>
    <t>Goldman Sachs &amp; Co
Merrill Lynch
Morgan Stanley
Barclays
Piper Jaffray Inc
UBS Investment Bank
Stephens Inc</t>
  </si>
  <si>
    <t>11/08/10
11/08/10
11/08/10</t>
  </si>
  <si>
    <t>GS(JB)/MERRILL(JB)//MORGAN-STANLEY
/BARCLAYS-CAP/PIPER-J/UBS-INV-BANK
/STEPHENS</t>
  </si>
  <si>
    <t>GS
(JB)/MERRILL(JB)
MORGAN-STANLEY
BARCLAYS-CAP
PIPER-J
UBS-INV-BANK
STEPHENS</t>
  </si>
  <si>
    <t>Goldman Sachs &amp; Co
Merrill Lynch &amp; Co Inc
Morgan Stanley
Barclays
Piper Jaffray Inc
UBS Investment Bank
Stephens Inc</t>
  </si>
  <si>
    <t>Roadrunner Transp Sys Inc</t>
  </si>
  <si>
    <t>RRTS</t>
  </si>
  <si>
    <t>76973Q105</t>
  </si>
  <si>
    <t>Robert W Baird &amp; Co Inc
BB&amp;T Capital Markets
Stifel Nicolaus &amp; Co Inc</t>
  </si>
  <si>
    <t>11/08/10
11/08/10</t>
  </si>
  <si>
    <t>Thayer Hidden Creek</t>
  </si>
  <si>
    <t>BAIRD//BB-T-CAP/STIFEL</t>
  </si>
  <si>
    <t>BAIRD
BB-T-CAP
STIFEL</t>
  </si>
  <si>
    <t>JinkoSolar Holding Co Ltd</t>
  </si>
  <si>
    <t>JKS</t>
  </si>
  <si>
    <t>47759T100</t>
  </si>
  <si>
    <t>Credit Suisse
Oppenheimer &amp; Co Inc
Roth Capital Partners Inc
Collins Stewart Ltd</t>
  </si>
  <si>
    <t>11/09/10
11/09/10
11/09/10</t>
  </si>
  <si>
    <t>CREDIT-SUISSE//OPPENHEIMER-CO
/ROTH-CAPITAL/COLLINS-STEWART</t>
  </si>
  <si>
    <t>CREDIT-SUISSE
OPPENHEIMER-CO
ROTH-CAPITAL
COLLINS-STEWART</t>
  </si>
  <si>
    <t>Noranda Aluminum Holding Corp</t>
  </si>
  <si>
    <t>NOR</t>
  </si>
  <si>
    <t>MERRILL
/MORGAN-STANLEY(JB)
/CREDIT-SUISSE(JB)
/GS(JB)
/UBS-INV-BANK(JB)</t>
  </si>
  <si>
    <t>65542W107</t>
  </si>
  <si>
    <t>Merrill Lynch
Morgan Stanley
Credit Suisse
Goldman Sachs &amp; Co
UBS Investment Bank
Citi
Moelis &amp; Co
RBC Capital Markets
Williams Capital Group LP
Davenport &amp; Co LLC</t>
  </si>
  <si>
    <t>MERRILL(JB)/MORGAN-STANLEY(JB)
/CREDIT-SUISSE(JB)/GS(JB)
/UBS-INV-BANK(JB)//CITI/MOELIS-CO
/RBC-CAP-MKTS/WILLIAMS-CAP/DAVENPORT-CO</t>
  </si>
  <si>
    <t>MERRILL/MORGAN-STANLEY/CREDIT-SUISSE/GS
/UBS-INV-BANK</t>
  </si>
  <si>
    <t>MERRILL
(JB)/MORGAN-STANLEY(JB)
/CREDIT-SUISSE(JB)
/GS(JB)
/UBS-INV-BANK(JB)
CITI
MOELIS-CO
RBC-CAP-MKTS
WILLIAMS-CAP
DAVENPORT-CO</t>
  </si>
  <si>
    <t>Merrill Lynch &amp; Co Inc
Morgan Stanley
Credit Suisse
Goldman Sachs &amp; Co
UBS Investment Bank
Citi
Moelis &amp; Co
RBC Capital Markets
Williams Capital Group LP
Davenport &amp; Co LLC</t>
  </si>
  <si>
    <t>TeleNav Inc</t>
  </si>
  <si>
    <t>TNAV</t>
  </si>
  <si>
    <t>JP Morgan
Deutsche Bank Securities Corp
Robert W Baird &amp; Co Inc
Canaccord Capital Corp
Piper Jaffray Inc
Pacific Crest Securities Inc</t>
  </si>
  <si>
    <t>11/09/10
11/09/10</t>
  </si>
  <si>
    <t>JPM(JB)/DEUTSCHE-BK-SEC(JB)//BAIRD
/CANACCORD/PIPER-J/PACIFIC-CREST</t>
  </si>
  <si>
    <t>JPM
(JB)/DEUTSCHE-BK-SEC(JB)
BAIRD
CANACCORD
PIPER-J
PACIFIC-CREST</t>
  </si>
  <si>
    <t>JP Morgan &amp; Co Inc
Deutsche Bank Securities Corp.
Robert W Baird &amp; Co Inc
Canaccord Capital Corp
Piper Jaffray Inc
Pacific Crest Securities Inc</t>
  </si>
  <si>
    <t>Kingtone Wirelessinfo Solution</t>
  </si>
  <si>
    <t>KONE</t>
  </si>
  <si>
    <t>Roth Capital Partners Inc
Maxim Group LLC</t>
  </si>
  <si>
    <t>11/10/10
11/10/10
11/10/10</t>
  </si>
  <si>
    <t>10000000.00
10000000.00
10000000.00</t>
  </si>
  <si>
    <t>ROTH-CAPITAL//MAXIM-GROUP</t>
  </si>
  <si>
    <t>ROTH-CAPITAL
MAXIM-GROUP</t>
  </si>
  <si>
    <t>Accretive Health Inc</t>
  </si>
  <si>
    <t>AH</t>
  </si>
  <si>
    <t>00438V103</t>
  </si>
  <si>
    <t>Goldman Sachs &amp; Co
Credit Suisse
JP Morgan
Morgan Stanley
William Blair &amp; Co
Robert W Baird &amp; Co Inc</t>
  </si>
  <si>
    <t>11/15/10
11/15/10</t>
  </si>
  <si>
    <t>GS(JB)/CREDIT-SUISSE(JB)/JPM(JB)
/MORGAN-STANLEY(JB)//WM-BLAIR/BAIRD</t>
  </si>
  <si>
    <t>GS
(JB)/CREDIT-SUISSE(JB)
/JPM(JB)
/MORGAN-STANLEY(JB)
WM-BLAIR
BAIRD</t>
  </si>
  <si>
    <t>Goldman Sachs &amp; Co
Credit Suisse
JP Morgan &amp; Co Inc
Morgan Stanley
William Blair &amp; Co
Robert W Baird &amp; Co Inc</t>
  </si>
  <si>
    <t>57th Gen Acquisition Corp</t>
  </si>
  <si>
    <t>SQTCU</t>
  </si>
  <si>
    <t>Morgan Joseph &amp; Co Inc
Ladenburg Thalmann &amp; Co
I-Bankers Securities Inc
Maxim Group LLC
Rodman &amp; Renshaw Inc</t>
  </si>
  <si>
    <t>MORGAN-JOSEPH//LADENBURG/I-BANKERS-SEC
/MAXIM-GROUP/RODMAN</t>
  </si>
  <si>
    <t>MORGAN-JOSEPH
LADENBURG
I-BANKERS-SEC
MAXIM-GROUP
RODMAN</t>
  </si>
  <si>
    <t>ReachLocal Inc</t>
  </si>
  <si>
    <t>RLOC</t>
  </si>
  <si>
    <t>75525F104</t>
  </si>
  <si>
    <t>JP Morgan
Merrill Lynch
Citi
Piper Jaffray Inc
Needham &amp; Co LLC
Gleacher &amp; Co</t>
  </si>
  <si>
    <t>JPM(JB)/MERRILL(JB)/CITI(JOINT)
//PIPER-J/NEEDHAM/GLEACHER</t>
  </si>
  <si>
    <t>JPM/MERRILL/CITI</t>
  </si>
  <si>
    <t>JPM
(JB)/MERRILL(JB)
/CITI(JOINT)
PIPER-J
NEEDHAM
GLEACHER</t>
  </si>
  <si>
    <t>JP Morgan &amp; Co Inc
Merrill Lynch &amp; Co Inc
Citi
Piper Jaffray Inc
Needham &amp; Co LLC
Gleacher &amp; Co</t>
  </si>
  <si>
    <t>Blackstone/GSO Senior Floating</t>
  </si>
  <si>
    <t>BSL</t>
  </si>
  <si>
    <t>MORGAN-STANLEY/CITI(JB)
/MERRILL(JB)
/UBS-INV-BANK(JB)
/WELLS-FARGO(JB)</t>
  </si>
  <si>
    <t>09256U105</t>
  </si>
  <si>
    <t>Morgan Stanley
Citi
Merrill Lynch
UBS Investment Bank
Wells Fargo Bank NA
Janney Montgomery Scott LLC
Ladenburg Thalmann &amp; Co
Maxim Group LLC
RBC Capital Markets
Stifel Nicolaus &amp; Co Inc
Wedbush Securities
Wunderlich Securities Inc
Morgan Keegan Inc
Dominick &amp; Dominick Inc
Newbridge Securities
Paulson Investment Co
Westminster Finl Sec Inc
David A. Noyes
Anderson &amp; Strudwick
Brean Murray Carret &amp; Co LLC
Feltl &amp; Co
Howe Barnes Hoefer Arnett Inc
Joseph Gunnar &amp; Co., LLC
JP Turner &amp; Co
Muriel Siebert &amp; Co
Southwest Securities Inc</t>
  </si>
  <si>
    <t>MORGAN-STANLEY(JB)/CITI(JB)/MERRILL(JB)
/UBS-INV-BANK(JB)/WELLS-FARGO(JB)
//JANNEY-LLC/LADENBURG/MAXIM-GROUP
/RBC-CAP-MKTS/STIFEL/WEDBUSH-SEC
/WUNDERLICH//MORGAN-KEEGAN/DOMINICK
/NEWBRIDGE/PAULSON/WEST-FIN-SEC
/D-A-NOYES/ANDERSON/BREANMUR-CARRET
/FELTL/HBHOEFER-ARNETT/GUNNAR
/J-P-TURNER/MURIEL/SWS-SEC</t>
  </si>
  <si>
    <t>MORGAN-STANLEY/CITI/MERRILL/UBS-INV-BANK
/WELLS-FARGO</t>
  </si>
  <si>
    <t>MORGAN-STANLEY
(JB)/CITI(JB)
/MERRILL(JB)
/UBS-INV-BANK(JB)
/WELLS-FARGO(JB)
JANNEY-LLC
LADENBURG
MAXIM-GROUP
RBC-CAP-MKTS
STIFEL
WEDBUSH-SEC
WUNDERLICH</t>
  </si>
  <si>
    <t>Morgan Stanley
Citi
Merrill Lynch &amp; Co Inc
UBS Investment Bank
Wells Fargo Bank NA
Janney Montgomery Scott LLC
Ladenburg Thalmann &amp; Co
Maxim Group LLC
RBC Capital Markets
Stifel Nicolaus &amp; Co Inc
Wedbush Securities, Inc.
Wunderlich Securities Inc</t>
  </si>
  <si>
    <t>GenMark Diagnostics Inc</t>
  </si>
  <si>
    <t>GNML</t>
  </si>
  <si>
    <t>Piper Jaffray Inc
William Blair &amp; Co
ThinkEquity Partners</t>
  </si>
  <si>
    <t>11/28/10
11/28/10
11/28/10</t>
  </si>
  <si>
    <t>PIPER-J//WM-BLAIR/THINK</t>
  </si>
  <si>
    <t>PIPER-J
WM-BLAIR
THINK</t>
  </si>
  <si>
    <t>Baeta Corp</t>
  </si>
  <si>
    <t>BAEA</t>
  </si>
  <si>
    <t>05661P103</t>
  </si>
  <si>
    <t>China New Borun Corp</t>
  </si>
  <si>
    <t>BORN</t>
  </si>
  <si>
    <t>16890T105</t>
  </si>
  <si>
    <t>Piper Jaffray Inc
Cowen &amp; Co
Oppenheimer &amp; Co Inc
Newbridge Securities</t>
  </si>
  <si>
    <t>12/07/10
12/07/10</t>
  </si>
  <si>
    <t>PIPER-J//COWEN-CO/OPPENHEIMER-CO
/NEWBRIDGE</t>
  </si>
  <si>
    <t>PIPER-J
COWEN-CO
OPPENHEIMER-CO
NEWBRIDGE</t>
  </si>
  <si>
    <t>CBOE Holdings Inc</t>
  </si>
  <si>
    <t>CBOE</t>
  </si>
  <si>
    <t>GS/MERRILL(JB)
/UBS-INV-BANK(JB)
/BARCLAYS-CAP(JB)
/JPM(JB)/CITI(JB)
/CITADEL-SEC(JB)</t>
  </si>
  <si>
    <t>12503M108</t>
  </si>
  <si>
    <t>Goldman Sachs &amp; Co
Merrill Lynch
UBS Investment Bank
Barclays
JP Morgan
Citi
Citadel Securities Inc
BMO Capital Markets
Credit Suisse
Morgan Stanley
Oppenheimer &amp; Co Inc
Raymond James &amp; Associates Inc
Macquarie Equity Capital Mkts
Keefe Bruyette &amp; Woods Inc
Sandler O'Neill Partners
Cabrera Capital Markets Inc
Rosenblatt
Loop Capital Markets
Goldman Sachs &amp; Co</t>
  </si>
  <si>
    <t>12/11/10
12/11/10</t>
  </si>
  <si>
    <t>GS(JB)/MERRILL(JB)/UBS-INV-BANK(JB)
/BARCLAYS-CAP(JB)/JPM(JB)/CITI(JB)
/CITADEL-SEC(JB)//BMO-CAPITAL
/CREDIT-SUISSE/MORGAN-STANLEY
/OPPENHEIMER-CO/RAYMOND/MAC-EQ-CM/KEEFE
/SANDLER-ONEILL/CABRERA-CAPITAL
/ROSENBLATT/LOOP//GS(GC)</t>
  </si>
  <si>
    <t>GS/MERRILL/UBS-INV-BANK/BARCLAYS-CAP/JPM
/CITI/CITADEL-SEC</t>
  </si>
  <si>
    <t>GS
(JB)/MERRILL(JB)
/UBS-INV-BANK(JB)
/BARCLAYS-CAP(JB)
/JPM(JB)
/CITI(JB)
/CITADEL-SEC(JB)
BMO-CAPITAL
CREDIT-SUISSE
MORGAN-STANLEY
OPPENHEIMER-CO
RAYMOND
MAC-EQ-CM
KEEFE
SANDLER-ONEILL
CABRERA-CAPITAL
ROSENBLATT
LOOP</t>
  </si>
  <si>
    <t>Goldman Sachs &amp; Co
Merrill Lynch &amp; Co Inc
UBS Investment Bank
Barclays
JP Morgan &amp; Co Inc
Citi
Citadel Securities Inc
BMO Capital Markets
Credit Suisse
Morgan Stanley
Oppenheimer &amp; Co Inc
Raymond James &amp; Associates Inc
Macquarie Equity Capital Markets
Keefe Bruyette &amp; Woods Inc
Sandler O'Neill Partners  L.P.
Cabrera Capital Markets Inc
Rosenblatt
Loop Capital Markets</t>
  </si>
  <si>
    <t>BroadSoft Inc</t>
  </si>
  <si>
    <t>BSFT</t>
  </si>
  <si>
    <t>GS/JEFFERIES(JB)</t>
  </si>
  <si>
    <t>11133B409</t>
  </si>
  <si>
    <t>Goldman Sachs &amp; Co
Jefferies &amp; Co Inc
Cowen
Needham &amp; Co LLC</t>
  </si>
  <si>
    <t>12/13/10
12/13/10</t>
  </si>
  <si>
    <t>GS(JB)/JEFFERIES(JB)//COWEN/NEEDHAM</t>
  </si>
  <si>
    <t>GS
(JB)/JEFFERIES(JB)
COWEN
NEEDHAM</t>
  </si>
  <si>
    <t>Goldman Sachs &amp; Co
Jefferies &amp; Co Inc
Cowen &amp; Co
Needham &amp; Co LLC</t>
  </si>
  <si>
    <t>Higher One Holdings Inc</t>
  </si>
  <si>
    <t>ONE</t>
  </si>
  <si>
    <t>42983D104</t>
  </si>
  <si>
    <t>Goldman Sachs &amp; Co
UBS Investment Bank
Piper Jaffray Inc
William Blair &amp; Co
Raymond James &amp; Associates Inc
JMP Securities LLC</t>
  </si>
  <si>
    <t>12/13/10
12/13/10
12/13/10
12/13/10</t>
  </si>
  <si>
    <t>GS//UBS-INV-BANK/PIPER-J/WM-BLAIR
/RAYMOND/JMP-SEC</t>
  </si>
  <si>
    <t>GS
UBS-INV-BANK
PIPER-J
WM-BLAIR
RAYMOND
JMP-SEC</t>
  </si>
  <si>
    <t>Oasis Petroleum Inc</t>
  </si>
  <si>
    <t>OAS</t>
  </si>
  <si>
    <t>Morgan Stanley
UBS Investment Bank
Simmons &amp; Co International
JP Morgan
Tudor Pickering &amp; Co LLC
Wells Fargo Bank NA
BNP Paribas SA
Canaccord Genuity Ltd
Johnson Rice &amp; Co
Morgan Keegan Inc
Raymond James &amp; Associates Inc
RBC Capital Markets
Scotia Capital (USA) Inc.</t>
  </si>
  <si>
    <t>OAS Holding Co LLC</t>
  </si>
  <si>
    <t>MORGAN-STANLEY(JB)/UBS-INV-BANK(JB)
//SIMMONS/JPM/TUDOR-PICKERING
/WELLS-FARGO/BNP-PARIBAS/CANACCORD-GEN
/JOHNSON-RICE/MORGAN-KEEGAN/RAYMOND
/RBC-CAP-MKTS/SCOTIA-CAP</t>
  </si>
  <si>
    <t>MORGAN-STANLEY
(JB)/UBS-INV-BANK(JB)
SIMMONS
JPM
TUDOR-PICKERING
WELLS-FARGO
BNP-PARIBAS
CANACCORD-GEN
JOHNSON-RICE
MORGAN-KEEGAN
RAYMOND
RBC-CAP-MKTS
SCOTIA-CAP</t>
  </si>
  <si>
    <t>Morgan Stanley
UBS Investment Bank
Simmons &amp; Co International
JP Morgan &amp; Co Inc
Tudor Pickering &amp; Co LLC
Wells Fargo Bank NA
BNP Paribas SA
Canaccord Genuity Ltd
Johnson Rice &amp; Co
Morgan Keegan Inc
Raymond James &amp; Associates Inc
RBC Capital Markets
Scotia Capital (USA) Inc.</t>
  </si>
  <si>
    <t>China Intelligent Lighting &amp; E</t>
  </si>
  <si>
    <t>CIL</t>
  </si>
  <si>
    <t>16890G103</t>
  </si>
  <si>
    <t>06/06/12
06/06/12
06/06/12</t>
  </si>
  <si>
    <t>720
720
720</t>
  </si>
  <si>
    <t>Motricity Inc</t>
  </si>
  <si>
    <t>MOTR</t>
  </si>
  <si>
    <t>JP Morgan
Goldman Sachs &amp; Co
Deutsche Bank Securities Corp
RBC Capital Markets
Robert W Baird &amp; Co Inc
Needham &amp; Co LLC
Pacific Crest Securities Inc</t>
  </si>
  <si>
    <t>12/14/10
12/14/10
12/14/10
12/14/10</t>
  </si>
  <si>
    <t>JPM(JB)/GS(JB)//DEUTSCHE-BK-SEC
/RBC-CAP-MKTS/BAIRD/NEEDHAM
/PACIFIC-CREST</t>
  </si>
  <si>
    <t>JPM
(JB)/GS(JB)
DEUTSCHE-BK-SEC
RBC-CAP-MKTS
BAIRD
NEEDHAM
PACIFIC-CREST</t>
  </si>
  <si>
    <t>JP Morgan &amp; Co Inc
Goldman Sachs &amp; Co
Deutsche Bank Securities Corp.
RBC Capital Markets
Robert W Baird &amp; Co Inc
Needham &amp; Co LLC
Pacific Crest Securities Inc</t>
  </si>
  <si>
    <t>Vringo Inc</t>
  </si>
  <si>
    <t>VRNG</t>
  </si>
  <si>
    <t>92911N203</t>
  </si>
  <si>
    <t>Maxim Group LLC
Chardan Capital Markets LLC
Ladenburg Thalmann &amp; Co</t>
  </si>
  <si>
    <t>06/16/11
06/16/11
06/16/11</t>
  </si>
  <si>
    <t>MAXIM-GROUP//CHARDAN-CAP-MKT/LADENBURG</t>
  </si>
  <si>
    <t>MAXIM-GROUP
CHARDAN-CAP-MKT
LADENBURG</t>
  </si>
  <si>
    <t>Hudson Pacific Properties Inc</t>
  </si>
  <si>
    <t>HPP</t>
  </si>
  <si>
    <t>MERRILL
/BARCLAYS-CAP(JB)
/MORGAN-STANLEY(JB)</t>
  </si>
  <si>
    <t>Merrill Lynch
Barclays
Morgan Stanley
Wells Fargo Bank NA
BMO Capital Markets
Key Banc Capital Markets</t>
  </si>
  <si>
    <t>12/20/10
12/20/10</t>
  </si>
  <si>
    <t>MERRILL(JB)/BARCLAYS-CAP(JB)
/MORGAN-STANLEY(JB)//WELLS-FARGO
/BMO-CAPITAL/KEY-BANC-CAP</t>
  </si>
  <si>
    <t>MERRILL/BARCLAYS-CAP/MORGAN-STANLEY</t>
  </si>
  <si>
    <t>MERRILL
(JB)/BARCLAYS-CAP(JB)
/MORGAN-STANLEY(JB)
WELLS-FARGO
BMO-CAPITAL
KEY-BANC-CAP</t>
  </si>
  <si>
    <t>Merrill Lynch &amp; Co Inc
Barclays
Morgan Stanley
Wells Fargo Bank NA
BMO Capital Markets
Key Banc Capital Markets</t>
  </si>
  <si>
    <t>ClearBridge Energy MLP Fund</t>
  </si>
  <si>
    <t>CEM</t>
  </si>
  <si>
    <t>CITI/MORGAN-STANLEY(JB)
/MERRILL(JB)
/AMERIPRISE-FIN(JB)</t>
  </si>
  <si>
    <t>Citi
Morgan Stanley
Merrill Lynch
Ameriprise Financial Inc
BB&amp;T Capital Markets
JJB Hilliard WL Lyons Inc
Janney Montgomery Scott LLC
Ladenburg Thalmann &amp; Co
Maxim Group LLC
Morgan Keegan Inc
Newbridge Securities
Oppenheimer &amp; Co Inc
RBC Capital Markets
Wunderlich Securities Inc
DA Davidson &amp; Co Inc
Axiom Capital Management Inc
Crowell Weedon &amp; Co
David A. Noyes
Bernard Herold &amp; Co
City Securities
Dominick &amp; Dominick Inc
Gilford Securities
Joseph Gunnar &amp; Co., LLC
LaSalle Street Securities Inc
Northeast Securities Inc.
Paulson Investment Co
Southwest Securities Inc
Wayne Hummer &amp; Co
Wedbush Securities
William Blair &amp; Co</t>
  </si>
  <si>
    <t>Legg Mason Partners Fund</t>
  </si>
  <si>
    <t>CITI(JB)/MORGAN-STANLEY(JB)/MERRILL(JB)
/AMERIPRISE-FIN(JB)//BB-T-CAP/HILLIARD
/JANNEY-LLC/LADENBURG/MAXIM-GROUP
/MORGAN-KEEGAN/NEWBRIDGE/OPPENHEIMER-CO
/RBC-CAP-MKTS/WUNDERLICH//DAVIDSON
/AXIOM-CAP/CROWELL/D-A-NOYES
/BERNARD-HER/CITY-SEC/DOMINICK/GILFORD
/GUNNAR/LASALLE-SEC/NORTHEAST-SEC
/PAULSON/SWS-SEC/HUMMER/WEDBUSH-M
/WM-BLAIR</t>
  </si>
  <si>
    <t>CITI/MORGAN-STANLEY/MERRILL
/AMERIPRISE-FIN</t>
  </si>
  <si>
    <t>CITI
(JB)/MORGAN-STANLEY(JB)
/MERRILL(JB)
/AMERIPRISE-FIN(JB)
BB-T-CAP
HILLIARD
JANNEY-LLC
LADENBURG
MAXIM-GROUP
MORGAN-KEEGAN
NEWBRIDGE
OPPENHEIMER-CO
RBC-CAP-MKTS
WUNDERLICH</t>
  </si>
  <si>
    <t>Citi
Morgan Stanley
Merrill Lynch &amp; Co Inc
Ameriprise Financial Inc
BB&amp;T Capital Markets
JJB Hilliard WL Lyons Inc
Janney Montgomery Scott LLC
Ladenburg Thalmann &amp; Co
Maxim Group LLC
Morgan Keegan Inc
Newbridge Securities
Oppenheimer &amp; Co Inc
RBC Capital Markets
Wunderlich Securities Inc</t>
  </si>
  <si>
    <t>Eaton Vance Tax-Advantaged Bon</t>
  </si>
  <si>
    <t>EXD</t>
  </si>
  <si>
    <t>MORGAN-STANLEY/CITI(JB)
/MERRILL(JB)</t>
  </si>
  <si>
    <t>27829M103</t>
  </si>
  <si>
    <t>Morgan Stanley
Citi
Merrill Lynch
UBS Investment Bank
Huntleigh Securities Corp
Janney Montgomery Scott LLC
JJB Hilliard WL Lyons Inc
Ladenburg Thalmann &amp; Co
Maxim Group LLC
Stifel Nicolaus &amp; Co Inc
Wedbush Securities
Wunderlich Securities Inc
Brean Murray &amp; Co Inc
Crowell Weedon &amp; Co
DA Davidson &amp; Co Inc
Dominick &amp; Dominick Inc
Howe Barnes Hoefer Arnett Inc
JP Turner &amp; Co
Morgan Keegan Inc
Newbridge Securities
Westminster Finl Sec Inc
White Pacific Securities Inc
Anderson &amp; Strudwick
Bishop, Rosen &amp; Co
Feltl &amp; Co
Geoffrey Richards Securities
Henley Group Inc
Joseph Gunnar &amp; Co., LLC
Paulson Investment Co
Source Capital Group Inc
Southwest Securities Group Inc
vFinance Investments Inc</t>
  </si>
  <si>
    <t>MORGAN-STANLEY(JB)/CITI(JB)/MERRILL(JB)
//UBS-INV-BANK/HUNTLEIGH-SEC/JANNEY-LLC
/HILLIARD/LADENBURG/MAXIM-GROUP/STIFEL
/WEDBUSH-SEC/WUNDERLICH//BREAN/CROWELL
/DAVIDSON/DOMINICK/HBHOEFER-ARNETT
/J-P-TURNER/MORGAN-KEEGAN/NEWBRIDGE
/WEST-FIN-SEC/WHITE-PACIFIC/ANDERSON
/BISHOP-ROSEN/FELTL/GEOFFREY-SEC
/HENLEY-GROUP/GUNNAR/PAULSON
/SOURCE-CAPITAL/SOUTHWEST-SEC/VFINANCE</t>
  </si>
  <si>
    <t>MORGAN-STANLEY/CITI/MERRILL</t>
  </si>
  <si>
    <t>MORGAN-STANLEY
(JB)/CITI(JB)
/MERRILL(JB)
UBS-INV-BANK
HUNTLEIGH-SEC
JANNEY-LLC
HILLIARD
LADENBURG
MAXIM-GROUP
STIFEL
WEDBUSH-SEC
WUNDERLICH</t>
  </si>
  <si>
    <t>Morgan Stanley
Citi
Merrill Lynch &amp; Co Inc
UBS Investment Bank
Huntleigh Securities Corporation
Janney Montgomery Scott LLC
JJB Hilliard WL Lyons Inc
Ladenburg Thalmann &amp; Co
Maxim Group LLC
Stifel Nicolaus &amp; Co Inc
Wedbush Securities, Inc.
Wunderlich Securities Inc</t>
  </si>
  <si>
    <t>Fabrinet</t>
  </si>
  <si>
    <t>FN</t>
  </si>
  <si>
    <t>G3323L100</t>
  </si>
  <si>
    <t>Morgan Stanley
Deutsche Bank Securities Corp
RBS
Thomas Weisel Partners
Cowen &amp; Co</t>
  </si>
  <si>
    <t>12/21/10
12/21/10
12/21/10</t>
  </si>
  <si>
    <t>MORGAN-STANLEY(JB)/DEUTSCHE-BK-SEC(JB)
//RBS/THOMAS-WEISEL/COWEN-CO</t>
  </si>
  <si>
    <t>MORGAN-STANLEY
(JB)/DEUTSCHE-BK-SEC(JB)
RBS
THOMAS-WEISEL
COWEN-CO</t>
  </si>
  <si>
    <t>Morgan Stanley
Deutsche Bank Securities Corp.
RBS
Thomas Weisel Partners
Cowen &amp; Co</t>
  </si>
  <si>
    <t>Tesla Motors Inc</t>
  </si>
  <si>
    <t>TSLA</t>
  </si>
  <si>
    <t>GS/MORGAN-STANLEY(JB)
/JPM(JB)
/DEUTSCHE-BK-SEC(JB)</t>
  </si>
  <si>
    <t>88160R101</t>
  </si>
  <si>
    <t>Goldman Sachs &amp; Co
Morgan Stanley
JP Morgan
Deutsche Bank Securities Corp</t>
  </si>
  <si>
    <t>12/25/10
12/25/10
12/25/10
12/25/10</t>
  </si>
  <si>
    <t>GS(JB)/MORGAN-STANLEY(JB)/JPM(JB)
/DEUTSCHE-BK-SEC(JB)</t>
  </si>
  <si>
    <t>GS/MORGAN-STANLEY/JPM/DEUTSCHE-BK-SEC</t>
  </si>
  <si>
    <t>GS
(JB)/MORGAN-STANLEY(JB)
/JPM(JB)
/DEUTSCHE-BK-SEC(JB)</t>
  </si>
  <si>
    <t>Goldman Sachs &amp; Co
Morgan Stanley
JP Morgan &amp; Co Inc
Deutsche Bank Securities Corp.</t>
  </si>
  <si>
    <t>HiSoft Tech Intl Ltd</t>
  </si>
  <si>
    <t>DEUTSCHE-BK-SEC
/UBS-INV-BANK(JB)
/CITI(JB)</t>
  </si>
  <si>
    <t>43358R108</t>
  </si>
  <si>
    <t>Deutsche Bank Securities Corp
UBS Investment Bank
Citi
Cowen &amp; Co
Thomas Weisel Partners</t>
  </si>
  <si>
    <t>12/26/10
12/26/10</t>
  </si>
  <si>
    <t>DEUTSCHE-BK-SEC(JB)/UBS-INV-BANK(JB)
/CITI(JB)//COWEN-CO/THOMAS-WEISEL</t>
  </si>
  <si>
    <t>DEUTSCHE-BK-SEC/UBS-INV-BANK/CITI</t>
  </si>
  <si>
    <t>DEUTSCHE-BK-SEC
(JB)/UBS-INV-BANK(JB)
/CITI(JB)
COWEN-CO
THOMAS-WEISEL</t>
  </si>
  <si>
    <t>Deutsche Bank Securities Corp.
UBS Investment Bank
Citi
Cowen &amp; Co
Thomas Weisel Partners</t>
  </si>
  <si>
    <t>AutoNavi Hldg Ltd</t>
  </si>
  <si>
    <t>AMAP</t>
  </si>
  <si>
    <t>05330F106</t>
  </si>
  <si>
    <t>Goldman Sachs &amp; Co
Oppenheimer &amp; Co Inc
Pacific Crest Securities Inc</t>
  </si>
  <si>
    <t>12/27/10
12/27/10
12/27/10</t>
  </si>
  <si>
    <t>GS//OPPENHEIMER-CO/PACIFIC-CREST</t>
  </si>
  <si>
    <t>GS
OPPENHEIMER-CO
PACIFIC-CREST</t>
  </si>
  <si>
    <t>ECA Marcellus Trust I</t>
  </si>
  <si>
    <t>ECT</t>
  </si>
  <si>
    <t>RAYMOND/CITI(JB)</t>
  </si>
  <si>
    <t>26827L109</t>
  </si>
  <si>
    <t>Raymond James &amp; Associates Inc
Citi
Oppenheimer &amp; Co Inc
Robert W Baird &amp; Co Inc
RBC Capital Markets</t>
  </si>
  <si>
    <t>RAYMOND(JB)/CITI(JB)//OPPENHEIMER-CO
/BAIRD/RBC-CAP-MKTS</t>
  </si>
  <si>
    <t>RAYMOND/CITI</t>
  </si>
  <si>
    <t>RAYMOND
(JB)/CITI(JB)
OPPENHEIMER-CO
BAIRD
RBC-CAP-MKTS</t>
  </si>
  <si>
    <t>Peoples Federal Bancshares Inc</t>
  </si>
  <si>
    <t>PEOP</t>
  </si>
  <si>
    <t>Colonial Finl Svcs Inc</t>
  </si>
  <si>
    <t>COBK</t>
  </si>
  <si>
    <t>19566B101</t>
  </si>
  <si>
    <t>Stifel Nicolaus &amp; Co Inc</t>
  </si>
  <si>
    <t>Southern Products Inc</t>
  </si>
  <si>
    <t>SNPD</t>
  </si>
  <si>
    <t>Oxford Resource Partners LP</t>
  </si>
  <si>
    <t>OXF</t>
  </si>
  <si>
    <t>BARCLAYS-CAP/CITI(JB)</t>
  </si>
  <si>
    <t>Barclays
Citi
Raymond James &amp; Associates Inc
Credit Suisse
Wells Fargo Bank NA
UBS Investment Bank</t>
  </si>
  <si>
    <t>01/09/11
01/09/11</t>
  </si>
  <si>
    <t>BARCLAYS-CAP(JB)/CITI(JB)//RAYMOND
/CREDIT-SUISSE/WELLS-FARGO/UBS-INV-BANK</t>
  </si>
  <si>
    <t>BARCLAYS-CAP/CITI</t>
  </si>
  <si>
    <t>BARCLAYS-CAP
(JB)/CITI(JB)
RAYMOND
CREDIT-SUISSE
WELLS-FARGO
UBS-INV-BANK</t>
  </si>
  <si>
    <t>SMART Technologies Inc</t>
  </si>
  <si>
    <t>SMT</t>
  </si>
  <si>
    <t>MORGAN-STANLEY
/DEUTSCHE-BK-SEC(JB)
/RBC-CAP-MKTS(JB)
/MERRILL(JB)
/CREDIT-SUISSE(JB)</t>
  </si>
  <si>
    <t>83172R108</t>
  </si>
  <si>
    <t>Morgan Stanley
Deutsche Bank Securities Corp
RBC Capital Markets
Merrill Lynch
Credit Suisse
CIBC World Markets Inc
Cowen &amp; Co
Piper Jaffray Inc
Stifel Nicolaus &amp; Co Inc
Thomas Weisel Partners</t>
  </si>
  <si>
    <t>MORGAN-STANLEY(JB)/DEUTSCHE-BK-SEC(JB)
/RBC-CAP-MKTS(JB)/MERRILL(JB)
/CREDIT-SUISSE(JB)//CIBC-WORLD/COWEN-CO
/PIPER-J/STIFEL/THOMAS-WEISEL</t>
  </si>
  <si>
    <t>MORGAN-STANLEY/DEUTSCHE-BK-SEC
/RBC-CAP-MKTS/MERRILL/CREDIT-SUISSE</t>
  </si>
  <si>
    <t>MORGAN-STANLEY
(JB)/DEUTSCHE-BK-SEC(JB)
/RBC-CAP-MKTS(JB)
/MERRILL(JB)
/CREDIT-SUISSE(JB)</t>
  </si>
  <si>
    <t>Morgan Stanley
Deutsche Bank Securities Corp.
RBC Capital Markets
Merrill Lynch &amp; Co Inc
Credit Suisse</t>
  </si>
  <si>
    <t>Qlik Technologies Inc</t>
  </si>
  <si>
    <t>QLIK</t>
  </si>
  <si>
    <t>74733T105</t>
  </si>
  <si>
    <t>Morgan Stanley
Citi
JP Morgan
Jefferies &amp; Co Inc
Stifel Nicolaus &amp; Co Inc</t>
  </si>
  <si>
    <t>01/11/11
01/11/11
01/11/11</t>
  </si>
  <si>
    <t>MORGAN-STANLEY(JB)/CITI(JB)/JPM(JB)
//JEFFERIES/STIFEL</t>
  </si>
  <si>
    <t>MORGAN-STANLEY
(JB)/CITI(JB)
/JPM(JB)
JEFFERIES
STIFEL</t>
  </si>
  <si>
    <t>Morgan Stanley
Citi
JP Morgan &amp; Co Inc
Jefferies &amp; Co Inc
Stifel Nicolaus &amp; Co Inc</t>
  </si>
  <si>
    <t>RealD Inc</t>
  </si>
  <si>
    <t>RLD</t>
  </si>
  <si>
    <t>JPM/PIPER-J(JB)</t>
  </si>
  <si>
    <t>75604L105</t>
  </si>
  <si>
    <t>JP Morgan
Piper Jaffray Inc
William Blair &amp; Co
Stifel Nicolaus &amp; Co Inc
BMO Capital Markets</t>
  </si>
  <si>
    <t>JPM(JB)/PIPER-J(JB)//WM-BLAIR/STIFEL
/BMO-CAPITAL</t>
  </si>
  <si>
    <t>JPM/PIPER-J</t>
  </si>
  <si>
    <t>JPM
(JB)/PIPER-J(JB)
WM-BLAIR
STIFEL
BMO-CAPITAL</t>
  </si>
  <si>
    <t>JP Morgan &amp; Co Inc
Piper Jaffray Inc
William Blair &amp; Co
Stifel Nicolaus &amp; Co Inc
BMO Capital Markets</t>
  </si>
  <si>
    <t>Camelot Information Systems</t>
  </si>
  <si>
    <t>CIS</t>
  </si>
  <si>
    <t>GS-ASIA
/BARCLAYS-CAP(JB)</t>
  </si>
  <si>
    <t>13322V105</t>
  </si>
  <si>
    <t>Goldman Sachs (Asia)
Barclays
William Blair &amp; Co
Cowen &amp; Co
Oppenheimer &amp; Co Inc</t>
  </si>
  <si>
    <t>01/16/11
01/16/11
01/16/11</t>
  </si>
  <si>
    <t>GS-ASIA(JB)/BARCLAYS-CAP(JB)//WM-BLAIR
/COWEN-CO/OPPENHEIMER-CO</t>
  </si>
  <si>
    <t>GS-ASIA/BARCLAYS-CAP</t>
  </si>
  <si>
    <t>GS-ASIA
(JB)/BARCLAYS-CAP(JB)
WM-BLAIR
COWEN-CO
OPPENHEIMER-CO</t>
  </si>
  <si>
    <t>Tianli Agritech Inc</t>
  </si>
  <si>
    <t>OINK</t>
  </si>
  <si>
    <t>Ameresco Inc</t>
  </si>
  <si>
    <t>AMRC</t>
  </si>
  <si>
    <t>02361E108</t>
  </si>
  <si>
    <t>Merrill Lynch
RBC Capital Markets
Oppenheimer &amp; Co Inc
Canaccord Genuity Ltd
Cantor Fitzgerald Inc
Madison Williams &amp; Co
Stephens Inc</t>
  </si>
  <si>
    <t>01/17/11
01/17/11</t>
  </si>
  <si>
    <t>MERRILL/RBC-CAP-MKTS(JOINT)
//OPPENHEIMER-CO/CANACCORD-GEN/CANTOR
/MADISON-WILLIAM/STEPHENS</t>
  </si>
  <si>
    <t>MERRILL/RBC-CAP-MKTS</t>
  </si>
  <si>
    <t>MERRILL
/RBC-CAP-MKTS(JOINT)
OPPENHEIMER-CO
CANACCORD-GEN
CANTOR
MADISON-WILLIAM
STEPHENS</t>
  </si>
  <si>
    <t>Merrill Lynch &amp; Co Inc
RBC Capital Markets
Oppenheimer &amp; Co Inc
Canaccord Genuity Ltd
Cantor Fitzgerald Inc
Madison Williams &amp; Co
Stephens Inc</t>
  </si>
  <si>
    <t>Green Dot Corp</t>
  </si>
  <si>
    <t>GDOT</t>
  </si>
  <si>
    <t>39304D102</t>
  </si>
  <si>
    <t>JP Morgan
Morgan Stanley
Deutsche Bank Securities Corp
Piper Jaffray Inc
UBS Investment Bank</t>
  </si>
  <si>
    <t>JPM(JB)/MORGAN-STANLEY(JB)
//DEUTSCHE-BK-SEC/PIPER-J/UBS-INV-BANK</t>
  </si>
  <si>
    <t>JPM
(JB)/MORGAN-STANLEY(JB)
DEUTSCHE-BK-SEC
PIPER-J
UBS-INV-BANK</t>
  </si>
  <si>
    <t>JP Morgan &amp; Co Inc
Morgan Stanley
Deutsche Bank Securities Corp.
Piper Jaffray Inc
UBS Investment Bank</t>
  </si>
  <si>
    <t>Tortoise MLP Fund Inc</t>
  </si>
  <si>
    <t>89148B101</t>
  </si>
  <si>
    <t>Morgan Stanley
Citi
Merrill Lynch
UBS Investment Bank
Wells Fargo Bank NA
Stifel Nicolaus &amp; Co Inc
Barclays
Oppenheimer &amp; Co Inc
RBC Capital Markets
BB&amp;T Capital Markets
Comerica Securities
Davenport &amp; Co LLC
Dominick &amp; Dominick Inc
JJB Hilliard WL Lyons Inc
Janney Montgomery Scott LLC
Ladenburg Thalmann &amp; Co
Maxim Group LLC
Morgan Keegan Inc
Southwest Securities Inc
Wedbush Securities
Wunderlich Securities Inc
Axiom Capital Management Inc
DA Davidson &amp; Co Inc
Geoffrey Richards Securities
Crowell Weedon &amp; Co
White Pacific Securities Inc
Paulson Investment Co
David A. Noyes
Henley Group Inc
JP Turner &amp; Co
Wayne Hummer &amp; Co
Joseph Gunnar &amp; Co., LLC
Newbridge Securities
Westminster Finl Sec Inc
Source Capital Group Inc
Gilford Securities
Brean Murray Carret &amp; Co LLC
Muriel Siebert &amp; Co
Feltl &amp; Co
Andrew Garrett Group
Lebenthal
Huntleigh Securities Corp
Howe Barnes Hoefer Arnett Inc
Regal Securities Inc</t>
  </si>
  <si>
    <t>01/23/11
01/23/11</t>
  </si>
  <si>
    <t>Tortoise Capital Advisors LLC</t>
  </si>
  <si>
    <t>MORGAN-STANLEY(JB)/CITI(JB)/MERRILL(JB)
/UBS-INV-BANK(JB)/WELLS-FARGO(JB)
//STIFEL/BARCLAYS-CAP/OPPENHEIMER-CO
/RBC-CAP-MKTS/BB-T-CAP/COMERICA-SEC
/DAVENPORT-CO/DOMINICK/HILLIARD
/JANNEY-LLC/LADENBURG/MAXIM-GROUP
/MORGAN-KEEGAN/SWS-SEC/WEDBUSH-SEC
/WUNDERLICH//AXIOM-CAP/DAVIDSON
/GEOFFREY-SEC/CROWELL/WHITE-PACIFIC
/PAULSON/D-A-NOYES/HENLEY-GROUP
/J-P-TURNER/HUMMER/GUNNAR/NEWBRIDGE
/WEST-FIN-SEC/SOURCE-CAPITAL/GILFORD
/BREANMUR-CARRET/MURIEL/FELTL
/ANDREW-GARRETT/LEBENTHAL/HUNTLEIGH-SEC
/HBHOEFER-ARNETT/REGAL-SEC-INC</t>
  </si>
  <si>
    <t>MORGAN-STANLEY
(JB)/CITI(JB)
/MERRILL(JB)
/UBS-INV-BANK(JB)
/WELLS-FARGO(JB)
STIFEL
BARCLAYS-CAP
OPPENHEIMER-CO
RBC-CAP-MKTS
BB-T-CAP
COMERICA-SEC
DAVENPORT-CO
DOMINICK
HILLIARD
JANNEY-LLC
LADENBURG
MAXIM-GROUP
MORGAN-KEEGAN
SWS-SEC
WEDBUSH-SEC
WUNDERLICH</t>
  </si>
  <si>
    <t>Morgan Stanley
Citi
Merrill Lynch &amp; Co Inc
UBS Investment Bank
Wells Fargo Bank NA
Stifel Nicolaus &amp; Co Inc
Barclays
Oppenheimer &amp; Co Inc
RBC Capital Markets
BB&amp;T Capital Markets
Comerica Securities
Davenport &amp; Co LLC
Dominick &amp; Dominick Inc
JJB Hilliard WL Lyons Inc
Janney Montgomery Scott LLC
Ladenburg Thalmann &amp; Co
Maxim Group LLC
Morgan Keegan Inc
Southwest Securities Inc
Wedbush Securities, Inc.
Wunderlich Securities Inc</t>
  </si>
  <si>
    <t>Chesapeake Midstream Partners</t>
  </si>
  <si>
    <t>CHKM</t>
  </si>
  <si>
    <t>UBS-INV-BANK/CITI(JB)
/MORGAN-STANLEY(JB)
/MERRILL(JB)
/BARCLAYS-CAP(JB)
/CREDIT-SUISSE(JB)
/GS(JB)/WELLS-FARGO(JB)</t>
  </si>
  <si>
    <t>16524K108</t>
  </si>
  <si>
    <t>UBS Investment Bank
Citi
Morgan Stanley
Merrill Lynch
Barclays
Credit Suisse
Goldman Sachs &amp; Co
Wells Fargo Bank NA
BBVA Securities
BMO Capital Markets
Deutsche Bank Securities Corp
Raymond James Ltd
RBS
Scotia Capital (USA) Inc.
BNP Paribas SA
Comerica Securities
Credit Agricole CIB
ING Bank NV
Mitsubishi UFJ Securities Co
Piper Jaffray Inc
RBC Capital Markets
SunTrust Robinson Humphrey
TD Securities Inc</t>
  </si>
  <si>
    <t>01/24/11
01/24/11</t>
  </si>
  <si>
    <t>UBS-INV-BANK(JB)/CITI(JB)
/MORGAN-STANLEY(JB)/MERRILL(JB)
/BARCLAYS-CAP(JB)/CREDIT-SUISSE(JB)
/GS(JB)/WELLS-FARGO(JB)//BBVA-SEC
/BMO-CAPITAL/DEUTSCHE-BK-SEC/RAYMOND-CA
/RBS/SCOTIA-CAP/BNP-PARIBAS
/COMERICA-SEC/CREDIT-AGRI-CIB/ING-BK
/MUFJ-SEC-JP/PIPER-J/RBC-CAP-MKTS
/SUNTRUST-RH/TD-SECURITIES</t>
  </si>
  <si>
    <t>UBS-INV-BANK/CITI/MORGAN-STANLEY/MERRILL
/BARCLAYS-CAP/CREDIT-SUISSE/GS
/WELLS-FARGO</t>
  </si>
  <si>
    <t>UBS-INV-BANK
(JB)/CITI(JB)
/MORGAN-STANLEY(JB)
/MERRILL(JB)
/BARCLAYS-CAP(JB)
/CREDIT-SUISSE(JB)
/GS(JB)
/WELLS-FARGO(JB)
BBVA-SEC
BMO-CAPITAL
DEUTSCHE-BK-SEC
RAYMOND-CA
RBS
SCOTIA-CAP
BNP-PARIBAS
COMERICA-SEC
CREDIT-AGRI-CIB
ING-BK
MUFJ-SEC-JP
PIPER-J
RBC-CAP-MKTS
SUNTRUST-RH
TD-SECURITIES</t>
  </si>
  <si>
    <t>UBS Investment Bank
Citi
Morgan Stanley
Merrill Lynch &amp; Co Inc
Barclays
Credit Suisse
Goldman Sachs &amp; Co
Wells Fargo Bank NA
BBVA Securities
BMO Capital Markets
Deutsche Bank Securities Corp.
Raymond James Ltd
RBS
Scotia Capital (USA) Inc.
BNP Paribas SA
Comerica Securities
Credit Agricole Corporate &amp; Investment Bank
ING Bank NV
Mitsubishi UFJ Securities Co
Piper Jaffray Inc
RBC Capital Markets
SunTrust Robinson Humphrey
TD Securities Inc</t>
  </si>
  <si>
    <t>Envestnet Inc</t>
  </si>
  <si>
    <t>ENV</t>
  </si>
  <si>
    <t>MORGAN-STANLEY
/UBS-INV-BANK(JB)
/BARCLAYS-CAP(JB)</t>
  </si>
  <si>
    <t>29404K106</t>
  </si>
  <si>
    <t>Morgan Stanley
UBS Investment Bank
Barclays
William Blair &amp; Co
RBC Capital Markets
Stifel Nicolaus &amp; Co Inc
Sandler O'Neill Partners
Melvin &amp; Company</t>
  </si>
  <si>
    <t>01/24/11
01/24/11
01/24/11</t>
  </si>
  <si>
    <t>MORGAN-STANLEY(JB)/UBS-INV-BANK(JB)
/BARCLAYS-CAP(JB)//WM-BLAIR
/RBC-CAP-MKTS/STIFEL/SANDLER-ONEILL
/MELVIN-CO</t>
  </si>
  <si>
    <t>MORGAN-STANLEY/UBS-INV-BANK/BARCLAYS-CAP</t>
  </si>
  <si>
    <t>MORGAN-STANLEY
(JB)/UBS-INV-BANK(JB)
/BARCLAYS-CAP(JB)
WM-BLAIR
RBC-CAP-MKTS
STIFEL
SANDLER-ONEILL
MELVIN-CO</t>
  </si>
  <si>
    <t>Morgan Stanley
UBS Investment Bank
Barclays
William Blair &amp; Co
RBC Capital Markets
Stifel Nicolaus &amp; Co Inc
Sandler O'Neill Partners  L.P.
Melvin &amp; Company</t>
  </si>
  <si>
    <t>Molycorp Inc</t>
  </si>
  <si>
    <t>MCP</t>
  </si>
  <si>
    <t>Morgan Stanley
JP Morgan
CIBC World Markets Inc
Credit Suisse
Stifel Nicolaus &amp; Co Inc
Dahlman Rose Weiss LLC
Piper Jaffray Inc
Knight Capital Group Inc
Houlihan Lokey
Griffiths McBurney Corp</t>
  </si>
  <si>
    <t>01/25/11
01/25/11
01/25/11</t>
  </si>
  <si>
    <t>MORGAN-STANLEY(JB)/JPM(JB)//CIBC-WORLD
/CREDIT-SUISSE/STIFEL/DAHLMAN-ROSE
/PIPER-J/KNIGHT-CAPITAL/HOULIHAN-LOKEY
/GRIFFITHS-MCBUR</t>
  </si>
  <si>
    <t>MORGAN-STANLEY
(JB)/JPM(JB)
CIBC-WORLD
CREDIT-SUISSE
STIFEL
DAHLMAN-ROSE
PIPER-J
KNIGHT-CAPITAL
HOULIHAN-LOKEY
GRIFFITHS-MCBUR</t>
  </si>
  <si>
    <t>Morgan Stanley
JP Morgan &amp; Co Inc
CIBC World Markets Inc
Credit Suisse
Stifel Nicolaus &amp; Co Inc
Dahlman Rose Weiss LLC
Piper Jaffray Inc
Knight Capital Group Inc
Houlihan Lokey
Griffiths McBurney Corp</t>
  </si>
  <si>
    <t>Trius Therapeutics Inc</t>
  </si>
  <si>
    <t>TSRX</t>
  </si>
  <si>
    <t>89685K100</t>
  </si>
  <si>
    <t>Citi
Piper Jaffray Inc
Canaccord Genuity
JMP Securities LLC</t>
  </si>
  <si>
    <t>01/29/11
01/29/11
01/29/11</t>
  </si>
  <si>
    <t>CITI//PIPER-J/CAN-GENUITY/JMP-SEC</t>
  </si>
  <si>
    <t>CITI
PIPER-J
CAN-GENUITY
JMP-SEC</t>
  </si>
  <si>
    <t>Varca Ventures Inc</t>
  </si>
  <si>
    <t>Ambow Education Holding Ltd</t>
  </si>
  <si>
    <t>AMBO</t>
  </si>
  <si>
    <t>JPM/GS-ASIA(JB)</t>
  </si>
  <si>
    <t>02322P101</t>
  </si>
  <si>
    <t>JP Morgan
Goldman Sachs (Asia)
Macquarie Capital Partners LLC
Signal Hill Capital Group LLC</t>
  </si>
  <si>
    <t>01/31/11
01/31/11
01/31/11</t>
  </si>
  <si>
    <t>JPM(JB)/GS-ASIA(JB)//MACQUARIE-CAP
/SIGNAL-HILL</t>
  </si>
  <si>
    <t>JPM/GS-ASIA</t>
  </si>
  <si>
    <t>JPM
(JB)/GS-ASIA(JB)
MACQUARIE-CAP
SIGNAL-HILL</t>
  </si>
  <si>
    <t>JP Morgan &amp; Co Inc
Goldman Sachs (Asia)
Macquarie Capital Partners LLC
Signal Hill Capital Group LLC</t>
  </si>
  <si>
    <t>Gordmans Stores Inc</t>
  </si>
  <si>
    <t>GMAN</t>
  </si>
  <si>
    <t>PIPER-J/WELLS-FARGO(JB)</t>
  </si>
  <si>
    <t>38269P100</t>
  </si>
  <si>
    <t>Piper Jaffray Inc
Wells Fargo Bank NA
Robert W Baird &amp; Co Inc
Stifel Nicolaus &amp; Co Inc</t>
  </si>
  <si>
    <t>PIPER-J(JB)/WELLS-FARGO(JB)//BAIRD
/STIFEL</t>
  </si>
  <si>
    <t>PIPER-J/WELLS-FARGO</t>
  </si>
  <si>
    <t>PIPER-J
(JB)/WELLS-FARGO(JB)
BAIRD
STIFEL</t>
  </si>
  <si>
    <t>D Medical Industries Ltd</t>
  </si>
  <si>
    <t>DMDC</t>
  </si>
  <si>
    <t>01/31/11
01/31/11</t>
  </si>
  <si>
    <t>IntraLinks Holdings Inc</t>
  </si>
  <si>
    <t>IL</t>
  </si>
  <si>
    <t>MORGAN-STANLEY
/DEUTSCHE-BK-SEC(JB)
/CREDIT-SUISSE(JB)</t>
  </si>
  <si>
    <t>46118H104</t>
  </si>
  <si>
    <t>Morgan Stanley
Deutsche Bank Securities Corp
Credit Suisse
Jefferies &amp; Co Inc
Lazard Capital Markets
Pacific Crest Securities Inc
Stifel Nicolaus &amp; Co Inc</t>
  </si>
  <si>
    <t>02/01/11
02/01/11
02/01/11</t>
  </si>
  <si>
    <t>TA Associates Inc</t>
  </si>
  <si>
    <t>MORGAN-STANLEY(JB)/DEUTSCHE-BK-SEC(JB)
/CREDIT-SUISSE(JB)/JEFFERIES(JOINT)
//LAZARD-CAP-MKT/PACIFIC-CREST/STIFEL</t>
  </si>
  <si>
    <t>MORGAN-STANLEY/DEUTSCHE-BK-SEC
/CREDIT-SUISSE/JEFFERIES</t>
  </si>
  <si>
    <t>MORGAN-STANLEY
(JB)/DEUTSCHE-BK-SEC(JB)
/CREDIT-SUISSE(JB)
/JEFFERIES(JOINT)
LAZARD-CAP-MKT
PACIFIC-CREST
STIFEL</t>
  </si>
  <si>
    <t>Morgan Stanley
Deutsche Bank Securities Corp.
Credit Suisse
Jefferies &amp; Co Inc
Lazard Capital Markets
Pacific Crest Securities Inc
Stifel Nicolaus &amp; Co Inc</t>
  </si>
  <si>
    <t>NuPathe Inc</t>
  </si>
  <si>
    <t>PATH</t>
  </si>
  <si>
    <t>LEERINK-SWANN
/LAZARD-CAP-MKT(JB)</t>
  </si>
  <si>
    <t>67059M100</t>
  </si>
  <si>
    <t>Leerink Swann &amp; Co
Lazard Capital Markets
Needham &amp; Co LLC</t>
  </si>
  <si>
    <t>LEERINK-SWANN(JB)/LAZARD-CAP-MKT(JB)
//NEEDHAM</t>
  </si>
  <si>
    <t>LEERINK-SWANN/LAZARD-CAP-MKT</t>
  </si>
  <si>
    <t>LEERINK-SWANN
(JB)/LAZARD-CAP-MKT(JB)
NEEDHAM</t>
  </si>
  <si>
    <t>NXP Semiconductors NV</t>
  </si>
  <si>
    <t>NXPI</t>
  </si>
  <si>
    <t>CREDIT-SUISSE/GS-I(JB)
/MORGAN-STANLEY(JB)
/BOA-MERRILL(JB)
/BARCLAYS-CAP(JB)</t>
  </si>
  <si>
    <t>N6596X109</t>
  </si>
  <si>
    <t>Credit Suisse
Goldman Sachs International
Morgan Stanley
Bank of America Merrill Lynch
Barclays
KKR Capital Markets LLC
Rabo Securities NV
JP Morgan Securities Ltd
ABN AMRO Bank
Hongkong &amp; Shanghai Bank (HK)
Credit Suisse
Goldman Sachs International
Morgan Stanley</t>
  </si>
  <si>
    <t>02/01/11
02/01/11</t>
  </si>
  <si>
    <t>CREDIT-SUISSE(JB)/GS-I(JB)
/MORGAN-STANLEY(JB)/BOA-MERRILL(JB)
/BARCLAYS-CAP(JB)//KKR-CAPITAL/RABO-SEC
/JPML/ABN-AMRO-BK/HONG-SHANG-BKG
//CREDIT-SUISSE(GC)/GS-I(GC)
/MORGAN-STANLEY(GC)</t>
  </si>
  <si>
    <t>CREDIT-SUISSE/GS-I/MORGAN-STANLEY
/BOA-MERRILL/BARCLAYS-CAP</t>
  </si>
  <si>
    <t>CREDIT-SUISSE
(JB)/GS-I(JB)
/MORGAN-STANLEY(JB)
/BOA-MERRILL(JB)
/BARCLAYS-CAP(JB)
KKR-CAPITAL
RABO-SEC
JPML
ABN-AMRO-BK
HONG-SHANG-BKG</t>
  </si>
  <si>
    <t>Credit Suisse
Goldman Sachs International
Morgan Stanley
Bank of America Merrill Lynch
Barclays
KKR Capital Markets LLC
Rabo Securities NV
JP Morgan Securities Ltd (United Kingdom)
ABN AMRO Bank
Hongkong &amp; Shanghai Banking Corp Ltd</t>
  </si>
  <si>
    <t>China Kanghui Holdings</t>
  </si>
  <si>
    <t>KH</t>
  </si>
  <si>
    <t>MORGAN-STANLEY
/PIPER-J(JB)</t>
  </si>
  <si>
    <t>16890V100</t>
  </si>
  <si>
    <t>Morgan Stanley
Piper Jaffray Inc
Cowen &amp; Co
Canaccord Genuity
Morgan Stanley
Piper Jaffray Inc</t>
  </si>
  <si>
    <t>02/06/11
02/06/11
02/06/11</t>
  </si>
  <si>
    <t>MORGAN-STANLEY(JB)/PIPER-J(JB)
//COWEN-CO/CAN-GENUITY
//MORGAN-STANLEY(GC)/PIPER-J(GC)</t>
  </si>
  <si>
    <t>MORGAN-STANLEY/PIPER-J</t>
  </si>
  <si>
    <t>MORGAN-STANLEY
(JB)/PIPER-J(JB)
COWEN-CO
CAN-GENUITY</t>
  </si>
  <si>
    <t>Morgan Stanley
Piper Jaffray Inc
Cowen &amp; Co
Canaccord Genuity</t>
  </si>
  <si>
    <t>MediaMind Technologies Inc</t>
  </si>
  <si>
    <t>MDMD</t>
  </si>
  <si>
    <t>58449C100</t>
  </si>
  <si>
    <t>JP Morgan
Deutsche Bank Securities Corp
Stifel Nicolaus &amp; Co Inc
Pacific Crest Securities Inc
ThinkEquity Partners</t>
  </si>
  <si>
    <t>02/06/11
02/06/11</t>
  </si>
  <si>
    <t>JPM(JB)/DEUTSCHE-BK-SEC(JB)//STIFEL
/PACIFIC-CREST/THINK</t>
  </si>
  <si>
    <t>JPM
(JB)/DEUTSCHE-BK-SEC(JB)
STIFEL
PACIFIC-CREST
THINK</t>
  </si>
  <si>
    <t>JP Morgan &amp; Co Inc
Deutsche Bank Securities Corp.
Stifel Nicolaus &amp; Co Inc
Pacific Crest Securities Inc
ThinkEquity Partners</t>
  </si>
  <si>
    <t>RealPage Inc</t>
  </si>
  <si>
    <t>RP</t>
  </si>
  <si>
    <t>75606N109</t>
  </si>
  <si>
    <t>Credit Suisse
Deutsche Bank Securities Corp
William Blair &amp; Co
RBC Capital Markets
JMP Securities LLC
Pacific Crest Securities Inc</t>
  </si>
  <si>
    <t>02/07/11
02/07/11
02/07/11</t>
  </si>
  <si>
    <t>CREDIT-SUISSE(JB)/DEUTSCHE-BK-SEC(JB)
//WM-BLAIR/RBC-CAP-MKTS/JMP-SEC
/PACIFIC-CREST</t>
  </si>
  <si>
    <t>CREDIT-SUISSE
(JB)/DEUTSCHE-BK-SEC(JB)
WM-BLAIR
RBC-CAP-MKTS
JMP-SEC
PACIFIC-CREST</t>
  </si>
  <si>
    <t>Credit Suisse
Deutsche Bank Securities Corp.
William Blair &amp; Co
RBC Capital Markets
JMP Securities LLC
Pacific Crest Securities Inc</t>
  </si>
  <si>
    <t>MakeMyTrip India Pvt Ltd</t>
  </si>
  <si>
    <t>MMYT</t>
  </si>
  <si>
    <t>V5633W109</t>
  </si>
  <si>
    <t>Morgan Stanley
Oppenheimer &amp; Co Inc
Pacific Crest Securities Inc</t>
  </si>
  <si>
    <t>MORGAN-STANLEY//OPPENHEIMER-CO
/PACIFIC-CREST</t>
  </si>
  <si>
    <t>MORGAN-STANLEY
OPPENHEIMER-CO
PACIFIC-CREST</t>
  </si>
  <si>
    <t>Electromed Inc</t>
  </si>
  <si>
    <t>ELMD</t>
  </si>
  <si>
    <t>08/08/11
08/08/11</t>
  </si>
  <si>
    <t>Park Sterling Bank</t>
  </si>
  <si>
    <t>PSTB</t>
  </si>
  <si>
    <t>70086W109</t>
  </si>
  <si>
    <t>Keefe Bruyette &amp; Woods Inc
Sandler O'Neill Partners
Morgan Keegan Inc
Scott &amp; Stringfellow Financial</t>
  </si>
  <si>
    <t>KEEFE//SANDLER-ONEILL/MORGAN-KEEGAN
/SCOTT-STRING</t>
  </si>
  <si>
    <t>KEEFE
SANDLER-ONEILL
MORGAN-KEEGAN
SCOTT-STRING</t>
  </si>
  <si>
    <t>Keefe Bruyette &amp; Woods Inc
Sandler O'Neill Partners  L.P.
Morgan Keegan Inc
Scott &amp; Stringfellow Financial Inc</t>
  </si>
  <si>
    <t>Northumberland Resources Inc</t>
  </si>
  <si>
    <t>NHUR</t>
  </si>
  <si>
    <t>Whitestone REIT</t>
  </si>
  <si>
    <t>WSR</t>
  </si>
  <si>
    <t>WUNDERLICH
/LADENBURG(JB)</t>
  </si>
  <si>
    <t>Wunderlich Securities Inc
Ladenburg Thalmann &amp; Co
JJB Hilliard WL Lyons Inc
Maxim Group LLC
Southwest Securities Inc</t>
  </si>
  <si>
    <t>02/21/11
02/21/11</t>
  </si>
  <si>
    <t>WUNDERLICH(JB)/LADENBURG(JB)//HILLIARD
/MAXIM-GROUP/SWS-SEC</t>
  </si>
  <si>
    <t>WUNDERLICH/LADENBURG</t>
  </si>
  <si>
    <t>WUNDERLICH
(JB)/LADENBURG(JB)
HILLIARD
MAXIM-GROUP
SWS-SEC</t>
  </si>
  <si>
    <t>BlackRock Build America Bond</t>
  </si>
  <si>
    <t>BBN</t>
  </si>
  <si>
    <t>WELLS-FARGO/MERRILL(JB)
/CITI(JB)
/MORGAN-STANLEY(JB)
/UBS-INV-BANK(JB)
/AMERIPRISE-FIN(JB)</t>
  </si>
  <si>
    <t>09248X100</t>
  </si>
  <si>
    <t>Wells Fargo Bank NA
Merrill Lynch
Citi
Morgan Stanley
UBS Investment Bank
Ameriprise Financial Inc
Raymond James Ltd
RBC Capital Markets
Stifel Nicolaus &amp; Co Inc
BB&amp;T Capital Markets
JJB Hilliard WL Lyons Inc
Janney Montgomery Scott LLC
Maxim Group LLC
Morgan Keegan Inc
Wedbush Securities
Wunderlich Securities Inc
Crowell Weedon &amp; Co
Dawson James Securities
Dominick &amp; Dominick Inc
Henley Group Inc
JP Turner &amp; Co
Ladenburg Thalmann &amp; Co
Paulson Investment Co
Southwest Securities Inc
Summit Brokerage Services Inc
Andrew Garrett Group
Bishop, Rosen &amp; Co
David A. Noyes
GMS Group
Joseph Gunnar &amp; Co., LLC
Mesirow Financial Corp
Muriel Siebert &amp; Co
Northland Securities Group LLC
R. M. Stark &amp; Co
Regal Securities Inc
Wayne Hummer &amp; Co
Aegis Capital
BC Ziegler &amp; Co
Bernard Herold &amp; Co
Brean Murray Carret &amp; Co LLC
Dinosaur Group
Feltl &amp; Co
Howe Barnes Hoefer Arnett Inc
Huntleigh Securities Corp
Newbridge Securities
Revere Capital, Inc.</t>
  </si>
  <si>
    <t>WELLS-FARGO(JB)/MERRILL(JB)/CITI(JB)
/MORGAN-STANLEY(JB)/UBS-INV-BANK(JB)
/AMERIPRISE-FIN(JB)//RAYMOND-CA
/RBC-CAP-MKTS/STIFEL/BB-T-CAP/HILLIARD
/JANNEY-LLC/MAXIM-GROUP/MORGAN-KEEGAN
/WEDBUSH-SEC/WUNDERLICH//CROWELL
/DAWSON-JAMES/DOMINICK/HENLEY-GROUP
/J-P-TURNER/LADENBURG/PAULSON/SWS-SEC
/SUMMIT-BROKER/ANDREW-GARRETT
/BISHOP-ROSEN/D-A-NOYES/GMS-GROUP
/GUNNAR/MESIROW-FIN/MURIEL
/NORTHLAND-SEC/R-M-STARK/REGAL-SEC-INC
/HUMMER/AEGIS-CAP/ZIEGLER/BERNARD-HER
/BREANMUR-CARRET/DINOSAUR/FELTL
/HBHOEFER-ARNETT/HUNTLEIGH-SEC
/NEWBRIDGE/REVERE-CAP</t>
  </si>
  <si>
    <t>WELLS-FARGO/MERRILL/CITI/MORGAN-STANLEY
/UBS-INV-BANK/AMERIPRISE-FIN</t>
  </si>
  <si>
    <t>WELLS-FARGO
(JB)/MERRILL(JB)
/CITI(JB)
/MORGAN-STANLEY(JB)
/UBS-INV-BANK(JB)
/AMERIPRISE-FIN(JB)
RAYMOND-CA
RBC-CAP-MKTS
STIFEL
BB-T-CAP
HILLIARD
JANNEY-LLC
MAXIM-GROUP
MORGAN-KEEGAN
WEDBUSH-SEC
WUNDERLICH</t>
  </si>
  <si>
    <t>Wells Fargo Bank NA
Merrill Lynch &amp; Co Inc
Citi
Morgan Stanley
UBS Investment Bank
Ameriprise Financial Inc
Raymond James Ltd
RBC Capital Markets
Stifel Nicolaus &amp; Co Inc
BB&amp;T Capital Markets
JJB Hilliard WL Lyons Inc
Janney Montgomery Scott LLC
Maxim Group LLC
Morgan Keegan Inc
Wedbush Securities, Inc.
Wunderlich Securities Inc</t>
  </si>
  <si>
    <t>Full Circle Capital Corp</t>
  </si>
  <si>
    <t>FULL</t>
  </si>
  <si>
    <t>Ladenburg Thalmann &amp; Co
Maxim Group LLC
Boenning &amp; Scattergood
National Securities Corp (US)</t>
  </si>
  <si>
    <t>LADENBURG//MAXIM-GROUP/BOENNING
/NATL-SEC</t>
  </si>
  <si>
    <t>LADENBURG
MAXIM-GROUP
BOENNING
NATL-SEC</t>
  </si>
  <si>
    <t>Ladenburg Thalmann &amp; Co
Maxim Group LLC
Boenning &amp; Scattergood Inc.
National Securities Corp (US)</t>
  </si>
  <si>
    <t>Mokita Inc</t>
  </si>
  <si>
    <t>MKIT</t>
  </si>
  <si>
    <t>SouFun Holdings Ltd</t>
  </si>
  <si>
    <t>DEUTSCHE-A/GS-ASIA(JB)</t>
  </si>
  <si>
    <t>Deutsche Bank Asia
Goldman Sachs (Asia)</t>
  </si>
  <si>
    <t>03/15/11
03/15/11
03/15/11</t>
  </si>
  <si>
    <t>Telstra International</t>
  </si>
  <si>
    <t>DEUTSCHE-A(JB)/GS-ASIA(JB)</t>
  </si>
  <si>
    <t>DEUTSCHE-A/GS-ASIA</t>
  </si>
  <si>
    <t>DEUTSCHE-A
(JB)/GS-ASIA(JB)</t>
  </si>
  <si>
    <t>CoreSite Realty Corp</t>
  </si>
  <si>
    <t>COR</t>
  </si>
  <si>
    <t>CITI/MERRILL(JB)
/RBC-CAP-MKTS(JB)</t>
  </si>
  <si>
    <t>21870Q105</t>
  </si>
  <si>
    <t>Citi
Merrill Lynch
RBC Capital Markets
Key Banc Capital Markets
Credit Suisse
Evercore Group</t>
  </si>
  <si>
    <t>03/21/11
03/21/11</t>
  </si>
  <si>
    <t>DBD Investors V LLC</t>
  </si>
  <si>
    <t>CITI(JB)/MERRILL(JB)/RBC-CAP-MKTS(JB)
/KEY-BANC-CAP/CREDIT-SUISSE(JOINT)
//EVERCORE-GROUP</t>
  </si>
  <si>
    <t>CITI/MERRILL/RBC-CAP-MKTS/KEY-BANC-CAP
/CREDIT-SUISSE</t>
  </si>
  <si>
    <t>CITI
(JB)/MERRILL(JB)
/RBC-CAP-MKTS(JB)
/KEY-BANC-CAP
/CREDIT-SUISSE(JOINT)</t>
  </si>
  <si>
    <t>Citi
Merrill Lynch &amp; Co Inc
RBC Capital Markets
Key Banc Capital Markets
Credit Suisse</t>
  </si>
  <si>
    <t>Charter Financial Corp</t>
  </si>
  <si>
    <t>CHFN</t>
  </si>
  <si>
    <t>12/22/10
12/22/10</t>
  </si>
  <si>
    <t>SciQuest Inc</t>
  </si>
  <si>
    <t>SQI</t>
  </si>
  <si>
    <t>80908T101</t>
  </si>
  <si>
    <t>Stifel Nicolaus &amp; Co Inc
William Blair &amp; Co
JMP Securities LLC
Pacific Crest Securities Inc</t>
  </si>
  <si>
    <t>03/23/11
03/23/11</t>
  </si>
  <si>
    <t>Trinity Ventures</t>
  </si>
  <si>
    <t>STIFEL//WM-BLAIR/JMP-SEC/PACIFIC-CREST</t>
  </si>
  <si>
    <t>STIFEL
WM-BLAIR
JMP-SEC
PACIFIC-CREST</t>
  </si>
  <si>
    <t>Amyris Inc</t>
  </si>
  <si>
    <t>AMRS</t>
  </si>
  <si>
    <t>MORGAN-STANLEY/GS(JB)
/JPM(JB)</t>
  </si>
  <si>
    <t>03236M101</t>
  </si>
  <si>
    <t>Morgan Stanley
Goldman Sachs &amp; Co
JP Morgan
Banco Itau SA
Stifel Nicolaus &amp; Co Inc</t>
  </si>
  <si>
    <t>03/26/11
03/26/11
03/26/11</t>
  </si>
  <si>
    <t>MORGAN-STANLEY(JB)/GS(JB)/JPM(JB)
//BANCO-ITAU/STIFEL</t>
  </si>
  <si>
    <t>MORGAN-STANLEY/GS/JPM</t>
  </si>
  <si>
    <t>MORGAN-STANLEY
(JB)/GS(JB)
/JPM(JB)
BANCO-ITAU
STIFEL</t>
  </si>
  <si>
    <t>Morgan Stanley
Goldman Sachs &amp; Co
JP Morgan &amp; Co Inc
Banco Itau SA
Stifel Nicolaus &amp; Co Inc</t>
  </si>
  <si>
    <t>Country Style Cooking</t>
  </si>
  <si>
    <t>CCSC</t>
  </si>
  <si>
    <t>22238M109</t>
  </si>
  <si>
    <t>Merrill Lynch
Credit Suisse
Cowen
Piper Jaffray Inc</t>
  </si>
  <si>
    <t>03/26/11
03/26/11</t>
  </si>
  <si>
    <t>MERRILL(JB)/CREDIT-SUISSE(JB)//COWEN
/PIPER-J</t>
  </si>
  <si>
    <t>MERRILL
(JB)/CREDIT-SUISSE(JB)
COWEN
PIPER-J</t>
  </si>
  <si>
    <t>Merrill Lynch &amp; Co Inc
Credit Suisse
Cowen &amp; Co
Piper Jaffray Inc</t>
  </si>
  <si>
    <t>First Trust High Income Long</t>
  </si>
  <si>
    <t>FSD</t>
  </si>
  <si>
    <t>WELLS-FARGO/MERRILL(JB)
/CITI(JB)
/MORGAN-STANLEY(JB)</t>
  </si>
  <si>
    <t>33738E109</t>
  </si>
  <si>
    <t>Wells Fargo Bank NA
Merrill Lynch
Citi
Morgan Stanley
Raymond James &amp; Associates Inc
RBC Capital Markets
Oppenheimer &amp; Co Inc
Stifel Nicolaus &amp; Co Inc
JJB Hilliard WL Lyons Inc
Janney Montgomery Scott LLC
Ladenburg Thalmann &amp; Co
Maxim Group LLC
Morgan Keegan Inc
Wunderlich Securities Inc
BB&amp;T Capital Markets
Dominick &amp; Dominick Inc
Henley Group Inc
Huntleigh Securities Corp
Paulson Investment Co
Southwest Securities Inc
Wayne Hummer &amp; Co
Aegis Capital
Andrew Garrett Group
Brean Murray Carret &amp; Co LLC
Dawson James Securities
Feltl &amp; Co
JP Turner &amp; Co
Joseph Gunnar &amp; Co., LLC
Matrix Capital Markets Group
Newbridge Securities
Northland Securities Group LLC
Stockcross Inc
DA Davidson &amp; Co Inc
David A. Noyes
Dinosaur Group
Geoffrey Richards Securities
Howe Barnes Hoefer Arnett Inc
Muriel Siebert &amp; Co
Revere Capital, Inc.</t>
  </si>
  <si>
    <t>WELLS-FARGO(JB)/MERRILL(JB)/CITI(JB)
/MORGAN-STANLEY(JB)//RAYMOND
/RBC-CAP-MKTS/OPPENHEIMER-CO/STIFEL
/HILLIARD/JANNEY-LLC/LADENBURG
/MAXIM-GROUP/MORGAN-KEEGAN//WUNDERLICH
/BB-T-CAP/DOMINICK/HENLEY-GROUP
/HUNTLEIGH-SEC/PAULSON/SWS-SEC/HUMMER
/AEGIS-CAP/ANDREW-GARRETT
/BREANMUR-CARRET/DAWSON-JAMES/FELTL
/J-P-TURNER/GUNNAR/MATRIX-CAP-MKT
/NEWBRIDGE/NORTHLAND-SEC/STOCK-INC
/DAVIDSON/D-A-NOYES/DINOSAUR
/GEOFFREY-SEC/HBHOEFER-ARNETT/MURIEL
/REVERE-CAP</t>
  </si>
  <si>
    <t>WELLS-FARGO/MERRILL/CITI/MORGAN-STANLEY</t>
  </si>
  <si>
    <t>WELLS-FARGO
(JB)/MERRILL(JB)
/CITI(JB)
/MORGAN-STANLEY(JB)
RAYMOND
RBC-CAP-MKTS
OPPENHEIMER-CO
STIFEL
HILLIARD
JANNEY-LLC
LADENBURG
MAXIM-GROUP
MORGAN-KEEGAN</t>
  </si>
  <si>
    <t>Wells Fargo Bank NA
Merrill Lynch &amp; Co Inc
Citi
Morgan Stanley
Raymond James &amp; Associates Inc
RBC Capital Markets
Oppenheimer &amp; Co Inc
Stifel Nicolaus &amp; Co Inc
JJB Hilliard WL Lyons Inc
Janney Montgomery Scott LLC
Ladenburg Thalmann &amp; Co
Maxim Group LLC
Morgan Keegan Inc</t>
  </si>
  <si>
    <t>Nuveen Diversified Commodity</t>
  </si>
  <si>
    <t>CFD</t>
  </si>
  <si>
    <t>BOA-MERRILL
/UBS-INV-BANK(JB)
/WELLS-FARGO(JB)</t>
  </si>
  <si>
    <t>67074P104</t>
  </si>
  <si>
    <t>Bank of America Merrill Lynch
UBS Investment Bank
Wells Fargo Bank NA
Nuveen Investments LLC
Janney Montgomery Scott Inc
Ladenburg Thalmann &amp; Co
Maxim Group LLC
RBC Capital Markets
Stifel Nicolaus &amp; Co Inc
BB&amp;T Capital Markets
Dominick &amp; Dominick Inc
Joseph Gunnar &amp; Co., LLC
Sanders Morris Harris Inc
Southwest Securities Inc</t>
  </si>
  <si>
    <t>BOA-MERRILL(JB)/UBS-INV-BANK(JB)
/WELLS-FARGO(JB)/NUVEEN-INV(JOINT)
//JANNEY/LADENBURG/MAXIM-GROUP
/RBC-CAP-MKTS/STIFEL/BB-T-CAP/DOMINICK
/GUNNAR/SANDERS-HARRIS/SWS-SEC</t>
  </si>
  <si>
    <t>BOA-MERRILL/UBS-INV-BANK/WELLS-FARGO
/NUVEEN-INV</t>
  </si>
  <si>
    <t>BOA-MERRILL
(JB)/UBS-INV-BANK(JB)
/WELLS-FARGO(JB)
/NUVEEN-INV(JOINT)
JANNEY
LADENBURG
MAXIM-GROUP
RBC-CAP-MKTS
STIFEL
BB-T-CAP
DOMINICK
GUNNAR
SANDERS-HARRIS
SWS-SEC</t>
  </si>
  <si>
    <t>Century Next Financial Corp</t>
  </si>
  <si>
    <t>CTUY</t>
  </si>
  <si>
    <t>Rhino Resource Partners LP</t>
  </si>
  <si>
    <t>RNO</t>
  </si>
  <si>
    <t>76218Y103</t>
  </si>
  <si>
    <t>Raymond James &amp; Associates Inc
RBC Capital Markets
Stifel Nicolaus &amp; Co Inc</t>
  </si>
  <si>
    <t>03/28/11
03/28/11</t>
  </si>
  <si>
    <t>RAYMOND//RBC-CAP-MKTS/STIFEL</t>
  </si>
  <si>
    <t>RAYMOND
RBC-CAP-MKTS
STIFEL</t>
  </si>
  <si>
    <t>China Ming Yang Wind Power Grp</t>
  </si>
  <si>
    <t>MY</t>
  </si>
  <si>
    <t>MORGAN-STANLEY
/CREDIT-SUISSE(JB)
/MERRILL(JB)</t>
  </si>
  <si>
    <t>16951C108</t>
  </si>
  <si>
    <t>Morgan Stanley
Credit Suisse
Merrill Lynch</t>
  </si>
  <si>
    <t>03/29/11
03/29/11
03/29/11</t>
  </si>
  <si>
    <t>20.000
20.000
20.000</t>
  </si>
  <si>
    <t>25000000.00
25000000.00
25000000.00</t>
  </si>
  <si>
    <t>MORGAN-STANLEY(JB)/CREDIT-SUISSE(JB)
/MERRILL(JB)</t>
  </si>
  <si>
    <t>MORGAN-STANLEY/CREDIT-SUISSE/MERRILL</t>
  </si>
  <si>
    <t>MORGAN-STANLEY
(JB)/CREDIT-SUISSE(JB)
/MERRILL(JB)</t>
  </si>
  <si>
    <t>Morgan Stanley
Credit Suisse
Merrill Lynch &amp; Co Inc</t>
  </si>
  <si>
    <t>Elster Group SE</t>
  </si>
  <si>
    <t>ELT</t>
  </si>
  <si>
    <t>GS/DEUTSCHE-BK-SEC(JB)
/JPM(JB)</t>
  </si>
  <si>
    <t>Goldman Sachs &amp; Co
Deutsche Bank Securities Corp
JP Morgan
Canaccord Genuity
Robert W Baird &amp; Co Inc
RBC Capital Markets
Piper Jaffray Inc
Stephens Inc</t>
  </si>
  <si>
    <t>03/29/11
03/29/11
03/29/11
03/29/11</t>
  </si>
  <si>
    <t>GS(JB)/DEUTSCHE-BK-SEC(JB)/JPM(JB)
//CAN-GENUITY/BAIRD/RBC-CAP-MKTS
/PIPER-J/STEPHENS</t>
  </si>
  <si>
    <t>GS
(JB)/DEUTSCHE-BK-SEC(JB)
/JPM(JB)
CAN-GENUITY
BAIRD
RBC-CAP-MKTS
PIPER-J
STEPHENS</t>
  </si>
  <si>
    <t>Goldman Sachs &amp; Co
Deutsche Bank Securities Corp.
JP Morgan &amp; Co Inc
Canaccord Genuity
Robert W Baird &amp; Co Inc
RBC Capital Markets
Piper Jaffray Inc
Stephens Inc</t>
  </si>
  <si>
    <t>The KEYW Holding Corp</t>
  </si>
  <si>
    <t>KEYW</t>
  </si>
  <si>
    <t>SunTrust Robinson Humphrey
FBR Capital Markets Corp
Merriman Curhan Ford &amp; Co
Noble Financial Capital Market</t>
  </si>
  <si>
    <t>03/29/11
03/29/11</t>
  </si>
  <si>
    <t>SUNTRUST-RH//FBR-CAPITAL/MERR-CUR
/NOBLE-FINANCIAL</t>
  </si>
  <si>
    <t>SUNTRUST-RH
FBR-CAPITAL
MERR-CUR
NOBLE-FINANCIAL</t>
  </si>
  <si>
    <t>SunTrust Robinson Humphrey
FBR Capital Markets Corp
Merriman Curhan Ford &amp; Co
Noble Financial Capital Markets</t>
  </si>
  <si>
    <t>ChinaCache Intl Hldg Ltd</t>
  </si>
  <si>
    <t>CCIH</t>
  </si>
  <si>
    <t>16950M107</t>
  </si>
  <si>
    <t>Merrill Lynch
Deutsche Bank Securities Corp
Oppenheimer &amp; Co Inc
Pacific Crest Securities Inc</t>
  </si>
  <si>
    <t>MERRILL(JB)/DEUTSCHE-BK-SEC(JB)
//OPPENHEIMER-CO/PACIFIC-CREST</t>
  </si>
  <si>
    <t>MERRILL
(JB)/DEUTSCHE-BK-SEC(JB)
OPPENHEIMER-CO
PACIFIC-CREST</t>
  </si>
  <si>
    <t>Merrill Lynch &amp; Co Inc
Deutsche Bank Securities Corp.
Oppenheimer &amp; Co Inc
Pacific Crest Securities Inc</t>
  </si>
  <si>
    <t>Daqo New Energy Corp</t>
  </si>
  <si>
    <t>DQ</t>
  </si>
  <si>
    <t>23703Q104</t>
  </si>
  <si>
    <t>Morgan Stanley
Piper Jaffray Inc</t>
  </si>
  <si>
    <t>04/04/11
04/04/11
04/04/11</t>
  </si>
  <si>
    <t>MORGAN-STANLEY//PIPER-J</t>
  </si>
  <si>
    <t>MORGAN-STANLEY
PIPER-J</t>
  </si>
  <si>
    <t>Cazador Acquisition Corp Ltd</t>
  </si>
  <si>
    <t>CAZAU</t>
  </si>
  <si>
    <t>RODMAN/MAXIM-GROUP(JB)</t>
  </si>
  <si>
    <t>Rodman &amp; Renshaw Inc
Maxim Group LLC
Chardan Capital Markets LLC
Earlybirdcapital Inc
Macquarie Capital Partners LLC</t>
  </si>
  <si>
    <t>04/05/11
04/05/11
04/05/11</t>
  </si>
  <si>
    <t>RODMAN(JB)/MAXIM-GROUP(JB)
//CHARDAN-CAP-MKT/EARLYBIRD-CAP
/MACQUARIE-CAP</t>
  </si>
  <si>
    <t>RODMAN/MAXIM-GROUP</t>
  </si>
  <si>
    <t>RODMAN
(JB)/MAXIM-GROUP(JB)
CHARDAN-CAP-MKT
EARLYBIRD-CAP
MACQUARIE-CAP</t>
  </si>
  <si>
    <t>Ellington Financial LLC</t>
  </si>
  <si>
    <t>EFC</t>
  </si>
  <si>
    <t>Deutsche Bank Securities Corp
Cantor Fitzgerald Inc</t>
  </si>
  <si>
    <t>DEUTSCHE-BK-SEC//CANTOR</t>
  </si>
  <si>
    <t>DEUTSCHE-BK-SEC
CANTOR</t>
  </si>
  <si>
    <t>Deutsche Bank Securities Corp.
Cantor Fitzgerald Inc</t>
  </si>
  <si>
    <t>Global Education &amp; Technology</t>
  </si>
  <si>
    <t>GEDU</t>
  </si>
  <si>
    <t>37951A108</t>
  </si>
  <si>
    <t>Credit Suisse
Merrill Lynch
Piper Jaffray Inc
William Blair &amp; Co</t>
  </si>
  <si>
    <t>CREDIT-SUISSE(JB)/MERRILL(JB)//PIPER-J
/WM-BLAIR</t>
  </si>
  <si>
    <t>CREDIT-SUISSE
(JB)/MERRILL(JB)
PIPER-J
WM-BLAIR</t>
  </si>
  <si>
    <t>Credit Suisse
Merrill Lynch &amp; Co Inc
Piper Jaffray Inc
William Blair &amp; Co</t>
  </si>
  <si>
    <t>Standard Financial Corp</t>
  </si>
  <si>
    <t>STND</t>
  </si>
  <si>
    <t>Hicks Acquisition Co II Inc</t>
  </si>
  <si>
    <t>Citi
Deutsche Bank Securities Corp
Ladenburg Thalmann &amp; Co</t>
  </si>
  <si>
    <t>04/06/11
04/06/11</t>
  </si>
  <si>
    <t>CITI//DEUTSCHE-BK-SEC/LADENBURG</t>
  </si>
  <si>
    <t>CITI
DEUTSCHE-BK-SEC
LADENBURG</t>
  </si>
  <si>
    <t>Citi
Deutsche Bank Securities Corp.
Ladenburg Thalmann &amp; Co</t>
  </si>
  <si>
    <t>Campus Crest Communities Inc</t>
  </si>
  <si>
    <t>CCG</t>
  </si>
  <si>
    <t>RAYMOND/CITI(JB)/GS(JB)
/BARCLAYS-CAP(JB)
/RBC-CAP-MKTS(JB)</t>
  </si>
  <si>
    <t>13466Y105</t>
  </si>
  <si>
    <t>Raymond James &amp; Associates Inc
Citi
Goldman Sachs &amp; Co
Barclays
RBC Capital Markets
Robert W Baird &amp; Co Inc</t>
  </si>
  <si>
    <t>10/08/11
10/08/11</t>
  </si>
  <si>
    <t>RAYMOND(JB)/CITI(JB)/GS(JB)
/BARCLAYS-CAP(JB)/RBC-CAP-MKTS(JB)
//BAIRD</t>
  </si>
  <si>
    <t>RAYMOND/CITI/GS/BARCLAYS-CAP
/RBC-CAP-MKTS</t>
  </si>
  <si>
    <t>RAYMOND
(JB)/CITI(JB)
/GS(JB)
/BARCLAYS-CAP(JB)
/RBC-CAP-MKTS(JB)
BAIRD</t>
  </si>
  <si>
    <t>Body Central Corp</t>
  </si>
  <si>
    <t>BODY</t>
  </si>
  <si>
    <t>PIPER-J/JEFFERIES(JB)</t>
  </si>
  <si>
    <t>09689U102</t>
  </si>
  <si>
    <t>Piper Jaffray Inc
Jefferies &amp; Co Inc
William Blair &amp; Co
Robert W Baird &amp; Co Inc</t>
  </si>
  <si>
    <t>04/12/11
04/12/11
04/12/11</t>
  </si>
  <si>
    <t>PIPER-J(JB)/JEFFERIES(JB)//WM-BLAIR
/BAIRD</t>
  </si>
  <si>
    <t>PIPER-J/JEFFERIES</t>
  </si>
  <si>
    <t>PIPER-J
(JB)/JEFFERIES(JB)
WM-BLAIR
BAIRD</t>
  </si>
  <si>
    <t>Tower International Inc</t>
  </si>
  <si>
    <t>TOWR</t>
  </si>
  <si>
    <t>GS/CITI(JB)/JPM(JB)</t>
  </si>
  <si>
    <t>Goldman Sachs &amp; Co
Citi
JP Morgan
Lazard Capital Markets
Wells Fargo Bank NA
Robert W Baird &amp; Co Inc</t>
  </si>
  <si>
    <t>GS(JB)/CITI(JB)/JPM(JB)//LAZARD-CAP-MKT
/WELLS-FARGO/BAIRD</t>
  </si>
  <si>
    <t>GS/CITI/JPM</t>
  </si>
  <si>
    <t>GS
(JB)/CITI(JB)
/JPM(JB)
LAZARD-CAP-MKT
WELLS-FARGO
BAIRD</t>
  </si>
  <si>
    <t>Goldman Sachs &amp; Co
Citi
JP Morgan &amp; Co Inc
Lazard Capital Markets
Wells Fargo Bank NA
Robert W Baird &amp; Co Inc</t>
  </si>
  <si>
    <t>NetSpend Holdings Inc</t>
  </si>
  <si>
    <t>NTSP</t>
  </si>
  <si>
    <t>64118V106</t>
  </si>
  <si>
    <t>Goldman Sachs &amp; Co
Merrill Lynch
William Blair &amp; Co
SunTrust Robinson Humphrey
Wells Fargo Bank NA
Duncan-Williams Inc
Houlihan Lokey
Knight Capital Markets LLC</t>
  </si>
  <si>
    <t>04/16/11
04/16/11
04/16/11
04/16/11</t>
  </si>
  <si>
    <t>GS(JB)/MERRILL(JB)/WM-BLAIR(JOINT)
//SUNTRUST-RH/WELLS-FARGO
/DUNCAN-WILLIAMS/HOULIHAN-LOKEY
/KNIGHT-CAP-MKT</t>
  </si>
  <si>
    <t>GS/MERRILL/WM-BLAIR</t>
  </si>
  <si>
    <t>GS
(JB)/MERRILL(JB)
/WM-BLAIR(JOINT)
SUNTRUST-RH
WELLS-FARGO
DUNCAN-WILLIAMS
HOULIHAN-LOKEY
KNIGHT-CAP-MKT</t>
  </si>
  <si>
    <t>Goldman Sachs &amp; Co
Merrill Lynch &amp; Co Inc
William Blair &amp; Co
SunTrust Robinson Humphrey
Wells Fargo Bank NA
Duncan-Williams Inc
Houlihan Lokey
Knight Capital Markets LLC</t>
  </si>
  <si>
    <t>ShangPharma Corp</t>
  </si>
  <si>
    <t>SHP</t>
  </si>
  <si>
    <t>CITI/JPM(JB)</t>
  </si>
  <si>
    <t>81943P104</t>
  </si>
  <si>
    <t>Citi
JP Morgan
William Blair &amp; Co
Oppenheimer &amp; Co Inc</t>
  </si>
  <si>
    <t>04/16/11
04/16/11
04/16/11</t>
  </si>
  <si>
    <t>CITI(JB)/JPM(JB)//WM-BLAIR
/OPPENHEIMER-CO</t>
  </si>
  <si>
    <t>CITI/JPM</t>
  </si>
  <si>
    <t>CITI
(JB)/JPM(JB)
WM-BLAIR
OPPENHEIMER-CO</t>
  </si>
  <si>
    <t>Citi
JP Morgan &amp; Co Inc
William Blair &amp; Co
Oppenheimer &amp; Co Inc</t>
  </si>
  <si>
    <t>TAL Education Group</t>
  </si>
  <si>
    <t>XRS</t>
  </si>
  <si>
    <t>CREDIT-SEC-USA/MS-I(JB)</t>
  </si>
  <si>
    <t>Credit Suisse Securities (USA)
Morgan Stanley International
Piper Jaffray &amp; Hopwood Inc
Oppenheimer &amp; Co Inc</t>
  </si>
  <si>
    <t>04/17/11
04/17/11
04/17/11</t>
  </si>
  <si>
    <t>CREDIT-SEC-USA(JB)/MS-I(JB)//PIPER
/OPPENHEIMER-CO</t>
  </si>
  <si>
    <t>CREDIT-SEC-USA/MS-I</t>
  </si>
  <si>
    <t>CREDIT-SEC-USA
(JB)/MS-I(JB)
PIPER
OPPENHEIMER-CO</t>
  </si>
  <si>
    <t>Credit Suisse Securities (USA) LLC
Morgan Stanley International Ltd
Piper Jaffray &amp; Hopwood Inc
Oppenheimer &amp; Co Inc</t>
  </si>
  <si>
    <t>Vera Bradley Inc</t>
  </si>
  <si>
    <t>VRA</t>
  </si>
  <si>
    <t>BAIRD/PIPER-J(JB)</t>
  </si>
  <si>
    <t>92335C106</t>
  </si>
  <si>
    <t>Robert W Baird &amp; Co Inc
Piper Jaffray Inc
Wells Fargo Bank NA
KeyBanc Capital Markets Inc
Lazard Capital Markets</t>
  </si>
  <si>
    <t>04/18/11
04/18/11
04/18/11</t>
  </si>
  <si>
    <t>BAIRD(JB)/PIPER-J(JB)//WELLS-FARGO
/KEYBANC/LAZARD-CAP-MKT</t>
  </si>
  <si>
    <t>BAIRD/PIPER-J</t>
  </si>
  <si>
    <t>BAIRD
(JB)/PIPER-J(JB)
WELLS-FARGO
KEYBANC
LAZARD-CAP-MKT</t>
  </si>
  <si>
    <t>Bravo Brio Restaurant Grp Inc</t>
  </si>
  <si>
    <t>BBRG</t>
  </si>
  <si>
    <t>JEFFERIES/PIPER-J(JB)
/WELLS-FARGO(JB)</t>
  </si>
  <si>
    <t>10567B109</t>
  </si>
  <si>
    <t>Jefferies &amp; Co Inc
Piper Jaffray Inc
Wells Fargo Bank NA
KeyBanc Capital Markets Inc
Morgan Keegan Inc</t>
  </si>
  <si>
    <t>04/19/11
04/19/11
04/19/11</t>
  </si>
  <si>
    <t>JEFFERIES(JB)/PIPER-J(JB)
/WELLS-FARGO(JB)//KEYBANC/MORGAN-KEEGAN</t>
  </si>
  <si>
    <t>JEFFERIES/PIPER-J/WELLS-FARGO</t>
  </si>
  <si>
    <t>JEFFERIES
(JB)/PIPER-J(JB)
/WELLS-FARGO(JB)
KEYBANC
MORGAN-KEEGAN</t>
  </si>
  <si>
    <t>Aegerion Pharmaceuticals Inc</t>
  </si>
  <si>
    <t>AEGR</t>
  </si>
  <si>
    <t>00767E102</t>
  </si>
  <si>
    <t>Leerink Swann &amp; Co
Lazard Capital Markets
Needham &amp; Co LLC
Canaccord Genuity
Collins Stewart Ltd</t>
  </si>
  <si>
    <t>04/20/11
04/20/11
04/20/11</t>
  </si>
  <si>
    <t>LEERINK-SWANN(JB)/LAZARD-CAP-MKT(JB)
//NEEDHAM/CAN-GENUITY/COLLINS-STEWART</t>
  </si>
  <si>
    <t>LEERINK-SWANN
(JB)/LAZARD-CAP-MKT(JB)
NEEDHAM
CAN-GENUITY
COLLINS-STEWART</t>
  </si>
  <si>
    <t>Asia Carbon Industries Inc</t>
  </si>
  <si>
    <t>ACRB</t>
  </si>
  <si>
    <t>Guggenheim Build America Bonds</t>
  </si>
  <si>
    <t>GBAB</t>
  </si>
  <si>
    <t>MERRILL/CITI(JB)
/MORGAN-STANLEY(JB)
/WELLS-FARGO(JB)
/RAYMOND(JB)</t>
  </si>
  <si>
    <t>Merrill Lynch
Citi
Morgan Stanley
Wells Fargo Bank NA
Raymond James &amp; Associates Inc
BB&amp;T Capital Markets
Guggenheim Securities LLC
JJB Hilliard WL Lyons Inc
Janney Montgomery Scott LLC
Ladenburg Thalmann &amp; Co
Maxim Group LLC
RBC Capital Markets
Stifel Nicolaus &amp; Co Inc
Wedbush Securities
Wunderlich Securities Inc
Crowell Weedon &amp; Co
Dominick &amp; Dominick Inc
Gilford Securities
Wayne Hummer &amp; Co
Moors &amp; Cabot Inc
Morgan Keegan Inc
Newbridge Securities
Northeast Securities Inc.
David A. Noyes
Southwest Securities Inc
Summit Brokerage Services Inc
JP Turner &amp; Co
Westminster Finl Sec Inc</t>
  </si>
  <si>
    <t>Guggenheim Funds Invest</t>
  </si>
  <si>
    <t>MERRILL(JB)/CITI(JB)/MORGAN-STANLEY(JB)
/WELLS-FARGO(JB)/RAYMOND(JB)//BB-T-CAP
/GUGG/HILLIARD/JANNEY-LLC/LADENBURG
/MAXIM-GROUP/RBC-CAP-MKTS/STIFEL
/WEDBUSH-SEC/WUNDERLICH//CROWELL
/DOMINICK/GILFORD/HUMMER/MOORS
/MORGAN-KEEGAN/NEWBRIDGE/NORTHEAST-SEC
/D-A-NOYES/SWS-SEC/SUMMIT-BROKER
/J-P-TURNER/WEST-FIN-SEC</t>
  </si>
  <si>
    <t>MERRILL/CITI/MORGAN-STANLEY/WELLS-FARGO
/RAYMOND</t>
  </si>
  <si>
    <t>MERRILL
(JB)/CITI(JB)
/MORGAN-STANLEY(JB)
/WELLS-FARGO(JB)
/RAYMOND(JB)
BB-T-CAP
GUGG
HILLIARD
JANNEY-LLC
LADENBURG
MAXIM-GROUP
RBC-CAP-MKTS
STIFEL
WEDBUSH-SEC
WUNDERLICH</t>
  </si>
  <si>
    <t>Merrill Lynch &amp; Co Inc
Citi
Morgan Stanley
Wells Fargo Bank NA
Raymond James &amp; Associates Inc
BB&amp;T Capital Markets
Guggenheim Securities LLC
JJB Hilliard WL Lyons Inc
Janney Montgomery Scott LLC
Ladenburg Thalmann &amp; Co
Maxim Group LLC
RBC Capital Markets
Stifel Nicolaus &amp; Co Inc
Wedbush Securities, Inc.
Wunderlich Securities Inc</t>
  </si>
  <si>
    <t>Pacific Biosciences of CA Inc</t>
  </si>
  <si>
    <t>PACB</t>
  </si>
  <si>
    <t>69404D108</t>
  </si>
  <si>
    <t>JP Morgan
Morgan Stanley
Deutsche Bank Securities Corp
Piper Jaffray Inc</t>
  </si>
  <si>
    <t>04/24/11
04/24/11
04/24/11</t>
  </si>
  <si>
    <t>JPM(JB)/MORGAN-STANLEY(JB)
//DEUTSCHE-BK-SEC/PIPER-J</t>
  </si>
  <si>
    <t>JPM
(JB)/MORGAN-STANLEY(JB)
DEUTSCHE-BK-SEC
PIPER-J</t>
  </si>
  <si>
    <t>JP Morgan &amp; Co Inc
Morgan Stanley
Deutsche Bank Securities Corp.
Piper Jaffray Inc</t>
  </si>
  <si>
    <t>Western Asset High Yield</t>
  </si>
  <si>
    <t>HYI</t>
  </si>
  <si>
    <t>MERRILL/CITI(JB)
/MORGAN-STANLEY(JB)
/WELLS-FARGO(JB)</t>
  </si>
  <si>
    <t>95768B107</t>
  </si>
  <si>
    <t>Merrill Lynch
Citi
Morgan Stanley
Wells Fargo Bank NA
Janney Montgomery Scott LLC
Ladenburg Thalmann &amp; Co
Maxim Group LLC
RBC Capital Markets
BB&amp;T Capital Markets
Brean Murray Carret &amp; Co LLC
Crowell Weedon &amp; Co
DA Davidson &amp; Co Inc
Dominick &amp; Dominick Inc
Howe Barnes Hoefer Arnett Inc
Wayne Hummer &amp; Co
LaSalle Street Securities Inc
Morgan Keegan Inc
Newbridge Securities
David A. Noyes
Paulson Investment Co
Source Capital Group Inc
Muriel Siebert &amp; Co
Southwest Securities Inc
JP Turner &amp; Co
Westminster Finl Sec Inc</t>
  </si>
  <si>
    <t>MERRILL(JB)/CITI(JB)/MORGAN-STANLEY(JB)
/WELLS-FARGO(JB)//JANNEY-LLC/LADENBURG
/MAXIM-GROUP/RBC-CAP-MKTS//BB-T-CAP
/BREANMUR-CARRET/CROWELL/DAVIDSON
/DOMINICK/HBHOEFER-ARNETT/HUMMER
/LASALLE-SEC/MORGAN-KEEGAN/NEWBRIDGE
/D-A-NOYES/PAULSON/SOURCE-CAPITAL
/MURIEL/SWS-SEC/J-P-TURNER/WEST-FIN-SEC</t>
  </si>
  <si>
    <t>MERRILL/CITI/MORGAN-STANLEY/WELLS-FARGO</t>
  </si>
  <si>
    <t>MERRILL
(JB)/CITI(JB)
/MORGAN-STANLEY(JB)
/WELLS-FARGO(JB)
JANNEY-LLC
LADENBURG
MAXIM-GROUP
RBC-CAP-MKTS</t>
  </si>
  <si>
    <t>Merrill Lynch &amp; Co Inc
Citi
Morgan Stanley
Wells Fargo Bank NA
Janney Montgomery Scott LLC
Ladenburg Thalmann &amp; Co
Maxim Group LLC
RBC Capital Markets</t>
  </si>
  <si>
    <t>Mecox Lane Ltd</t>
  </si>
  <si>
    <t>58403M102</t>
  </si>
  <si>
    <t>Credit Suisse
UBS Investment Bank
Oppenheimer &amp; Co Inc
Roth Capital Partners Inc</t>
  </si>
  <si>
    <t>CREDIT-SUISSE(JB)/UBS-INV-BANK(JB)
//OPPENHEIMER-CO/ROTH-CAPITAL</t>
  </si>
  <si>
    <t>CREDIT-SUISSE
(JB)/UBS-INV-BANK(JB)
OPPENHEIMER-CO
ROTH-CAPITAL</t>
  </si>
  <si>
    <t>ExamWorks Group Inc</t>
  </si>
  <si>
    <t>EXAM</t>
  </si>
  <si>
    <t>GS/CREDIT-SUISSE(JB)
/BARCLAYS-CAP(JB)</t>
  </si>
  <si>
    <t>30066A105</t>
  </si>
  <si>
    <t>Goldman Sachs &amp; Co
Credit Suisse
Barclays
William Blair &amp; Co
Needham &amp; Co LLC</t>
  </si>
  <si>
    <t>04/25/11
04/25/11
04/25/11
04/25/11</t>
  </si>
  <si>
    <t>GS(JB)/CREDIT-SUISSE(JB)
/BARCLAYS-CAP(JB)//WM-BLAIR/NEEDHAM</t>
  </si>
  <si>
    <t>GS/CREDIT-SUISSE/BARCLAYS-CAP</t>
  </si>
  <si>
    <t>GS
(JB)/CREDIT-SUISSE(JB)
/BARCLAYS-CAP(JB)
WM-BLAIR
NEEDHAM</t>
  </si>
  <si>
    <t>SeaCube Container Leasing Ltd</t>
  </si>
  <si>
    <t>BOX</t>
  </si>
  <si>
    <t>JPM/CITI(JB)
/DEUTSCHE-BK-SEC(JB)
/WELLS-FARGO(JB)</t>
  </si>
  <si>
    <t>G79978105</t>
  </si>
  <si>
    <t>JP Morgan
Citi
Deutsche Bank Securities Corp
Wells Fargo Bank NA
Credit Suisse
Dahlman Rose Weiss LLC
DnB NOR BANK ASA
DVB BANK AG
Nomura Securities</t>
  </si>
  <si>
    <t>04/25/11
04/25/11
04/25/11</t>
  </si>
  <si>
    <t>JPM(JB)/CITI(JB)/DEUTSCHE-BK-SEC(JB)
/WELLS-FARGO(JB)//CREDIT-SUISSE
/DAHLMAN-ROSE/DNB-NOR/DVB-BANK-AG
/NOMURA</t>
  </si>
  <si>
    <t>JPM/CITI/DEUTSCHE-BK-SEC/WELLS-FARGO</t>
  </si>
  <si>
    <t>JPM
(JB)/CITI(JB)
/DEUTSCHE-BK-SEC(JB)
/WELLS-FARGO(JB)
CREDIT-SUISSE
DAHLMAN-ROSE
DNB-NOR
DVB-BANK-AG
NOMURA</t>
  </si>
  <si>
    <t>JP Morgan &amp; Co Inc
Citi
Deutsche Bank Securities Corp.
Wells Fargo Bank NA
Credit Suisse
Dahlman Rose Weiss LLC
DnB NOR BANK ASA
DVB BANK AG
Nomura Securities Co Ltd</t>
  </si>
  <si>
    <t>Horizon Technology Finance</t>
  </si>
  <si>
    <t>HRZN</t>
  </si>
  <si>
    <t>44045A102</t>
  </si>
  <si>
    <t>Morgan Stanley
UBS Investment Bank
Stifel Nicolaus &amp; Co Inc
Morgan Keegan Inc
RBC Capital Markets
BMO Capital Markets
Lazard Capital Markets
Northland Securities Group LLC</t>
  </si>
  <si>
    <t>04/26/11
04/26/11
04/26/11</t>
  </si>
  <si>
    <t>MORGAN-STANLEY(JB)/UBS-INV-BANK(JB)
//STIFEL/MORGAN-KEEGAN/RBC-CAP-MKTS
/BMO-CAPITAL/LAZARD-CAP-MKT
/NORTHLAND-SEC</t>
  </si>
  <si>
    <t>MORGAN-STANLEY
(JB)/UBS-INV-BANK(JB)
STIFEL
MORGAN-KEEGAN
RBC-CAP-MKTS
BMO-CAPITAL
LAZARD-CAP-MKT
NORTHLAND-SEC</t>
  </si>
  <si>
    <t>Le Gaga Holdings Ltd</t>
  </si>
  <si>
    <t>0161</t>
  </si>
  <si>
    <t>GAGA</t>
  </si>
  <si>
    <t>Merrill Lynch
UBS Investment Bank
Piper Jaffray Inc
Oppenheimer &amp; Co Inc
Merrill Lynch
UBS Investment Bank</t>
  </si>
  <si>
    <t>04/26/11
04/26/11</t>
  </si>
  <si>
    <t>MERRILL(JB)/UBS-INV-BANK(JB)//PIPER-J
/OPPENHEIMER-CO//MERRILL(GC)
/UBS-INV-BANK(GC)</t>
  </si>
  <si>
    <t>MERRILL
(JB)/UBS-INV-BANK(JB)
PIPER-J
OPPENHEIMER-CO</t>
  </si>
  <si>
    <t>Merrill Lynch &amp; Co Inc
UBS Investment Bank
Piper Jaffray Inc
Oppenheimer &amp; Co Inc</t>
  </si>
  <si>
    <t>SP Bancorp Inc</t>
  </si>
  <si>
    <t>SPBC</t>
  </si>
  <si>
    <t>78468K106</t>
  </si>
  <si>
    <t>Xueda Education Group</t>
  </si>
  <si>
    <t>XUE</t>
  </si>
  <si>
    <t>98418W109</t>
  </si>
  <si>
    <t>Goldman Sachs &amp; Co
Robert W Baird &amp; Co Inc
William Blair &amp; Co
Goldman Sachs (Asia)</t>
  </si>
  <si>
    <t>GS//BAIRD/WM-BLAIR//GS-ASIA(GC)</t>
  </si>
  <si>
    <t>GS
BAIRD
WM-BLAIR</t>
  </si>
  <si>
    <t>Goldman Sachs &amp; Co
Robert W Baird &amp; Co Inc
William Blair &amp; Co</t>
  </si>
  <si>
    <t>SodaStream International Ltd</t>
  </si>
  <si>
    <t>SODA</t>
  </si>
  <si>
    <t>JPML/DEUTSCHE-BANK(JB)</t>
  </si>
  <si>
    <t>M9068E105</t>
  </si>
  <si>
    <t>JP Morgan Securities Ltd
Deutsche Bank
William Blair &amp; Co
Oppenheimer &amp; Co Inc
Stifel Nicolaus &amp; Co Inc
Roth Capital Partners Inc</t>
  </si>
  <si>
    <t>05/01/11
05/01/11
05/01/11</t>
  </si>
  <si>
    <t>JPML(JB)/DEUTSCHE-BANK(JB)//WM-BLAIR
/OPPENHEIMER-CO/STIFEL/ROTH-CAPITAL</t>
  </si>
  <si>
    <t>JPML/DEUTSCHE-BANK</t>
  </si>
  <si>
    <t>JPML
(JB)/DEUTSCHE-BANK(JB)
WM-BLAIR
OPPENHEIMER-CO
STIFEL
ROTH-CAPITAL</t>
  </si>
  <si>
    <t>JP Morgan Securities Ltd (United Kingdom)
Deutsche Bank
William Blair &amp; Co
Oppenheimer &amp; Co Inc
Stifel Nicolaus &amp; Co Inc
Roth Capital Partners Inc</t>
  </si>
  <si>
    <t>SinoTech Energy Ltd</t>
  </si>
  <si>
    <t>CTE</t>
  </si>
  <si>
    <t>UBS Investment Bank
Citi
Lazard Capital Markets
UBS Investment Bank</t>
  </si>
  <si>
    <t>05/02/11
05/02/11
05/02/11</t>
  </si>
  <si>
    <t>UBS-INV-BANK//CITI/LAZARD-CAP-MKT
//UBS-INV-BANK(GC)</t>
  </si>
  <si>
    <t>UBS-INV-BANK
CITI
LAZARD-CAP-MKT</t>
  </si>
  <si>
    <t>UBS Investment Bank
Citi
Lazard Capital Markets</t>
  </si>
  <si>
    <t>Costamare Inc</t>
  </si>
  <si>
    <t>CMRE</t>
  </si>
  <si>
    <t>Y1771G102</t>
  </si>
  <si>
    <t>Morgan Stanley
Merrill Lynch
Dahlman Rose Weiss LLC
RBS
Wells Fargo Bank NA</t>
  </si>
  <si>
    <t>MORGAN-STANLEY(JB)/MERRILL(JB)
//DAHLMAN-ROSE/RBS/WELLS-FARGO</t>
  </si>
  <si>
    <t>MORGAN-STANLEY
(JB)/MERRILL(JB)
DAHLMAN-ROSE
RBS
WELLS-FARGO</t>
  </si>
  <si>
    <t>Morgan Stanley
Merrill Lynch &amp; Co Inc
Dahlman Rose Weiss LLC
RBS
Wells Fargo Bank NA</t>
  </si>
  <si>
    <t>Fresh Market Inc</t>
  </si>
  <si>
    <t>TFM</t>
  </si>
  <si>
    <t>MERRILL/JPM(JB)/GS(JB)</t>
  </si>
  <si>
    <t>35804H106</t>
  </si>
  <si>
    <t>Merrill Lynch
JP Morgan
Goldman Sachs &amp; Co
Morgan Stanley
William Blair &amp; Co
BMO Capital Markets
RBC Capital Markets</t>
  </si>
  <si>
    <t>05/03/11
05/03/11</t>
  </si>
  <si>
    <t>MERRILL(JB)/JPM(JB)/GS(JB)
//MORGAN-STANLEY/WM-BLAIR/BMO-CAPITAL
/RBC-CAP-MKTS</t>
  </si>
  <si>
    <t>MERRILL/JPM/GS</t>
  </si>
  <si>
    <t>MERRILL
(JB)/JPM(JB)
/GS(JB)
MORGAN-STANLEY
WM-BLAIR
BMO-CAPITAL
RBC-CAP-MKTS</t>
  </si>
  <si>
    <t>Merrill Lynch &amp; Co Inc
JP Morgan &amp; Co Inc
Goldman Sachs &amp; Co
Morgan Stanley
William Blair &amp; Co
BMO Capital Markets
RBC Capital Markets</t>
  </si>
  <si>
    <t>Primo Water Corp</t>
  </si>
  <si>
    <t>PRMW</t>
  </si>
  <si>
    <t>74165N105</t>
  </si>
  <si>
    <t>Stifel Nicolaus &amp; Co Inc
BB&amp;T Capital Markets
Janney Montgomery Scott LLC
Signal Hill Capital Group LLC</t>
  </si>
  <si>
    <t>STIFEL//BB-T-CAP/JANNEY-LLC/SIGNAL-HILL</t>
  </si>
  <si>
    <t>STIFEL
BB-T-CAP
JANNEY-LLC
SIGNAL-HILL</t>
  </si>
  <si>
    <t>Noah Holdings Ltd</t>
  </si>
  <si>
    <t>NOAH</t>
  </si>
  <si>
    <t>65487X102</t>
  </si>
  <si>
    <t>JP Morgan
Merrill Lynch
Oppenheimer &amp; Co Inc
Roth Capital Partners Inc</t>
  </si>
  <si>
    <t>05/08/11
05/08/11
05/08/11</t>
  </si>
  <si>
    <t>JPM(JB)/MERRILL(JB)//OPPENHEIMER-CO
/ROTH-CAPITAL</t>
  </si>
  <si>
    <t>JPM
(JB)/MERRILL(JB)
OPPENHEIMER-CO
ROTH-CAPITAL</t>
  </si>
  <si>
    <t>JP Morgan &amp; Co Inc
Merrill Lynch &amp; Co Inc
Oppenheimer &amp; Co Inc
Roth Capital Partners Inc</t>
  </si>
  <si>
    <t>RDA Microelectronics Inc</t>
  </si>
  <si>
    <t>RDA</t>
  </si>
  <si>
    <t>Morgan Stanley
Credit Suisse
Caris &amp; Company</t>
  </si>
  <si>
    <t>Warburg Pincus LLC</t>
  </si>
  <si>
    <t>MORGAN-STANLEY(JB)/CREDIT-SUISSE(JB)
//CARIS-CO</t>
  </si>
  <si>
    <t>MORGAN-STANLEY
(JB)/CREDIT-SUISSE(JB)
CARIS-CO</t>
  </si>
  <si>
    <t>Complete Genomics Inc</t>
  </si>
  <si>
    <t>20454K104</t>
  </si>
  <si>
    <t>UBS Investment Bank
Jefferies &amp; Co Inc
Robert W Baird &amp; Co Inc
Cowen &amp; Co</t>
  </si>
  <si>
    <t>05/09/11
05/09/11
05/09/11</t>
  </si>
  <si>
    <t>UBS-INV-BANK(JB)/JEFFERIES(JB)//BAIRD
/COWEN-CO</t>
  </si>
  <si>
    <t>UBS-INV-BANK
(JB)/JEFFERIES(JB)
BAIRD
COWEN-CO</t>
  </si>
  <si>
    <t>Inphi Corp</t>
  </si>
  <si>
    <t>IPHI</t>
  </si>
  <si>
    <t>MORGAN-STANLEY
/DEUTSCHE-BK-SEC(JB)
/JEFFERIES(JB)</t>
  </si>
  <si>
    <t>45772F107</t>
  </si>
  <si>
    <t>Morgan Stanley
Deutsche Bank Securities Corp
Jefferies &amp; Co Inc
Stifel Nicolaus &amp; Co Inc
Needham &amp; Co LLC</t>
  </si>
  <si>
    <t>MORGAN-STANLEY(JB)/DEUTSCHE-BK-SEC(JB)
/JEFFERIES(JB)//STIFEL/NEEDHAM</t>
  </si>
  <si>
    <t>MORGAN-STANLEY/DEUTSCHE-BK-SEC/JEFFERIES</t>
  </si>
  <si>
    <t>MORGAN-STANLEY
(JB)/DEUTSCHE-BK-SEC(JB)
/JEFFERIES(JB)
STIFEL
NEEDHAM</t>
  </si>
  <si>
    <t>Morgan Stanley
Deutsche Bank Securities Corp.
Jefferies &amp; Co Inc
Stifel Nicolaus &amp; Co Inc
Needham &amp; Co LLC</t>
  </si>
  <si>
    <t>UniTek Global Services Inc</t>
  </si>
  <si>
    <t>UNTK</t>
  </si>
  <si>
    <t>FBR-CAPITAL
/ROTH-CAPITAL(JB)</t>
  </si>
  <si>
    <t>91324T104</t>
  </si>
  <si>
    <t>FBR Capital Markets Corp
Roth Capital Partners Inc
DA Davidson &amp; Co Inc
Janney Montgomery Scott LLC</t>
  </si>
  <si>
    <t>05/09/11
05/09/11</t>
  </si>
  <si>
    <t>FBR-CAPITAL(JB)/ROTH-CAPITAL(JB)
//DAVIDSON/JANNEY-LLC</t>
  </si>
  <si>
    <t>FBR-CAPITAL/ROTH-CAPITAL</t>
  </si>
  <si>
    <t>FBR-CAPITAL
(JB)/ROTH-CAPITAL(JB)
DAVIDSON
JANNEY-LLC</t>
  </si>
  <si>
    <t>Australia Acquisition Corp</t>
  </si>
  <si>
    <t>AACOU</t>
  </si>
  <si>
    <t>Cohen &amp; Co
I-Bankers Securities Inc
Earlybirdcapital Inc</t>
  </si>
  <si>
    <t>COHEN-CO//I-BANKERS-SEC/EARLYBIRD-CAP</t>
  </si>
  <si>
    <t>COHEN-CO
I-BANKERS-SEC
EARLYBIRD-CAP</t>
  </si>
  <si>
    <t>Bitauto Holdings Ltd</t>
  </si>
  <si>
    <t>BITA</t>
  </si>
  <si>
    <t>091727107</t>
  </si>
  <si>
    <t>Citi
UBS Investment Bank
Oppenheimer &amp; Co Inc
Lazard Capital Markets</t>
  </si>
  <si>
    <t>05/15/11
05/15/11
05/15/11</t>
  </si>
  <si>
    <t>CITI(JB)/UBS-INV-BANK(JB)
//OPPENHEIMER-CO/LAZARD-CAP-MKT</t>
  </si>
  <si>
    <t>CITI
(JB)/UBS-INV-BANK(JB)
OPPENHEIMER-CO
LAZARD-CAP-MKT</t>
  </si>
  <si>
    <t>Booz Allen Hamilton Hldg Corp</t>
  </si>
  <si>
    <t>BAH</t>
  </si>
  <si>
    <t>MORGAN-STANLEY
/BARCLAYS-CAP(JB)
/MERRILL(JB)
/CREDIT-SUISSE(JB)</t>
  </si>
  <si>
    <t>099502106</t>
  </si>
  <si>
    <t>Morgan Stanley
Barclays
Merrill Lynch
Credit Suisse
Stifel Nicolaus &amp; Co Inc
BB&amp;T Capital Markets
Lazard Capital Markets
Raymond James &amp; Associates Inc
Blaylock Robert Van
Samuel A. Ramirez &amp; Co.</t>
  </si>
  <si>
    <t>05/15/11
05/15/11</t>
  </si>
  <si>
    <t>MORGAN-STANLEY(JB)/BARCLAYS-CAP(JB)
/MERRILL(JB)/CREDIT-SUISSE(JB)//STIFEL
/BB-T-CAP/LAZARD-CAP-MKT/RAYMOND
//BLAYLOCK-RV/RAMIREZ</t>
  </si>
  <si>
    <t>MORGAN-STANLEY/BARCLAYS-CAP/MERRILL
/CREDIT-SUISSE</t>
  </si>
  <si>
    <t>MORGAN-STANLEY
(JB)/BARCLAYS-CAP(JB)
/MERRILL(JB)
/CREDIT-SUISSE(JB)
STIFEL
BB-T-CAP
LAZARD-CAP-MKT
RAYMOND</t>
  </si>
  <si>
    <t>Morgan Stanley
Barclays
Merrill Lynch &amp; Co Inc
Credit Suisse
Stifel Nicolaus &amp; Co Inc
BB&amp;T Capital Markets
Lazard Capital Markets
Raymond James &amp; Associates Inc</t>
  </si>
  <si>
    <t>General Motors Co</t>
  </si>
  <si>
    <t>GM</t>
  </si>
  <si>
    <t>MORGAN-STANLEY/JPM(JB)
/BOA-MERRILL(JB)
/CITI(JB)
/BARCLAYS-CAP(JB)
/CREDIT-SUISSE(JB)
/DEUTSCHE-BK-SEC(JB)
/GS(JB)
/RBC-CAP-MKTS(JB)</t>
  </si>
  <si>
    <t>37045V100</t>
  </si>
  <si>
    <t>Morgan Stanley
JP Morgan
Bank of America Merrill Lynch
Citi
Barclays
Credit Suisse
Deutsche Bank Securities Corp
Goldman Sachs &amp; Co
RBC Capital Markets
Bradesco BBI
CIBC World Markets Inc
Commerzbank AG
Bank of New York Mellon Corp
ICBC International Holdings
Banco Itau-BBA SA
LLoyds TSB Corporate
China International Capital Co
Loop Capital Markets
Williams Capital Group LP
Soleil Securities Corp
Scotia Capital (USA) Inc.
Piper Jaffray Inc
SMBC Nikko Capital Markets
Sanford C Bernstein &amp; Co Inc
CastleOak Securities LP
CL King &amp; Associates Inc
FBR Capital Markets Corp
Gardner Rich &amp; Co
Lebenthal
MR Beal &amp; Co
Muriel Siebert &amp; Co
Samuel A. Ramirez &amp; Co.
Cabrera Capital Markets Inc
CF Global Trading LLC
CRT Investment Banking LLC
Morgan Stanley
JP Morgan
Merrill Lynch
Citi</t>
  </si>
  <si>
    <t>05/16/11
05/16/11
02/15/11</t>
  </si>
  <si>
    <t>180
180
90</t>
  </si>
  <si>
    <t>MORGAN-STANLEY(JB)/JPM(JB)
/BOA-MERRILL(JB)/CITI(JB)
/BARCLAYS-CAP(JB)/CREDIT-SUISSE(JB)
/DEUTSCHE-BK-SEC(JB)/GS(JB)
/RBC-CAP-MKTS(JB)//BANCO-BBI/CIBC-WORLD
/COMMERZBANK/BNY-MELLON/ICBC-INTL
/BANCO-IT-BBA/LLOYDS-TSB-CORP
/CHINA-CAPITAL/LOOP/WILLIAMS-CAP
/SOLEIL-SEC//SCOTIA-CAP/PIPER-J
/SMBC-NIKKO-CAP/BERNSTEIN/CASTLEOAK-SEC
/CL-KING/FBR-CAPITAL/GARDNER-RICH
/LEBENTHAL/M-R-BEAL/MURIEL/RAMIREZ
/CABRERA-CAPITAL/CF-GLOBAL/CRT-INV
//MORGAN-STANLEY(GC)/JPM(GC)
/MERRILL(GC)/CITI(GC)</t>
  </si>
  <si>
    <t>MORGAN-STANLEY/JPM/BOA-MERRILL/CITI
/BARCLAYS-CAP/CREDIT-SUISSE
/DEUTSCHE-BK-SEC/GS/RBC-CAP-MKTS</t>
  </si>
  <si>
    <t>MORGAN-STANLEY
(JB)/JPM(JB)
/BOA-MERRILL(JB)
/CITI(JB)
/BARCLAYS-CAP(JB)
/CREDIT-SUISSE(JB)
/DEUTSCHE-BK-SEC(JB)
/GS(JB)
/RBC-CAP-MKTS(JB)
BANCO-BBI
CIBC-WORLD
COMMERZBANK
BNY-MELLON
ICBC-INTL
BANCO-IT-BBA
LLOYDS-TSB-CORP
CHINA-CAPITAL
LOOP
WILLIAMS-CAP
SOLEIL-SEC</t>
  </si>
  <si>
    <t>Morgan Stanley
JP Morgan &amp; Co Inc
Bank of America Merrill Lynch
Citi
Barclays
Credit Suisse
Deutsche Bank Securities Corp.
Goldman Sachs &amp; Co
RBC Capital Markets
Bradesco BBI
CIBC World Markets Inc
Commerzbank AG
Bank of New York Mellon Corp
ICBC International Holdings Ltd
Banco Itau-BBA SA
LLoyds TSB Corporate
China International Capital Corp
Loop Capital Markets
Williams Capital Group LP
Soleil Securities Corp</t>
  </si>
  <si>
    <t>JWC Acquisition Corp</t>
  </si>
  <si>
    <t>JWCAU</t>
  </si>
  <si>
    <t>46634Y201</t>
  </si>
  <si>
    <t>Citi
I-Bankers Securities Inc
Ladenburg Thalmann &amp; Co
Maxim Group LLC</t>
  </si>
  <si>
    <t>05/16/11
05/16/11</t>
  </si>
  <si>
    <t>CITI//I-BANKERS-SEC/LADENBURG
/MAXIM-GROUP</t>
  </si>
  <si>
    <t>CITI
I-BANKERS-SEC
LADENBURG
MAXIM-GROUP</t>
  </si>
  <si>
    <t>LPL Investment Holdings Inc</t>
  </si>
  <si>
    <t>LPLA</t>
  </si>
  <si>
    <t>GS/MORGAN-STANLEY(JB)
/MERRILL(JB)/JPM(JB)</t>
  </si>
  <si>
    <t>50213H100</t>
  </si>
  <si>
    <t>Goldman Sachs &amp; Co
Morgan Stanley
Merrill Lynch
JP Morgan
Sanford C Bernstein &amp; Co Inc
William Blair &amp; Co
Citi
Keefe Bruyette &amp; Woods Inc
Lazard Capital Markets
Macquarie Capital Advisors
Sandler O'Neill Partners
UBS Investment Bank
Blaylock Robert Van
Bank of New York Mellon Corp</t>
  </si>
  <si>
    <t>05/16/11
05/16/11
05/16/11</t>
  </si>
  <si>
    <t>GS(JB)/MORGAN-STANLEY(JB)/MERRILL(JB)
/JPM(JB)//BERNSTEIN/WM-BLAIR/CITI/KEEFE
/LAZARD-CAP-MKT/MACQUARIE-CA
/SANDLER-ONEILL/UBS-INV-BANK
//BLAYLOCK-RV/BNY-MELLON</t>
  </si>
  <si>
    <t>GS/MORGAN-STANLEY/MERRILL/JPM</t>
  </si>
  <si>
    <t>GS
(JB)/MORGAN-STANLEY(JB)
/MERRILL(JB)
/JPM(JB)
BERNSTEIN
WM-BLAIR
CITI
KEEFE
LAZARD-CAP-MKT
MACQUARIE-CA
SANDLER-ONEILL
UBS-INV-BANK</t>
  </si>
  <si>
    <t>Goldman Sachs &amp; Co
Morgan Stanley
Merrill Lynch &amp; Co Inc
JP Morgan &amp; Co Inc
Sanford C Bernstein &amp; Co Inc
William Blair &amp; Co
Citi
Keefe Bruyette &amp; Woods Inc
Lazard Capital Markets
Macquarie Capital Advisors
Sandler O'Neill Partners  L.P.
UBS Investment Bank</t>
  </si>
  <si>
    <t>Aeroflex Holding Corp</t>
  </si>
  <si>
    <t>ARX</t>
  </si>
  <si>
    <t>GS/CREDIT-SEC-USA(JB)
/JPM(JB)
/MORGAN-STANLEY(JB)</t>
  </si>
  <si>
    <t>007767106</t>
  </si>
  <si>
    <t>Goldman Sachs &amp; Co
Credit Suisse Securities (USA)
JP Morgan
Morgan Stanley
Barclays
Stifel Nicolaus &amp; Co Inc
UBS Securities Inc
Moelis &amp; Co
Needham &amp; Co LLC
Oppenheimer &amp; Co Inc</t>
  </si>
  <si>
    <t>05/17/11
05/17/11
05/17/11</t>
  </si>
  <si>
    <t>GS(JB)/CREDIT-SEC-USA(JB)/JPM(JB)
/MORGAN-STANLEY(JB)//BARCLAYS-CAP
/STIFEL/UBS-SEC/MOELIS-CO/NEEDHAM
/OPPENHEIMER-CO</t>
  </si>
  <si>
    <t>GS/CREDIT-SEC-USA/JPM/MORGAN-STANLEY</t>
  </si>
  <si>
    <t>GS
(JB)/CREDIT-SEC-USA(JB)
/JPM(JB)
/MORGAN-STANLEY(JB)
BARCLAYS-CAP
STIFEL
UBS-SEC
MOELIS-CO
NEEDHAM
OPPENHEIMER-CO</t>
  </si>
  <si>
    <t>Goldman Sachs &amp; Co
Credit Suisse Securities (USA) LLC
JP Morgan &amp; Co Inc
Morgan Stanley
Barclays
Stifel Nicolaus &amp; Co Inc
UBS Securities Inc
Moelis &amp; Co
Needham &amp; Co LLC
Oppenheimer &amp; Co Inc</t>
  </si>
  <si>
    <t>China Xiniya Fashion Ltd</t>
  </si>
  <si>
    <t>XNY</t>
  </si>
  <si>
    <t>Cowen &amp; Co
Samsung Securities
Lazard Capital Markets
Janney Montgomery Scott LLC</t>
  </si>
  <si>
    <t>05/17/11
05/17/11</t>
  </si>
  <si>
    <t>COWEN-CO//SAMSUNG-SEC/LAZARD-CAP-MKT
/JANNEY-LLC</t>
  </si>
  <si>
    <t>COWEN-CO
SAMSUNG-SEC
LAZARD-CAP-MKT
JANNEY-LLC</t>
  </si>
  <si>
    <t>Cowen &amp; Co
Samsung Securities Co Ltd
Lazard Capital Markets
Janney Montgomery Scott LLC</t>
  </si>
  <si>
    <t>Lizhan Environmental Corp</t>
  </si>
  <si>
    <t>LZEN</t>
  </si>
  <si>
    <t>Maxim Group LLC
Aegis Capital</t>
  </si>
  <si>
    <t>05/12/12
05/12/12</t>
  </si>
  <si>
    <t>MAXIM-GROUP//AEGIS-CAP</t>
  </si>
  <si>
    <t>MAXIM-GROUP
AEGIS-CAP</t>
  </si>
  <si>
    <t>Maxim Group LLC
Aegis Capital Corp.</t>
  </si>
  <si>
    <t>Zogenix Inc</t>
  </si>
  <si>
    <t>ZGNX</t>
  </si>
  <si>
    <t>WELLS-FARGO
/LEERINK-SWANN(JB)</t>
  </si>
  <si>
    <t>98978L105</t>
  </si>
  <si>
    <t>Wells Fargo Bank NA
Leerink Swann &amp; Co
Oppenheimer &amp; Co Inc
Stifel Nicolaus &amp; Co Inc</t>
  </si>
  <si>
    <t>05/21/11
05/21/11
05/21/11</t>
  </si>
  <si>
    <t>WELLS-FARGO(JB)/LEERINK-SWANN(JB)
//OPPENHEIMER-CO/STIFEL</t>
  </si>
  <si>
    <t>WELLS-FARGO/LEERINK-SWANN</t>
  </si>
  <si>
    <t>WELLS-FARGO
(JB)/LEERINK-SWANN(JB)
OPPENHEIMER-CO
STIFEL</t>
  </si>
  <si>
    <t>Anacor Pharmaceuticals Inc</t>
  </si>
  <si>
    <t>ANAC</t>
  </si>
  <si>
    <t>CITI
/DEUTSCHE-BK-SEC(JB)</t>
  </si>
  <si>
    <t>032420101</t>
  </si>
  <si>
    <t>Citi
Deutsche Bank Securities Corp
Cowen &amp; Co
Wedbush Securities</t>
  </si>
  <si>
    <t>05/22/11
05/22/11
05/22/11</t>
  </si>
  <si>
    <t>CITI(JB)/DEUTSCHE-BK-SEC(JB)//COWEN-CO
/WEDBUSH-M</t>
  </si>
  <si>
    <t>CITI/DEUTSCHE-BK-SEC</t>
  </si>
  <si>
    <t>CITI
(JB)/DEUTSCHE-BK-SEC(JB)
COWEN-CO
WEDBUSH-M</t>
  </si>
  <si>
    <t>Citi
Deutsche Bank Securities Corp.
Cowen &amp; Co
Wedbush Securities</t>
  </si>
  <si>
    <t>Cohen &amp; Steers Pfd &amp; Inc Fd</t>
  </si>
  <si>
    <t>PSF</t>
  </si>
  <si>
    <t>WELLS-FARGO/MERRILL(JB)</t>
  </si>
  <si>
    <t>19248Y107</t>
  </si>
  <si>
    <t>Wells Fargo Bank NA
Merrill Lynch
Deutsche Bank Securities Corp
JJB Hilliard WL Lyons Inc
Janney Montgomery Scott LLC
Ladenburg Thalmann &amp; Co
Maxim Group LLC
Morgan Keegan Inc
Oppenheimer &amp; Co Inc
RBC Capital Markets
Stifel Nicolaus &amp; Co Inc
Wedbush Securities
Wunderlich Securities Inc
Andrew Garrett Group
BB&amp;T Capital Markets
Brean Murray Carret &amp; Co LLC
Crowell Weedon &amp; Co
David A. Noyes
Dawson James Securities
Dominick &amp; Dominick Inc
Feltl &amp; Co
Geoffrey Richards Securities
Henley Group Inc
JP Turner &amp; Co
Johnston Lemon &amp; Co Inc
Joseph Gunnar &amp; Co., LLC
Newbridge Securities
Paulson Investment Co
Southwest Securities Inc
Summit Brokerage Services Inc
Wayne Hummer &amp; Co</t>
  </si>
  <si>
    <t>WELLS-FARGO(JB)/MERRILL(JB)
//DEUTSCHE-BK-SEC/HILLIARD/JANNEY-LLC
/LADENBURG/MAXIM-GROUP/MORGAN-KEEGAN
/OPPENHEIMER-CO/RBC-CAP-MKTS/STIFEL
/WEDBUSH-M/WUNDERLICH//ANDREW-GARRETT
/BB-T-CAP/BREANMUR-CARRET/CROWELL
/D-A-NOYES/DAWSON-JAMES/DOMINICK/FELTL
/GEOFFREY-SEC/HENLEY-GROUP/J-P-TURNER
/JOHNSTON-LEMON/GUNNAR/NEWBRIDGE
/PAULSON/SWS-SEC/SUMMIT-BROKER/HUMMER</t>
  </si>
  <si>
    <t>WELLS-FARGO/MERRILL</t>
  </si>
  <si>
    <t>WELLS-FARGO
(JB)/MERRILL(JB)
DEUTSCHE-BK-SEC
HILLIARD
JANNEY-LLC
LADENBURG
MAXIM-GROUP
MORGAN-KEEGAN
OPPENHEIMER-CO
RBC-CAP-MKTS
STIFEL
WEDBUSH-M
WUNDERLICH</t>
  </si>
  <si>
    <t>Wells Fargo Bank NA
Merrill Lynch &amp; Co Inc
Deutsche Bank Securities Corp.
JJB Hilliard WL Lyons Inc
Janney Montgomery Scott LLC
Ladenburg Thalmann &amp; Co
Maxim Group LLC
Morgan Keegan Inc
Oppenheimer &amp; Co Inc
RBC Capital Markets
Stifel Nicolaus &amp; Co Inc
Wedbush Securities
Wunderlich Securities Inc</t>
  </si>
  <si>
    <t>Kayne Anderson Midstream/Enrgy</t>
  </si>
  <si>
    <t>KMF</t>
  </si>
  <si>
    <t>UBS-INV-BANK
/MERRILL(JB)/CITI(JB)
/MORGAN-STANLEY(JB)
/WELLS-FARGO(JB)</t>
  </si>
  <si>
    <t>48661E108</t>
  </si>
  <si>
    <t>UBS Investment Bank
Merrill Lynch
Citi
Morgan Stanley
Wells Fargo Bank NA
Ameriprise Financial Inc
Robert W Baird &amp; Co Inc
Barclays
RBC Capital Markets
Stifel Nicolaus &amp; Co Inc
JJB Hilliard WL Lyons Inc
Janney Montgomery Scott LLC
Ladenburg Thalmann &amp; Co
Madison Williams &amp; Co
Morgan Keegan Inc
Wunderlich Securities Inc
BB&amp;T Capital Markets
Bishop, Rosen &amp; Co
Boenning &amp; Scattergood
Crowell Weedon &amp; Co
Huntleigh Securities Corp
The Huntington Company
LaSalle Street Securities Inc
Revere Capital, Inc.
Wayne Hummer &amp; Co
Wedbush Securities
Westminster Finl Sec Inc</t>
  </si>
  <si>
    <t>UBS-INV-BANK(JB)/MERRILL(JB)/CITI(JB)
/MORGAN-STANLEY(JB)/WELLS-FARGO(JB)
//AMERIPRISE-FIN/BAIRD/BARCLAYS-CAP
/RBC-CAP-MKTS/STIFEL/HILLIARD
/JANNEY-LLC/LADENBURG/MADISON-WILLIAM
/MORGAN-KEEGAN/WUNDERLICH//BB-T-CAP
/BISHOP-ROSEN/BOENNING/CROWELL
/HUNTLEIGH-SEC/HUNTINGTON/LASALLE-SEC
/REVERE-CAP/HUMMER/WEDBUSH-SEC
/WEST-FIN-SEC</t>
  </si>
  <si>
    <t>UBS-INV-BANK/MERRILL/CITI/MORGAN-STANLEY
/WELLS-FARGO</t>
  </si>
  <si>
    <t>UBS-INV-BANK
(JB)/MERRILL(JB)
/CITI(JB)
/MORGAN-STANLEY(JB)
/WELLS-FARGO(JB)
AMERIPRISE-FIN
BAIRD
BARCLAYS-CAP
RBC-CAP-MKTS
STIFEL
HILLIARD
JANNEY-LLC
LADENBURG
MADISON-WILLIAM
MORGAN-KEEGAN
WUNDERLICH</t>
  </si>
  <si>
    <t>UBS Investment Bank
Merrill Lynch &amp; Co Inc
Citi
Morgan Stanley
Wells Fargo Bank NA
Ameriprise Financial Inc
Robert W Baird &amp; Co Inc
Barclays
RBC Capital Markets
Stifel Nicolaus &amp; Co Inc
JJB Hilliard WL Lyons Inc
Janney Montgomery Scott LLC
Ladenburg Thalmann &amp; Co
Madison Williams &amp; Co
Morgan Keegan Inc
Wunderlich Securities Inc</t>
  </si>
  <si>
    <t>L&amp;L Acquisition Corp</t>
  </si>
  <si>
    <t>LLAQU</t>
  </si>
  <si>
    <t>50161R100</t>
  </si>
  <si>
    <t>Nuveen Build America Bond Oppo</t>
  </si>
  <si>
    <t>NBD</t>
  </si>
  <si>
    <t>CITI/MORGAN-STANLEY(JB)
/NUVEEN-INV(JB)</t>
  </si>
  <si>
    <t>67074Q102</t>
  </si>
  <si>
    <t>Citi
Morgan Stanley
Nuveen Investments LLC
Raymond James &amp; Associates Inc
RBC Capital Markets
Oppenheimer &amp; Co Inc
Stifel Nicolaus &amp; Co Inc
JJB Hilliard WL Lyons Inc
Ladenburg Thalmann &amp; Co
Maxim Group LLC
BB&amp;T Capital Markets
Paulson Investment Co
Regal Securities Inc
DA Davidson &amp; Co Inc
Southwest Securities Inc
Gilford Securities
Howe Barnes Hoefer Arnett Inc
Huntleigh Securities Corp
JP Turner &amp; Co
Wayne Hummer &amp; Co
Henley Group Inc</t>
  </si>
  <si>
    <t>CITI(JB)/MORGAN-STANLEY(JB)
/NUVEEN-INV(JB)//RAYMOND/RBC-CAP-MKTS
/OPPENHEIMER-CO/STIFEL/HILLIARD
/LADENBURG/MAXIM-GROUP//BB-T-CAP
/PAULSON/REGAL-SEC-INC/DAVIDSON/SWS-SEC
/GILFORD/HBHOEFER-ARNETT/HUNTLEIGH-SEC
/J-P-TURNER/HUMMER/HENLEY-GROUP</t>
  </si>
  <si>
    <t>CITI/MORGAN-STANLEY/NUVEEN-INV</t>
  </si>
  <si>
    <t>CITI
(JB)/MORGAN-STANLEY(JB)
/NUVEEN-INV(JB)
RAYMOND
RBC-CAP-MKTS
OPPENHEIMER-CO
STIFEL
HILLIARD
LADENBURG
MAXIM-GROUP</t>
  </si>
  <si>
    <t>Citi
Morgan Stanley
Nuveen Investments LLC
Raymond James &amp; Associates Inc
RBC Capital Markets
Oppenheimer &amp; Co Inc
Stifel Nicolaus &amp; Co Inc
JJB Hilliard WL Lyons Inc
Ladenburg Thalmann &amp; Co
Maxim Group LLC</t>
  </si>
  <si>
    <t>SYSWIN Inc</t>
  </si>
  <si>
    <t>SYSW</t>
  </si>
  <si>
    <t>Morgan Stanley
William Blair &amp; Co
Oppenheimer &amp; Co Inc
Roth Capital Partners Inc</t>
  </si>
  <si>
    <t>MORGAN-STANLEY//WM-BLAIR/OPPENHEIMER-CO
/ROTH-CAPITAL</t>
  </si>
  <si>
    <t>MORGAN-STANLEY
WM-BLAIR
OPPENHEIMER-CO
ROTH-CAPITAL</t>
  </si>
  <si>
    <t>FXCM Inc</t>
  </si>
  <si>
    <t>FXCM</t>
  </si>
  <si>
    <t>CREDIT-SUISSE/JPM(JB)
/CITI(JB)</t>
  </si>
  <si>
    <t>Credit Suisse
JP Morgan
Citi
Barclays
Deutsche Bank Securities Corp
Sandler O'Neill Partners
UBS Investment Bank</t>
  </si>
  <si>
    <t>05/30/11
05/30/11
05/30/11</t>
  </si>
  <si>
    <t>CREDIT-SUISSE(JB)/JPM(JB)/CITI(JB)
//BARCLAYS-CAP/DEUTSCHE-BK-SEC
/SANDLER-ONEILL/UBS-INV-BANK</t>
  </si>
  <si>
    <t>CREDIT-SUISSE/JPM/CITI</t>
  </si>
  <si>
    <t>CREDIT-SUISSE
(JB)/JPM(JB)
/CITI(JB)
BARCLAYS-CAP
DEUTSCHE-BK-SEC
SANDLER-ONEILL
UBS-INV-BANK</t>
  </si>
  <si>
    <t>Credit Suisse
JP Morgan &amp; Co Inc
Citi
Barclays
Deutsche Bank Securities Corp.
Sandler O'Neill Partners  L.P.
UBS Investment Bank</t>
  </si>
  <si>
    <t>Targa Resources Corp</t>
  </si>
  <si>
    <t>TRGP</t>
  </si>
  <si>
    <t>BARCLAYS-CAP
/MORGAN-STANLEY(JB)
/MERRILL(JB)/CITI(JB)
/DEUTSCHE-BK-SEC(JB)</t>
  </si>
  <si>
    <t>87612G101</t>
  </si>
  <si>
    <t>Barclays
Morgan Stanley
Merrill Lynch
Citi
Deutsche Bank Securities Corp
Credit Suisse
JP Morgan
Wells Fargo Bank NA
Raymond James &amp; Associates Inc
RBC Capital Markets
UBS Investment Bank
Robert W Baird &amp; Co Inc
ING</t>
  </si>
  <si>
    <t>06/04/11
06/04/11
06/04/11</t>
  </si>
  <si>
    <t>BARCLAYS-CAP(JB)/MORGAN-STANLEY(JB)
/MERRILL(JB)/CITI(JB)
/DEUTSCHE-BK-SEC(JB)//CREDIT-SUISSE/JPM
/WELLS-FARGO/RAYMOND/RBC-CAP-MKTS
/UBS-INV-BANK/BAIRD/ING</t>
  </si>
  <si>
    <t>BARCLAYS-CAP/MORGAN-STANLEY/MERRILL/CITI
/DEUTSCHE-BK-SEC</t>
  </si>
  <si>
    <t>BARCLAYS-CAP
(JB)/MORGAN-STANLEY(JB)
/MERRILL(JB)
/CITI(JB)
/DEUTSCHE-BK-SEC(JB)
CREDIT-SUISSE
JPM
WELLS-FARGO
RAYMOND
RBC-CAP-MKTS
UBS-INV-BANK
BAIRD
ING</t>
  </si>
  <si>
    <t>Barclays
Morgan Stanley
Merrill Lynch &amp; Co Inc
Citi
Deutsche Bank Securities Corp.
Credit Suisse
JP Morgan &amp; Co Inc
Wells Fargo Bank NA
Raymond James &amp; Associates Inc
RBC Capital Markets
UBS Investment Bank
Robert W Baird &amp; Co Inc
ING</t>
  </si>
  <si>
    <t>CTPartners Executive Search</t>
  </si>
  <si>
    <t>CTP</t>
  </si>
  <si>
    <t>WM-BLAIR/CL-KING(JB)</t>
  </si>
  <si>
    <t>22945C105</t>
  </si>
  <si>
    <t>William Blair &amp; Co
CL King &amp; Associates Inc
National Securities Corp (US)</t>
  </si>
  <si>
    <t>06/05/11
06/05/11
06/05/11
06/05/11</t>
  </si>
  <si>
    <t>WM-BLAIR(JB)/CL-KING(JB)//NATL-SEC</t>
  </si>
  <si>
    <t>WM-BLAIR/CL-KING</t>
  </si>
  <si>
    <t>WM-BLAIR
(JB)/CL-KING(JB)</t>
  </si>
  <si>
    <t>William Blair &amp; Co
CL King &amp; Associates Inc</t>
  </si>
  <si>
    <t>E-Commerce China Dangdang Inc</t>
  </si>
  <si>
    <t>DANG</t>
  </si>
  <si>
    <t>26833A105</t>
  </si>
  <si>
    <t>Credit Suisse
Morgan Stanley
Oppenheimer &amp; Co Inc
Piper Jaffray Cos
Cowen &amp; Co</t>
  </si>
  <si>
    <t>06/05/11
06/05/11
06/05/11</t>
  </si>
  <si>
    <t>CREDIT-SUISSE(JB)/MORGAN-STANLEY(JB)
//OPPENHEIMER-CO/PIPER-JAFFRAY/COWEN-CO</t>
  </si>
  <si>
    <t>CREDIT-SUISSE
(JB)/MORGAN-STANLEY(JB)
OPPENHEIMER-CO
PIPER-JAFFRAY
COWEN-CO</t>
  </si>
  <si>
    <t>First Republic Bank,California</t>
  </si>
  <si>
    <t>FRC</t>
  </si>
  <si>
    <t>33616C100</t>
  </si>
  <si>
    <t>Merrill Lynch
Morgan Stanley
JP Morgan
Barclays
Jefferies &amp; Co Inc
Keefe Bruyette &amp; Woods Inc
Stifel Nicolaus &amp; Co Inc
Sandler O'Neill Partners</t>
  </si>
  <si>
    <t>06/06/11
06/06/11
06/06/11</t>
  </si>
  <si>
    <t>MERRILL(JB)/MORGAN-STANLEY(JB)/JPM(JB)
//BARCLAYS-CAP/JEFFERIES/KEEFE/STIFEL
/SANDLER-ONEILL</t>
  </si>
  <si>
    <t>MERRILL/MORGAN-STANLEY/JPM</t>
  </si>
  <si>
    <t>MERRILL
(JB)/MORGAN-STANLEY(JB)
/JPM(JB)
BARCLAYS-CAP
JEFFERIES
KEEFE
STIFEL
SANDLER-ONEILL</t>
  </si>
  <si>
    <t>Merrill Lynch &amp; Co Inc
Morgan Stanley
JP Morgan &amp; Co Inc
Barclays
Jefferies &amp; Co Inc
Keefe Bruyette &amp; Woods Inc
Stifel Nicolaus &amp; Co Inc
Sandler O'Neill Partners  L.P.</t>
  </si>
  <si>
    <t>SemiLEDs Corp</t>
  </si>
  <si>
    <t>LEDS</t>
  </si>
  <si>
    <t>MERRILL
/BARCLAYS-CAP(JB)
/JEFFERIES(JB)</t>
  </si>
  <si>
    <t>Merrill Lynch
Barclays
Jefferies &amp; Co Inc
Canaccord Genuity
Caris &amp; Company</t>
  </si>
  <si>
    <t>06/06/11
06/06/11</t>
  </si>
  <si>
    <t>MERRILL(JB)/BARCLAYS-CAP(JB)
/JEFFERIES(JB)//CAN-GENUITY/CARIS-CO</t>
  </si>
  <si>
    <t>MERRILL/BARCLAYS-CAP/JEFFERIES</t>
  </si>
  <si>
    <t>MERRILL
(JB)/BARCLAYS-CAP(JB)
/JEFFERIES(JB)
CAN-GENUITY
CARIS-CO</t>
  </si>
  <si>
    <t>Merrill Lynch &amp; Co Inc
Barclays
Jefferies &amp; Co Inc
Canaccord Genuity
Caris &amp; Company</t>
  </si>
  <si>
    <t>Youku.com Inc</t>
  </si>
  <si>
    <t>YOKU</t>
  </si>
  <si>
    <t>98742U100</t>
  </si>
  <si>
    <t>Goldman Sachs &amp; Co
Allen &amp; Co Inc
Piper Jaffray Inc
Pacific Crest Securities Inc</t>
  </si>
  <si>
    <t>GS//ALLEN/PIPER-J/PACIFIC-CREST</t>
  </si>
  <si>
    <t>GS
ALLEN
PIPER-J
PACIFIC-CREST</t>
  </si>
  <si>
    <t>Bona Film Group Ltd</t>
  </si>
  <si>
    <t>BONA</t>
  </si>
  <si>
    <t>09777B107</t>
  </si>
  <si>
    <t>Merrill Lynch
JP Morgan
China International Capital Co
Piper Jaffray Cos
Cowen &amp; Co</t>
  </si>
  <si>
    <t>06/07/11
06/07/11
06/07/11</t>
  </si>
  <si>
    <t>MERRILL(JB)/JPM(JB)
/CHINA-CAPITAL(JOINT)//PIPER-JAFFRAY
/COWEN-CO</t>
  </si>
  <si>
    <t>MERRILL/JPM/CHINA-CAPITAL</t>
  </si>
  <si>
    <t>MERRILL
(JB)/JPM(JB)
/CHINA-CAPITAL(JOINT)
PIPER-JAFFRAY
COWEN-CO</t>
  </si>
  <si>
    <t>Merrill Lynch &amp; Co Inc
JP Morgan &amp; Co Inc
China International Capital Corp
Piper Jaffray Cos
Cowen &amp; Co</t>
  </si>
  <si>
    <t>FlatWorld Acquisition Corp</t>
  </si>
  <si>
    <t>FWLAF</t>
  </si>
  <si>
    <t>G35536104</t>
  </si>
  <si>
    <t>Rodman &amp; Renshaw Inc
Ladenburg Thalmann &amp; Co
Earlybirdcapital Inc</t>
  </si>
  <si>
    <t>RODMAN//LADENBURG/EARLYBIRD-CAP</t>
  </si>
  <si>
    <t>RODMAN
LADENBURG
EARLYBIRD-CAP</t>
  </si>
  <si>
    <t>Sky mobi Ltda</t>
  </si>
  <si>
    <t>MOBI</t>
  </si>
  <si>
    <t>83084G109</t>
  </si>
  <si>
    <t>Citi
Piper Jaffray Cos
Oppenheimer &amp; Co Inc
Rodman &amp; Renshaw Inc</t>
  </si>
  <si>
    <t>CITI//PIPER-JAFFRAY/OPPENHEIMER-CO
/RODMAN</t>
  </si>
  <si>
    <t>CITI
PIPER-JAFFRAY
OPPENHEIMER-CO
RODMAN</t>
  </si>
  <si>
    <t>Lentuo International Inc</t>
  </si>
  <si>
    <t>LAS</t>
  </si>
  <si>
    <t>COWEN-CO/HSBC-USA(JB)</t>
  </si>
  <si>
    <t>Cowen &amp; Co
HSBC USA Inc
Macquarie Capital Advisors</t>
  </si>
  <si>
    <t>06/08/11
06/08/11
06/08/11</t>
  </si>
  <si>
    <t>COWEN-CO(JB)/HSBC-USA(JB)//MACQUARIE-CA</t>
  </si>
  <si>
    <t>COWEN-CO/HSBC-USA</t>
  </si>
  <si>
    <t>COWEN-CO
(JB)/HSBC-USA(JB)
MACQUARIE-CA</t>
  </si>
  <si>
    <t>Cowen &amp; Co
HSBC USA Inc(Hongkong &amp; Shanghai Bking Corp/HSBC Hldg)
Macquarie Capital Advisors</t>
  </si>
  <si>
    <t>China Shengda Packaging Group</t>
  </si>
  <si>
    <t>CPGI</t>
  </si>
  <si>
    <t>16949R100</t>
  </si>
  <si>
    <t>Oppenheimer &amp; Co Inc
William Blair &amp; Co
Brean Murray Carret &amp; Co LLC</t>
  </si>
  <si>
    <t>06/08/11
06/08/11
06/08/11
06/08/11</t>
  </si>
  <si>
    <t>OPPENHEIMER-CO//WM-BLAIR
/BREANMUR-CARRET</t>
  </si>
  <si>
    <t>OPPENHEIMER-CO
WM-BLAIR
BREANMUR-CARRET</t>
  </si>
  <si>
    <t>iSoftStone Holdings Ltd</t>
  </si>
  <si>
    <t>UBS-INV-BANK/JPM(JB)
/MORGAN-STANLEY(JB)</t>
  </si>
  <si>
    <t>46489B108</t>
  </si>
  <si>
    <t>UBS Investment Bank
JP Morgan
Morgan Stanley
Needham &amp; Co LLC</t>
  </si>
  <si>
    <t>06/11/11
06/11/11
06/11/11</t>
  </si>
  <si>
    <t>UBS-INV-BANK(JB)/JPM(JB)
/MORGAN-STANLEY(JB)//NEEDHAM</t>
  </si>
  <si>
    <t>UBS-INV-BANK/JPM/MORGAN-STANLEY</t>
  </si>
  <si>
    <t>UBS-INV-BANK
(JB)/JPM(JB)
/MORGAN-STANLEY(JB)
NEEDHAM</t>
  </si>
  <si>
    <t>UBS Investment Bank
JP Morgan &amp; Co Inc
Morgan Stanley
Needham &amp; Co LLC</t>
  </si>
  <si>
    <t>FleetCor Technologies Inc</t>
  </si>
  <si>
    <t>FLT</t>
  </si>
  <si>
    <t>GS/JPM(JB)
/BARCLAYS-CAP(JB)
/MORGAN-STANLEY(JB)</t>
  </si>
  <si>
    <t>Goldman Sachs &amp; Co
JP Morgan
Barclays
Morgan Stanley
PNC Capital Markets
Raymond James &amp; Associates Inc
Wells Fargo Bank NA</t>
  </si>
  <si>
    <t>06/12/11
06/12/11
06/12/11</t>
  </si>
  <si>
    <t>GS(JB)/JPM(JB)/BARCLAYS-CAP(JB)
/MORGAN-STANLEY(JB)//PNC-CAPITAL
/RAYMOND/WELLS-FARGO</t>
  </si>
  <si>
    <t>GS/JPM/BARCLAYS-CAP/MORGAN-STANLEY</t>
  </si>
  <si>
    <t>GS
(JB)/JPM(JB)
/BARCLAYS-CAP(JB)
/MORGAN-STANLEY(JB)
PNC-CAPITAL
RAYMOND
WELLS-FARGO</t>
  </si>
  <si>
    <t>Goldman Sachs &amp; Co
JP Morgan &amp; Co Inc
Barclays
Morgan Stanley
PNC Capital Markets
Raymond James &amp; Associates Inc
Wells Fargo Bank NA</t>
  </si>
  <si>
    <t>GAIN Capital Holdings Inc</t>
  </si>
  <si>
    <t>GCAP</t>
  </si>
  <si>
    <t>36268W100</t>
  </si>
  <si>
    <t>Morgan Stanley
Deutsche Bank Securities Corp
JMP Securities LLC
Raymond James &amp; Associates Inc
Sandler O'Neill Partners</t>
  </si>
  <si>
    <t>MORGAN-STANLEY(JB)/DEUTSCHE-BK-SEC(JB)
//JMP-SEC/RAYMOND/SANDLER-ONEILL</t>
  </si>
  <si>
    <t>MORGAN-STANLEY
(JB)/DEUTSCHE-BK-SEC(JB)
JMP-SEC
RAYMOND
SANDLER-ONEILL</t>
  </si>
  <si>
    <t>Morgan Stanley
Deutsche Bank Securities Corp.
JMP Securities LLC
Raymond James &amp; Associates Inc
Sandler O'Neill Partners  L.P.</t>
  </si>
  <si>
    <t>RigNet Inc</t>
  </si>
  <si>
    <t>RNET</t>
  </si>
  <si>
    <t>Deutsche Bank Securities Corp
Jefferies &amp; Co Inc
Oppenheimer &amp; Co Inc
Simmons &amp; Co International</t>
  </si>
  <si>
    <t>DEUTSCHE-BK-SEC(JB)/JEFFERIES(JB)
//OPPENHEIMER-CO/SIMMONS</t>
  </si>
  <si>
    <t>DEUTSCHE-BK-SEC
(JB)/JEFFERIES(JB)
OPPENHEIMER-CO
SIMMONS</t>
  </si>
  <si>
    <t>Deutsche Bank Securities Corp.
Jefferies &amp; Co Inc
Oppenheimer &amp; Co Inc
Simmons &amp; Co International</t>
  </si>
  <si>
    <t>Walker &amp; Dunlop Inc</t>
  </si>
  <si>
    <t>WD</t>
  </si>
  <si>
    <t>CREDIT-SUISSE/KEEFE(JB)
/MORGAN-STANLEY(JB)</t>
  </si>
  <si>
    <t>93148P102</t>
  </si>
  <si>
    <t>Credit Suisse
Keefe Bruyette &amp; Woods Inc
Morgan Stanley
William Blair &amp; Co
JMP Securities LLC
Stifel Nicolaus &amp; Co Inc</t>
  </si>
  <si>
    <t>CREDIT-SUISSE(JB)/KEEFE(JB)
/MORGAN-STANLEY(JB)//WM-BLAIR/JMP-SEC
/STIFEL</t>
  </si>
  <si>
    <t>CREDIT-SUISSE/KEEFE/MORGAN-STANLEY</t>
  </si>
  <si>
    <t>CREDIT-SUISSE
(JB)/KEEFE(JB)
/MORGAN-STANLEY(JB)
WM-BLAIR
JMP-SEC
STIFEL</t>
  </si>
  <si>
    <t>Swift Transportation Co</t>
  </si>
  <si>
    <t>SWFT</t>
  </si>
  <si>
    <t>MORGAN-STANLEY
/MERRILL(JB)
/WELLS-FARGO(JB)
/DEUTSCHE-BK-SEC(JB)
/UBS-INV-BANK(JB)
/CITI(JB)</t>
  </si>
  <si>
    <t>87074U101</t>
  </si>
  <si>
    <t>Morgan Stanley
Merrill Lynch
Wells Fargo Bank NA
Deutsche Bank Securities Corp
UBS Investment Bank
Citi
BB&amp;T Capital Markets
RBC Capital Markets
Stifel Nicolaus &amp; Co Inc
Robert W Baird &amp; Co Inc
Morgan Keegan Inc
Stephens Inc
WR Securities LLC</t>
  </si>
  <si>
    <t>06/13/11
06/13/11</t>
  </si>
  <si>
    <t>MORGAN-STANLEY(JB)/MERRILL(JB)
/WELLS-FARGO(JB)/DEUTSCHE-BK-SEC(JB)
/UBS-INV-BANK(JB)/CITI(JB)/BB-T-CAP
/RBC-CAP-MKTS/STIFEL(JOINT)//BAIRD
/MORGAN-KEEGAN/STEPHENS/WR-SECURITIES</t>
  </si>
  <si>
    <t>MORGAN-STANLEY/MERRILL/WELLS-FARGO
/DEUTSCHE-BK-SEC/UBS-INV-BANK/CITI
/BB-T-CAP/RBC-CAP-MKTS/STIFEL</t>
  </si>
  <si>
    <t>MORGAN-STANLEY
(JB)/MERRILL(JB)
/WELLS-FARGO(JB)
/DEUTSCHE-BK-SEC(JB)
/UBS-INV-BANK(JB)
/CITI(JB)
/BB-T-CAP
/RBC-CAP-MKTS
/STIFEL(JOINT)
BAIRD
MORGAN-KEEGAN
STEPHENS
WR-SECURITIES</t>
  </si>
  <si>
    <t>Morgan Stanley
Merrill Lynch &amp; Co Inc
Wells Fargo Bank NA
Deutsche Bank Securities Corp.
UBS Investment Bank
Citi
BB&amp;T Capital Markets
RBC Capital Markets
Stifel Nicolaus &amp; Co Inc
Robert W Baird &amp; Co Inc
Morgan Keegan Inc
Stephens Inc
WR Securities LLC</t>
  </si>
  <si>
    <t>Fortegra Financial Corp</t>
  </si>
  <si>
    <t>FRF</t>
  </si>
  <si>
    <t>PIPER-JAFFRAY
/SUNTRUST-RH(JB)</t>
  </si>
  <si>
    <t>34954W104</t>
  </si>
  <si>
    <t>Piper Jaffray Cos
SunTrust Robinson Humphrey
Liquidnet Inc
William Blair &amp; Co
FBR Capital Markets Corp
Keefe Bruyette &amp; Woods Inc
Macquarie Capital Partners LLC</t>
  </si>
  <si>
    <t>06/14/11
06/14/11
06/14/11</t>
  </si>
  <si>
    <t>PIPER-JAFFRAY(JB)/SUNTRUST-RH(JB)
//LIQUIDNET-INC/WM-BLAIR/FBR-CAPITAL
/KEEFE/MACQUARIE-CAP</t>
  </si>
  <si>
    <t>PIPER-JAFFRAY/SUNTRUST-RH</t>
  </si>
  <si>
    <t>PIPER-JAFFRAY
(JB)/SUNTRUST-RH(JB)
LIQUIDNET-INC
WM-BLAIR
FBR-CAPITAL
KEEFE
MACQUARIE-CAP</t>
  </si>
  <si>
    <t>QR Energy LP</t>
  </si>
  <si>
    <t>QRE</t>
  </si>
  <si>
    <t>WELLS-FARGO/JPM(JB)
/RAYMOND(JB)
/RBC-CAP-MKTS(JB)</t>
  </si>
  <si>
    <t>74734R108</t>
  </si>
  <si>
    <t>Wells Fargo Bank NA
JP Morgan
Raymond James &amp; Associates Inc
RBC Capital Markets
Robert W Baird &amp; Co Inc
Credit Suisse
Deutsche Bank Securities Corp
Oppenheimer &amp; Co Inc
Stifel Nicolaus &amp; Co Inc</t>
  </si>
  <si>
    <t>WELLS-FARGO(JB)/JPM(JB)/RAYMOND(JB)
/RBC-CAP-MKTS(JB)//BAIRD/CREDIT-SUISSE
/DEUTSCHE-BK-SEC/OPPENHEIMER-CO/STIFEL</t>
  </si>
  <si>
    <t>WELLS-FARGO/JPM/RAYMOND/RBC-CAP-MKTS</t>
  </si>
  <si>
    <t>WELLS-FARGO
(JB)/JPM(JB)
/RAYMOND(JB)
/RBC-CAP-MKTS(JB)
BAIRD
CREDIT-SUISSE
DEUTSCHE-BK-SEC
OPPENHEIMER-CO
STIFEL</t>
  </si>
  <si>
    <t>Wells Fargo Bank NA
JP Morgan &amp; Co Inc
Raymond James &amp; Associates Inc
RBC Capital Markets
Robert W Baird &amp; Co Inc
Credit Suisse
Deutsche Bank Securities Corp.
Oppenheimer &amp; Co Inc
Stifel Nicolaus &amp; Co Inc</t>
  </si>
  <si>
    <t>Ventrus Biosciences Inc</t>
  </si>
  <si>
    <t>VTUS</t>
  </si>
  <si>
    <t>RODMAN/NATL-SEC(JB)</t>
  </si>
  <si>
    <t>Rodman &amp; Renshaw Inc
National Securities Corp (US)</t>
  </si>
  <si>
    <t>RODMAN(JB)/NATL-SEC(JB)</t>
  </si>
  <si>
    <t>RODMAN/NATL-SEC</t>
  </si>
  <si>
    <t>RODMAN
(JB)/NATL-SEC(JB)</t>
  </si>
  <si>
    <t>SGOCO Grp Ltd</t>
  </si>
  <si>
    <t>SGOC</t>
  </si>
  <si>
    <t>I-Bankers Securities Inc
Hudson Securities Pty Ltd
Joseph Gunnar &amp; Co., LLC
Aegis Capital</t>
  </si>
  <si>
    <t>06/18/11
06/18/11
06/18/11</t>
  </si>
  <si>
    <t>I-BANKERS-SEC//HUDSON-SEC/GUNNAR
/AEGIS-CAP</t>
  </si>
  <si>
    <t>I-BANKERS-SEC
HUDSON-SEC
GUNNAR
AEGIS-CAP</t>
  </si>
  <si>
    <t>I-Bankers Securities Inc
Hudson Securities Pty Ltd
Joseph Gunnar &amp; Co., LLC
Aegis Capital Corp.</t>
  </si>
  <si>
    <t>Ossen Innovation Co Ltd</t>
  </si>
  <si>
    <t>OSN</t>
  </si>
  <si>
    <t>GLOBAL-HUNTER
/KNIGHT-CAP-MKT(JB)</t>
  </si>
  <si>
    <t>Global Hunter Securities LLC
Knight Capital Markets LLC
Ladenburg Thalmann &amp; Co</t>
  </si>
  <si>
    <t>06/19/11
06/19/11
06/19/11</t>
  </si>
  <si>
    <t>GLOBAL-HUNTER(JB)/KNIGHT-CAP-MKT(JB)
//LADENBURG</t>
  </si>
  <si>
    <t>GLOBAL-HUNTER/KNIGHT-CAP-MKT</t>
  </si>
  <si>
    <t>GLOBAL-HUNTER
(JB)/KNIGHT-CAP-MKT(JB)
LADENBURG</t>
  </si>
  <si>
    <t>Stone Harbor Emerging Markets</t>
  </si>
  <si>
    <t>EDF</t>
  </si>
  <si>
    <t>WELLS-FARGO/MERRILL(JB)
/CITI(JB)
/MORGAN-STANLEY(JB)
/UBS-INV-BANK(JB)</t>
  </si>
  <si>
    <t>86164T107</t>
  </si>
  <si>
    <t>Wells Fargo Bank NA
Merrill Lynch
Citi
Morgan Stanley
UBS Investment Bank
JJB Hilliard WL Lyons Inc
Ladenburg Thalmann &amp; Co
Maxim Group LLC
RBC Capital Markets
Wedbush Securities
Wunderlich Securities Inc
Aegis Capital
BB&amp;T Capital Markets
Bishop, Rosen &amp; Co
Brean Murray Carret &amp; Co LLC
DA Davidson &amp; Co Inc
David A. Noyes
Dominick &amp; Dominick Inc
Feltl &amp; Co
Geoffrey Richards Securities
Henley Group Inc
Howe Barnes Hoefer Arnett Inc
JP Turner &amp; Co
Joseph Gunnar &amp; Co., LLC
Morgan Keegan Inc
Muriel Siebert &amp; Co
Newbridge Securities
Paulson Investment Co
Revere Capital, Inc.
Southwest Securities Inc
Stifel Nicolaus &amp; Co Inc</t>
  </si>
  <si>
    <t>WELLS-FARGO(JB)/MERRILL(JB)/CITI(JB)
/MORGAN-STANLEY(JB)/UBS-INV-BANK(JB)
//HILLIARD/LADENBURG/MAXIM-GROUP
/RBC-CAP-MKTS/WEDBUSH-SEC/WUNDERLICH
/AEGIS-CAP/BB-T-CAP/BISHOP-ROSEN
/BREANMUR-CARRET/DAVIDSON/D-A-NOYES
/DOMINICK/FELTL/GEOFFREY-SEC
/HENLEY-GROUP/HBHOEFER-ARNETT
/J-P-TURNER/GUNNAR/MORGAN-KEEGAN/MURIEL
/NEWBRIDGE/PAULSON/REVERE-CAP/SWS-SEC
/STIFEL</t>
  </si>
  <si>
    <t>WELLS-FARGO/MERRILL/CITI/MORGAN-STANLEY
/UBS-INV-BANK</t>
  </si>
  <si>
    <t>WELLS-FARGO
(JB)/MERRILL(JB)
/CITI(JB)
/MORGAN-STANLEY(JB)
/UBS-INV-BANK(JB)
HILLIARD
LADENBURG
MAXIM-GROUP
RBC-CAP-MKTS
WEDBUSH-SEC
WUNDERLICH
AEGIS-CAP
BB-T-CAP
BISHOP-ROSEN
BREANMUR-CARRET
DAVIDSON
D-A-NOYES
DOMINICK
FELTL
GEOFFREY-SEC
HENLEY-GROUP
HBHOEFER-ARNETT
J-P-TURNER
GUNNAR
MORGAN-KEEGAN
MURIEL
NEWBRIDGE
PAULSON
REVERE-CAP
SWS-SEC
STIFEL</t>
  </si>
  <si>
    <t>Wells Fargo Bank NA
Merrill Lynch &amp; Co Inc
Citi
Morgan Stanley
UBS Investment Bank
JJB Hilliard WL Lyons Inc
Ladenburg Thalmann &amp; Co
Maxim Group LLC
RBC Capital Markets
Wedbush Securities, Inc.
Wunderlich Securities Inc
Aegis Capital Corp.
BB&amp;T Capital Markets
Bishop, Rosen &amp; Co, Inc.
Brean Murray Carret &amp; Co LLC
DA Davidson &amp; Co Inc
David A. Noyes &amp; Co.
Dominick &amp; Dominick Inc
Feltl &amp; Co
Geoffrey Richards Securities
Henley Group Inc.
Howe Barnes Hoefer Arnett Inc
JP Turner &amp; Co
Joseph Gunnar &amp; Co., LLC
Morgan Keegan Inc
Muriel Siebert &amp; Co
Newbridge Securities
Paulson Investment Co
Revere Capital, Inc.
Southwest Securities Inc
Stifel Nicolaus &amp; Co Inc</t>
  </si>
  <si>
    <t>Global GSM Solutions Inc</t>
  </si>
  <si>
    <t>37951H103</t>
  </si>
  <si>
    <t>Norman Cay Development Inc</t>
  </si>
  <si>
    <t>Secure Luggage Solutions Inc</t>
  </si>
  <si>
    <t>SCLG</t>
  </si>
  <si>
    <t>81373D100</t>
  </si>
  <si>
    <t>Singular Chef Inc</t>
  </si>
  <si>
    <t>SGUF</t>
  </si>
  <si>
    <t>Solo International Inc</t>
  </si>
  <si>
    <t>SLIO</t>
  </si>
  <si>
    <t>83427E209</t>
  </si>
  <si>
    <t>Request</t>
  </si>
  <si>
    <t>Hits</t>
  </si>
  <si>
    <t>Request Description</t>
  </si>
  <si>
    <t>0</t>
  </si>
  <si>
    <t>-</t>
  </si>
  <si>
    <t>DATABASES: All Public &amp; Private Common Stock, exc. UK &amp; PO (C,
CEC, CNC, EC, ICX, JPC, LAC, OC, R144C, UKC, ANCX, ASPC)</t>
  </si>
  <si>
    <t>1</t>
  </si>
  <si>
    <t>91611</t>
  </si>
  <si>
    <t>Dates: Issue Date: 01/01/2000 to 12/31/2010 (Custom)
(Calendar)</t>
  </si>
  <si>
    <t>2</t>
  </si>
  <si>
    <t>21557</t>
  </si>
  <si>
    <t>IPO: Select All IPOs</t>
  </si>
  <si>
    <t>3</t>
  </si>
  <si>
    <t>2680</t>
  </si>
  <si>
    <t>Listing: Primary Exchange Nation of Issuer's Stock : US</t>
  </si>
  <si>
    <t>4</t>
  </si>
  <si>
    <t/>
  </si>
  <si>
    <t>Custom Report: IPO basic_fee 1 (Columnar) - Save As:
C:\SDC\4.0.3.1\Platinum\USR\2013_fee.xlsx</t>
  </si>
  <si>
    <t>Billing Ref # : 1343604</t>
  </si>
  <si>
    <t>Capture File  : hsuanche.1343604</t>
  </si>
  <si>
    <t>Session Name  : IPO_US_Fee_1.ssh</t>
  </si>
</sst>
</file>

<file path=xl/styles.xml><?xml version="1.0" encoding="utf-8"?>
<styleSheet xmlns="http://schemas.openxmlformats.org/spreadsheetml/2006/main">
  <numFmts count="9">
    <numFmt numFmtId="164" formatCode="MM/DD/YY"/>
    <numFmt numFmtId="165" formatCode="################"/>
    <numFmt numFmtId="166" formatCode="################.000"/>
    <numFmt numFmtId="167" formatCode="################.0"/>
    <numFmt numFmtId="168" formatCode="################.00000"/>
    <numFmt numFmtId="169" formatCode="#,###############"/>
    <numFmt numFmtId="170" formatCode="################.00"/>
    <numFmt numFmtId="171" formatCode="#,###############.0"/>
    <numFmt numFmtId="172" formatCode="################.0000"/>
  </numFmts>
  <fonts count="1">
    <font>
      <sz val="10"/>
      <name val="Arial"/>
    </font>
  </fonts>
  <fills count="2">
    <fill>
      <patternFill patternType="none"/>
    </fill>
    <fill>
      <patternFill patternType="gray125"/>
    </fill>
  </fills>
  <borders count="1">
    <border/>
  </borders>
  <cellStyleXfs count="1">
    <xf numFmtId="0" fontId="0" fillId="0" borderId="0"/>
  </cellStyleXfs>
  <cellXfs count="14">
    <xf numFmtId="0" fontId="0" fillId="0" borderId="0" applyProtection="1">
      <protection/>
    </xf>
    <xf numFmtId="0" fontId="0" fillId="0" borderId="0" applyProtection="1" applyAlignment="1">
      <alignment vertical="top" wrapText="1"/>
      <protection/>
    </xf>
    <xf numFmtId="164" fontId="0" fillId="0" borderId="0" applyNumberFormat="1" applyProtection="1" applyAlignment="1">
      <alignment vertical="top" wrapText="1"/>
      <protection/>
    </xf>
    <xf numFmtId="165" fontId="0" fillId="0" borderId="0" applyNumberFormat="1" applyProtection="1" applyAlignment="1">
      <alignment vertical="top" wrapText="1"/>
      <protection/>
    </xf>
    <xf numFmtId="166" fontId="0" fillId="0" borderId="0" applyNumberFormat="1" applyProtection="1" applyAlignment="1">
      <alignment vertical="top" wrapText="1"/>
      <protection/>
    </xf>
    <xf numFmtId="167" fontId="0" fillId="0" borderId="0" applyNumberFormat="1" applyProtection="1" applyAlignment="1">
      <alignment vertical="top" wrapText="1"/>
      <protection/>
    </xf>
    <xf numFmtId="168" fontId="0" fillId="0" borderId="0" applyNumberFormat="1" applyProtection="1" applyAlignment="1">
      <alignment vertical="top" wrapText="1"/>
      <protection/>
    </xf>
    <xf numFmtId="169" fontId="0" fillId="0" borderId="0" applyNumberFormat="1" applyProtection="1" applyAlignment="1">
      <alignment vertical="top" wrapText="1"/>
      <protection/>
    </xf>
    <xf numFmtId="170" fontId="0" fillId="0" borderId="0" applyNumberFormat="1" applyProtection="1" applyAlignment="1">
      <alignment vertical="top" wrapText="1"/>
      <protection/>
    </xf>
    <xf numFmtId="171" fontId="0" fillId="0" borderId="0" applyNumberFormat="1" applyProtection="1" applyAlignment="1">
      <alignment vertical="top" wrapText="1"/>
      <protection/>
    </xf>
    <xf numFmtId="172" fontId="0" fillId="0" borderId="0" applyNumberFormat="1" applyProtection="1" applyAlignment="1">
      <alignment vertical="top" wrapText="1"/>
      <protection/>
    </xf>
    <xf numFmtId="0" fontId="0" fillId="0" borderId="0" applyProtection="1" applyAlignment="1">
      <alignment horizontal="left" vertical="top" wrapText="1"/>
      <protection/>
    </xf>
    <xf numFmtId="1" fontId="0" fillId="0" borderId="0" applyNumberFormat="1" applyProtection="1" applyAlignment="1">
      <alignment horizontal="left" vertical="top" wrapText="1"/>
      <protection/>
    </xf>
    <xf numFmtId="165" fontId="0" fillId="0" borderId="0" applyNumberFormat="1" applyProtection="1" applyAlignment="1">
      <alignment horizontal="left" vertical="top" wrapText="1"/>
      <protection/>
    </xf>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theme" Target="theme/theme1.xml" /><Relationship Id="rId3" Type="http://schemas.openxmlformats.org/officeDocument/2006/relationships/styles" Target="styles.xml" /><Relationship Id="GemRid681824" Type="http://schemas.openxmlformats.org/officeDocument/2006/relationships/worksheet" Target="worksheets/sheet1.xml" /><Relationship Id="GemRid355021"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 />
</file>

<file path=xl/worksheets/_rels/sheet2.xml.rels><?xml version="1.0" encoding="utf-8" standalone="yes"?><Relationships xmlns="http://schemas.openxmlformats.org/package/2006/relationships" />
</file>

<file path=xl/worksheets/sheet1.xml><?xml version="1.0" encoding="utf-8"?>
<worksheet xmlns="http://schemas.openxmlformats.org/spreadsheetml/2006/main" xmlns:r="http://schemas.openxmlformats.org/officeDocument/2006/relationships">
  <sheetViews>
    <sheetView tabSelected="1" workbookViewId="0" topLeftCell="A1" zoomScaleNormal="100" zoomScaleSheetLayoutView="60" zoomScale="100" view="normal"/>
  </sheetViews>
  <sheetFormatPr defaultRowHeight="15" defaultColWidth="9.140625"/>
  <cols>
    <col min="1" max="1" width="12.10938" customWidth="1"/>
    <col min="2" max="2" width="14.0625" customWidth="1"/>
    <col min="3" max="3" width="47.84766" customWidth="1"/>
    <col min="4" max="4" width="10.74219" customWidth="1"/>
    <col min="5" max="5" width="23.04688" customWidth="1"/>
    <col min="6" max="6" width="14.64844" customWidth="1"/>
    <col min="7" max="7" width="41.59766" customWidth="1"/>
    <col min="8" max="8" width="13.67188" customWidth="1"/>
    <col min="9" max="9" width="20.70313" customWidth="1"/>
    <col min="10" max="10" width="15.81641" customWidth="1"/>
    <col min="11" max="11" width="13.08594" customWidth="1"/>
    <col min="12" max="12" width="25.58594" customWidth="1"/>
    <col min="13" max="13" width="10.34766" customWidth="1"/>
    <col min="14" max="14" width="18.55469" customWidth="1"/>
    <col min="15" max="15" width="22.26563" customWidth="1"/>
    <col min="16" max="16" width="52.34375" customWidth="1"/>
    <col min="17" max="17" width="19.72266" customWidth="1"/>
    <col min="18" max="18" width="18.75" customWidth="1"/>
    <col min="19" max="19" width="18.75" customWidth="1"/>
    <col min="20" max="20" width="25.19141" customWidth="1"/>
    <col min="21" max="21" width="14.45313" customWidth="1"/>
    <col min="22" max="22" width="14.45313" customWidth="1"/>
    <col min="23" max="23" width="19.72266" customWidth="1"/>
    <col min="24" max="24" width="17.1875" customWidth="1"/>
    <col min="25" max="25" width="17.77344" customWidth="1"/>
    <col min="26" max="26" width="17.77344" customWidth="1"/>
    <col min="27" max="27" width="15.81641" customWidth="1"/>
    <col min="28" max="28" width="18.16016" customWidth="1"/>
    <col min="29" max="29" width="19.72266" customWidth="1"/>
    <col min="30" max="30" width="21.875" customWidth="1"/>
    <col min="31" max="31" width="13.08594" customWidth="1"/>
    <col min="32" max="32" width="10.15625" customWidth="1"/>
    <col min="33" max="33" width="13.47266" customWidth="1"/>
    <col min="34" max="34" width="13.67188" customWidth="1"/>
    <col min="35" max="35" width="44.33594" customWidth="1"/>
    <col min="36" max="36" width="19.14063" customWidth="1"/>
    <col min="37" max="37" width="26.75391" customWidth="1"/>
    <col min="38" max="38" width="23.62891" customWidth="1"/>
    <col min="39" max="39" width="15.42969" customWidth="1"/>
    <col min="40" max="40" width="19.72266" customWidth="1"/>
    <col min="41" max="41" width="71.48438" customWidth="1"/>
    <col min="42" max="42" width="70.50781" customWidth="1"/>
    <col min="43" max="43" width="40.03516" customWidth="1"/>
    <col min="44" max="44" width="77.14844" customWidth="1"/>
    <col min="45" max="45" width="12.5"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15</v>
      </c>
      <c r="AP1" s="1" t="s">
        <v>40</v>
      </c>
      <c r="AQ1" s="1" t="s">
        <v>41</v>
      </c>
      <c r="AR1" s="1" t="s">
        <v>41</v>
      </c>
    </row>
    <row r="2">
      <c r="A2" s="2">
        <f ca="1">DATE(1999,10,15)</f>
        <v>0</v>
      </c>
      <c r="B2" s="2">
        <f ca="1">DATE(2000,01,24)</f>
        <v>0</v>
      </c>
      <c r="C2" s="1" t="s">
        <v>42</v>
      </c>
      <c r="D2" s="3">
        <v>7389</v>
      </c>
      <c r="E2" s="1" t="s">
        <v>43</v>
      </c>
      <c r="F2" s="1" t="s">
        <v>44</v>
      </c>
      <c r="G2" s="1" t="s">
        <v>45</v>
      </c>
      <c r="H2" s="4">
        <v>0.91000000000000003</v>
      </c>
      <c r="I2" s="4">
        <v>7</v>
      </c>
      <c r="J2" s="5">
        <v>80.5</v>
      </c>
      <c r="K2" s="4">
        <v>13</v>
      </c>
      <c r="L2" s="1" t="s">
        <v>46</v>
      </c>
      <c r="M2" s="1" t="s">
        <v>47</v>
      </c>
      <c r="N2" s="3">
        <v>640475109</v>
      </c>
      <c r="O2" s="1" t="s">
        <v>48</v>
      </c>
      <c r="P2" s="1" t="s">
        <v>49</v>
      </c>
      <c r="Q2" s="4">
        <v>1.462</v>
      </c>
      <c r="R2" s="4">
        <v>1.385</v>
      </c>
      <c r="S2" s="6">
        <v>4.1538500000000003</v>
      </c>
      <c r="T2" s="1" t="s">
        <v>50</v>
      </c>
      <c r="U2" s="1"/>
      <c r="V2" s="1"/>
      <c r="W2" s="1"/>
      <c r="X2" s="5">
        <v>75</v>
      </c>
      <c r="Y2" s="7">
        <v>6193000</v>
      </c>
      <c r="Z2" s="1"/>
      <c r="AA2" s="1"/>
      <c r="AB2" s="1"/>
      <c r="AC2" s="1"/>
      <c r="AD2" s="1"/>
      <c r="AE2" s="1" t="s">
        <v>51</v>
      </c>
      <c r="AF2" s="1" t="s">
        <v>51</v>
      </c>
      <c r="AG2" s="1" t="s">
        <v>47</v>
      </c>
      <c r="AH2" s="1"/>
      <c r="AI2" s="1"/>
      <c r="AJ2" s="3">
        <v>1</v>
      </c>
      <c r="AK2" s="1" t="s">
        <v>52</v>
      </c>
      <c r="AL2" s="3">
        <v>4</v>
      </c>
      <c r="AM2" s="8">
        <v>48.5</v>
      </c>
      <c r="AN2" s="1"/>
      <c r="AO2" s="1" t="s">
        <v>53</v>
      </c>
      <c r="AP2" s="1" t="s">
        <v>45</v>
      </c>
      <c r="AQ2" s="1" t="s">
        <v>54</v>
      </c>
      <c r="AR2" s="1" t="s">
        <v>55</v>
      </c>
    </row>
    <row r="3">
      <c r="A3" s="2">
        <f ca="1">DATE(1999,10,15)</f>
        <v>0</v>
      </c>
      <c r="B3" s="2">
        <f ca="1">DATE(2000,01,24)</f>
        <v>0</v>
      </c>
      <c r="C3" s="1" t="s">
        <v>42</v>
      </c>
      <c r="D3" s="3">
        <v>7389</v>
      </c>
      <c r="E3" s="1" t="s">
        <v>43</v>
      </c>
      <c r="F3" s="1" t="s">
        <v>44</v>
      </c>
      <c r="G3" s="1" t="s">
        <v>56</v>
      </c>
      <c r="H3" s="1" t="s">
        <v>57</v>
      </c>
      <c r="I3" s="1" t="s">
        <v>57</v>
      </c>
      <c r="J3" s="5">
        <v>10.5</v>
      </c>
      <c r="K3" s="8">
        <v>13</v>
      </c>
      <c r="L3" s="1" t="s">
        <v>58</v>
      </c>
      <c r="M3" s="1" t="s">
        <v>47</v>
      </c>
      <c r="N3" s="3">
        <v>640475109</v>
      </c>
      <c r="O3" s="1" t="s">
        <v>48</v>
      </c>
      <c r="P3" s="1" t="s">
        <v>59</v>
      </c>
      <c r="Q3" s="1"/>
      <c r="R3" s="1"/>
      <c r="S3" s="1"/>
      <c r="T3" s="1" t="s">
        <v>60</v>
      </c>
      <c r="U3" s="1"/>
      <c r="V3" s="1"/>
      <c r="W3" s="1"/>
      <c r="X3" s="1"/>
      <c r="Y3" s="7">
        <v>807000</v>
      </c>
      <c r="Z3" s="1"/>
      <c r="AA3" s="1"/>
      <c r="AB3" s="1"/>
      <c r="AC3" s="1"/>
      <c r="AD3" s="1"/>
      <c r="AE3" s="1" t="s">
        <v>51</v>
      </c>
      <c r="AF3" s="1" t="s">
        <v>51</v>
      </c>
      <c r="AG3" s="1" t="s">
        <v>47</v>
      </c>
      <c r="AH3" s="1"/>
      <c r="AI3" s="1"/>
      <c r="AJ3" s="3">
        <v>1</v>
      </c>
      <c r="AK3" s="1" t="s">
        <v>52</v>
      </c>
      <c r="AL3" s="3">
        <v>2</v>
      </c>
      <c r="AM3" s="1"/>
      <c r="AN3" s="1"/>
      <c r="AO3" s="1" t="s">
        <v>61</v>
      </c>
      <c r="AP3" s="1" t="s">
        <v>56</v>
      </c>
      <c r="AQ3" s="1" t="s">
        <v>62</v>
      </c>
      <c r="AR3" s="1" t="s">
        <v>63</v>
      </c>
    </row>
    <row r="4">
      <c r="A4" s="2">
        <f ca="1">DATE(1999,11,24)</f>
        <v>0</v>
      </c>
      <c r="B4" s="2">
        <f ca="1">DATE(2000,01,24)</f>
        <v>0</v>
      </c>
      <c r="C4" s="1" t="s">
        <v>64</v>
      </c>
      <c r="D4" s="3">
        <v>4832</v>
      </c>
      <c r="E4" s="1" t="s">
        <v>43</v>
      </c>
      <c r="F4" s="1" t="s">
        <v>65</v>
      </c>
      <c r="G4" s="1" t="s">
        <v>66</v>
      </c>
      <c r="H4" s="4">
        <v>0.59499999999999997</v>
      </c>
      <c r="I4" s="8">
        <v>7</v>
      </c>
      <c r="J4" s="5">
        <v>136</v>
      </c>
      <c r="K4" s="4">
        <v>8.5</v>
      </c>
      <c r="L4" s="1" t="s">
        <v>46</v>
      </c>
      <c r="M4" s="1" t="s">
        <v>47</v>
      </c>
      <c r="N4" s="3">
        <v>758865109</v>
      </c>
      <c r="O4" s="1" t="s">
        <v>67</v>
      </c>
      <c r="P4" s="1" t="s">
        <v>68</v>
      </c>
      <c r="Q4" s="4">
        <v>1.4119999999999999</v>
      </c>
      <c r="R4" s="4">
        <v>1.4710000000000001</v>
      </c>
      <c r="S4" s="6">
        <v>4.1176500000000003</v>
      </c>
      <c r="T4" s="1" t="s">
        <v>50</v>
      </c>
      <c r="U4" s="8">
        <v>8.5</v>
      </c>
      <c r="V4" s="8">
        <v>6.5</v>
      </c>
      <c r="W4" s="7">
        <v>13350000</v>
      </c>
      <c r="X4" s="5">
        <v>100.09999999999999</v>
      </c>
      <c r="Y4" s="7">
        <v>16000000</v>
      </c>
      <c r="Z4" s="1"/>
      <c r="AA4" s="2">
        <f ca="1">DATE(2000,07,22)</f>
        <v>0</v>
      </c>
      <c r="AB4" s="4">
        <v>44.564</v>
      </c>
      <c r="AC4" s="3">
        <v>180</v>
      </c>
      <c r="AD4" s="8">
        <v>15548828</v>
      </c>
      <c r="AE4" s="1" t="s">
        <v>51</v>
      </c>
      <c r="AF4" s="1" t="s">
        <v>51</v>
      </c>
      <c r="AG4" s="1" t="s">
        <v>47</v>
      </c>
      <c r="AH4" s="1"/>
      <c r="AI4" s="1" t="s">
        <v>69</v>
      </c>
      <c r="AJ4" s="3">
        <v>1</v>
      </c>
      <c r="AK4" s="1" t="s">
        <v>52</v>
      </c>
      <c r="AL4" s="3">
        <v>3</v>
      </c>
      <c r="AM4" s="8">
        <v>12</v>
      </c>
      <c r="AN4" s="1"/>
      <c r="AO4" s="1" t="s">
        <v>70</v>
      </c>
      <c r="AP4" s="1" t="s">
        <v>66</v>
      </c>
      <c r="AQ4" s="1" t="s">
        <v>71</v>
      </c>
      <c r="AR4" s="1" t="s">
        <v>72</v>
      </c>
    </row>
    <row r="5">
      <c r="A5" s="2">
        <f ca="1">DATE(1999,04,23)</f>
        <v>0</v>
      </c>
      <c r="B5" s="2">
        <f ca="1">DATE(2000,01,25)</f>
        <v>0</v>
      </c>
      <c r="C5" s="1" t="s">
        <v>73</v>
      </c>
      <c r="D5" s="3">
        <v>7375</v>
      </c>
      <c r="E5" s="1" t="s">
        <v>43</v>
      </c>
      <c r="F5" s="1" t="s">
        <v>74</v>
      </c>
      <c r="G5" s="1" t="s">
        <v>75</v>
      </c>
      <c r="H5" s="4">
        <v>0.77000000000000002</v>
      </c>
      <c r="I5" s="4">
        <v>7</v>
      </c>
      <c r="J5" s="5">
        <v>41.299999999999997</v>
      </c>
      <c r="K5" s="4">
        <v>11</v>
      </c>
      <c r="L5" s="1" t="s">
        <v>46</v>
      </c>
      <c r="M5" s="1" t="s">
        <v>47</v>
      </c>
      <c r="N5" s="1" t="s">
        <v>76</v>
      </c>
      <c r="O5" s="1" t="s">
        <v>77</v>
      </c>
      <c r="P5" s="1" t="s">
        <v>78</v>
      </c>
      <c r="Q5" s="4">
        <v>1.3640000000000001</v>
      </c>
      <c r="R5" s="4">
        <v>2</v>
      </c>
      <c r="S5" s="6">
        <v>3.6363599999999998</v>
      </c>
      <c r="T5" s="1" t="s">
        <v>50</v>
      </c>
      <c r="U5" s="1"/>
      <c r="V5" s="1"/>
      <c r="W5" s="1"/>
      <c r="X5" s="5">
        <v>51.799999999999997</v>
      </c>
      <c r="Y5" s="7">
        <v>3750000</v>
      </c>
      <c r="Z5" s="1"/>
      <c r="AA5" s="2">
        <f ca="1">DATE(2000,07,23)</f>
        <v>0</v>
      </c>
      <c r="AB5" s="4">
        <v>76.688999999999993</v>
      </c>
      <c r="AC5" s="3">
        <v>180</v>
      </c>
      <c r="AD5" s="8">
        <v>13263494</v>
      </c>
      <c r="AE5" s="1" t="s">
        <v>51</v>
      </c>
      <c r="AF5" s="1" t="s">
        <v>51</v>
      </c>
      <c r="AG5" s="1" t="s">
        <v>51</v>
      </c>
      <c r="AH5" s="1"/>
      <c r="AI5" s="1"/>
      <c r="AJ5" s="3">
        <v>1</v>
      </c>
      <c r="AK5" s="1" t="s">
        <v>52</v>
      </c>
      <c r="AL5" s="3">
        <v>3</v>
      </c>
      <c r="AM5" s="8">
        <v>11.75</v>
      </c>
      <c r="AN5" s="1"/>
      <c r="AO5" s="1" t="s">
        <v>79</v>
      </c>
      <c r="AP5" s="1" t="s">
        <v>75</v>
      </c>
      <c r="AQ5" s="1" t="s">
        <v>80</v>
      </c>
      <c r="AR5" s="1" t="s">
        <v>81</v>
      </c>
    </row>
    <row r="6">
      <c r="A6" s="2">
        <f ca="1">DATE(1999,08,13)</f>
        <v>0</v>
      </c>
      <c r="B6" s="2">
        <f ca="1">DATE(2000,01,26)</f>
        <v>0</v>
      </c>
      <c r="C6" s="1" t="s">
        <v>82</v>
      </c>
      <c r="D6" s="3">
        <v>4922</v>
      </c>
      <c r="E6" s="1" t="s">
        <v>43</v>
      </c>
      <c r="F6" s="1" t="s">
        <v>83</v>
      </c>
      <c r="G6" s="1" t="s">
        <v>84</v>
      </c>
      <c r="H6" s="4">
        <v>0.91000000000000003</v>
      </c>
      <c r="I6" s="4">
        <v>7</v>
      </c>
      <c r="J6" s="5">
        <v>19.5</v>
      </c>
      <c r="K6" s="4">
        <v>13</v>
      </c>
      <c r="L6" s="1" t="s">
        <v>85</v>
      </c>
      <c r="M6" s="1" t="s">
        <v>47</v>
      </c>
      <c r="N6" s="1" t="s">
        <v>86</v>
      </c>
      <c r="O6" s="1" t="s">
        <v>87</v>
      </c>
      <c r="P6" s="1" t="s">
        <v>88</v>
      </c>
      <c r="Q6" s="4">
        <v>1.385</v>
      </c>
      <c r="R6" s="4">
        <v>1.385</v>
      </c>
      <c r="S6" s="6">
        <v>4.2307699999999997</v>
      </c>
      <c r="T6" s="1" t="s">
        <v>50</v>
      </c>
      <c r="U6" s="8">
        <v>18</v>
      </c>
      <c r="V6" s="8">
        <v>14</v>
      </c>
      <c r="W6" s="7">
        <v>1920000</v>
      </c>
      <c r="X6" s="5">
        <v>30.699999999999999</v>
      </c>
      <c r="Y6" s="7">
        <v>1500000</v>
      </c>
      <c r="Z6" s="1"/>
      <c r="AA6" s="2">
        <f ca="1">DATE(2000,07,24)</f>
        <v>0</v>
      </c>
      <c r="AB6" s="4">
        <v>52.244999999999997</v>
      </c>
      <c r="AC6" s="3">
        <v>180</v>
      </c>
      <c r="AD6" s="8">
        <v>1641026</v>
      </c>
      <c r="AE6" s="1" t="s">
        <v>51</v>
      </c>
      <c r="AF6" s="1" t="s">
        <v>51</v>
      </c>
      <c r="AG6" s="1" t="s">
        <v>51</v>
      </c>
      <c r="AH6" s="1"/>
      <c r="AI6" s="1"/>
      <c r="AJ6" s="3">
        <v>1</v>
      </c>
      <c r="AK6" s="1" t="s">
        <v>89</v>
      </c>
      <c r="AL6" s="3">
        <v>2</v>
      </c>
      <c r="AM6" s="8">
        <v>12.380000000000001</v>
      </c>
      <c r="AN6" s="1"/>
      <c r="AO6" s="1" t="s">
        <v>90</v>
      </c>
      <c r="AP6" s="1" t="s">
        <v>91</v>
      </c>
      <c r="AQ6" s="1" t="s">
        <v>92</v>
      </c>
      <c r="AR6" s="1" t="s">
        <v>93</v>
      </c>
    </row>
    <row r="7">
      <c r="A7" s="2">
        <f ca="1">DATE(1999,11,15)</f>
        <v>0</v>
      </c>
      <c r="B7" s="2">
        <f ca="1">DATE(2000,01,26)</f>
        <v>0</v>
      </c>
      <c r="C7" s="1" t="s">
        <v>94</v>
      </c>
      <c r="D7" s="3">
        <v>7372</v>
      </c>
      <c r="E7" s="1" t="s">
        <v>43</v>
      </c>
      <c r="F7" s="1" t="s">
        <v>95</v>
      </c>
      <c r="G7" s="1" t="s">
        <v>96</v>
      </c>
      <c r="H7" s="4">
        <v>1.3999999999999999</v>
      </c>
      <c r="I7" s="8">
        <v>7</v>
      </c>
      <c r="J7" s="5">
        <v>63.200000000000003</v>
      </c>
      <c r="K7" s="4">
        <v>20</v>
      </c>
      <c r="L7" s="1" t="s">
        <v>46</v>
      </c>
      <c r="M7" s="1" t="s">
        <v>47</v>
      </c>
      <c r="N7" s="3">
        <v>302255104</v>
      </c>
      <c r="O7" s="1" t="s">
        <v>48</v>
      </c>
      <c r="P7" s="1" t="s">
        <v>97</v>
      </c>
      <c r="Q7" s="4">
        <v>1.3999999999999999</v>
      </c>
      <c r="R7" s="4">
        <v>1.5</v>
      </c>
      <c r="S7" s="8">
        <v>4.0999999999999996</v>
      </c>
      <c r="T7" s="1" t="s">
        <v>50</v>
      </c>
      <c r="U7" s="1"/>
      <c r="V7" s="1"/>
      <c r="W7" s="1"/>
      <c r="X7" s="5">
        <v>57.5</v>
      </c>
      <c r="Y7" s="7">
        <v>3160000</v>
      </c>
      <c r="Z7" s="1"/>
      <c r="AA7" s="1"/>
      <c r="AB7" s="1"/>
      <c r="AC7" s="1"/>
      <c r="AD7" s="1"/>
      <c r="AE7" s="1" t="s">
        <v>51</v>
      </c>
      <c r="AF7" s="1" t="s">
        <v>51</v>
      </c>
      <c r="AG7" s="1" t="s">
        <v>47</v>
      </c>
      <c r="AH7" s="1"/>
      <c r="AI7" s="1"/>
      <c r="AJ7" s="3">
        <v>1</v>
      </c>
      <c r="AK7" s="1" t="s">
        <v>52</v>
      </c>
      <c r="AL7" s="3">
        <v>3</v>
      </c>
      <c r="AM7" s="8">
        <v>71.25</v>
      </c>
      <c r="AN7" s="1"/>
      <c r="AO7" s="1" t="s">
        <v>98</v>
      </c>
      <c r="AP7" s="1" t="s">
        <v>96</v>
      </c>
      <c r="AQ7" s="1" t="s">
        <v>99</v>
      </c>
      <c r="AR7" s="1" t="s">
        <v>100</v>
      </c>
    </row>
    <row r="8">
      <c r="A8" s="2">
        <f ca="1">DATE(1999,11,15)</f>
        <v>0</v>
      </c>
      <c r="B8" s="2">
        <f ca="1">DATE(2000,01,26)</f>
        <v>0</v>
      </c>
      <c r="C8" s="1" t="s">
        <v>94</v>
      </c>
      <c r="D8" s="3">
        <v>7372</v>
      </c>
      <c r="E8" s="1" t="s">
        <v>43</v>
      </c>
      <c r="F8" s="1" t="s">
        <v>95</v>
      </c>
      <c r="G8" s="1" t="s">
        <v>96</v>
      </c>
      <c r="H8" s="4">
        <v>1.3999999999999999</v>
      </c>
      <c r="I8" s="8">
        <v>7</v>
      </c>
      <c r="J8" s="5">
        <v>14.6</v>
      </c>
      <c r="K8" s="8">
        <v>20</v>
      </c>
      <c r="L8" s="1" t="s">
        <v>58</v>
      </c>
      <c r="M8" s="1" t="s">
        <v>47</v>
      </c>
      <c r="N8" s="3">
        <v>302255104</v>
      </c>
      <c r="O8" s="1" t="s">
        <v>48</v>
      </c>
      <c r="P8" s="1" t="s">
        <v>101</v>
      </c>
      <c r="Q8" s="4">
        <v>1.3999999999999999</v>
      </c>
      <c r="R8" s="4">
        <v>1.5</v>
      </c>
      <c r="S8" s="8">
        <v>4.0999999999999996</v>
      </c>
      <c r="T8" s="1" t="s">
        <v>60</v>
      </c>
      <c r="U8" s="1"/>
      <c r="V8" s="1"/>
      <c r="W8" s="1"/>
      <c r="X8" s="5">
        <v>57.5</v>
      </c>
      <c r="Y8" s="7">
        <v>730435</v>
      </c>
      <c r="Z8" s="1"/>
      <c r="AA8" s="1"/>
      <c r="AB8" s="1"/>
      <c r="AC8" s="1"/>
      <c r="AD8" s="1"/>
      <c r="AE8" s="1" t="s">
        <v>51</v>
      </c>
      <c r="AF8" s="1" t="s">
        <v>51</v>
      </c>
      <c r="AG8" s="1" t="s">
        <v>47</v>
      </c>
      <c r="AH8" s="1"/>
      <c r="AI8" s="1"/>
      <c r="AJ8" s="3">
        <v>1</v>
      </c>
      <c r="AK8" s="1" t="s">
        <v>52</v>
      </c>
      <c r="AL8" s="3">
        <v>1</v>
      </c>
      <c r="AM8" s="1"/>
      <c r="AN8" s="1"/>
      <c r="AO8" s="1" t="s">
        <v>102</v>
      </c>
      <c r="AP8" s="1" t="s">
        <v>96</v>
      </c>
      <c r="AQ8" s="1" t="s">
        <v>96</v>
      </c>
      <c r="AR8" s="1" t="s">
        <v>103</v>
      </c>
    </row>
    <row r="9">
      <c r="A9" s="2">
        <f ca="1">DATE(1999,09,17)</f>
        <v>0</v>
      </c>
      <c r="B9" s="2">
        <f ca="1">DATE(2000,01,26)</f>
        <v>0</v>
      </c>
      <c r="C9" s="1" t="s">
        <v>104</v>
      </c>
      <c r="D9" s="3">
        <v>6311</v>
      </c>
      <c r="E9" s="1" t="s">
        <v>43</v>
      </c>
      <c r="F9" s="1" t="s">
        <v>105</v>
      </c>
      <c r="G9" s="1" t="s">
        <v>106</v>
      </c>
      <c r="H9" s="4">
        <v>0.748</v>
      </c>
      <c r="I9" s="8">
        <v>4.4000000000000004</v>
      </c>
      <c r="J9" s="9">
        <v>1473.9000000000001</v>
      </c>
      <c r="K9" s="4">
        <v>17</v>
      </c>
      <c r="L9" s="1" t="s">
        <v>46</v>
      </c>
      <c r="M9" s="1" t="s">
        <v>47</v>
      </c>
      <c r="N9" s="1" t="s">
        <v>107</v>
      </c>
      <c r="O9" s="1" t="s">
        <v>108</v>
      </c>
      <c r="P9" s="1" t="s">
        <v>109</v>
      </c>
      <c r="Q9" s="4">
        <v>0.88200000000000001</v>
      </c>
      <c r="R9" s="4">
        <v>0.871</v>
      </c>
      <c r="S9" s="6">
        <v>2.6470600000000002</v>
      </c>
      <c r="T9" s="1" t="s">
        <v>50</v>
      </c>
      <c r="U9" s="1"/>
      <c r="V9" s="1"/>
      <c r="W9" s="1"/>
      <c r="X9" s="9">
        <v>2040</v>
      </c>
      <c r="Y9" s="7">
        <v>86700000</v>
      </c>
      <c r="Z9" s="1"/>
      <c r="AA9" s="1"/>
      <c r="AB9" s="1"/>
      <c r="AC9" s="1"/>
      <c r="AD9" s="1"/>
      <c r="AE9" s="1" t="s">
        <v>51</v>
      </c>
      <c r="AF9" s="1" t="s">
        <v>51</v>
      </c>
      <c r="AG9" s="1" t="s">
        <v>51</v>
      </c>
      <c r="AH9" s="1"/>
      <c r="AI9" s="1"/>
      <c r="AJ9" s="3">
        <v>1</v>
      </c>
      <c r="AK9" s="1" t="s">
        <v>110</v>
      </c>
      <c r="AL9" s="3">
        <v>7</v>
      </c>
      <c r="AM9" s="8">
        <v>17.629999999999999</v>
      </c>
      <c r="AN9" s="1"/>
      <c r="AO9" s="1" t="s">
        <v>111</v>
      </c>
      <c r="AP9" s="1" t="s">
        <v>112</v>
      </c>
      <c r="AQ9" s="1" t="s">
        <v>113</v>
      </c>
      <c r="AR9" s="1" t="s">
        <v>114</v>
      </c>
    </row>
    <row r="10">
      <c r="A10" s="2">
        <f ca="1">DATE(1999,09,17)</f>
        <v>0</v>
      </c>
      <c r="B10" s="2">
        <f ca="1">DATE(2000,01,26)</f>
        <v>0</v>
      </c>
      <c r="C10" s="1" t="s">
        <v>104</v>
      </c>
      <c r="D10" s="3">
        <v>6311</v>
      </c>
      <c r="E10" s="1" t="s">
        <v>43</v>
      </c>
      <c r="F10" s="1" t="s">
        <v>105</v>
      </c>
      <c r="G10" s="1" t="s">
        <v>106</v>
      </c>
      <c r="H10" s="4">
        <v>0.748</v>
      </c>
      <c r="I10" s="8">
        <v>4.4000000000000004</v>
      </c>
      <c r="J10" s="5">
        <v>260.10000000000002</v>
      </c>
      <c r="K10" s="8">
        <v>17</v>
      </c>
      <c r="L10" s="1" t="s">
        <v>58</v>
      </c>
      <c r="M10" s="1" t="s">
        <v>47</v>
      </c>
      <c r="N10" s="1" t="s">
        <v>107</v>
      </c>
      <c r="O10" s="1" t="s">
        <v>108</v>
      </c>
      <c r="P10" s="1" t="s">
        <v>115</v>
      </c>
      <c r="Q10" s="4">
        <v>0.88</v>
      </c>
      <c r="R10" s="4">
        <v>0.88</v>
      </c>
      <c r="S10" s="4">
        <v>2.6469999999999998</v>
      </c>
      <c r="T10" s="1" t="s">
        <v>60</v>
      </c>
      <c r="U10" s="1"/>
      <c r="V10" s="1"/>
      <c r="W10" s="1"/>
      <c r="X10" s="1"/>
      <c r="Y10" s="7">
        <v>15300000</v>
      </c>
      <c r="Z10" s="1"/>
      <c r="AA10" s="1"/>
      <c r="AB10" s="1"/>
      <c r="AC10" s="1"/>
      <c r="AD10" s="1"/>
      <c r="AE10" s="1" t="s">
        <v>51</v>
      </c>
      <c r="AF10" s="1" t="s">
        <v>51</v>
      </c>
      <c r="AG10" s="1" t="s">
        <v>51</v>
      </c>
      <c r="AH10" s="1"/>
      <c r="AI10" s="1"/>
      <c r="AJ10" s="3">
        <v>1</v>
      </c>
      <c r="AK10" s="1" t="s">
        <v>110</v>
      </c>
      <c r="AL10" s="3">
        <v>7</v>
      </c>
      <c r="AM10" s="1"/>
      <c r="AN10" s="1"/>
      <c r="AO10" s="1" t="s">
        <v>116</v>
      </c>
      <c r="AP10" s="1" t="s">
        <v>117</v>
      </c>
      <c r="AQ10" s="1" t="s">
        <v>118</v>
      </c>
      <c r="AR10" s="1" t="s">
        <v>119</v>
      </c>
    </row>
    <row r="11">
      <c r="A11" s="2">
        <f ca="1">DATE(1999,10,05)</f>
        <v>0</v>
      </c>
      <c r="B11" s="2">
        <f ca="1">DATE(2000,01,26)</f>
        <v>0</v>
      </c>
      <c r="C11" s="1" t="s">
        <v>120</v>
      </c>
      <c r="D11" s="3">
        <v>7372</v>
      </c>
      <c r="E11" s="1" t="s">
        <v>43</v>
      </c>
      <c r="F11" s="1" t="s">
        <v>121</v>
      </c>
      <c r="G11" s="1" t="s">
        <v>122</v>
      </c>
      <c r="H11" s="4">
        <v>0.69999999999999996</v>
      </c>
      <c r="I11" s="8">
        <v>7</v>
      </c>
      <c r="J11" s="5">
        <v>30</v>
      </c>
      <c r="K11" s="4">
        <v>10</v>
      </c>
      <c r="L11" s="1" t="s">
        <v>46</v>
      </c>
      <c r="M11" s="1" t="s">
        <v>47</v>
      </c>
      <c r="N11" s="1" t="s">
        <v>123</v>
      </c>
      <c r="O11" s="1" t="s">
        <v>48</v>
      </c>
      <c r="P11" s="1" t="s">
        <v>124</v>
      </c>
      <c r="Q11" s="4">
        <v>1.3</v>
      </c>
      <c r="R11" s="4">
        <v>1.5</v>
      </c>
      <c r="S11" s="8">
        <v>4.2000000000000002</v>
      </c>
      <c r="T11" s="1" t="s">
        <v>50</v>
      </c>
      <c r="U11" s="1"/>
      <c r="V11" s="1"/>
      <c r="W11" s="1"/>
      <c r="X11" s="5">
        <v>41.399999999999999</v>
      </c>
      <c r="Y11" s="7">
        <v>2880000</v>
      </c>
      <c r="Z11" s="7">
        <v>120000</v>
      </c>
      <c r="AA11" s="2">
        <f ca="1">DATE(2000,07,24)</f>
        <v>0</v>
      </c>
      <c r="AB11" s="4">
        <v>74.432000000000002</v>
      </c>
      <c r="AC11" s="3">
        <v>180</v>
      </c>
      <c r="AD11" s="8">
        <v>8733334</v>
      </c>
      <c r="AE11" s="1" t="s">
        <v>51</v>
      </c>
      <c r="AF11" s="1" t="s">
        <v>51</v>
      </c>
      <c r="AG11" s="1" t="s">
        <v>47</v>
      </c>
      <c r="AH11" s="1"/>
      <c r="AI11" s="1"/>
      <c r="AJ11" s="3">
        <v>1</v>
      </c>
      <c r="AK11" s="1" t="s">
        <v>52</v>
      </c>
      <c r="AL11" s="3">
        <v>3</v>
      </c>
      <c r="AM11" s="8">
        <v>15.44</v>
      </c>
      <c r="AN11" s="1"/>
      <c r="AO11" s="1" t="s">
        <v>125</v>
      </c>
      <c r="AP11" s="1" t="s">
        <v>122</v>
      </c>
      <c r="AQ11" s="1" t="s">
        <v>126</v>
      </c>
      <c r="AR11" s="1" t="s">
        <v>127</v>
      </c>
    </row>
    <row r="12">
      <c r="A12" s="2">
        <f ca="1">DATE(2000,01,27)</f>
        <v>0</v>
      </c>
      <c r="B12" s="2">
        <f ca="1">DATE(2000,01,27)</f>
        <v>0</v>
      </c>
      <c r="C12" s="1" t="s">
        <v>128</v>
      </c>
      <c r="D12" s="3">
        <v>4813</v>
      </c>
      <c r="E12" s="1" t="s">
        <v>43</v>
      </c>
      <c r="F12" s="1" t="s">
        <v>129</v>
      </c>
      <c r="G12" s="1" t="s">
        <v>130</v>
      </c>
      <c r="H12" s="4">
        <v>3.927</v>
      </c>
      <c r="I12" s="4">
        <v>3.7400000000000002</v>
      </c>
      <c r="J12" s="5">
        <v>200.5</v>
      </c>
      <c r="K12" s="8">
        <v>105</v>
      </c>
      <c r="L12" s="1" t="s">
        <v>58</v>
      </c>
      <c r="M12" s="1" t="s">
        <v>47</v>
      </c>
      <c r="N12" s="1" t="s">
        <v>131</v>
      </c>
      <c r="O12" s="1" t="s">
        <v>48</v>
      </c>
      <c r="P12" s="1" t="s">
        <v>132</v>
      </c>
      <c r="Q12" s="4">
        <v>0.75</v>
      </c>
      <c r="R12" s="4">
        <v>0.75</v>
      </c>
      <c r="S12" s="4">
        <v>2.238</v>
      </c>
      <c r="T12" s="1" t="s">
        <v>60</v>
      </c>
      <c r="U12" s="1"/>
      <c r="V12" s="1"/>
      <c r="W12" s="1"/>
      <c r="X12" s="1"/>
      <c r="Y12" s="7">
        <v>1196083</v>
      </c>
      <c r="Z12" s="7">
        <v>713193</v>
      </c>
      <c r="AA12" s="1"/>
      <c r="AB12" s="1"/>
      <c r="AC12" s="1"/>
      <c r="AD12" s="1"/>
      <c r="AE12" s="1" t="s">
        <v>51</v>
      </c>
      <c r="AF12" s="1" t="s">
        <v>51</v>
      </c>
      <c r="AG12" s="1" t="s">
        <v>51</v>
      </c>
      <c r="AH12" s="1"/>
      <c r="AI12" s="1"/>
      <c r="AJ12" s="3">
        <v>2</v>
      </c>
      <c r="AK12" s="1" t="s">
        <v>89</v>
      </c>
      <c r="AL12" s="3">
        <v>3</v>
      </c>
      <c r="AM12" s="1"/>
      <c r="AN12" s="1"/>
      <c r="AO12" s="1" t="s">
        <v>133</v>
      </c>
      <c r="AP12" s="1" t="s">
        <v>134</v>
      </c>
      <c r="AQ12" s="1" t="s">
        <v>135</v>
      </c>
      <c r="AR12" s="1" t="s">
        <v>136</v>
      </c>
    </row>
    <row r="13">
      <c r="A13" s="2">
        <f ca="1">DATE(1999,08,31)</f>
        <v>0</v>
      </c>
      <c r="B13" s="2">
        <f ca="1">DATE(2000,01,27)</f>
        <v>0</v>
      </c>
      <c r="C13" s="1" t="s">
        <v>137</v>
      </c>
      <c r="D13" s="3">
        <v>3845</v>
      </c>
      <c r="E13" s="1" t="s">
        <v>43</v>
      </c>
      <c r="F13" s="1" t="s">
        <v>138</v>
      </c>
      <c r="G13" s="1" t="s">
        <v>106</v>
      </c>
      <c r="H13" s="4">
        <v>1.05</v>
      </c>
      <c r="I13" s="4">
        <v>7</v>
      </c>
      <c r="J13" s="5">
        <v>44.299999999999997</v>
      </c>
      <c r="K13" s="4">
        <v>15</v>
      </c>
      <c r="L13" s="1" t="s">
        <v>46</v>
      </c>
      <c r="M13" s="1" t="s">
        <v>47</v>
      </c>
      <c r="N13" s="1" t="s">
        <v>139</v>
      </c>
      <c r="O13" s="1" t="s">
        <v>48</v>
      </c>
      <c r="P13" s="1" t="s">
        <v>140</v>
      </c>
      <c r="Q13" s="4">
        <v>1.3999999999999999</v>
      </c>
      <c r="R13" s="4">
        <v>1.3999999999999999</v>
      </c>
      <c r="S13" s="8">
        <v>4.2000000000000002</v>
      </c>
      <c r="T13" s="1" t="s">
        <v>50</v>
      </c>
      <c r="U13" s="1"/>
      <c r="V13" s="1"/>
      <c r="W13" s="1"/>
      <c r="X13" s="5">
        <v>40.299999999999997</v>
      </c>
      <c r="Y13" s="7">
        <v>2950000</v>
      </c>
      <c r="Z13" s="1"/>
      <c r="AA13" s="1"/>
      <c r="AB13" s="1"/>
      <c r="AC13" s="1"/>
      <c r="AD13" s="1"/>
      <c r="AE13" s="1" t="s">
        <v>51</v>
      </c>
      <c r="AF13" s="1" t="s">
        <v>51</v>
      </c>
      <c r="AG13" s="1" t="s">
        <v>47</v>
      </c>
      <c r="AH13" s="1"/>
      <c r="AI13" s="1"/>
      <c r="AJ13" s="3">
        <v>1</v>
      </c>
      <c r="AK13" s="1" t="s">
        <v>52</v>
      </c>
      <c r="AL13" s="3">
        <v>3</v>
      </c>
      <c r="AM13" s="8">
        <v>28.25</v>
      </c>
      <c r="AN13" s="1"/>
      <c r="AO13" s="1" t="s">
        <v>141</v>
      </c>
      <c r="AP13" s="1" t="s">
        <v>106</v>
      </c>
      <c r="AQ13" s="1" t="s">
        <v>142</v>
      </c>
      <c r="AR13" s="1" t="s">
        <v>143</v>
      </c>
    </row>
    <row r="14">
      <c r="A14" s="2">
        <f ca="1">DATE(1999,08,31)</f>
        <v>0</v>
      </c>
      <c r="B14" s="2">
        <f ca="1">DATE(2000,01,27)</f>
        <v>0</v>
      </c>
      <c r="C14" s="1" t="s">
        <v>137</v>
      </c>
      <c r="D14" s="3">
        <v>3845</v>
      </c>
      <c r="E14" s="1" t="s">
        <v>43</v>
      </c>
      <c r="F14" s="1" t="s">
        <v>138</v>
      </c>
      <c r="G14" s="1" t="s">
        <v>106</v>
      </c>
      <c r="H14" s="4">
        <v>1.05</v>
      </c>
      <c r="I14" s="4">
        <v>7</v>
      </c>
      <c r="J14" s="5">
        <v>8.3000000000000007</v>
      </c>
      <c r="K14" s="8">
        <v>15</v>
      </c>
      <c r="L14" s="1" t="s">
        <v>58</v>
      </c>
      <c r="M14" s="1" t="s">
        <v>47</v>
      </c>
      <c r="N14" s="1"/>
      <c r="O14" s="1" t="s">
        <v>48</v>
      </c>
      <c r="P14" s="1" t="s">
        <v>144</v>
      </c>
      <c r="Q14" s="1" t="s">
        <v>145</v>
      </c>
      <c r="R14" s="1" t="s">
        <v>145</v>
      </c>
      <c r="S14" s="1"/>
      <c r="T14" s="1" t="s">
        <v>60</v>
      </c>
      <c r="U14" s="1"/>
      <c r="V14" s="1"/>
      <c r="W14" s="1"/>
      <c r="X14" s="1"/>
      <c r="Y14" s="7">
        <v>550000</v>
      </c>
      <c r="Z14" s="1"/>
      <c r="AA14" s="1"/>
      <c r="AB14" s="1"/>
      <c r="AC14" s="1"/>
      <c r="AD14" s="1"/>
      <c r="AE14" s="1" t="s">
        <v>51</v>
      </c>
      <c r="AF14" s="1" t="s">
        <v>51</v>
      </c>
      <c r="AG14" s="1" t="s">
        <v>47</v>
      </c>
      <c r="AH14" s="1"/>
      <c r="AI14" s="1"/>
      <c r="AJ14" s="3">
        <v>1</v>
      </c>
      <c r="AK14" s="1" t="s">
        <v>52</v>
      </c>
      <c r="AL14" s="3">
        <v>3</v>
      </c>
      <c r="AM14" s="1"/>
      <c r="AN14" s="1"/>
      <c r="AO14" s="1" t="s">
        <v>146</v>
      </c>
      <c r="AP14" s="1" t="s">
        <v>106</v>
      </c>
      <c r="AQ14" s="1" t="s">
        <v>147</v>
      </c>
      <c r="AR14" s="1" t="s">
        <v>148</v>
      </c>
    </row>
    <row r="15">
      <c r="A15" s="2">
        <f ca="1">DATE(1998,03,30)</f>
        <v>0</v>
      </c>
      <c r="B15" s="2">
        <f ca="1">DATE(2000,01,27)</f>
        <v>0</v>
      </c>
      <c r="C15" s="1" t="s">
        <v>149</v>
      </c>
      <c r="D15" s="3">
        <v>3533</v>
      </c>
      <c r="E15" s="1" t="s">
        <v>43</v>
      </c>
      <c r="F15" s="1" t="s">
        <v>150</v>
      </c>
      <c r="G15" s="1" t="s">
        <v>151</v>
      </c>
      <c r="H15" s="4">
        <v>0.69999999999999996</v>
      </c>
      <c r="I15" s="8">
        <v>7</v>
      </c>
      <c r="J15" s="5">
        <v>75</v>
      </c>
      <c r="K15" s="4">
        <v>10</v>
      </c>
      <c r="L15" s="1" t="s">
        <v>152</v>
      </c>
      <c r="M15" s="1" t="s">
        <v>47</v>
      </c>
      <c r="N15" s="1" t="s">
        <v>153</v>
      </c>
      <c r="O15" s="1" t="s">
        <v>108</v>
      </c>
      <c r="P15" s="1" t="s">
        <v>154</v>
      </c>
      <c r="Q15" s="4">
        <v>1.3999999999999999</v>
      </c>
      <c r="R15" s="4">
        <v>1.3999999999999999</v>
      </c>
      <c r="S15" s="8">
        <v>4.2000000000000002</v>
      </c>
      <c r="T15" s="1" t="s">
        <v>50</v>
      </c>
      <c r="U15" s="1"/>
      <c r="V15" s="1"/>
      <c r="W15" s="1"/>
      <c r="X15" s="5">
        <v>82.200000000000003</v>
      </c>
      <c r="Y15" s="7">
        <v>4053807</v>
      </c>
      <c r="Z15" s="7">
        <v>3446193</v>
      </c>
      <c r="AA15" s="2">
        <f ca="1">DATE(2000,07,25)</f>
        <v>0</v>
      </c>
      <c r="AB15" s="4">
        <v>45.124000000000002</v>
      </c>
      <c r="AC15" s="3">
        <v>180</v>
      </c>
      <c r="AD15" s="8">
        <v>6167163</v>
      </c>
      <c r="AE15" s="1" t="s">
        <v>51</v>
      </c>
      <c r="AF15" s="1" t="s">
        <v>51</v>
      </c>
      <c r="AG15" s="1" t="s">
        <v>51</v>
      </c>
      <c r="AH15" s="1"/>
      <c r="AI15" s="1"/>
      <c r="AJ15" s="3">
        <v>1</v>
      </c>
      <c r="AK15" s="1" t="s">
        <v>52</v>
      </c>
      <c r="AL15" s="3">
        <v>4</v>
      </c>
      <c r="AM15" s="8">
        <v>10.94</v>
      </c>
      <c r="AN15" s="1"/>
      <c r="AO15" s="1" t="s">
        <v>155</v>
      </c>
      <c r="AP15" s="1" t="s">
        <v>151</v>
      </c>
      <c r="AQ15" s="1" t="s">
        <v>156</v>
      </c>
      <c r="AR15" s="1" t="s">
        <v>157</v>
      </c>
    </row>
    <row r="16">
      <c r="A16" s="2">
        <f ca="1">DATE(1999,09,13)</f>
        <v>0</v>
      </c>
      <c r="B16" s="2">
        <f ca="1">DATE(2000,01,27)</f>
        <v>0</v>
      </c>
      <c r="C16" s="1" t="s">
        <v>158</v>
      </c>
      <c r="D16" s="3">
        <v>2653</v>
      </c>
      <c r="E16" s="1" t="s">
        <v>43</v>
      </c>
      <c r="F16" s="1" t="s">
        <v>159</v>
      </c>
      <c r="G16" s="1" t="s">
        <v>160</v>
      </c>
      <c r="H16" s="4">
        <v>0.64000000000000001</v>
      </c>
      <c r="I16" s="4">
        <v>5.3330000000000002</v>
      </c>
      <c r="J16" s="5">
        <v>462.60000000000002</v>
      </c>
      <c r="K16" s="4">
        <v>12</v>
      </c>
      <c r="L16" s="1" t="s">
        <v>152</v>
      </c>
      <c r="M16" s="1" t="s">
        <v>47</v>
      </c>
      <c r="N16" s="3">
        <v>695156109</v>
      </c>
      <c r="O16" s="1" t="s">
        <v>108</v>
      </c>
      <c r="P16" s="1" t="s">
        <v>161</v>
      </c>
      <c r="Q16" s="4">
        <v>1.083</v>
      </c>
      <c r="R16" s="4">
        <v>1</v>
      </c>
      <c r="S16" s="8">
        <v>3.25</v>
      </c>
      <c r="T16" s="1" t="s">
        <v>50</v>
      </c>
      <c r="U16" s="1"/>
      <c r="V16" s="1"/>
      <c r="W16" s="1"/>
      <c r="X16" s="5">
        <v>976.20000000000005</v>
      </c>
      <c r="Y16" s="7">
        <v>9377027</v>
      </c>
      <c r="Z16" s="7">
        <v>29172973</v>
      </c>
      <c r="AA16" s="1"/>
      <c r="AB16" s="1"/>
      <c r="AC16" s="1"/>
      <c r="AD16" s="1"/>
      <c r="AE16" s="1" t="s">
        <v>51</v>
      </c>
      <c r="AF16" s="1" t="s">
        <v>51</v>
      </c>
      <c r="AG16" s="1" t="s">
        <v>51</v>
      </c>
      <c r="AH16" s="1"/>
      <c r="AI16" s="1"/>
      <c r="AJ16" s="3">
        <v>1</v>
      </c>
      <c r="AK16" s="1" t="s">
        <v>52</v>
      </c>
      <c r="AL16" s="3">
        <v>5</v>
      </c>
      <c r="AM16" s="8">
        <v>12</v>
      </c>
      <c r="AN16" s="1"/>
      <c r="AO16" s="1" t="s">
        <v>162</v>
      </c>
      <c r="AP16" s="1" t="s">
        <v>160</v>
      </c>
      <c r="AQ16" s="1" t="s">
        <v>163</v>
      </c>
      <c r="AR16" s="1" t="s">
        <v>164</v>
      </c>
    </row>
    <row r="17">
      <c r="A17" s="2">
        <f ca="1">DATE(1999,11,02)</f>
        <v>0</v>
      </c>
      <c r="B17" s="2">
        <f ca="1">DATE(2000,01,27)</f>
        <v>0</v>
      </c>
      <c r="C17" s="1" t="s">
        <v>165</v>
      </c>
      <c r="D17" s="3">
        <v>7372</v>
      </c>
      <c r="E17" s="1" t="s">
        <v>166</v>
      </c>
      <c r="F17" s="1" t="s">
        <v>167</v>
      </c>
      <c r="G17" s="1" t="s">
        <v>168</v>
      </c>
      <c r="H17" s="4">
        <v>1.8200000000000001</v>
      </c>
      <c r="I17" s="4">
        <v>7</v>
      </c>
      <c r="J17" s="5">
        <v>67.799999999999997</v>
      </c>
      <c r="K17" s="4">
        <v>26</v>
      </c>
      <c r="L17" s="1" t="s">
        <v>58</v>
      </c>
      <c r="M17" s="1" t="s">
        <v>47</v>
      </c>
      <c r="N17" s="1" t="s">
        <v>169</v>
      </c>
      <c r="O17" s="1" t="s">
        <v>48</v>
      </c>
      <c r="P17" s="1" t="s">
        <v>170</v>
      </c>
      <c r="Q17" s="1" t="s">
        <v>145</v>
      </c>
      <c r="R17" s="1" t="s">
        <v>145</v>
      </c>
      <c r="S17" s="1"/>
      <c r="T17" s="1" t="s">
        <v>50</v>
      </c>
      <c r="U17" s="1"/>
      <c r="V17" s="1"/>
      <c r="W17" s="1"/>
      <c r="X17" s="1"/>
      <c r="Y17" s="7">
        <v>2606250</v>
      </c>
      <c r="Z17" s="1"/>
      <c r="AA17" s="1"/>
      <c r="AB17" s="1"/>
      <c r="AC17" s="1"/>
      <c r="AD17" s="1"/>
      <c r="AE17" s="1" t="s">
        <v>51</v>
      </c>
      <c r="AF17" s="1" t="s">
        <v>51</v>
      </c>
      <c r="AG17" s="1" t="s">
        <v>51</v>
      </c>
      <c r="AH17" s="1"/>
      <c r="AI17" s="1"/>
      <c r="AJ17" s="3">
        <v>1</v>
      </c>
      <c r="AK17" s="1" t="s">
        <v>52</v>
      </c>
      <c r="AL17" s="3">
        <v>1</v>
      </c>
      <c r="AM17" s="8">
        <v>67.879999999999995</v>
      </c>
      <c r="AN17" s="1"/>
      <c r="AO17" s="1" t="s">
        <v>171</v>
      </c>
      <c r="AP17" s="1" t="s">
        <v>168</v>
      </c>
      <c r="AQ17" s="1" t="s">
        <v>168</v>
      </c>
      <c r="AR17" s="1" t="s">
        <v>172</v>
      </c>
    </row>
    <row r="18">
      <c r="A18" s="2">
        <f ca="1">DATE(1999,11,02)</f>
        <v>0</v>
      </c>
      <c r="B18" s="2">
        <f ca="1">DATE(2000,01,27)</f>
        <v>0</v>
      </c>
      <c r="C18" s="1" t="s">
        <v>165</v>
      </c>
      <c r="D18" s="3">
        <v>7372</v>
      </c>
      <c r="E18" s="1" t="s">
        <v>166</v>
      </c>
      <c r="F18" s="1" t="s">
        <v>167</v>
      </c>
      <c r="G18" s="1" t="s">
        <v>173</v>
      </c>
      <c r="H18" s="10">
        <v>2.6116999999999999</v>
      </c>
      <c r="I18" s="8">
        <v>7</v>
      </c>
      <c r="J18" s="5">
        <v>49.200000000000003</v>
      </c>
      <c r="K18" s="4">
        <v>37.310000000000002</v>
      </c>
      <c r="L18" s="1" t="s">
        <v>58</v>
      </c>
      <c r="M18" s="1" t="s">
        <v>47</v>
      </c>
      <c r="N18" s="1" t="s">
        <v>169</v>
      </c>
      <c r="O18" s="1" t="s">
        <v>48</v>
      </c>
      <c r="P18" s="1" t="s">
        <v>174</v>
      </c>
      <c r="Q18" s="1"/>
      <c r="R18" s="1"/>
      <c r="S18" s="1"/>
      <c r="T18" s="1" t="s">
        <v>175</v>
      </c>
      <c r="U18" s="1"/>
      <c r="V18" s="1"/>
      <c r="W18" s="1"/>
      <c r="X18" s="1"/>
      <c r="Y18" s="1"/>
      <c r="Z18" s="1"/>
      <c r="AA18" s="1"/>
      <c r="AB18" s="1"/>
      <c r="AC18" s="1"/>
      <c r="AD18" s="1"/>
      <c r="AE18" s="1"/>
      <c r="AF18" s="1" t="s">
        <v>51</v>
      </c>
      <c r="AG18" s="1" t="s">
        <v>51</v>
      </c>
      <c r="AH18" s="1"/>
      <c r="AI18" s="1"/>
      <c r="AJ18" s="3">
        <v>1</v>
      </c>
      <c r="AK18" s="1" t="s">
        <v>52</v>
      </c>
      <c r="AL18" s="3">
        <v>2</v>
      </c>
      <c r="AM18" s="1"/>
      <c r="AN18" s="1"/>
      <c r="AO18" s="1" t="s">
        <v>176</v>
      </c>
      <c r="AP18" s="1" t="s">
        <v>173</v>
      </c>
      <c r="AQ18" s="1" t="s">
        <v>177</v>
      </c>
      <c r="AR18" s="1" t="s">
        <v>178</v>
      </c>
    </row>
    <row r="19">
      <c r="A19" s="2">
        <f ca="1">DATE(1999,11,02)</f>
        <v>0</v>
      </c>
      <c r="B19" s="2">
        <f ca="1">DATE(2000,01,27)</f>
        <v>0</v>
      </c>
      <c r="C19" s="1" t="s">
        <v>165</v>
      </c>
      <c r="D19" s="3">
        <v>7372</v>
      </c>
      <c r="E19" s="1" t="s">
        <v>166</v>
      </c>
      <c r="F19" s="1" t="s">
        <v>167</v>
      </c>
      <c r="G19" s="1" t="s">
        <v>179</v>
      </c>
      <c r="H19" s="4">
        <v>1.8200000000000001</v>
      </c>
      <c r="I19" s="4">
        <v>7</v>
      </c>
      <c r="J19" s="5">
        <v>39</v>
      </c>
      <c r="K19" s="8">
        <v>26</v>
      </c>
      <c r="L19" s="1" t="s">
        <v>58</v>
      </c>
      <c r="M19" s="1" t="s">
        <v>47</v>
      </c>
      <c r="N19" s="1"/>
      <c r="O19" s="1" t="s">
        <v>48</v>
      </c>
      <c r="P19" s="1" t="s">
        <v>180</v>
      </c>
      <c r="Q19" s="4">
        <v>1.385</v>
      </c>
      <c r="R19" s="4">
        <v>1.423</v>
      </c>
      <c r="S19" s="6">
        <v>4.19231</v>
      </c>
      <c r="T19" s="1" t="s">
        <v>60</v>
      </c>
      <c r="U19" s="1"/>
      <c r="V19" s="1"/>
      <c r="W19" s="1"/>
      <c r="X19" s="5">
        <v>100</v>
      </c>
      <c r="Y19" s="7">
        <v>1500000</v>
      </c>
      <c r="Z19" s="1"/>
      <c r="AA19" s="1"/>
      <c r="AB19" s="1"/>
      <c r="AC19" s="1"/>
      <c r="AD19" s="1"/>
      <c r="AE19" s="1" t="s">
        <v>51</v>
      </c>
      <c r="AF19" s="1" t="s">
        <v>51</v>
      </c>
      <c r="AG19" s="1" t="s">
        <v>51</v>
      </c>
      <c r="AH19" s="1"/>
      <c r="AI19" s="1"/>
      <c r="AJ19" s="3">
        <v>1</v>
      </c>
      <c r="AK19" s="1" t="s">
        <v>52</v>
      </c>
      <c r="AL19" s="3">
        <v>3</v>
      </c>
      <c r="AM19" s="1"/>
      <c r="AN19" s="1"/>
      <c r="AO19" s="1" t="s">
        <v>181</v>
      </c>
      <c r="AP19" s="1" t="s">
        <v>179</v>
      </c>
      <c r="AQ19" s="1" t="s">
        <v>182</v>
      </c>
      <c r="AR19" s="1" t="s">
        <v>183</v>
      </c>
    </row>
    <row r="20">
      <c r="A20" s="2">
        <f ca="1">DATE(2000,01,27)</f>
        <v>0</v>
      </c>
      <c r="B20" s="2">
        <f ca="1">DATE(2000,01,27)</f>
        <v>0</v>
      </c>
      <c r="C20" s="1" t="s">
        <v>184</v>
      </c>
      <c r="D20" s="3">
        <v>3669</v>
      </c>
      <c r="E20" s="1" t="s">
        <v>43</v>
      </c>
      <c r="F20" s="1"/>
      <c r="G20" s="1" t="s">
        <v>160</v>
      </c>
      <c r="H20" s="4">
        <v>2.0299999999999998</v>
      </c>
      <c r="I20" s="8">
        <v>7</v>
      </c>
      <c r="J20" s="5">
        <v>12</v>
      </c>
      <c r="K20" s="8">
        <v>29</v>
      </c>
      <c r="L20" s="1" t="s">
        <v>58</v>
      </c>
      <c r="M20" s="1" t="s">
        <v>47</v>
      </c>
      <c r="N20" s="3">
        <v>900423104</v>
      </c>
      <c r="O20" s="1"/>
      <c r="P20" s="1" t="s">
        <v>185</v>
      </c>
      <c r="Q20" s="4">
        <v>1.4139999999999999</v>
      </c>
      <c r="R20" s="4">
        <v>1.4139999999999999</v>
      </c>
      <c r="S20" s="6">
        <v>4.1724100000000002</v>
      </c>
      <c r="T20" s="1" t="s">
        <v>60</v>
      </c>
      <c r="U20" s="1"/>
      <c r="V20" s="1"/>
      <c r="W20" s="1"/>
      <c r="X20" s="1"/>
      <c r="Y20" s="7">
        <v>415000</v>
      </c>
      <c r="Z20" s="1"/>
      <c r="AA20" s="1"/>
      <c r="AB20" s="1"/>
      <c r="AC20" s="1"/>
      <c r="AD20" s="1"/>
      <c r="AE20" s="1" t="s">
        <v>51</v>
      </c>
      <c r="AF20" s="1" t="s">
        <v>51</v>
      </c>
      <c r="AG20" s="1" t="s">
        <v>47</v>
      </c>
      <c r="AH20" s="1"/>
      <c r="AI20" s="1"/>
      <c r="AJ20" s="3">
        <v>1</v>
      </c>
      <c r="AK20" s="1" t="s">
        <v>52</v>
      </c>
      <c r="AL20" s="3">
        <v>1</v>
      </c>
      <c r="AM20" s="1"/>
      <c r="AN20" s="1"/>
      <c r="AO20" s="1" t="s">
        <v>186</v>
      </c>
      <c r="AP20" s="1" t="s">
        <v>160</v>
      </c>
      <c r="AQ20" s="1" t="s">
        <v>160</v>
      </c>
      <c r="AR20" s="1" t="s">
        <v>187</v>
      </c>
    </row>
    <row r="21">
      <c r="A21" s="2">
        <f ca="1">DATE(1999,10,05)</f>
        <v>0</v>
      </c>
      <c r="B21" s="2">
        <f ca="1">DATE(2000,01,28)</f>
        <v>0</v>
      </c>
      <c r="C21" s="1" t="s">
        <v>188</v>
      </c>
      <c r="D21" s="3">
        <v>7372</v>
      </c>
      <c r="E21" s="1" t="s">
        <v>43</v>
      </c>
      <c r="F21" s="1" t="s">
        <v>189</v>
      </c>
      <c r="G21" s="1" t="s">
        <v>96</v>
      </c>
      <c r="H21" s="4">
        <v>1.1200000000000001</v>
      </c>
      <c r="I21" s="4">
        <v>7</v>
      </c>
      <c r="J21" s="5">
        <v>56</v>
      </c>
      <c r="K21" s="4">
        <v>16</v>
      </c>
      <c r="L21" s="1" t="s">
        <v>46</v>
      </c>
      <c r="M21" s="1" t="s">
        <v>47</v>
      </c>
      <c r="N21" s="3">
        <v>133766105</v>
      </c>
      <c r="O21" s="1" t="s">
        <v>48</v>
      </c>
      <c r="P21" s="1" t="s">
        <v>190</v>
      </c>
      <c r="Q21" s="4">
        <v>1.4379999999999999</v>
      </c>
      <c r="R21" s="4">
        <v>1.4379999999999999</v>
      </c>
      <c r="S21" s="4">
        <v>4.125</v>
      </c>
      <c r="T21" s="1" t="s">
        <v>50</v>
      </c>
      <c r="U21" s="1"/>
      <c r="V21" s="1"/>
      <c r="W21" s="1"/>
      <c r="X21" s="5">
        <v>72.700000000000003</v>
      </c>
      <c r="Y21" s="7">
        <v>2857788</v>
      </c>
      <c r="Z21" s="7">
        <v>639812</v>
      </c>
      <c r="AA21" s="1"/>
      <c r="AB21" s="1"/>
      <c r="AC21" s="1"/>
      <c r="AD21" s="1"/>
      <c r="AE21" s="1" t="s">
        <v>51</v>
      </c>
      <c r="AF21" s="1" t="s">
        <v>51</v>
      </c>
      <c r="AG21" s="1" t="s">
        <v>47</v>
      </c>
      <c r="AH21" s="1"/>
      <c r="AI21" s="1"/>
      <c r="AJ21" s="3">
        <v>1</v>
      </c>
      <c r="AK21" s="1" t="s">
        <v>52</v>
      </c>
      <c r="AL21" s="3">
        <v>3</v>
      </c>
      <c r="AM21" s="8">
        <v>19.25</v>
      </c>
      <c r="AN21" s="1"/>
      <c r="AO21" s="1" t="s">
        <v>191</v>
      </c>
      <c r="AP21" s="1" t="s">
        <v>96</v>
      </c>
      <c r="AQ21" s="1" t="s">
        <v>192</v>
      </c>
      <c r="AR21" s="1" t="s">
        <v>193</v>
      </c>
    </row>
    <row r="22">
      <c r="A22" s="2">
        <f ca="1">DATE(1999,10,05)</f>
        <v>0</v>
      </c>
      <c r="B22" s="2">
        <f ca="1">DATE(2000,01,28)</f>
        <v>0</v>
      </c>
      <c r="C22" s="1" t="s">
        <v>188</v>
      </c>
      <c r="D22" s="3">
        <v>7372</v>
      </c>
      <c r="E22" s="1" t="s">
        <v>43</v>
      </c>
      <c r="F22" s="1" t="s">
        <v>189</v>
      </c>
      <c r="G22" s="1" t="s">
        <v>96</v>
      </c>
      <c r="H22" s="4">
        <v>1.1200000000000001</v>
      </c>
      <c r="I22" s="4">
        <v>7</v>
      </c>
      <c r="J22" s="5">
        <v>12.199999999999999</v>
      </c>
      <c r="K22" s="8">
        <v>16</v>
      </c>
      <c r="L22" s="1" t="s">
        <v>58</v>
      </c>
      <c r="M22" s="1" t="s">
        <v>47</v>
      </c>
      <c r="N22" s="3">
        <v>133766105</v>
      </c>
      <c r="O22" s="1" t="s">
        <v>48</v>
      </c>
      <c r="P22" s="1" t="s">
        <v>194</v>
      </c>
      <c r="Q22" s="4">
        <v>1.4379999999999999</v>
      </c>
      <c r="R22" s="4">
        <v>1.4379999999999999</v>
      </c>
      <c r="S22" s="4">
        <v>4.125</v>
      </c>
      <c r="T22" s="1" t="s">
        <v>60</v>
      </c>
      <c r="U22" s="1"/>
      <c r="V22" s="1"/>
      <c r="W22" s="1"/>
      <c r="X22" s="1"/>
      <c r="Y22" s="7">
        <v>760348</v>
      </c>
      <c r="Z22" s="1"/>
      <c r="AA22" s="1"/>
      <c r="AB22" s="1"/>
      <c r="AC22" s="1"/>
      <c r="AD22" s="1"/>
      <c r="AE22" s="1" t="s">
        <v>51</v>
      </c>
      <c r="AF22" s="1" t="s">
        <v>51</v>
      </c>
      <c r="AG22" s="1" t="s">
        <v>47</v>
      </c>
      <c r="AH22" s="1"/>
      <c r="AI22" s="1"/>
      <c r="AJ22" s="3">
        <v>1</v>
      </c>
      <c r="AK22" s="1" t="s">
        <v>52</v>
      </c>
      <c r="AL22" s="3">
        <v>1</v>
      </c>
      <c r="AM22" s="1"/>
      <c r="AN22" s="1"/>
      <c r="AO22" s="1" t="s">
        <v>195</v>
      </c>
      <c r="AP22" s="1" t="s">
        <v>96</v>
      </c>
      <c r="AQ22" s="1" t="s">
        <v>96</v>
      </c>
      <c r="AR22" s="1" t="s">
        <v>103</v>
      </c>
    </row>
    <row r="23">
      <c r="A23" s="2">
        <f ca="1">DATE(1999,09,23)</f>
        <v>0</v>
      </c>
      <c r="B23" s="2">
        <f ca="1">DATE(2000,01,28)</f>
        <v>0</v>
      </c>
      <c r="C23" s="1" t="s">
        <v>196</v>
      </c>
      <c r="D23" s="3">
        <v>7379</v>
      </c>
      <c r="E23" s="1" t="s">
        <v>43</v>
      </c>
      <c r="F23" s="1" t="s">
        <v>197</v>
      </c>
      <c r="G23" s="1" t="s">
        <v>75</v>
      </c>
      <c r="H23" s="4">
        <v>1.05</v>
      </c>
      <c r="I23" s="4">
        <v>7</v>
      </c>
      <c r="J23" s="5">
        <v>97.5</v>
      </c>
      <c r="K23" s="4">
        <v>15</v>
      </c>
      <c r="L23" s="1" t="s">
        <v>46</v>
      </c>
      <c r="M23" s="1" t="s">
        <v>47</v>
      </c>
      <c r="N23" s="3">
        <v>539441105</v>
      </c>
      <c r="O23" s="1" t="s">
        <v>48</v>
      </c>
      <c r="P23" s="1" t="s">
        <v>198</v>
      </c>
      <c r="Q23" s="4">
        <v>1.3999999999999999</v>
      </c>
      <c r="R23" s="4">
        <v>1.3999999999999999</v>
      </c>
      <c r="S23" s="8">
        <v>4.2000000000000002</v>
      </c>
      <c r="T23" s="1" t="s">
        <v>50</v>
      </c>
      <c r="U23" s="1"/>
      <c r="V23" s="1"/>
      <c r="W23" s="1"/>
      <c r="X23" s="5">
        <v>69</v>
      </c>
      <c r="Y23" s="7">
        <v>6500000</v>
      </c>
      <c r="Z23" s="1"/>
      <c r="AA23" s="2">
        <f ca="1">DATE(2000,07,26)</f>
        <v>0</v>
      </c>
      <c r="AB23" s="4">
        <v>67.191000000000002</v>
      </c>
      <c r="AC23" s="3">
        <v>180</v>
      </c>
      <c r="AD23" s="8">
        <v>13311457</v>
      </c>
      <c r="AE23" s="1" t="s">
        <v>51</v>
      </c>
      <c r="AF23" s="1" t="s">
        <v>51</v>
      </c>
      <c r="AG23" s="1" t="s">
        <v>47</v>
      </c>
      <c r="AH23" s="1"/>
      <c r="AI23" s="1"/>
      <c r="AJ23" s="3">
        <v>1</v>
      </c>
      <c r="AK23" s="1" t="s">
        <v>52</v>
      </c>
      <c r="AL23" s="3">
        <v>4</v>
      </c>
      <c r="AM23" s="8">
        <v>23.559999999999999</v>
      </c>
      <c r="AN23" s="1"/>
      <c r="AO23" s="1" t="s">
        <v>199</v>
      </c>
      <c r="AP23" s="1" t="s">
        <v>75</v>
      </c>
      <c r="AQ23" s="1" t="s">
        <v>200</v>
      </c>
      <c r="AR23" s="1" t="s">
        <v>201</v>
      </c>
    </row>
    <row r="24">
      <c r="A24" s="2">
        <f ca="1">DATE(1999,12,29)</f>
        <v>0</v>
      </c>
      <c r="B24" s="2">
        <f ca="1">DATE(2000,01,28)</f>
        <v>0</v>
      </c>
      <c r="C24" s="1" t="s">
        <v>202</v>
      </c>
      <c r="D24" s="3">
        <v>3663</v>
      </c>
      <c r="E24" s="1" t="s">
        <v>43</v>
      </c>
      <c r="F24" s="1" t="s">
        <v>203</v>
      </c>
      <c r="G24" s="1" t="s">
        <v>204</v>
      </c>
      <c r="H24" s="4">
        <v>0.85999999999999999</v>
      </c>
      <c r="I24" s="4">
        <v>6.6150000000000002</v>
      </c>
      <c r="J24" s="5">
        <v>110.5</v>
      </c>
      <c r="K24" s="4">
        <v>13</v>
      </c>
      <c r="L24" s="1" t="s">
        <v>46</v>
      </c>
      <c r="M24" s="1" t="s">
        <v>47</v>
      </c>
      <c r="N24" s="1" t="s">
        <v>205</v>
      </c>
      <c r="O24" s="1" t="s">
        <v>48</v>
      </c>
      <c r="P24" s="1" t="s">
        <v>206</v>
      </c>
      <c r="Q24" s="4">
        <v>1.385</v>
      </c>
      <c r="R24" s="4">
        <v>1.385</v>
      </c>
      <c r="S24" s="6">
        <v>3.8461500000000002</v>
      </c>
      <c r="T24" s="1" t="s">
        <v>50</v>
      </c>
      <c r="U24" s="8">
        <v>10</v>
      </c>
      <c r="V24" s="8">
        <v>8</v>
      </c>
      <c r="W24" s="7">
        <v>7500000</v>
      </c>
      <c r="X24" s="5">
        <v>67.5</v>
      </c>
      <c r="Y24" s="7">
        <v>8500000</v>
      </c>
      <c r="Z24" s="1"/>
      <c r="AA24" s="2">
        <f ca="1">DATE(2000,07,26)</f>
        <v>0</v>
      </c>
      <c r="AB24" s="4">
        <v>64.739999999999995</v>
      </c>
      <c r="AC24" s="3">
        <v>180</v>
      </c>
      <c r="AD24" s="8">
        <v>28725805</v>
      </c>
      <c r="AE24" s="1" t="s">
        <v>51</v>
      </c>
      <c r="AF24" s="1" t="s">
        <v>51</v>
      </c>
      <c r="AG24" s="1" t="s">
        <v>47</v>
      </c>
      <c r="AH24" s="1"/>
      <c r="AI24" s="1"/>
      <c r="AJ24" s="3">
        <v>1</v>
      </c>
      <c r="AK24" s="1" t="s">
        <v>52</v>
      </c>
      <c r="AL24" s="3">
        <v>3</v>
      </c>
      <c r="AM24" s="8">
        <v>36.880000000000003</v>
      </c>
      <c r="AN24" s="1"/>
      <c r="AO24" s="1" t="s">
        <v>207</v>
      </c>
      <c r="AP24" s="1" t="s">
        <v>204</v>
      </c>
      <c r="AQ24" s="1" t="s">
        <v>208</v>
      </c>
      <c r="AR24" s="1" t="s">
        <v>206</v>
      </c>
    </row>
    <row r="25">
      <c r="A25" s="2">
        <f ca="1">DATE(1999,10,04)</f>
        <v>0</v>
      </c>
      <c r="B25" s="2">
        <f ca="1">DATE(2000,01,31)</f>
        <v>0</v>
      </c>
      <c r="C25" s="1" t="s">
        <v>209</v>
      </c>
      <c r="D25" s="3">
        <v>4813</v>
      </c>
      <c r="E25" s="1" t="s">
        <v>210</v>
      </c>
      <c r="F25" s="1" t="s">
        <v>211</v>
      </c>
      <c r="G25" s="1" t="s">
        <v>106</v>
      </c>
      <c r="H25" s="4">
        <v>1.105</v>
      </c>
      <c r="I25" s="4">
        <v>6.5</v>
      </c>
      <c r="J25" s="5">
        <v>195.5</v>
      </c>
      <c r="K25" s="8">
        <v>17</v>
      </c>
      <c r="L25" s="1" t="s">
        <v>58</v>
      </c>
      <c r="M25" s="1" t="s">
        <v>47</v>
      </c>
      <c r="N25" s="1"/>
      <c r="O25" s="1" t="s">
        <v>67</v>
      </c>
      <c r="P25" s="1" t="s">
        <v>212</v>
      </c>
      <c r="Q25" s="4">
        <v>1.353</v>
      </c>
      <c r="R25" s="4">
        <v>1.294</v>
      </c>
      <c r="S25" s="6">
        <v>3.8822899999999998</v>
      </c>
      <c r="T25" s="1" t="s">
        <v>60</v>
      </c>
      <c r="U25" s="1"/>
      <c r="V25" s="1"/>
      <c r="W25" s="1"/>
      <c r="X25" s="5">
        <v>150</v>
      </c>
      <c r="Y25" s="7">
        <v>11500000</v>
      </c>
      <c r="Z25" s="1"/>
      <c r="AA25" s="1"/>
      <c r="AB25" s="1"/>
      <c r="AC25" s="1"/>
      <c r="AD25" s="1"/>
      <c r="AE25" s="1" t="s">
        <v>51</v>
      </c>
      <c r="AF25" s="1" t="s">
        <v>51</v>
      </c>
      <c r="AG25" s="1" t="s">
        <v>51</v>
      </c>
      <c r="AH25" s="1"/>
      <c r="AI25" s="1"/>
      <c r="AJ25" s="3">
        <v>1</v>
      </c>
      <c r="AK25" s="1" t="s">
        <v>52</v>
      </c>
      <c r="AL25" s="3">
        <v>1</v>
      </c>
      <c r="AM25" s="1"/>
      <c r="AN25" s="1"/>
      <c r="AO25" s="1" t="s">
        <v>213</v>
      </c>
      <c r="AP25" s="1" t="s">
        <v>106</v>
      </c>
      <c r="AQ25" s="1" t="s">
        <v>106</v>
      </c>
      <c r="AR25" s="1" t="s">
        <v>214</v>
      </c>
    </row>
    <row r="26">
      <c r="A26" s="2">
        <f ca="1">DATE(1999,09,10)</f>
        <v>0</v>
      </c>
      <c r="B26" s="2">
        <f ca="1">DATE(2000,01,31)</f>
        <v>0</v>
      </c>
      <c r="C26" s="1" t="s">
        <v>215</v>
      </c>
      <c r="D26" s="3">
        <v>3674</v>
      </c>
      <c r="E26" s="1" t="s">
        <v>43</v>
      </c>
      <c r="F26" s="1" t="s">
        <v>216</v>
      </c>
      <c r="G26" s="1" t="s">
        <v>106</v>
      </c>
      <c r="H26" s="4">
        <v>1.1200000000000001</v>
      </c>
      <c r="I26" s="4">
        <v>7</v>
      </c>
      <c r="J26" s="5">
        <v>50.5</v>
      </c>
      <c r="K26" s="4">
        <v>16</v>
      </c>
      <c r="L26" s="1" t="s">
        <v>46</v>
      </c>
      <c r="M26" s="1" t="s">
        <v>47</v>
      </c>
      <c r="N26" s="1" t="s">
        <v>217</v>
      </c>
      <c r="O26" s="1" t="s">
        <v>48</v>
      </c>
      <c r="P26" s="1" t="s">
        <v>218</v>
      </c>
      <c r="Q26" s="4">
        <v>1.375</v>
      </c>
      <c r="R26" s="4">
        <v>1.375</v>
      </c>
      <c r="S26" s="8">
        <v>4.25</v>
      </c>
      <c r="T26" s="1" t="s">
        <v>50</v>
      </c>
      <c r="U26" s="1"/>
      <c r="V26" s="1"/>
      <c r="W26" s="1"/>
      <c r="X26" s="5">
        <v>41.399999999999999</v>
      </c>
      <c r="Y26" s="7">
        <v>2543952</v>
      </c>
      <c r="Z26" s="7">
        <v>610548</v>
      </c>
      <c r="AA26" s="1"/>
      <c r="AB26" s="1"/>
      <c r="AC26" s="1"/>
      <c r="AD26" s="1"/>
      <c r="AE26" s="1" t="s">
        <v>51</v>
      </c>
      <c r="AF26" s="1" t="s">
        <v>51</v>
      </c>
      <c r="AG26" s="1" t="s">
        <v>47</v>
      </c>
      <c r="AH26" s="1"/>
      <c r="AI26" s="1"/>
      <c r="AJ26" s="3">
        <v>1</v>
      </c>
      <c r="AK26" s="1" t="s">
        <v>52</v>
      </c>
      <c r="AL26" s="3">
        <v>3</v>
      </c>
      <c r="AM26" s="8">
        <v>56.5</v>
      </c>
      <c r="AN26" s="1"/>
      <c r="AO26" s="1" t="s">
        <v>219</v>
      </c>
      <c r="AP26" s="1" t="s">
        <v>106</v>
      </c>
      <c r="AQ26" s="1" t="s">
        <v>220</v>
      </c>
      <c r="AR26" s="1" t="s">
        <v>221</v>
      </c>
    </row>
    <row r="27">
      <c r="A27" s="2">
        <f ca="1">DATE(1999,09,10)</f>
        <v>0</v>
      </c>
      <c r="B27" s="2">
        <f ca="1">DATE(2000,01,31)</f>
        <v>0</v>
      </c>
      <c r="C27" s="1" t="s">
        <v>215</v>
      </c>
      <c r="D27" s="3">
        <v>3674</v>
      </c>
      <c r="E27" s="1" t="s">
        <v>43</v>
      </c>
      <c r="F27" s="1" t="s">
        <v>216</v>
      </c>
      <c r="G27" s="1" t="s">
        <v>106</v>
      </c>
      <c r="H27" s="4">
        <v>1.1200000000000001</v>
      </c>
      <c r="I27" s="4">
        <v>7</v>
      </c>
      <c r="J27" s="5">
        <v>9</v>
      </c>
      <c r="K27" s="8">
        <v>16</v>
      </c>
      <c r="L27" s="1" t="s">
        <v>58</v>
      </c>
      <c r="M27" s="1" t="s">
        <v>47</v>
      </c>
      <c r="N27" s="1"/>
      <c r="O27" s="1" t="s">
        <v>48</v>
      </c>
      <c r="P27" s="1" t="s">
        <v>222</v>
      </c>
      <c r="Q27" s="1" t="s">
        <v>145</v>
      </c>
      <c r="R27" s="1" t="s">
        <v>145</v>
      </c>
      <c r="S27" s="1"/>
      <c r="T27" s="1" t="s">
        <v>60</v>
      </c>
      <c r="U27" s="1"/>
      <c r="V27" s="1"/>
      <c r="W27" s="1"/>
      <c r="X27" s="1"/>
      <c r="Y27" s="7">
        <v>565500</v>
      </c>
      <c r="Z27" s="1"/>
      <c r="AA27" s="1"/>
      <c r="AB27" s="1"/>
      <c r="AC27" s="1"/>
      <c r="AD27" s="1"/>
      <c r="AE27" s="1" t="s">
        <v>51</v>
      </c>
      <c r="AF27" s="1" t="s">
        <v>51</v>
      </c>
      <c r="AG27" s="1" t="s">
        <v>47</v>
      </c>
      <c r="AH27" s="1"/>
      <c r="AI27" s="1"/>
      <c r="AJ27" s="3">
        <v>1</v>
      </c>
      <c r="AK27" s="1" t="s">
        <v>52</v>
      </c>
      <c r="AL27" s="3">
        <v>3</v>
      </c>
      <c r="AM27" s="1"/>
      <c r="AN27" s="1"/>
      <c r="AO27" s="1" t="s">
        <v>223</v>
      </c>
      <c r="AP27" s="1" t="s">
        <v>106</v>
      </c>
      <c r="AQ27" s="1" t="s">
        <v>224</v>
      </c>
      <c r="AR27" s="1" t="s">
        <v>225</v>
      </c>
    </row>
    <row r="28">
      <c r="A28" s="2">
        <f ca="1">DATE(1999,11,24)</f>
        <v>0</v>
      </c>
      <c r="B28" s="2">
        <f ca="1">DATE(2000,01,31)</f>
        <v>0</v>
      </c>
      <c r="C28" s="1" t="s">
        <v>226</v>
      </c>
      <c r="D28" s="3">
        <v>3841</v>
      </c>
      <c r="E28" s="1" t="s">
        <v>43</v>
      </c>
      <c r="F28" s="1" t="s">
        <v>227</v>
      </c>
      <c r="G28" s="1" t="s">
        <v>228</v>
      </c>
      <c r="H28" s="4">
        <v>1.8200000000000001</v>
      </c>
      <c r="I28" s="4">
        <v>7</v>
      </c>
      <c r="J28" s="5">
        <v>119.40000000000001</v>
      </c>
      <c r="K28" s="4">
        <v>26</v>
      </c>
      <c r="L28" s="1" t="s">
        <v>46</v>
      </c>
      <c r="M28" s="1" t="s">
        <v>47</v>
      </c>
      <c r="N28" s="3">
        <v>817337108</v>
      </c>
      <c r="O28" s="1" t="s">
        <v>48</v>
      </c>
      <c r="P28" s="1" t="s">
        <v>229</v>
      </c>
      <c r="Q28" s="4">
        <v>1.4039999999999999</v>
      </c>
      <c r="R28" s="4">
        <v>1.365</v>
      </c>
      <c r="S28" s="6">
        <v>4.2307699999999997</v>
      </c>
      <c r="T28" s="1" t="s">
        <v>50</v>
      </c>
      <c r="U28" s="1"/>
      <c r="V28" s="1"/>
      <c r="W28" s="1"/>
      <c r="X28" s="5">
        <v>70</v>
      </c>
      <c r="Y28" s="7">
        <v>4593750</v>
      </c>
      <c r="Z28" s="1"/>
      <c r="AA28" s="1"/>
      <c r="AB28" s="1"/>
      <c r="AC28" s="1"/>
      <c r="AD28" s="1"/>
      <c r="AE28" s="1" t="s">
        <v>51</v>
      </c>
      <c r="AF28" s="1" t="s">
        <v>51</v>
      </c>
      <c r="AG28" s="1" t="s">
        <v>47</v>
      </c>
      <c r="AH28" s="1"/>
      <c r="AI28" s="1"/>
      <c r="AJ28" s="3">
        <v>1</v>
      </c>
      <c r="AK28" s="1" t="s">
        <v>52</v>
      </c>
      <c r="AL28" s="3">
        <v>3</v>
      </c>
      <c r="AM28" s="8">
        <v>79.25</v>
      </c>
      <c r="AN28" s="1"/>
      <c r="AO28" s="1" t="s">
        <v>230</v>
      </c>
      <c r="AP28" s="1" t="s">
        <v>228</v>
      </c>
      <c r="AQ28" s="1" t="s">
        <v>231</v>
      </c>
      <c r="AR28" s="1" t="s">
        <v>232</v>
      </c>
    </row>
    <row r="29">
      <c r="A29" s="2">
        <f ca="1">DATE(1999,11,24)</f>
        <v>0</v>
      </c>
      <c r="B29" s="2">
        <f ca="1">DATE(2000,01,31)</f>
        <v>0</v>
      </c>
      <c r="C29" s="1" t="s">
        <v>226</v>
      </c>
      <c r="D29" s="3">
        <v>3841</v>
      </c>
      <c r="E29" s="1" t="s">
        <v>43</v>
      </c>
      <c r="F29" s="1" t="s">
        <v>227</v>
      </c>
      <c r="G29" s="1" t="s">
        <v>233</v>
      </c>
      <c r="H29" s="4">
        <v>1.8200000000000001</v>
      </c>
      <c r="I29" s="4">
        <v>7</v>
      </c>
      <c r="J29" s="5">
        <v>17.100000000000001</v>
      </c>
      <c r="K29" s="8">
        <v>26</v>
      </c>
      <c r="L29" s="1" t="s">
        <v>58</v>
      </c>
      <c r="M29" s="1" t="s">
        <v>47</v>
      </c>
      <c r="N29" s="1"/>
      <c r="O29" s="1" t="s">
        <v>48</v>
      </c>
      <c r="P29" s="1" t="s">
        <v>234</v>
      </c>
      <c r="Q29" s="4">
        <v>1.385</v>
      </c>
      <c r="R29" s="4">
        <v>1.3460000000000001</v>
      </c>
      <c r="S29" s="6">
        <v>4.2306900000000001</v>
      </c>
      <c r="T29" s="1" t="s">
        <v>60</v>
      </c>
      <c r="U29" s="1"/>
      <c r="V29" s="1"/>
      <c r="W29" s="1"/>
      <c r="X29" s="1"/>
      <c r="Y29" s="7">
        <v>656250</v>
      </c>
      <c r="Z29" s="1"/>
      <c r="AA29" s="1"/>
      <c r="AB29" s="1"/>
      <c r="AC29" s="1"/>
      <c r="AD29" s="1"/>
      <c r="AE29" s="1" t="s">
        <v>51</v>
      </c>
      <c r="AF29" s="1" t="s">
        <v>51</v>
      </c>
      <c r="AG29" s="1" t="s">
        <v>47</v>
      </c>
      <c r="AH29" s="1"/>
      <c r="AI29" s="1"/>
      <c r="AJ29" s="3">
        <v>1</v>
      </c>
      <c r="AK29" s="1" t="s">
        <v>52</v>
      </c>
      <c r="AL29" s="3">
        <v>1</v>
      </c>
      <c r="AM29" s="1"/>
      <c r="AN29" s="1"/>
      <c r="AO29" s="1" t="s">
        <v>235</v>
      </c>
      <c r="AP29" s="1" t="s">
        <v>233</v>
      </c>
      <c r="AQ29" s="1" t="s">
        <v>233</v>
      </c>
      <c r="AR29" s="1" t="s">
        <v>236</v>
      </c>
    </row>
    <row r="30">
      <c r="A30" s="2">
        <f ca="1">DATE(1999,09,09)</f>
        <v>0</v>
      </c>
      <c r="B30" s="2">
        <f ca="1">DATE(2000,01,31)</f>
        <v>0</v>
      </c>
      <c r="C30" s="1" t="s">
        <v>237</v>
      </c>
      <c r="D30" s="3">
        <v>8299</v>
      </c>
      <c r="E30" s="1" t="s">
        <v>43</v>
      </c>
      <c r="F30" s="1" t="s">
        <v>238</v>
      </c>
      <c r="G30" s="1" t="s">
        <v>239</v>
      </c>
      <c r="H30" s="4">
        <v>0.97999999999999998</v>
      </c>
      <c r="I30" s="8">
        <v>7</v>
      </c>
      <c r="J30" s="5">
        <v>37.899999999999999</v>
      </c>
      <c r="K30" s="4">
        <v>14</v>
      </c>
      <c r="L30" s="1" t="s">
        <v>46</v>
      </c>
      <c r="M30" s="1" t="s">
        <v>47</v>
      </c>
      <c r="N30" s="1" t="s">
        <v>240</v>
      </c>
      <c r="O30" s="1" t="s">
        <v>48</v>
      </c>
      <c r="P30" s="1" t="s">
        <v>241</v>
      </c>
      <c r="Q30" s="4">
        <v>1.357</v>
      </c>
      <c r="R30" s="4">
        <v>1.4290000000000001</v>
      </c>
      <c r="S30" s="6">
        <v>4.2142900000000001</v>
      </c>
      <c r="T30" s="1" t="s">
        <v>50</v>
      </c>
      <c r="U30" s="1"/>
      <c r="V30" s="1"/>
      <c r="W30" s="1"/>
      <c r="X30" s="5">
        <v>46</v>
      </c>
      <c r="Y30" s="7">
        <v>2709400</v>
      </c>
      <c r="Z30" s="1"/>
      <c r="AA30" s="1"/>
      <c r="AB30" s="1"/>
      <c r="AC30" s="1"/>
      <c r="AD30" s="1"/>
      <c r="AE30" s="1" t="s">
        <v>51</v>
      </c>
      <c r="AF30" s="1" t="s">
        <v>51</v>
      </c>
      <c r="AG30" s="1" t="s">
        <v>47</v>
      </c>
      <c r="AH30" s="1"/>
      <c r="AI30" s="1" t="s">
        <v>242</v>
      </c>
      <c r="AJ30" s="3">
        <v>1</v>
      </c>
      <c r="AK30" s="1" t="s">
        <v>52</v>
      </c>
      <c r="AL30" s="3">
        <v>3</v>
      </c>
      <c r="AM30" s="8">
        <v>18</v>
      </c>
      <c r="AN30" s="1"/>
      <c r="AO30" s="1" t="s">
        <v>243</v>
      </c>
      <c r="AP30" s="1" t="s">
        <v>239</v>
      </c>
      <c r="AQ30" s="1" t="s">
        <v>244</v>
      </c>
      <c r="AR30" s="1" t="s">
        <v>245</v>
      </c>
    </row>
    <row r="31">
      <c r="A31" s="2">
        <f ca="1">DATE(1999,09,09)</f>
        <v>0</v>
      </c>
      <c r="B31" s="2">
        <f ca="1">DATE(2000,01,31)</f>
        <v>0</v>
      </c>
      <c r="C31" s="1" t="s">
        <v>237</v>
      </c>
      <c r="D31" s="3">
        <v>8299</v>
      </c>
      <c r="E31" s="1" t="s">
        <v>43</v>
      </c>
      <c r="F31" s="1" t="s">
        <v>238</v>
      </c>
      <c r="G31" s="1" t="s">
        <v>179</v>
      </c>
      <c r="H31" s="8">
        <v>0.97999999999999998</v>
      </c>
      <c r="I31" s="8">
        <v>7</v>
      </c>
      <c r="J31" s="5">
        <v>5.5</v>
      </c>
      <c r="K31" s="8">
        <v>14</v>
      </c>
      <c r="L31" s="1" t="s">
        <v>58</v>
      </c>
      <c r="M31" s="1" t="s">
        <v>47</v>
      </c>
      <c r="N31" s="1" t="s">
        <v>240</v>
      </c>
      <c r="O31" s="1" t="s">
        <v>48</v>
      </c>
      <c r="P31" s="1" t="s">
        <v>246</v>
      </c>
      <c r="Q31" s="4">
        <v>1.357</v>
      </c>
      <c r="R31" s="4">
        <v>1.4290000000000001</v>
      </c>
      <c r="S31" s="6">
        <v>4.2142099999999996</v>
      </c>
      <c r="T31" s="1" t="s">
        <v>60</v>
      </c>
      <c r="U31" s="1"/>
      <c r="V31" s="1"/>
      <c r="W31" s="1"/>
      <c r="X31" s="1"/>
      <c r="Y31" s="7">
        <v>390600</v>
      </c>
      <c r="Z31" s="1"/>
      <c r="AA31" s="1"/>
      <c r="AB31" s="1"/>
      <c r="AC31" s="1"/>
      <c r="AD31" s="1"/>
      <c r="AE31" s="1" t="s">
        <v>51</v>
      </c>
      <c r="AF31" s="1" t="s">
        <v>51</v>
      </c>
      <c r="AG31" s="1" t="s">
        <v>47</v>
      </c>
      <c r="AH31" s="1"/>
      <c r="AI31" s="1" t="s">
        <v>242</v>
      </c>
      <c r="AJ31" s="3">
        <v>1</v>
      </c>
      <c r="AK31" s="1" t="s">
        <v>52</v>
      </c>
      <c r="AL31" s="3">
        <v>3</v>
      </c>
      <c r="AM31" s="1"/>
      <c r="AN31" s="1"/>
      <c r="AO31" s="1" t="s">
        <v>247</v>
      </c>
      <c r="AP31" s="1" t="s">
        <v>179</v>
      </c>
      <c r="AQ31" s="1" t="s">
        <v>248</v>
      </c>
      <c r="AR31" s="1" t="s">
        <v>249</v>
      </c>
    </row>
    <row r="32">
      <c r="A32" s="2">
        <f ca="1">DATE(1999,11,22)</f>
        <v>0</v>
      </c>
      <c r="B32" s="2">
        <f ca="1">DATE(2000,01,31)</f>
        <v>0</v>
      </c>
      <c r="C32" s="1" t="s">
        <v>250</v>
      </c>
      <c r="D32" s="3">
        <v>3669</v>
      </c>
      <c r="E32" s="1" t="s">
        <v>43</v>
      </c>
      <c r="F32" s="1" t="s">
        <v>251</v>
      </c>
      <c r="G32" s="1" t="s">
        <v>160</v>
      </c>
      <c r="H32" s="4">
        <v>2.0299999999999998</v>
      </c>
      <c r="I32" s="8">
        <v>7</v>
      </c>
      <c r="J32" s="5">
        <v>75</v>
      </c>
      <c r="K32" s="4">
        <v>29</v>
      </c>
      <c r="L32" s="1" t="s">
        <v>46</v>
      </c>
      <c r="M32" s="1" t="s">
        <v>47</v>
      </c>
      <c r="N32" s="3">
        <v>900423104</v>
      </c>
      <c r="O32" s="1" t="s">
        <v>48</v>
      </c>
      <c r="P32" s="1" t="s">
        <v>252</v>
      </c>
      <c r="Q32" s="4">
        <v>1.4139999999999999</v>
      </c>
      <c r="R32" s="4">
        <v>1.4139999999999999</v>
      </c>
      <c r="S32" s="6">
        <v>4.1724100000000002</v>
      </c>
      <c r="T32" s="1" t="s">
        <v>50</v>
      </c>
      <c r="U32" s="1"/>
      <c r="V32" s="1"/>
      <c r="W32" s="1"/>
      <c r="X32" s="5">
        <v>48.299999999999997</v>
      </c>
      <c r="Y32" s="7">
        <v>2585000</v>
      </c>
      <c r="Z32" s="1"/>
      <c r="AA32" s="1"/>
      <c r="AB32" s="1"/>
      <c r="AC32" s="1"/>
      <c r="AD32" s="1"/>
      <c r="AE32" s="1" t="s">
        <v>51</v>
      </c>
      <c r="AF32" s="1" t="s">
        <v>51</v>
      </c>
      <c r="AG32" s="1" t="s">
        <v>47</v>
      </c>
      <c r="AH32" s="1"/>
      <c r="AI32" s="1"/>
      <c r="AJ32" s="3">
        <v>1</v>
      </c>
      <c r="AK32" s="1" t="s">
        <v>52</v>
      </c>
      <c r="AL32" s="3">
        <v>3</v>
      </c>
      <c r="AM32" s="8">
        <v>97</v>
      </c>
      <c r="AN32" s="1"/>
      <c r="AO32" s="1" t="s">
        <v>253</v>
      </c>
      <c r="AP32" s="1" t="s">
        <v>160</v>
      </c>
      <c r="AQ32" s="1" t="s">
        <v>254</v>
      </c>
      <c r="AR32" s="1" t="s">
        <v>255</v>
      </c>
    </row>
    <row r="33">
      <c r="A33" s="2">
        <f ca="1">DATE(1999,09,27)</f>
        <v>0</v>
      </c>
      <c r="B33" s="2">
        <f ca="1">DATE(2000,02,01)</f>
        <v>0</v>
      </c>
      <c r="C33" s="1" t="s">
        <v>256</v>
      </c>
      <c r="D33" s="3">
        <v>3679</v>
      </c>
      <c r="E33" s="1" t="s">
        <v>43</v>
      </c>
      <c r="F33" s="1" t="s">
        <v>257</v>
      </c>
      <c r="G33" s="1" t="s">
        <v>239</v>
      </c>
      <c r="H33" s="4">
        <v>1.19</v>
      </c>
      <c r="I33" s="8">
        <v>7</v>
      </c>
      <c r="J33" s="5">
        <v>49.200000000000003</v>
      </c>
      <c r="K33" s="4">
        <v>17</v>
      </c>
      <c r="L33" s="1" t="s">
        <v>46</v>
      </c>
      <c r="M33" s="1" t="s">
        <v>47</v>
      </c>
      <c r="N33" s="3">
        <v>879202109</v>
      </c>
      <c r="O33" s="1" t="s">
        <v>48</v>
      </c>
      <c r="P33" s="1" t="s">
        <v>258</v>
      </c>
      <c r="Q33" s="4">
        <v>1.4119999999999999</v>
      </c>
      <c r="R33" s="4">
        <v>1.4119999999999999</v>
      </c>
      <c r="S33" s="6">
        <v>4.1764700000000001</v>
      </c>
      <c r="T33" s="1" t="s">
        <v>50</v>
      </c>
      <c r="U33" s="1"/>
      <c r="V33" s="1"/>
      <c r="W33" s="1"/>
      <c r="X33" s="5">
        <v>72.5</v>
      </c>
      <c r="Y33" s="7">
        <v>2896000</v>
      </c>
      <c r="Z33" s="1"/>
      <c r="AA33" s="1"/>
      <c r="AB33" s="1"/>
      <c r="AC33" s="1"/>
      <c r="AD33" s="1"/>
      <c r="AE33" s="1" t="s">
        <v>51</v>
      </c>
      <c r="AF33" s="1" t="s">
        <v>51</v>
      </c>
      <c r="AG33" s="1" t="s">
        <v>47</v>
      </c>
      <c r="AH33" s="1"/>
      <c r="AI33" s="1"/>
      <c r="AJ33" s="3">
        <v>1</v>
      </c>
      <c r="AK33" s="1" t="s">
        <v>52</v>
      </c>
      <c r="AL33" s="3">
        <v>3</v>
      </c>
      <c r="AM33" s="8">
        <v>47.5</v>
      </c>
      <c r="AN33" s="1"/>
      <c r="AO33" s="1" t="s">
        <v>259</v>
      </c>
      <c r="AP33" s="1" t="s">
        <v>239</v>
      </c>
      <c r="AQ33" s="1" t="s">
        <v>260</v>
      </c>
      <c r="AR33" s="1" t="s">
        <v>261</v>
      </c>
    </row>
    <row r="34">
      <c r="A34" s="2">
        <f ca="1">DATE(1999,09,27)</f>
        <v>0</v>
      </c>
      <c r="B34" s="2">
        <f ca="1">DATE(2000,02,01)</f>
        <v>0</v>
      </c>
      <c r="C34" s="1" t="s">
        <v>256</v>
      </c>
      <c r="D34" s="3">
        <v>3679</v>
      </c>
      <c r="E34" s="1" t="s">
        <v>43</v>
      </c>
      <c r="F34" s="1" t="s">
        <v>257</v>
      </c>
      <c r="G34" s="1" t="s">
        <v>179</v>
      </c>
      <c r="H34" s="4">
        <v>1.19</v>
      </c>
      <c r="I34" s="8">
        <v>7</v>
      </c>
      <c r="J34" s="5">
        <v>8.5999999999999996</v>
      </c>
      <c r="K34" s="8">
        <v>17</v>
      </c>
      <c r="L34" s="1" t="s">
        <v>58</v>
      </c>
      <c r="M34" s="1" t="s">
        <v>47</v>
      </c>
      <c r="N34" s="1"/>
      <c r="O34" s="1" t="s">
        <v>48</v>
      </c>
      <c r="P34" s="1" t="s">
        <v>262</v>
      </c>
      <c r="Q34" s="4">
        <v>1.4119999999999999</v>
      </c>
      <c r="R34" s="4">
        <v>1.4119999999999999</v>
      </c>
      <c r="S34" s="6">
        <v>4.1764099999999997</v>
      </c>
      <c r="T34" s="1" t="s">
        <v>60</v>
      </c>
      <c r="U34" s="1"/>
      <c r="V34" s="1"/>
      <c r="W34" s="1"/>
      <c r="X34" s="1"/>
      <c r="Y34" s="7">
        <v>504000</v>
      </c>
      <c r="Z34" s="1"/>
      <c r="AA34" s="1"/>
      <c r="AB34" s="1"/>
      <c r="AC34" s="1"/>
      <c r="AD34" s="1"/>
      <c r="AE34" s="1" t="s">
        <v>51</v>
      </c>
      <c r="AF34" s="1" t="s">
        <v>51</v>
      </c>
      <c r="AG34" s="1" t="s">
        <v>47</v>
      </c>
      <c r="AH34" s="1"/>
      <c r="AI34" s="1"/>
      <c r="AJ34" s="3">
        <v>1</v>
      </c>
      <c r="AK34" s="1" t="s">
        <v>52</v>
      </c>
      <c r="AL34" s="3">
        <v>3</v>
      </c>
      <c r="AM34" s="1"/>
      <c r="AN34" s="1"/>
      <c r="AO34" s="1" t="s">
        <v>263</v>
      </c>
      <c r="AP34" s="1" t="s">
        <v>179</v>
      </c>
      <c r="AQ34" s="1" t="s">
        <v>264</v>
      </c>
      <c r="AR34" s="1" t="s">
        <v>265</v>
      </c>
    </row>
    <row r="35">
      <c r="A35" s="2">
        <f ca="1">DATE(1999,10,27)</f>
        <v>0</v>
      </c>
      <c r="B35" s="2">
        <f ca="1">DATE(2000,02,02)</f>
        <v>0</v>
      </c>
      <c r="C35" s="1" t="s">
        <v>266</v>
      </c>
      <c r="D35" s="3">
        <v>7372</v>
      </c>
      <c r="E35" s="1" t="s">
        <v>43</v>
      </c>
      <c r="F35" s="1" t="s">
        <v>267</v>
      </c>
      <c r="G35" s="1" t="s">
        <v>122</v>
      </c>
      <c r="H35" s="4">
        <v>0.97999999999999998</v>
      </c>
      <c r="I35" s="8">
        <v>7</v>
      </c>
      <c r="J35" s="5">
        <v>70</v>
      </c>
      <c r="K35" s="4">
        <v>14</v>
      </c>
      <c r="L35" s="1" t="s">
        <v>46</v>
      </c>
      <c r="M35" s="1" t="s">
        <v>47</v>
      </c>
      <c r="N35" s="1" t="s">
        <v>268</v>
      </c>
      <c r="O35" s="1" t="s">
        <v>48</v>
      </c>
      <c r="P35" s="1" t="s">
        <v>269</v>
      </c>
      <c r="Q35" s="4">
        <v>1.357</v>
      </c>
      <c r="R35" s="4">
        <v>1.4290000000000001</v>
      </c>
      <c r="S35" s="6">
        <v>4.2142900000000001</v>
      </c>
      <c r="T35" s="1" t="s">
        <v>50</v>
      </c>
      <c r="U35" s="1"/>
      <c r="V35" s="1"/>
      <c r="W35" s="1"/>
      <c r="X35" s="5">
        <v>57.5</v>
      </c>
      <c r="Y35" s="7">
        <v>5000000</v>
      </c>
      <c r="Z35" s="1"/>
      <c r="AA35" s="2">
        <f ca="1">DATE(2000,07,31)</f>
        <v>0</v>
      </c>
      <c r="AB35" s="4">
        <v>78.495000000000005</v>
      </c>
      <c r="AC35" s="3">
        <v>180</v>
      </c>
      <c r="AD35" s="8">
        <v>18250052</v>
      </c>
      <c r="AE35" s="1" t="s">
        <v>51</v>
      </c>
      <c r="AF35" s="1" t="s">
        <v>51</v>
      </c>
      <c r="AG35" s="1" t="s">
        <v>47</v>
      </c>
      <c r="AH35" s="1"/>
      <c r="AI35" s="1"/>
      <c r="AJ35" s="3">
        <v>1</v>
      </c>
      <c r="AK35" s="1" t="s">
        <v>52</v>
      </c>
      <c r="AL35" s="3">
        <v>3</v>
      </c>
      <c r="AM35" s="8">
        <v>33.25</v>
      </c>
      <c r="AN35" s="1"/>
      <c r="AO35" s="1" t="s">
        <v>270</v>
      </c>
      <c r="AP35" s="1" t="s">
        <v>122</v>
      </c>
      <c r="AQ35" s="1" t="s">
        <v>271</v>
      </c>
      <c r="AR35" s="1" t="s">
        <v>272</v>
      </c>
    </row>
    <row r="36">
      <c r="A36" s="2">
        <f ca="1">DATE(1999,10,29)</f>
        <v>0</v>
      </c>
      <c r="B36" s="2">
        <f ca="1">DATE(2000,02,03)</f>
        <v>0</v>
      </c>
      <c r="C36" s="1" t="s">
        <v>273</v>
      </c>
      <c r="D36" s="3">
        <v>4813</v>
      </c>
      <c r="E36" s="1" t="s">
        <v>43</v>
      </c>
      <c r="F36" s="1" t="s">
        <v>274</v>
      </c>
      <c r="G36" s="1" t="s">
        <v>275</v>
      </c>
      <c r="H36" s="4">
        <v>1.1479999999999999</v>
      </c>
      <c r="I36" s="4">
        <v>6.75</v>
      </c>
      <c r="J36" s="5">
        <v>182.09999999999999</v>
      </c>
      <c r="K36" s="8">
        <v>17</v>
      </c>
      <c r="L36" s="1" t="s">
        <v>58</v>
      </c>
      <c r="M36" s="1" t="s">
        <v>47</v>
      </c>
      <c r="N36" s="3">
        <v>11593100</v>
      </c>
      <c r="O36" s="1" t="s">
        <v>48</v>
      </c>
      <c r="P36" s="1" t="s">
        <v>276</v>
      </c>
      <c r="Q36" s="4">
        <v>1.3500000000000001</v>
      </c>
      <c r="R36" s="4">
        <v>1.3500000000000001</v>
      </c>
      <c r="S36" s="8">
        <v>4</v>
      </c>
      <c r="T36" s="1" t="s">
        <v>60</v>
      </c>
      <c r="U36" s="1"/>
      <c r="V36" s="1"/>
      <c r="W36" s="1"/>
      <c r="X36" s="5">
        <v>185</v>
      </c>
      <c r="Y36" s="7">
        <v>10714000</v>
      </c>
      <c r="Z36" s="1"/>
      <c r="AA36" s="1"/>
      <c r="AB36" s="1"/>
      <c r="AC36" s="1"/>
      <c r="AD36" s="1"/>
      <c r="AE36" s="1" t="s">
        <v>51</v>
      </c>
      <c r="AF36" s="1" t="s">
        <v>51</v>
      </c>
      <c r="AG36" s="1" t="s">
        <v>51</v>
      </c>
      <c r="AH36" s="1"/>
      <c r="AI36" s="1"/>
      <c r="AJ36" s="3">
        <v>2</v>
      </c>
      <c r="AK36" s="1" t="s">
        <v>89</v>
      </c>
      <c r="AL36" s="3">
        <v>4</v>
      </c>
      <c r="AM36" s="1"/>
      <c r="AN36" s="1"/>
      <c r="AO36" s="1" t="s">
        <v>277</v>
      </c>
      <c r="AP36" s="1" t="s">
        <v>278</v>
      </c>
      <c r="AQ36" s="1" t="s">
        <v>279</v>
      </c>
      <c r="AR36" s="1" t="s">
        <v>276</v>
      </c>
    </row>
    <row r="37">
      <c r="A37" s="2">
        <f ca="1">DATE(1999,11,30)</f>
        <v>0</v>
      </c>
      <c r="B37" s="2">
        <f ca="1">DATE(2000,02,03)</f>
        <v>0</v>
      </c>
      <c r="C37" s="1" t="s">
        <v>280</v>
      </c>
      <c r="D37" s="3">
        <v>2836</v>
      </c>
      <c r="E37" s="1" t="s">
        <v>43</v>
      </c>
      <c r="F37" s="1" t="s">
        <v>281</v>
      </c>
      <c r="G37" s="1" t="s">
        <v>282</v>
      </c>
      <c r="H37" s="4">
        <v>1.26</v>
      </c>
      <c r="I37" s="4">
        <v>7</v>
      </c>
      <c r="J37" s="5">
        <v>63</v>
      </c>
      <c r="K37" s="4">
        <v>18</v>
      </c>
      <c r="L37" s="1" t="s">
        <v>46</v>
      </c>
      <c r="M37" s="1" t="s">
        <v>47</v>
      </c>
      <c r="N37" s="1" t="s">
        <v>283</v>
      </c>
      <c r="O37" s="1" t="s">
        <v>48</v>
      </c>
      <c r="P37" s="1" t="s">
        <v>284</v>
      </c>
      <c r="Q37" s="4">
        <v>1.389</v>
      </c>
      <c r="R37" s="4">
        <v>1.444</v>
      </c>
      <c r="S37" s="6">
        <v>4.1666699999999999</v>
      </c>
      <c r="T37" s="1" t="s">
        <v>50</v>
      </c>
      <c r="U37" s="1"/>
      <c r="V37" s="1"/>
      <c r="W37" s="1"/>
      <c r="X37" s="5">
        <v>46</v>
      </c>
      <c r="Y37" s="7">
        <v>3500000</v>
      </c>
      <c r="Z37" s="1"/>
      <c r="AA37" s="2">
        <f ca="1">DATE(2001,02,02)</f>
        <v>0</v>
      </c>
      <c r="AB37" s="4">
        <v>72.272999999999996</v>
      </c>
      <c r="AC37" s="3">
        <v>365</v>
      </c>
      <c r="AD37" s="8">
        <v>17907156</v>
      </c>
      <c r="AE37" s="1" t="s">
        <v>51</v>
      </c>
      <c r="AF37" s="1" t="s">
        <v>51</v>
      </c>
      <c r="AG37" s="1" t="s">
        <v>51</v>
      </c>
      <c r="AH37" s="1"/>
      <c r="AI37" s="1"/>
      <c r="AJ37" s="3">
        <v>1</v>
      </c>
      <c r="AK37" s="1" t="s">
        <v>52</v>
      </c>
      <c r="AL37" s="3">
        <v>2</v>
      </c>
      <c r="AM37" s="8">
        <v>61.380000000000003</v>
      </c>
      <c r="AN37" s="1"/>
      <c r="AO37" s="1" t="s">
        <v>285</v>
      </c>
      <c r="AP37" s="1" t="s">
        <v>282</v>
      </c>
      <c r="AQ37" s="1" t="s">
        <v>286</v>
      </c>
      <c r="AR37" s="1" t="s">
        <v>287</v>
      </c>
    </row>
    <row r="38">
      <c r="A38" s="2">
        <f ca="1">DATE(1999,12,03)</f>
        <v>0</v>
      </c>
      <c r="B38" s="2">
        <f ca="1">DATE(2000,02,03)</f>
        <v>0</v>
      </c>
      <c r="C38" s="1" t="s">
        <v>288</v>
      </c>
      <c r="D38" s="3">
        <v>3674</v>
      </c>
      <c r="E38" s="1" t="s">
        <v>43</v>
      </c>
      <c r="F38" s="1" t="s">
        <v>289</v>
      </c>
      <c r="G38" s="1" t="s">
        <v>106</v>
      </c>
      <c r="H38" s="4">
        <v>2.52</v>
      </c>
      <c r="I38" s="4">
        <v>7</v>
      </c>
      <c r="J38" s="5">
        <v>182.69999999999999</v>
      </c>
      <c r="K38" s="4">
        <v>36</v>
      </c>
      <c r="L38" s="1" t="s">
        <v>46</v>
      </c>
      <c r="M38" s="1" t="s">
        <v>47</v>
      </c>
      <c r="N38" s="1" t="s">
        <v>290</v>
      </c>
      <c r="O38" s="1" t="s">
        <v>48</v>
      </c>
      <c r="P38" s="1" t="s">
        <v>291</v>
      </c>
      <c r="Q38" s="4">
        <v>1.389</v>
      </c>
      <c r="R38" s="4">
        <v>1.25</v>
      </c>
      <c r="S38" s="6">
        <v>4.36111</v>
      </c>
      <c r="T38" s="1" t="s">
        <v>50</v>
      </c>
      <c r="U38" s="1"/>
      <c r="V38" s="1"/>
      <c r="W38" s="1"/>
      <c r="X38" s="5">
        <v>96.599999999999994</v>
      </c>
      <c r="Y38" s="7">
        <v>5075000</v>
      </c>
      <c r="Z38" s="1"/>
      <c r="AA38" s="1"/>
      <c r="AB38" s="1"/>
      <c r="AC38" s="1"/>
      <c r="AD38" s="1"/>
      <c r="AE38" s="1" t="s">
        <v>51</v>
      </c>
      <c r="AF38" s="1" t="s">
        <v>51</v>
      </c>
      <c r="AG38" s="1" t="s">
        <v>47</v>
      </c>
      <c r="AH38" s="1"/>
      <c r="AI38" s="1"/>
      <c r="AJ38" s="3">
        <v>1</v>
      </c>
      <c r="AK38" s="1" t="s">
        <v>52</v>
      </c>
      <c r="AL38" s="3">
        <v>4</v>
      </c>
      <c r="AM38" s="8">
        <v>172</v>
      </c>
      <c r="AN38" s="1"/>
      <c r="AO38" s="1" t="s">
        <v>292</v>
      </c>
      <c r="AP38" s="1" t="s">
        <v>106</v>
      </c>
      <c r="AQ38" s="1" t="s">
        <v>293</v>
      </c>
      <c r="AR38" s="1" t="s">
        <v>294</v>
      </c>
    </row>
    <row r="39">
      <c r="A39" s="2">
        <f ca="1">DATE(1999,12,03)</f>
        <v>0</v>
      </c>
      <c r="B39" s="2">
        <f ca="1">DATE(2000,02,03)</f>
        <v>0</v>
      </c>
      <c r="C39" s="1" t="s">
        <v>288</v>
      </c>
      <c r="D39" s="3">
        <v>3674</v>
      </c>
      <c r="E39" s="1" t="s">
        <v>43</v>
      </c>
      <c r="F39" s="1" t="s">
        <v>289</v>
      </c>
      <c r="G39" s="1" t="s">
        <v>106</v>
      </c>
      <c r="H39" s="4">
        <v>2.52</v>
      </c>
      <c r="I39" s="4">
        <v>7</v>
      </c>
      <c r="J39" s="5">
        <v>33.299999999999997</v>
      </c>
      <c r="K39" s="8">
        <v>36</v>
      </c>
      <c r="L39" s="1" t="s">
        <v>58</v>
      </c>
      <c r="M39" s="1" t="s">
        <v>47</v>
      </c>
      <c r="N39" s="1"/>
      <c r="O39" s="1" t="s">
        <v>48</v>
      </c>
      <c r="P39" s="1" t="s">
        <v>295</v>
      </c>
      <c r="Q39" s="1" t="s">
        <v>145</v>
      </c>
      <c r="R39" s="1" t="s">
        <v>145</v>
      </c>
      <c r="S39" s="1"/>
      <c r="T39" s="1" t="s">
        <v>60</v>
      </c>
      <c r="U39" s="1"/>
      <c r="V39" s="1"/>
      <c r="W39" s="1"/>
      <c r="X39" s="1"/>
      <c r="Y39" s="7">
        <v>925000</v>
      </c>
      <c r="Z39" s="1"/>
      <c r="AA39" s="1"/>
      <c r="AB39" s="1"/>
      <c r="AC39" s="1"/>
      <c r="AD39" s="1"/>
      <c r="AE39" s="1" t="s">
        <v>51</v>
      </c>
      <c r="AF39" s="1" t="s">
        <v>51</v>
      </c>
      <c r="AG39" s="1" t="s">
        <v>47</v>
      </c>
      <c r="AH39" s="1"/>
      <c r="AI39" s="1"/>
      <c r="AJ39" s="3">
        <v>1</v>
      </c>
      <c r="AK39" s="1" t="s">
        <v>52</v>
      </c>
      <c r="AL39" s="3">
        <v>4</v>
      </c>
      <c r="AM39" s="1"/>
      <c r="AN39" s="1"/>
      <c r="AO39" s="1" t="s">
        <v>296</v>
      </c>
      <c r="AP39" s="1" t="s">
        <v>106</v>
      </c>
      <c r="AQ39" s="1" t="s">
        <v>297</v>
      </c>
      <c r="AR39" s="1" t="s">
        <v>298</v>
      </c>
    </row>
    <row r="40">
      <c r="A40" s="2">
        <f ca="1">DATE(1999,11,12)</f>
        <v>0</v>
      </c>
      <c r="B40" s="2">
        <f ca="1">DATE(2000,02,03)</f>
        <v>0</v>
      </c>
      <c r="C40" s="1" t="s">
        <v>299</v>
      </c>
      <c r="D40" s="3">
        <v>4812</v>
      </c>
      <c r="E40" s="1" t="s">
        <v>43</v>
      </c>
      <c r="F40" s="1" t="s">
        <v>300</v>
      </c>
      <c r="G40" s="1" t="s">
        <v>301</v>
      </c>
      <c r="H40" s="4">
        <v>1.2649999999999999</v>
      </c>
      <c r="I40" s="4">
        <v>5.75</v>
      </c>
      <c r="J40" s="5">
        <v>440</v>
      </c>
      <c r="K40" s="4">
        <v>22</v>
      </c>
      <c r="L40" s="1" t="s">
        <v>46</v>
      </c>
      <c r="M40" s="1" t="s">
        <v>47</v>
      </c>
      <c r="N40" s="3">
        <v>256069105</v>
      </c>
      <c r="O40" s="1" t="s">
        <v>48</v>
      </c>
      <c r="P40" s="1" t="s">
        <v>302</v>
      </c>
      <c r="Q40" s="4">
        <v>1.1359999999999999</v>
      </c>
      <c r="R40" s="4">
        <v>1.159</v>
      </c>
      <c r="S40" s="6">
        <v>3.4545499999999998</v>
      </c>
      <c r="T40" s="1" t="s">
        <v>50</v>
      </c>
      <c r="U40" s="1"/>
      <c r="V40" s="1"/>
      <c r="W40" s="1"/>
      <c r="X40" s="5">
        <v>575</v>
      </c>
      <c r="Y40" s="7">
        <v>20000000</v>
      </c>
      <c r="Z40" s="1"/>
      <c r="AA40" s="1"/>
      <c r="AB40" s="1"/>
      <c r="AC40" s="1"/>
      <c r="AD40" s="1"/>
      <c r="AE40" s="1" t="s">
        <v>51</v>
      </c>
      <c r="AF40" s="1" t="s">
        <v>51</v>
      </c>
      <c r="AG40" s="1" t="s">
        <v>47</v>
      </c>
      <c r="AH40" s="1"/>
      <c r="AI40" s="1"/>
      <c r="AJ40" s="3">
        <v>2</v>
      </c>
      <c r="AK40" s="1" t="s">
        <v>110</v>
      </c>
      <c r="AL40" s="3">
        <v>6</v>
      </c>
      <c r="AM40" s="8">
        <v>23.129999999999999</v>
      </c>
      <c r="AN40" s="1"/>
      <c r="AO40" s="1" t="s">
        <v>303</v>
      </c>
      <c r="AP40" s="1" t="s">
        <v>304</v>
      </c>
      <c r="AQ40" s="1" t="s">
        <v>305</v>
      </c>
      <c r="AR40" s="1" t="s">
        <v>306</v>
      </c>
    </row>
    <row r="41">
      <c r="A41" s="2">
        <f ca="1">DATE(1999,11,12)</f>
        <v>0</v>
      </c>
      <c r="B41" s="2">
        <f ca="1">DATE(2000,02,03)</f>
        <v>0</v>
      </c>
      <c r="C41" s="1" t="s">
        <v>299</v>
      </c>
      <c r="D41" s="3">
        <v>4812</v>
      </c>
      <c r="E41" s="1" t="s">
        <v>43</v>
      </c>
      <c r="F41" s="1" t="s">
        <v>300</v>
      </c>
      <c r="G41" s="1" t="s">
        <v>307</v>
      </c>
      <c r="H41" s="4">
        <v>1.2649999999999999</v>
      </c>
      <c r="I41" s="4">
        <v>5.75</v>
      </c>
      <c r="J41" s="5">
        <v>110</v>
      </c>
      <c r="K41" s="8">
        <v>22</v>
      </c>
      <c r="L41" s="1" t="s">
        <v>58</v>
      </c>
      <c r="M41" s="1" t="s">
        <v>47</v>
      </c>
      <c r="N41" s="3">
        <v>256069105</v>
      </c>
      <c r="O41" s="1" t="s">
        <v>48</v>
      </c>
      <c r="P41" s="1" t="s">
        <v>308</v>
      </c>
      <c r="Q41" s="4">
        <v>1.1359999999999999</v>
      </c>
      <c r="R41" s="4">
        <v>1.159</v>
      </c>
      <c r="S41" s="10">
        <v>3.4544999999999999</v>
      </c>
      <c r="T41" s="1" t="s">
        <v>60</v>
      </c>
      <c r="U41" s="1"/>
      <c r="V41" s="1"/>
      <c r="W41" s="1"/>
      <c r="X41" s="1"/>
      <c r="Y41" s="7">
        <v>5000000</v>
      </c>
      <c r="Z41" s="1"/>
      <c r="AA41" s="1"/>
      <c r="AB41" s="1"/>
      <c r="AC41" s="1"/>
      <c r="AD41" s="1"/>
      <c r="AE41" s="1" t="s">
        <v>51</v>
      </c>
      <c r="AF41" s="1" t="s">
        <v>51</v>
      </c>
      <c r="AG41" s="1" t="s">
        <v>47</v>
      </c>
      <c r="AH41" s="1"/>
      <c r="AI41" s="1"/>
      <c r="AJ41" s="3">
        <v>2</v>
      </c>
      <c r="AK41" s="1" t="s">
        <v>110</v>
      </c>
      <c r="AL41" s="3">
        <v>4</v>
      </c>
      <c r="AM41" s="1"/>
      <c r="AN41" s="1"/>
      <c r="AO41" s="1" t="s">
        <v>309</v>
      </c>
      <c r="AP41" s="1" t="s">
        <v>310</v>
      </c>
      <c r="AQ41" s="1" t="s">
        <v>311</v>
      </c>
      <c r="AR41" s="1" t="s">
        <v>312</v>
      </c>
    </row>
    <row r="42">
      <c r="A42" s="2">
        <f ca="1">DATE(1999,11,12)</f>
        <v>0</v>
      </c>
      <c r="B42" s="2">
        <f ca="1">DATE(2000,02,03)</f>
        <v>0</v>
      </c>
      <c r="C42" s="1" t="s">
        <v>313</v>
      </c>
      <c r="D42" s="3">
        <v>4841</v>
      </c>
      <c r="E42" s="1" t="s">
        <v>43</v>
      </c>
      <c r="F42" s="1" t="s">
        <v>314</v>
      </c>
      <c r="G42" s="1" t="s">
        <v>315</v>
      </c>
      <c r="H42" s="4">
        <v>1.1399999999999999</v>
      </c>
      <c r="I42" s="4">
        <v>6</v>
      </c>
      <c r="J42" s="5">
        <v>332.5</v>
      </c>
      <c r="K42" s="4">
        <v>19</v>
      </c>
      <c r="L42" s="1" t="s">
        <v>152</v>
      </c>
      <c r="M42" s="1" t="s">
        <v>47</v>
      </c>
      <c r="N42" s="1" t="s">
        <v>316</v>
      </c>
      <c r="O42" s="1" t="s">
        <v>48</v>
      </c>
      <c r="P42" s="1" t="s">
        <v>317</v>
      </c>
      <c r="Q42" s="4">
        <v>1.2</v>
      </c>
      <c r="R42" s="4">
        <v>1.2</v>
      </c>
      <c r="S42" s="8">
        <v>3.6000000000000001</v>
      </c>
      <c r="T42" s="1" t="s">
        <v>50</v>
      </c>
      <c r="U42" s="1"/>
      <c r="V42" s="1"/>
      <c r="W42" s="1"/>
      <c r="X42" s="5">
        <v>345</v>
      </c>
      <c r="Y42" s="7">
        <v>17500000</v>
      </c>
      <c r="Z42" s="1"/>
      <c r="AA42" s="1"/>
      <c r="AB42" s="1"/>
      <c r="AC42" s="1"/>
      <c r="AD42" s="1"/>
      <c r="AE42" s="1" t="s">
        <v>51</v>
      </c>
      <c r="AF42" s="1" t="s">
        <v>51</v>
      </c>
      <c r="AG42" s="1" t="s">
        <v>47</v>
      </c>
      <c r="AH42" s="1"/>
      <c r="AI42" s="1"/>
      <c r="AJ42" s="3">
        <v>2</v>
      </c>
      <c r="AK42" s="1" t="s">
        <v>110</v>
      </c>
      <c r="AL42" s="3">
        <v>8</v>
      </c>
      <c r="AM42" s="8">
        <v>19</v>
      </c>
      <c r="AN42" s="1"/>
      <c r="AO42" s="1" t="s">
        <v>318</v>
      </c>
      <c r="AP42" s="1" t="s">
        <v>319</v>
      </c>
      <c r="AQ42" s="1" t="s">
        <v>320</v>
      </c>
      <c r="AR42" s="1" t="s">
        <v>321</v>
      </c>
    </row>
    <row r="43">
      <c r="A43" s="2">
        <f ca="1">DATE(1999,11,12)</f>
        <v>0</v>
      </c>
      <c r="B43" s="2">
        <f ca="1">DATE(2000,02,03)</f>
        <v>0</v>
      </c>
      <c r="C43" s="1" t="s">
        <v>313</v>
      </c>
      <c r="D43" s="3">
        <v>4841</v>
      </c>
      <c r="E43" s="1" t="s">
        <v>43</v>
      </c>
      <c r="F43" s="1" t="s">
        <v>314</v>
      </c>
      <c r="G43" s="1" t="s">
        <v>322</v>
      </c>
      <c r="H43" s="1" t="s">
        <v>57</v>
      </c>
      <c r="I43" s="1" t="s">
        <v>57</v>
      </c>
      <c r="J43" s="5">
        <v>47.5</v>
      </c>
      <c r="K43" s="8">
        <v>19</v>
      </c>
      <c r="L43" s="1" t="s">
        <v>58</v>
      </c>
      <c r="M43" s="1" t="s">
        <v>47</v>
      </c>
      <c r="N43" s="1"/>
      <c r="O43" s="1" t="s">
        <v>48</v>
      </c>
      <c r="P43" s="1" t="s">
        <v>323</v>
      </c>
      <c r="Q43" s="1"/>
      <c r="R43" s="1"/>
      <c r="S43" s="1"/>
      <c r="T43" s="1" t="s">
        <v>60</v>
      </c>
      <c r="U43" s="1"/>
      <c r="V43" s="1"/>
      <c r="W43" s="1"/>
      <c r="X43" s="1"/>
      <c r="Y43" s="7">
        <v>2500000</v>
      </c>
      <c r="Z43" s="1"/>
      <c r="AA43" s="1"/>
      <c r="AB43" s="1"/>
      <c r="AC43" s="1"/>
      <c r="AD43" s="1"/>
      <c r="AE43" s="1" t="s">
        <v>51</v>
      </c>
      <c r="AF43" s="1" t="s">
        <v>51</v>
      </c>
      <c r="AG43" s="1" t="s">
        <v>47</v>
      </c>
      <c r="AH43" s="1"/>
      <c r="AI43" s="1"/>
      <c r="AJ43" s="3">
        <v>2</v>
      </c>
      <c r="AK43" s="1" t="s">
        <v>89</v>
      </c>
      <c r="AL43" s="3">
        <v>3</v>
      </c>
      <c r="AM43" s="1"/>
      <c r="AN43" s="1"/>
      <c r="AO43" s="1" t="s">
        <v>324</v>
      </c>
      <c r="AP43" s="1" t="s">
        <v>325</v>
      </c>
      <c r="AQ43" s="1" t="s">
        <v>326</v>
      </c>
      <c r="AR43" s="1" t="s">
        <v>327</v>
      </c>
    </row>
    <row r="44">
      <c r="A44" s="2">
        <f ca="1">DATE(1999,04,09)</f>
        <v>0</v>
      </c>
      <c r="B44" s="2">
        <f ca="1">DATE(2000,02,03)</f>
        <v>0</v>
      </c>
      <c r="C44" s="1" t="s">
        <v>328</v>
      </c>
      <c r="D44" s="3">
        <v>3823</v>
      </c>
      <c r="E44" s="1" t="s">
        <v>43</v>
      </c>
      <c r="F44" s="1"/>
      <c r="G44" s="1" t="s">
        <v>307</v>
      </c>
      <c r="H44" s="4">
        <v>1.3999999999999999</v>
      </c>
      <c r="I44" s="8">
        <v>7</v>
      </c>
      <c r="J44" s="5">
        <v>144</v>
      </c>
      <c r="K44" s="4">
        <v>20</v>
      </c>
      <c r="L44" s="1" t="s">
        <v>46</v>
      </c>
      <c r="M44" s="1" t="s">
        <v>47</v>
      </c>
      <c r="N44" s="1" t="s">
        <v>329</v>
      </c>
      <c r="O44" s="1"/>
      <c r="P44" s="1" t="s">
        <v>330</v>
      </c>
      <c r="Q44" s="4">
        <v>1.3999999999999999</v>
      </c>
      <c r="R44" s="4">
        <v>1.3999999999999999</v>
      </c>
      <c r="S44" s="8">
        <v>4.2000000000000002</v>
      </c>
      <c r="T44" s="1" t="s">
        <v>50</v>
      </c>
      <c r="U44" s="1"/>
      <c r="V44" s="1"/>
      <c r="W44" s="1"/>
      <c r="X44" s="5">
        <v>32</v>
      </c>
      <c r="Y44" s="7">
        <v>7200000</v>
      </c>
      <c r="Z44" s="1"/>
      <c r="AA44" s="1"/>
      <c r="AB44" s="1"/>
      <c r="AC44" s="1"/>
      <c r="AD44" s="1"/>
      <c r="AE44" s="1" t="s">
        <v>51</v>
      </c>
      <c r="AF44" s="1" t="s">
        <v>51</v>
      </c>
      <c r="AG44" s="1" t="s">
        <v>47</v>
      </c>
      <c r="AH44" s="1"/>
      <c r="AI44" s="1"/>
      <c r="AJ44" s="3">
        <v>2</v>
      </c>
      <c r="AK44" s="1" t="s">
        <v>89</v>
      </c>
      <c r="AL44" s="3">
        <v>2</v>
      </c>
      <c r="AM44" s="8">
        <v>37</v>
      </c>
      <c r="AN44" s="1"/>
      <c r="AO44" s="1" t="s">
        <v>331</v>
      </c>
      <c r="AP44" s="1" t="s">
        <v>332</v>
      </c>
      <c r="AQ44" s="1" t="s">
        <v>333</v>
      </c>
      <c r="AR44" s="1" t="s">
        <v>334</v>
      </c>
    </row>
    <row r="45">
      <c r="A45" s="2">
        <f ca="1">DATE(1999,04,09)</f>
        <v>0</v>
      </c>
      <c r="B45" s="2">
        <f ca="1">DATE(2000,02,03)</f>
        <v>0</v>
      </c>
      <c r="C45" s="1" t="s">
        <v>328</v>
      </c>
      <c r="D45" s="3">
        <v>3823</v>
      </c>
      <c r="E45" s="1" t="s">
        <v>43</v>
      </c>
      <c r="F45" s="1"/>
      <c r="G45" s="1" t="s">
        <v>301</v>
      </c>
      <c r="H45" s="4">
        <v>1.3999999999999999</v>
      </c>
      <c r="I45" s="8">
        <v>7</v>
      </c>
      <c r="J45" s="5">
        <v>36</v>
      </c>
      <c r="K45" s="8">
        <v>20</v>
      </c>
      <c r="L45" s="1" t="s">
        <v>58</v>
      </c>
      <c r="M45" s="1" t="s">
        <v>47</v>
      </c>
      <c r="N45" s="1" t="s">
        <v>329</v>
      </c>
      <c r="O45" s="1"/>
      <c r="P45" s="1" t="s">
        <v>335</v>
      </c>
      <c r="Q45" s="4">
        <v>1.3999999999999999</v>
      </c>
      <c r="R45" s="4">
        <v>1.3999999999999999</v>
      </c>
      <c r="S45" s="8">
        <v>4.2000000000000002</v>
      </c>
      <c r="T45" s="1" t="s">
        <v>60</v>
      </c>
      <c r="U45" s="1"/>
      <c r="V45" s="1"/>
      <c r="W45" s="1"/>
      <c r="X45" s="1"/>
      <c r="Y45" s="7">
        <v>1800000</v>
      </c>
      <c r="Z45" s="1"/>
      <c r="AA45" s="1"/>
      <c r="AB45" s="1"/>
      <c r="AC45" s="1"/>
      <c r="AD45" s="1"/>
      <c r="AE45" s="1" t="s">
        <v>51</v>
      </c>
      <c r="AF45" s="1" t="s">
        <v>51</v>
      </c>
      <c r="AG45" s="1" t="s">
        <v>47</v>
      </c>
      <c r="AH45" s="1"/>
      <c r="AI45" s="1"/>
      <c r="AJ45" s="3">
        <v>2</v>
      </c>
      <c r="AK45" s="1" t="s">
        <v>89</v>
      </c>
      <c r="AL45" s="3">
        <v>2</v>
      </c>
      <c r="AM45" s="1"/>
      <c r="AN45" s="1"/>
      <c r="AO45" s="1" t="s">
        <v>336</v>
      </c>
      <c r="AP45" s="1" t="s">
        <v>337</v>
      </c>
      <c r="AQ45" s="1" t="s">
        <v>338</v>
      </c>
      <c r="AR45" s="1" t="s">
        <v>339</v>
      </c>
    </row>
    <row r="46">
      <c r="A46" s="2">
        <f ca="1">DATE(1999,04,26)</f>
        <v>0</v>
      </c>
      <c r="B46" s="2">
        <f ca="1">DATE(2000,02,04)</f>
        <v>0</v>
      </c>
      <c r="C46" s="1" t="s">
        <v>340</v>
      </c>
      <c r="D46" s="3">
        <v>4813</v>
      </c>
      <c r="E46" s="1" t="s">
        <v>43</v>
      </c>
      <c r="F46" s="1" t="s">
        <v>341</v>
      </c>
      <c r="G46" s="1" t="s">
        <v>342</v>
      </c>
      <c r="H46" s="4">
        <v>0.83999999999999997</v>
      </c>
      <c r="I46" s="8">
        <v>7</v>
      </c>
      <c r="J46" s="5">
        <v>43.200000000000003</v>
      </c>
      <c r="K46" s="4">
        <v>12</v>
      </c>
      <c r="L46" s="1" t="s">
        <v>46</v>
      </c>
      <c r="M46" s="1" t="s">
        <v>47</v>
      </c>
      <c r="N46" s="3">
        <v>294101100</v>
      </c>
      <c r="O46" s="1" t="s">
        <v>48</v>
      </c>
      <c r="P46" s="1" t="s">
        <v>343</v>
      </c>
      <c r="Q46" s="4">
        <v>1.417</v>
      </c>
      <c r="R46" s="4">
        <v>1.417</v>
      </c>
      <c r="S46" s="6">
        <v>4.1666699999999999</v>
      </c>
      <c r="T46" s="1" t="s">
        <v>50</v>
      </c>
      <c r="U46" s="1"/>
      <c r="V46" s="1"/>
      <c r="W46" s="1"/>
      <c r="X46" s="5">
        <v>35</v>
      </c>
      <c r="Y46" s="7">
        <v>2790000</v>
      </c>
      <c r="Z46" s="7">
        <v>810000</v>
      </c>
      <c r="AA46" s="2">
        <f ca="1">DATE(2000,08,02)</f>
        <v>0</v>
      </c>
      <c r="AB46" s="4">
        <v>67.956000000000003</v>
      </c>
      <c r="AC46" s="3">
        <v>180</v>
      </c>
      <c r="AD46" s="8">
        <v>8062906</v>
      </c>
      <c r="AE46" s="1" t="s">
        <v>51</v>
      </c>
      <c r="AF46" s="1" t="s">
        <v>51</v>
      </c>
      <c r="AG46" s="1" t="s">
        <v>47</v>
      </c>
      <c r="AH46" s="1"/>
      <c r="AI46" s="1"/>
      <c r="AJ46" s="3">
        <v>1</v>
      </c>
      <c r="AK46" s="1" t="s">
        <v>52</v>
      </c>
      <c r="AL46" s="3">
        <v>3</v>
      </c>
      <c r="AM46" s="8">
        <v>23</v>
      </c>
      <c r="AN46" s="1"/>
      <c r="AO46" s="1" t="s">
        <v>344</v>
      </c>
      <c r="AP46" s="1" t="s">
        <v>342</v>
      </c>
      <c r="AQ46" s="1" t="s">
        <v>345</v>
      </c>
      <c r="AR46" s="1" t="s">
        <v>346</v>
      </c>
    </row>
    <row r="47">
      <c r="A47" s="2">
        <f ca="1">DATE(1999,10,27)</f>
        <v>0</v>
      </c>
      <c r="B47" s="2">
        <f ca="1">DATE(2000,02,04)</f>
        <v>0</v>
      </c>
      <c r="C47" s="1" t="s">
        <v>347</v>
      </c>
      <c r="D47" s="3">
        <v>7372</v>
      </c>
      <c r="E47" s="1" t="s">
        <v>43</v>
      </c>
      <c r="F47" s="1" t="s">
        <v>348</v>
      </c>
      <c r="G47" s="1" t="s">
        <v>349</v>
      </c>
      <c r="H47" s="4">
        <v>1.05</v>
      </c>
      <c r="I47" s="4">
        <v>7</v>
      </c>
      <c r="J47" s="5">
        <v>67.5</v>
      </c>
      <c r="K47" s="4">
        <v>15</v>
      </c>
      <c r="L47" s="1" t="s">
        <v>152</v>
      </c>
      <c r="M47" s="1" t="s">
        <v>47</v>
      </c>
      <c r="N47" s="1" t="s">
        <v>350</v>
      </c>
      <c r="O47" s="1" t="s">
        <v>48</v>
      </c>
      <c r="P47" s="1" t="s">
        <v>351</v>
      </c>
      <c r="Q47" s="4">
        <v>1.3999999999999999</v>
      </c>
      <c r="R47" s="4">
        <v>1.3999999999999999</v>
      </c>
      <c r="S47" s="8">
        <v>4.2000000000000002</v>
      </c>
      <c r="T47" s="1" t="s">
        <v>50</v>
      </c>
      <c r="U47" s="1"/>
      <c r="V47" s="1"/>
      <c r="W47" s="1"/>
      <c r="X47" s="5">
        <v>86.799999999999997</v>
      </c>
      <c r="Y47" s="7">
        <v>3694000</v>
      </c>
      <c r="Z47" s="7">
        <v>806000</v>
      </c>
      <c r="AA47" s="2">
        <f ca="1">DATE(2000,08,02)</f>
        <v>0</v>
      </c>
      <c r="AB47" s="4">
        <v>71.765000000000001</v>
      </c>
      <c r="AC47" s="3">
        <v>180</v>
      </c>
      <c r="AD47" s="8">
        <v>23131956</v>
      </c>
      <c r="AE47" s="1" t="s">
        <v>51</v>
      </c>
      <c r="AF47" s="1" t="s">
        <v>51</v>
      </c>
      <c r="AG47" s="1" t="s">
        <v>47</v>
      </c>
      <c r="AH47" s="1"/>
      <c r="AI47" s="1"/>
      <c r="AJ47" s="3">
        <v>1</v>
      </c>
      <c r="AK47" s="1" t="s">
        <v>52</v>
      </c>
      <c r="AL47" s="3">
        <v>3</v>
      </c>
      <c r="AM47" s="8">
        <v>47.25</v>
      </c>
      <c r="AN47" s="1"/>
      <c r="AO47" s="1" t="s">
        <v>352</v>
      </c>
      <c r="AP47" s="1" t="s">
        <v>349</v>
      </c>
      <c r="AQ47" s="1" t="s">
        <v>353</v>
      </c>
      <c r="AR47" s="1" t="s">
        <v>354</v>
      </c>
    </row>
    <row r="48">
      <c r="A48" s="2">
        <f ca="1">DATE(1999,11,12)</f>
        <v>0</v>
      </c>
      <c r="B48" s="2">
        <f ca="1">DATE(2000,02,04)</f>
        <v>0</v>
      </c>
      <c r="C48" s="1" t="s">
        <v>355</v>
      </c>
      <c r="D48" s="3">
        <v>7372</v>
      </c>
      <c r="E48" s="1" t="s">
        <v>43</v>
      </c>
      <c r="F48" s="1" t="s">
        <v>356</v>
      </c>
      <c r="G48" s="1" t="s">
        <v>122</v>
      </c>
      <c r="H48" s="4">
        <v>1.54</v>
      </c>
      <c r="I48" s="4">
        <v>7</v>
      </c>
      <c r="J48" s="5">
        <v>110</v>
      </c>
      <c r="K48" s="4">
        <v>22</v>
      </c>
      <c r="L48" s="1" t="s">
        <v>46</v>
      </c>
      <c r="M48" s="1" t="s">
        <v>47</v>
      </c>
      <c r="N48" s="3">
        <v>318224102</v>
      </c>
      <c r="O48" s="1" t="s">
        <v>48</v>
      </c>
      <c r="P48" s="1" t="s">
        <v>357</v>
      </c>
      <c r="Q48" s="4">
        <v>1.4550000000000001</v>
      </c>
      <c r="R48" s="4">
        <v>1.3640000000000001</v>
      </c>
      <c r="S48" s="6">
        <v>4.1818200000000001</v>
      </c>
      <c r="T48" s="1" t="s">
        <v>50</v>
      </c>
      <c r="U48" s="1"/>
      <c r="V48" s="1"/>
      <c r="W48" s="1"/>
      <c r="X48" s="5">
        <v>75</v>
      </c>
      <c r="Y48" s="7">
        <v>5000000</v>
      </c>
      <c r="Z48" s="1"/>
      <c r="AA48" s="2">
        <f ca="1">DATE(2000,08,02)</f>
        <v>0</v>
      </c>
      <c r="AB48" s="4">
        <v>79.611000000000004</v>
      </c>
      <c r="AC48" s="3">
        <v>180</v>
      </c>
      <c r="AD48" s="8">
        <v>26671173</v>
      </c>
      <c r="AE48" s="1" t="s">
        <v>51</v>
      </c>
      <c r="AF48" s="1" t="s">
        <v>51</v>
      </c>
      <c r="AG48" s="1" t="s">
        <v>47</v>
      </c>
      <c r="AH48" s="1"/>
      <c r="AI48" s="1"/>
      <c r="AJ48" s="3">
        <v>1</v>
      </c>
      <c r="AK48" s="1" t="s">
        <v>52</v>
      </c>
      <c r="AL48" s="3">
        <v>4</v>
      </c>
      <c r="AM48" s="8">
        <v>100.25</v>
      </c>
      <c r="AN48" s="1"/>
      <c r="AO48" s="1" t="s">
        <v>358</v>
      </c>
      <c r="AP48" s="1" t="s">
        <v>122</v>
      </c>
      <c r="AQ48" s="1" t="s">
        <v>359</v>
      </c>
      <c r="AR48" s="1" t="s">
        <v>360</v>
      </c>
    </row>
    <row r="49">
      <c r="A49" s="2">
        <f ca="1">DATE(1999,12,17)</f>
        <v>0</v>
      </c>
      <c r="B49" s="2">
        <f ca="1">DATE(2000,02,04)</f>
        <v>0</v>
      </c>
      <c r="C49" s="1" t="s">
        <v>361</v>
      </c>
      <c r="D49" s="3">
        <v>4813</v>
      </c>
      <c r="E49" s="1" t="s">
        <v>43</v>
      </c>
      <c r="F49" s="1" t="s">
        <v>362</v>
      </c>
      <c r="G49" s="1" t="s">
        <v>363</v>
      </c>
      <c r="H49" s="4">
        <v>0.96999999999999997</v>
      </c>
      <c r="I49" s="4">
        <v>7.4619999999999997</v>
      </c>
      <c r="J49" s="5">
        <v>35.799999999999997</v>
      </c>
      <c r="K49" s="4">
        <v>13</v>
      </c>
      <c r="L49" s="1" t="s">
        <v>46</v>
      </c>
      <c r="M49" s="1" t="s">
        <v>47</v>
      </c>
      <c r="N49" s="1" t="s">
        <v>364</v>
      </c>
      <c r="O49" s="1" t="s">
        <v>48</v>
      </c>
      <c r="P49" s="1" t="s">
        <v>365</v>
      </c>
      <c r="Q49" s="4">
        <v>1.5</v>
      </c>
      <c r="R49" s="4">
        <v>1.5</v>
      </c>
      <c r="S49" s="6">
        <v>4.4615400000000003</v>
      </c>
      <c r="T49" s="1" t="s">
        <v>50</v>
      </c>
      <c r="U49" s="8">
        <v>12</v>
      </c>
      <c r="V49" s="8">
        <v>10</v>
      </c>
      <c r="W49" s="7">
        <v>2500000</v>
      </c>
      <c r="X49" s="5">
        <v>27.5</v>
      </c>
      <c r="Y49" s="7">
        <v>2750000</v>
      </c>
      <c r="Z49" s="1"/>
      <c r="AA49" s="2">
        <f ca="1">DATE(2000,08,02)</f>
        <v>0</v>
      </c>
      <c r="AB49" s="4">
        <v>4.2039999999999997</v>
      </c>
      <c r="AC49" s="3">
        <v>180</v>
      </c>
      <c r="AD49" s="8">
        <v>250000</v>
      </c>
      <c r="AE49" s="1" t="s">
        <v>51</v>
      </c>
      <c r="AF49" s="1" t="s">
        <v>51</v>
      </c>
      <c r="AG49" s="1" t="s">
        <v>47</v>
      </c>
      <c r="AH49" s="1"/>
      <c r="AI49" s="1"/>
      <c r="AJ49" s="3">
        <v>1</v>
      </c>
      <c r="AK49" s="1" t="s">
        <v>52</v>
      </c>
      <c r="AL49" s="3">
        <v>3</v>
      </c>
      <c r="AM49" s="8">
        <v>27.440000000000001</v>
      </c>
      <c r="AN49" s="1"/>
      <c r="AO49" s="1" t="s">
        <v>366</v>
      </c>
      <c r="AP49" s="1" t="s">
        <v>363</v>
      </c>
      <c r="AQ49" s="1" t="s">
        <v>367</v>
      </c>
      <c r="AR49" s="1" t="s">
        <v>368</v>
      </c>
    </row>
    <row r="50">
      <c r="A50" s="2">
        <f ca="1">DATE(1999,10,27)</f>
        <v>0</v>
      </c>
      <c r="B50" s="2">
        <f ca="1">DATE(2000,02,07)</f>
        <v>0</v>
      </c>
      <c r="C50" s="1" t="s">
        <v>369</v>
      </c>
      <c r="D50" s="3">
        <v>5999</v>
      </c>
      <c r="E50" s="1" t="s">
        <v>43</v>
      </c>
      <c r="F50" s="1" t="s">
        <v>370</v>
      </c>
      <c r="G50" s="1" t="s">
        <v>45</v>
      </c>
      <c r="H50" s="4">
        <v>0.91000000000000003</v>
      </c>
      <c r="I50" s="4">
        <v>7</v>
      </c>
      <c r="J50" s="5">
        <v>154.5</v>
      </c>
      <c r="K50" s="4">
        <v>13</v>
      </c>
      <c r="L50" s="1" t="s">
        <v>46</v>
      </c>
      <c r="M50" s="1" t="s">
        <v>47</v>
      </c>
      <c r="N50" s="3">
        <v>124269101</v>
      </c>
      <c r="O50" s="1" t="s">
        <v>48</v>
      </c>
      <c r="P50" s="1" t="s">
        <v>371</v>
      </c>
      <c r="Q50" s="4">
        <v>1.462</v>
      </c>
      <c r="R50" s="4">
        <v>1.3080000000000001</v>
      </c>
      <c r="S50" s="6">
        <v>4.2307699999999997</v>
      </c>
      <c r="T50" s="1" t="s">
        <v>50</v>
      </c>
      <c r="U50" s="1"/>
      <c r="V50" s="1"/>
      <c r="W50" s="1"/>
      <c r="X50" s="5">
        <v>150</v>
      </c>
      <c r="Y50" s="7">
        <v>11885000</v>
      </c>
      <c r="Z50" s="1"/>
      <c r="AA50" s="1"/>
      <c r="AB50" s="1"/>
      <c r="AC50" s="1"/>
      <c r="AD50" s="1"/>
      <c r="AE50" s="1" t="s">
        <v>51</v>
      </c>
      <c r="AF50" s="1" t="s">
        <v>51</v>
      </c>
      <c r="AG50" s="1" t="s">
        <v>47</v>
      </c>
      <c r="AH50" s="1"/>
      <c r="AI50" s="1"/>
      <c r="AJ50" s="3">
        <v>1</v>
      </c>
      <c r="AK50" s="1" t="s">
        <v>52</v>
      </c>
      <c r="AL50" s="3">
        <v>4</v>
      </c>
      <c r="AM50" s="8">
        <v>25.129999999999999</v>
      </c>
      <c r="AN50" s="1"/>
      <c r="AO50" s="1" t="s">
        <v>372</v>
      </c>
      <c r="AP50" s="1" t="s">
        <v>45</v>
      </c>
      <c r="AQ50" s="1" t="s">
        <v>373</v>
      </c>
      <c r="AR50" s="1" t="s">
        <v>374</v>
      </c>
    </row>
    <row r="51">
      <c r="A51" s="2">
        <f ca="1">DATE(1999,10,27)</f>
        <v>0</v>
      </c>
      <c r="B51" s="2">
        <f ca="1">DATE(2000,02,07)</f>
        <v>0</v>
      </c>
      <c r="C51" s="1" t="s">
        <v>369</v>
      </c>
      <c r="D51" s="3">
        <v>5999</v>
      </c>
      <c r="E51" s="1" t="s">
        <v>43</v>
      </c>
      <c r="F51" s="1" t="s">
        <v>370</v>
      </c>
      <c r="G51" s="1" t="s">
        <v>56</v>
      </c>
      <c r="H51" s="4">
        <v>0.91000000000000003</v>
      </c>
      <c r="I51" s="4">
        <v>7</v>
      </c>
      <c r="J51" s="5">
        <v>27.300000000000001</v>
      </c>
      <c r="K51" s="8">
        <v>13</v>
      </c>
      <c r="L51" s="1" t="s">
        <v>58</v>
      </c>
      <c r="M51" s="1" t="s">
        <v>47</v>
      </c>
      <c r="N51" s="3">
        <v>124269101</v>
      </c>
      <c r="O51" s="1" t="s">
        <v>48</v>
      </c>
      <c r="P51" s="1" t="s">
        <v>375</v>
      </c>
      <c r="Q51" s="4">
        <v>1.46</v>
      </c>
      <c r="R51" s="4">
        <v>1.3069999999999999</v>
      </c>
      <c r="S51" s="8">
        <v>4.2300000000000004</v>
      </c>
      <c r="T51" s="1" t="s">
        <v>60</v>
      </c>
      <c r="U51" s="1"/>
      <c r="V51" s="1"/>
      <c r="W51" s="1"/>
      <c r="X51" s="1"/>
      <c r="Y51" s="7">
        <v>2098000</v>
      </c>
      <c r="Z51" s="1"/>
      <c r="AA51" s="1"/>
      <c r="AB51" s="1"/>
      <c r="AC51" s="1"/>
      <c r="AD51" s="1"/>
      <c r="AE51" s="1" t="s">
        <v>51</v>
      </c>
      <c r="AF51" s="1" t="s">
        <v>51</v>
      </c>
      <c r="AG51" s="1" t="s">
        <v>47</v>
      </c>
      <c r="AH51" s="1"/>
      <c r="AI51" s="1"/>
      <c r="AJ51" s="3">
        <v>1</v>
      </c>
      <c r="AK51" s="1" t="s">
        <v>52</v>
      </c>
      <c r="AL51" s="3">
        <v>1</v>
      </c>
      <c r="AM51" s="1"/>
      <c r="AN51" s="1"/>
      <c r="AO51" s="1" t="s">
        <v>376</v>
      </c>
      <c r="AP51" s="1" t="s">
        <v>56</v>
      </c>
      <c r="AQ51" s="1" t="s">
        <v>56</v>
      </c>
      <c r="AR51" s="1" t="s">
        <v>377</v>
      </c>
    </row>
    <row r="52">
      <c r="A52" s="2">
        <f ca="1">DATE(1999,08,18)</f>
        <v>0</v>
      </c>
      <c r="B52" s="2">
        <f ca="1">DATE(2000,02,08)</f>
        <v>0</v>
      </c>
      <c r="C52" s="1" t="s">
        <v>378</v>
      </c>
      <c r="D52" s="3">
        <v>7375</v>
      </c>
      <c r="E52" s="1" t="s">
        <v>43</v>
      </c>
      <c r="F52" s="1" t="s">
        <v>379</v>
      </c>
      <c r="G52" s="1" t="s">
        <v>380</v>
      </c>
      <c r="H52" s="4">
        <v>0.83999999999999997</v>
      </c>
      <c r="I52" s="8">
        <v>7</v>
      </c>
      <c r="J52" s="5">
        <v>48</v>
      </c>
      <c r="K52" s="4">
        <v>12</v>
      </c>
      <c r="L52" s="1" t="s">
        <v>46</v>
      </c>
      <c r="M52" s="1" t="s">
        <v>47</v>
      </c>
      <c r="N52" s="3">
        <v>311877104</v>
      </c>
      <c r="O52" s="1" t="s">
        <v>48</v>
      </c>
      <c r="P52" s="1" t="s">
        <v>381</v>
      </c>
      <c r="Q52" s="4">
        <v>1.417</v>
      </c>
      <c r="R52" s="4">
        <v>1.417</v>
      </c>
      <c r="S52" s="6">
        <v>4.1666699999999999</v>
      </c>
      <c r="T52" s="1" t="s">
        <v>50</v>
      </c>
      <c r="U52" s="1"/>
      <c r="V52" s="1"/>
      <c r="W52" s="1"/>
      <c r="X52" s="5">
        <v>50</v>
      </c>
      <c r="Y52" s="7">
        <v>4000000</v>
      </c>
      <c r="Z52" s="1"/>
      <c r="AA52" s="2">
        <f ca="1">DATE(2000,08,06)</f>
        <v>0</v>
      </c>
      <c r="AB52" s="4">
        <v>1</v>
      </c>
      <c r="AC52" s="3">
        <v>180</v>
      </c>
      <c r="AD52" s="8">
        <v>143900</v>
      </c>
      <c r="AE52" s="1" t="s">
        <v>51</v>
      </c>
      <c r="AF52" s="1" t="s">
        <v>51</v>
      </c>
      <c r="AG52" s="1" t="s">
        <v>47</v>
      </c>
      <c r="AH52" s="1"/>
      <c r="AI52" s="1"/>
      <c r="AJ52" s="3">
        <v>1</v>
      </c>
      <c r="AK52" s="1" t="s">
        <v>52</v>
      </c>
      <c r="AL52" s="3">
        <v>4</v>
      </c>
      <c r="AM52" s="8">
        <v>16.629999999999999</v>
      </c>
      <c r="AN52" s="1"/>
      <c r="AO52" s="1" t="s">
        <v>382</v>
      </c>
      <c r="AP52" s="1" t="s">
        <v>380</v>
      </c>
      <c r="AQ52" s="1" t="s">
        <v>383</v>
      </c>
      <c r="AR52" s="1" t="s">
        <v>384</v>
      </c>
    </row>
    <row r="53">
      <c r="A53" s="2">
        <f ca="1">DATE(1999,09,20)</f>
        <v>0</v>
      </c>
      <c r="B53" s="2">
        <f ca="1">DATE(2000,02,08)</f>
        <v>0</v>
      </c>
      <c r="C53" s="1" t="s">
        <v>385</v>
      </c>
      <c r="D53" s="3">
        <v>8741</v>
      </c>
      <c r="E53" s="1" t="s">
        <v>43</v>
      </c>
      <c r="F53" s="1" t="s">
        <v>386</v>
      </c>
      <c r="G53" s="1" t="s">
        <v>387</v>
      </c>
      <c r="H53" s="4">
        <v>0.69999999999999996</v>
      </c>
      <c r="I53" s="8">
        <v>7</v>
      </c>
      <c r="J53" s="5">
        <v>35</v>
      </c>
      <c r="K53" s="4">
        <v>10</v>
      </c>
      <c r="L53" s="1" t="s">
        <v>46</v>
      </c>
      <c r="M53" s="1" t="s">
        <v>47</v>
      </c>
      <c r="N53" s="3">
        <v>514756105</v>
      </c>
      <c r="O53" s="1" t="s">
        <v>48</v>
      </c>
      <c r="P53" s="1" t="s">
        <v>388</v>
      </c>
      <c r="Q53" s="4">
        <v>1.3999999999999999</v>
      </c>
      <c r="R53" s="4">
        <v>1.3999999999999999</v>
      </c>
      <c r="S53" s="8">
        <v>4.2000000000000002</v>
      </c>
      <c r="T53" s="1" t="s">
        <v>50</v>
      </c>
      <c r="U53" s="8">
        <v>10</v>
      </c>
      <c r="V53" s="8">
        <v>8</v>
      </c>
      <c r="W53" s="1"/>
      <c r="X53" s="5">
        <v>40</v>
      </c>
      <c r="Y53" s="7">
        <v>3500000</v>
      </c>
      <c r="Z53" s="1"/>
      <c r="AA53" s="2">
        <f ca="1">DATE(2000,08,06)</f>
        <v>0</v>
      </c>
      <c r="AB53" s="4">
        <v>72.078000000000003</v>
      </c>
      <c r="AC53" s="3">
        <v>180</v>
      </c>
      <c r="AD53" s="8">
        <v>9527213</v>
      </c>
      <c r="AE53" s="1" t="s">
        <v>51</v>
      </c>
      <c r="AF53" s="1" t="s">
        <v>51</v>
      </c>
      <c r="AG53" s="1" t="s">
        <v>47</v>
      </c>
      <c r="AH53" s="1"/>
      <c r="AI53" s="1"/>
      <c r="AJ53" s="3">
        <v>1</v>
      </c>
      <c r="AK53" s="1" t="s">
        <v>52</v>
      </c>
      <c r="AL53" s="3">
        <v>3</v>
      </c>
      <c r="AM53" s="8">
        <v>15.94</v>
      </c>
      <c r="AN53" s="1"/>
      <c r="AO53" s="1" t="s">
        <v>389</v>
      </c>
      <c r="AP53" s="1" t="s">
        <v>387</v>
      </c>
      <c r="AQ53" s="1" t="s">
        <v>390</v>
      </c>
      <c r="AR53" s="1" t="s">
        <v>391</v>
      </c>
    </row>
    <row r="54">
      <c r="A54" s="2">
        <f ca="1">DATE(1999,09,07)</f>
        <v>0</v>
      </c>
      <c r="B54" s="2">
        <f ca="1">DATE(2000,02,08)</f>
        <v>0</v>
      </c>
      <c r="C54" s="1" t="s">
        <v>392</v>
      </c>
      <c r="D54" s="3">
        <v>7372</v>
      </c>
      <c r="E54" s="1" t="s">
        <v>43</v>
      </c>
      <c r="F54" s="1"/>
      <c r="G54" s="1" t="s">
        <v>393</v>
      </c>
      <c r="H54" s="4">
        <v>0.59999999999999998</v>
      </c>
      <c r="I54" s="4">
        <v>10</v>
      </c>
      <c r="J54" s="5">
        <v>6</v>
      </c>
      <c r="K54" s="4">
        <v>6</v>
      </c>
      <c r="L54" s="1" t="s">
        <v>46</v>
      </c>
      <c r="M54" s="1" t="s">
        <v>47</v>
      </c>
      <c r="N54" s="3">
        <v>740184106</v>
      </c>
      <c r="O54" s="1"/>
      <c r="P54" s="1" t="s">
        <v>394</v>
      </c>
      <c r="Q54" s="4">
        <v>3.3330000000000002</v>
      </c>
      <c r="R54" s="4">
        <v>1.667</v>
      </c>
      <c r="S54" s="8">
        <v>5</v>
      </c>
      <c r="T54" s="1" t="s">
        <v>50</v>
      </c>
      <c r="U54" s="8">
        <v>6</v>
      </c>
      <c r="V54" s="8">
        <v>6</v>
      </c>
      <c r="W54" s="7">
        <v>1000000</v>
      </c>
      <c r="X54" s="5">
        <v>6</v>
      </c>
      <c r="Y54" s="7">
        <v>1000000</v>
      </c>
      <c r="Z54" s="1"/>
      <c r="AA54" s="2">
        <f ca="1">DATE(2000,05,10)</f>
        <v>0</v>
      </c>
      <c r="AB54" s="4">
        <v>53.625999999999998</v>
      </c>
      <c r="AC54" s="3">
        <v>90</v>
      </c>
      <c r="AD54" s="8">
        <v>1179773</v>
      </c>
      <c r="AE54" s="1" t="s">
        <v>51</v>
      </c>
      <c r="AF54" s="1" t="s">
        <v>51</v>
      </c>
      <c r="AG54" s="1" t="s">
        <v>51</v>
      </c>
      <c r="AH54" s="1"/>
      <c r="AI54" s="1"/>
      <c r="AJ54" s="3">
        <v>1</v>
      </c>
      <c r="AK54" s="1" t="s">
        <v>52</v>
      </c>
      <c r="AL54" s="3">
        <v>2</v>
      </c>
      <c r="AM54" s="8">
        <v>10.5</v>
      </c>
      <c r="AN54" s="1"/>
      <c r="AO54" s="1" t="s">
        <v>395</v>
      </c>
      <c r="AP54" s="1" t="s">
        <v>393</v>
      </c>
      <c r="AQ54" s="1" t="s">
        <v>396</v>
      </c>
      <c r="AR54" s="1" t="s">
        <v>397</v>
      </c>
    </row>
    <row r="55">
      <c r="A55" s="2">
        <f ca="1">DATE(1999,11,03)</f>
        <v>0</v>
      </c>
      <c r="B55" s="2">
        <f ca="1">DATE(2000,02,08)</f>
        <v>0</v>
      </c>
      <c r="C55" s="1" t="s">
        <v>398</v>
      </c>
      <c r="D55" s="3">
        <v>7375</v>
      </c>
      <c r="E55" s="1" t="s">
        <v>43</v>
      </c>
      <c r="F55" s="1" t="s">
        <v>399</v>
      </c>
      <c r="G55" s="1" t="s">
        <v>400</v>
      </c>
      <c r="H55" s="4">
        <v>1.19</v>
      </c>
      <c r="I55" s="8">
        <v>7</v>
      </c>
      <c r="J55" s="5">
        <v>104.2</v>
      </c>
      <c r="K55" s="4">
        <v>17</v>
      </c>
      <c r="L55" s="1" t="s">
        <v>46</v>
      </c>
      <c r="M55" s="1" t="s">
        <v>47</v>
      </c>
      <c r="N55" s="3">
        <v>925653107</v>
      </c>
      <c r="O55" s="1" t="s">
        <v>48</v>
      </c>
      <c r="P55" s="1" t="s">
        <v>401</v>
      </c>
      <c r="Q55" s="4">
        <v>1.4119999999999999</v>
      </c>
      <c r="R55" s="4">
        <v>1.4119999999999999</v>
      </c>
      <c r="S55" s="6">
        <v>4.1764700000000001</v>
      </c>
      <c r="T55" s="1" t="s">
        <v>50</v>
      </c>
      <c r="U55" s="1"/>
      <c r="V55" s="1"/>
      <c r="W55" s="1"/>
      <c r="X55" s="5">
        <v>57.5</v>
      </c>
      <c r="Y55" s="7">
        <v>6132000</v>
      </c>
      <c r="Z55" s="1"/>
      <c r="AA55" s="1"/>
      <c r="AB55" s="1"/>
      <c r="AC55" s="1"/>
      <c r="AD55" s="1"/>
      <c r="AE55" s="1" t="s">
        <v>51</v>
      </c>
      <c r="AF55" s="1" t="s">
        <v>51</v>
      </c>
      <c r="AG55" s="1" t="s">
        <v>47</v>
      </c>
      <c r="AH55" s="1"/>
      <c r="AI55" s="1"/>
      <c r="AJ55" s="3">
        <v>1</v>
      </c>
      <c r="AK55" s="1" t="s">
        <v>52</v>
      </c>
      <c r="AL55" s="3">
        <v>3</v>
      </c>
      <c r="AM55" s="8">
        <v>48.75</v>
      </c>
      <c r="AN55" s="1"/>
      <c r="AO55" s="1" t="s">
        <v>402</v>
      </c>
      <c r="AP55" s="1" t="s">
        <v>400</v>
      </c>
      <c r="AQ55" s="1" t="s">
        <v>403</v>
      </c>
      <c r="AR55" s="1" t="s">
        <v>404</v>
      </c>
    </row>
    <row r="56">
      <c r="A56" s="2">
        <f ca="1">DATE(1999,11,03)</f>
        <v>0</v>
      </c>
      <c r="B56" s="2">
        <f ca="1">DATE(2000,02,08)</f>
        <v>0</v>
      </c>
      <c r="C56" s="1" t="s">
        <v>398</v>
      </c>
      <c r="D56" s="3">
        <v>7375</v>
      </c>
      <c r="E56" s="1" t="s">
        <v>43</v>
      </c>
      <c r="F56" s="1" t="s">
        <v>399</v>
      </c>
      <c r="G56" s="1" t="s">
        <v>405</v>
      </c>
      <c r="H56" s="4">
        <v>1.19</v>
      </c>
      <c r="I56" s="8">
        <v>7</v>
      </c>
      <c r="J56" s="5">
        <v>14.800000000000001</v>
      </c>
      <c r="K56" s="8">
        <v>17</v>
      </c>
      <c r="L56" s="1" t="s">
        <v>58</v>
      </c>
      <c r="M56" s="1" t="s">
        <v>47</v>
      </c>
      <c r="N56" s="1"/>
      <c r="O56" s="1" t="s">
        <v>48</v>
      </c>
      <c r="P56" s="1" t="s">
        <v>406</v>
      </c>
      <c r="Q56" s="4">
        <v>1.4119999999999999</v>
      </c>
      <c r="R56" s="4">
        <v>1.4119999999999999</v>
      </c>
      <c r="S56" s="6">
        <v>4.1765299999999996</v>
      </c>
      <c r="T56" s="1" t="s">
        <v>60</v>
      </c>
      <c r="U56" s="1"/>
      <c r="V56" s="1"/>
      <c r="W56" s="1"/>
      <c r="X56" s="1"/>
      <c r="Y56" s="7">
        <v>868000</v>
      </c>
      <c r="Z56" s="1"/>
      <c r="AA56" s="1"/>
      <c r="AB56" s="1"/>
      <c r="AC56" s="1"/>
      <c r="AD56" s="1"/>
      <c r="AE56" s="1" t="s">
        <v>51</v>
      </c>
      <c r="AF56" s="1" t="s">
        <v>51</v>
      </c>
      <c r="AG56" s="1" t="s">
        <v>47</v>
      </c>
      <c r="AH56" s="1"/>
      <c r="AI56" s="1"/>
      <c r="AJ56" s="3">
        <v>1</v>
      </c>
      <c r="AK56" s="1" t="s">
        <v>52</v>
      </c>
      <c r="AL56" s="3">
        <v>1</v>
      </c>
      <c r="AM56" s="1"/>
      <c r="AN56" s="1"/>
      <c r="AO56" s="1" t="s">
        <v>407</v>
      </c>
      <c r="AP56" s="1" t="s">
        <v>405</v>
      </c>
      <c r="AQ56" s="1" t="s">
        <v>405</v>
      </c>
      <c r="AR56" s="1" t="s">
        <v>408</v>
      </c>
    </row>
    <row r="57">
      <c r="A57" s="2">
        <f ca="1">DATE(1999,12,03)</f>
        <v>0</v>
      </c>
      <c r="B57" s="2">
        <f ca="1">DATE(2000,02,09)</f>
        <v>0</v>
      </c>
      <c r="C57" s="1" t="s">
        <v>409</v>
      </c>
      <c r="D57" s="3">
        <v>4813</v>
      </c>
      <c r="E57" s="1" t="s">
        <v>43</v>
      </c>
      <c r="F57" s="1" t="s">
        <v>410</v>
      </c>
      <c r="G57" s="1" t="s">
        <v>411</v>
      </c>
      <c r="H57" s="4">
        <v>1.19</v>
      </c>
      <c r="I57" s="8">
        <v>7</v>
      </c>
      <c r="J57" s="5">
        <v>170</v>
      </c>
      <c r="K57" s="4">
        <v>17</v>
      </c>
      <c r="L57" s="1" t="s">
        <v>46</v>
      </c>
      <c r="M57" s="1" t="s">
        <v>47</v>
      </c>
      <c r="N57" s="3">
        <v>232743104</v>
      </c>
      <c r="O57" s="1" t="s">
        <v>48</v>
      </c>
      <c r="P57" s="1" t="s">
        <v>412</v>
      </c>
      <c r="Q57" s="4">
        <v>1.4119999999999999</v>
      </c>
      <c r="R57" s="4">
        <v>1.4119999999999999</v>
      </c>
      <c r="S57" s="6">
        <v>4.1764700000000001</v>
      </c>
      <c r="T57" s="1" t="s">
        <v>50</v>
      </c>
      <c r="U57" s="8">
        <v>16</v>
      </c>
      <c r="V57" s="8">
        <v>14</v>
      </c>
      <c r="W57" s="1"/>
      <c r="X57" s="5">
        <v>150</v>
      </c>
      <c r="Y57" s="7">
        <v>10000000</v>
      </c>
      <c r="Z57" s="1"/>
      <c r="AA57" s="2">
        <f ca="1">DATE(2000,08,07)</f>
        <v>0</v>
      </c>
      <c r="AB57" s="4">
        <v>78.192999999999998</v>
      </c>
      <c r="AC57" s="3">
        <v>180</v>
      </c>
      <c r="AD57" s="8">
        <v>35856415</v>
      </c>
      <c r="AE57" s="1" t="s">
        <v>51</v>
      </c>
      <c r="AF57" s="1" t="s">
        <v>51</v>
      </c>
      <c r="AG57" s="1" t="s">
        <v>47</v>
      </c>
      <c r="AH57" s="1"/>
      <c r="AI57" s="1"/>
      <c r="AJ57" s="3">
        <v>1</v>
      </c>
      <c r="AK57" s="1" t="s">
        <v>52</v>
      </c>
      <c r="AL57" s="3">
        <v>3</v>
      </c>
      <c r="AM57" s="8">
        <v>20.5</v>
      </c>
      <c r="AN57" s="1"/>
      <c r="AO57" s="1" t="s">
        <v>413</v>
      </c>
      <c r="AP57" s="1" t="s">
        <v>411</v>
      </c>
      <c r="AQ57" s="1" t="s">
        <v>414</v>
      </c>
      <c r="AR57" s="1" t="s">
        <v>415</v>
      </c>
    </row>
    <row r="58">
      <c r="A58" s="2">
        <f ca="1">DATE(2000,01,12)</f>
        <v>0</v>
      </c>
      <c r="B58" s="2">
        <f ca="1">DATE(2000,02,09)</f>
        <v>0</v>
      </c>
      <c r="C58" s="1" t="s">
        <v>416</v>
      </c>
      <c r="D58" s="3">
        <v>7372</v>
      </c>
      <c r="E58" s="1" t="s">
        <v>166</v>
      </c>
      <c r="F58" s="1" t="s">
        <v>417</v>
      </c>
      <c r="G58" s="1" t="s">
        <v>122</v>
      </c>
      <c r="H58" s="4">
        <v>1.26</v>
      </c>
      <c r="I58" s="4">
        <v>7</v>
      </c>
      <c r="J58" s="5">
        <v>72</v>
      </c>
      <c r="K58" s="4">
        <v>18</v>
      </c>
      <c r="L58" s="1" t="s">
        <v>46</v>
      </c>
      <c r="M58" s="1" t="s">
        <v>47</v>
      </c>
      <c r="N58" s="3">
        <v>245701107</v>
      </c>
      <c r="O58" s="1" t="s">
        <v>48</v>
      </c>
      <c r="P58" s="1" t="s">
        <v>418</v>
      </c>
      <c r="Q58" s="4">
        <v>1.444</v>
      </c>
      <c r="R58" s="4">
        <v>1.333</v>
      </c>
      <c r="S58" s="6">
        <v>4.2222200000000001</v>
      </c>
      <c r="T58" s="1" t="s">
        <v>50</v>
      </c>
      <c r="U58" s="8">
        <v>11</v>
      </c>
      <c r="V58" s="8">
        <v>9</v>
      </c>
      <c r="W58" s="1"/>
      <c r="X58" s="1"/>
      <c r="Y58" s="7">
        <v>4000000</v>
      </c>
      <c r="Z58" s="1"/>
      <c r="AA58" s="2">
        <f ca="1">DATE(2000,08,07)</f>
        <v>0</v>
      </c>
      <c r="AB58" s="4">
        <v>82.861999999999995</v>
      </c>
      <c r="AC58" s="3">
        <v>180</v>
      </c>
      <c r="AD58" s="8">
        <v>24174598</v>
      </c>
      <c r="AE58" s="1" t="s">
        <v>51</v>
      </c>
      <c r="AF58" s="1" t="s">
        <v>51</v>
      </c>
      <c r="AG58" s="1" t="s">
        <v>51</v>
      </c>
      <c r="AH58" s="1"/>
      <c r="AI58" s="1"/>
      <c r="AJ58" s="3">
        <v>1</v>
      </c>
      <c r="AK58" s="1" t="s">
        <v>52</v>
      </c>
      <c r="AL58" s="3">
        <v>2</v>
      </c>
      <c r="AM58" s="8">
        <v>50.5</v>
      </c>
      <c r="AN58" s="1"/>
      <c r="AO58" s="1" t="s">
        <v>419</v>
      </c>
      <c r="AP58" s="1" t="s">
        <v>122</v>
      </c>
      <c r="AQ58" s="1" t="s">
        <v>420</v>
      </c>
      <c r="AR58" s="1" t="s">
        <v>421</v>
      </c>
    </row>
    <row r="59">
      <c r="A59" s="2">
        <f ca="1">DATE(2000,01,12)</f>
        <v>0</v>
      </c>
      <c r="B59" s="2">
        <f ca="1">DATE(2000,02,09)</f>
        <v>0</v>
      </c>
      <c r="C59" s="1" t="s">
        <v>416</v>
      </c>
      <c r="D59" s="3">
        <v>7372</v>
      </c>
      <c r="E59" s="1" t="s">
        <v>166</v>
      </c>
      <c r="F59" s="1" t="s">
        <v>417</v>
      </c>
      <c r="G59" s="1" t="s">
        <v>422</v>
      </c>
      <c r="H59" s="8">
        <v>1.26</v>
      </c>
      <c r="I59" s="4">
        <v>7</v>
      </c>
      <c r="J59" s="5">
        <v>18</v>
      </c>
      <c r="K59" s="4">
        <v>18</v>
      </c>
      <c r="L59" s="1" t="s">
        <v>46</v>
      </c>
      <c r="M59" s="1" t="s">
        <v>47</v>
      </c>
      <c r="N59" s="3">
        <v>245701107</v>
      </c>
      <c r="O59" s="1" t="s">
        <v>48</v>
      </c>
      <c r="P59" s="1" t="s">
        <v>423</v>
      </c>
      <c r="Q59" s="1"/>
      <c r="R59" s="1"/>
      <c r="S59" s="1"/>
      <c r="T59" s="1" t="s">
        <v>175</v>
      </c>
      <c r="U59" s="8">
        <v>11</v>
      </c>
      <c r="V59" s="8">
        <v>9</v>
      </c>
      <c r="W59" s="7">
        <v>5000000</v>
      </c>
      <c r="X59" s="5">
        <v>50</v>
      </c>
      <c r="Y59" s="1"/>
      <c r="Z59" s="1"/>
      <c r="AA59" s="1"/>
      <c r="AB59" s="1"/>
      <c r="AC59" s="1"/>
      <c r="AD59" s="1"/>
      <c r="AE59" s="1"/>
      <c r="AF59" s="1" t="s">
        <v>51</v>
      </c>
      <c r="AG59" s="1" t="s">
        <v>51</v>
      </c>
      <c r="AH59" s="1"/>
      <c r="AI59" s="1"/>
      <c r="AJ59" s="3">
        <v>1</v>
      </c>
      <c r="AK59" s="1" t="s">
        <v>52</v>
      </c>
      <c r="AL59" s="3">
        <v>1</v>
      </c>
      <c r="AM59" s="1"/>
      <c r="AN59" s="1"/>
      <c r="AO59" s="1" t="s">
        <v>422</v>
      </c>
      <c r="AP59" s="1" t="s">
        <v>422</v>
      </c>
      <c r="AQ59" s="1" t="s">
        <v>422</v>
      </c>
      <c r="AR59" s="1" t="s">
        <v>423</v>
      </c>
    </row>
    <row r="60">
      <c r="A60" s="2">
        <f ca="1">DATE(1999,11,24)</f>
        <v>0</v>
      </c>
      <c r="B60" s="2">
        <f ca="1">DATE(2000,02,09)</f>
        <v>0</v>
      </c>
      <c r="C60" s="1" t="s">
        <v>424</v>
      </c>
      <c r="D60" s="3">
        <v>7372</v>
      </c>
      <c r="E60" s="1" t="s">
        <v>43</v>
      </c>
      <c r="F60" s="1" t="s">
        <v>425</v>
      </c>
      <c r="G60" s="1" t="s">
        <v>160</v>
      </c>
      <c r="H60" s="4">
        <v>1.3999999999999999</v>
      </c>
      <c r="I60" s="8">
        <v>7</v>
      </c>
      <c r="J60" s="5">
        <v>95.5</v>
      </c>
      <c r="K60" s="4">
        <v>20</v>
      </c>
      <c r="L60" s="1" t="s">
        <v>46</v>
      </c>
      <c r="M60" s="1" t="s">
        <v>47</v>
      </c>
      <c r="N60" s="1" t="s">
        <v>426</v>
      </c>
      <c r="O60" s="1" t="s">
        <v>48</v>
      </c>
      <c r="P60" s="1" t="s">
        <v>427</v>
      </c>
      <c r="Q60" s="4">
        <v>1.3999999999999999</v>
      </c>
      <c r="R60" s="4">
        <v>1.3999999999999999</v>
      </c>
      <c r="S60" s="8">
        <v>4.2000000000000002</v>
      </c>
      <c r="T60" s="1" t="s">
        <v>50</v>
      </c>
      <c r="U60" s="1"/>
      <c r="V60" s="1"/>
      <c r="W60" s="1"/>
      <c r="X60" s="5">
        <v>75</v>
      </c>
      <c r="Y60" s="7">
        <v>4776052</v>
      </c>
      <c r="Z60" s="1"/>
      <c r="AA60" s="1"/>
      <c r="AB60" s="1"/>
      <c r="AC60" s="1"/>
      <c r="AD60" s="1"/>
      <c r="AE60" s="1" t="s">
        <v>51</v>
      </c>
      <c r="AF60" s="1" t="s">
        <v>51</v>
      </c>
      <c r="AG60" s="1" t="s">
        <v>51</v>
      </c>
      <c r="AH60" s="1"/>
      <c r="AI60" s="1"/>
      <c r="AJ60" s="3">
        <v>1</v>
      </c>
      <c r="AK60" s="1" t="s">
        <v>89</v>
      </c>
      <c r="AL60" s="3">
        <v>3</v>
      </c>
      <c r="AM60" s="8">
        <v>39.939999999999998</v>
      </c>
      <c r="AN60" s="1"/>
      <c r="AO60" s="1" t="s">
        <v>428</v>
      </c>
      <c r="AP60" s="1" t="s">
        <v>429</v>
      </c>
      <c r="AQ60" s="1" t="s">
        <v>430</v>
      </c>
      <c r="AR60" s="1" t="s">
        <v>431</v>
      </c>
    </row>
    <row r="61">
      <c r="A61" s="2">
        <f ca="1">DATE(1999,11,24)</f>
        <v>0</v>
      </c>
      <c r="B61" s="2">
        <f ca="1">DATE(2000,02,09)</f>
        <v>0</v>
      </c>
      <c r="C61" s="1" t="s">
        <v>424</v>
      </c>
      <c r="D61" s="3">
        <v>7372</v>
      </c>
      <c r="E61" s="1" t="s">
        <v>43</v>
      </c>
      <c r="F61" s="1" t="s">
        <v>425</v>
      </c>
      <c r="G61" s="1" t="s">
        <v>160</v>
      </c>
      <c r="H61" s="4">
        <v>1.3999999999999999</v>
      </c>
      <c r="I61" s="8">
        <v>7</v>
      </c>
      <c r="J61" s="5">
        <v>14.5</v>
      </c>
      <c r="K61" s="8">
        <v>20</v>
      </c>
      <c r="L61" s="1" t="s">
        <v>58</v>
      </c>
      <c r="M61" s="1" t="s">
        <v>47</v>
      </c>
      <c r="N61" s="1" t="s">
        <v>426</v>
      </c>
      <c r="O61" s="1" t="s">
        <v>48</v>
      </c>
      <c r="P61" s="1" t="s">
        <v>427</v>
      </c>
      <c r="Q61" s="4">
        <v>1.3999999999999999</v>
      </c>
      <c r="R61" s="4">
        <v>1.3999999999999999</v>
      </c>
      <c r="S61" s="8">
        <v>4.2000000000000002</v>
      </c>
      <c r="T61" s="1" t="s">
        <v>60</v>
      </c>
      <c r="U61" s="1"/>
      <c r="V61" s="1"/>
      <c r="W61" s="1"/>
      <c r="X61" s="1"/>
      <c r="Y61" s="7">
        <v>723948</v>
      </c>
      <c r="Z61" s="1"/>
      <c r="AA61" s="1"/>
      <c r="AB61" s="1"/>
      <c r="AC61" s="1"/>
      <c r="AD61" s="1"/>
      <c r="AE61" s="1" t="s">
        <v>51</v>
      </c>
      <c r="AF61" s="1" t="s">
        <v>51</v>
      </c>
      <c r="AG61" s="1" t="s">
        <v>51</v>
      </c>
      <c r="AH61" s="1"/>
      <c r="AI61" s="1"/>
      <c r="AJ61" s="3">
        <v>1</v>
      </c>
      <c r="AK61" s="1" t="s">
        <v>52</v>
      </c>
      <c r="AL61" s="3">
        <v>1</v>
      </c>
      <c r="AM61" s="1"/>
      <c r="AN61" s="1"/>
      <c r="AO61" s="1" t="s">
        <v>432</v>
      </c>
      <c r="AP61" s="1" t="s">
        <v>160</v>
      </c>
      <c r="AQ61" s="1" t="s">
        <v>160</v>
      </c>
      <c r="AR61" s="1" t="s">
        <v>187</v>
      </c>
    </row>
    <row r="62">
      <c r="A62" s="2">
        <f ca="1">DATE(1999,11,22)</f>
        <v>0</v>
      </c>
      <c r="B62" s="2">
        <f ca="1">DATE(2000,02,09)</f>
        <v>0</v>
      </c>
      <c r="C62" s="1" t="s">
        <v>433</v>
      </c>
      <c r="D62" s="3">
        <v>7372</v>
      </c>
      <c r="E62" s="1" t="s">
        <v>43</v>
      </c>
      <c r="F62" s="1" t="s">
        <v>434</v>
      </c>
      <c r="G62" s="1" t="s">
        <v>387</v>
      </c>
      <c r="H62" s="4">
        <v>1.3999999999999999</v>
      </c>
      <c r="I62" s="8">
        <v>7</v>
      </c>
      <c r="J62" s="5">
        <v>76</v>
      </c>
      <c r="K62" s="4">
        <v>20</v>
      </c>
      <c r="L62" s="1" t="s">
        <v>46</v>
      </c>
      <c r="M62" s="1" t="s">
        <v>47</v>
      </c>
      <c r="N62" s="3">
        <v>977424100</v>
      </c>
      <c r="O62" s="1" t="s">
        <v>48</v>
      </c>
      <c r="P62" s="1" t="s">
        <v>435</v>
      </c>
      <c r="Q62" s="4">
        <v>1.3999999999999999</v>
      </c>
      <c r="R62" s="4">
        <v>1.3999999999999999</v>
      </c>
      <c r="S62" s="8">
        <v>4.2000000000000002</v>
      </c>
      <c r="T62" s="1" t="s">
        <v>50</v>
      </c>
      <c r="U62" s="1"/>
      <c r="V62" s="1"/>
      <c r="W62" s="1"/>
      <c r="X62" s="5">
        <v>60</v>
      </c>
      <c r="Y62" s="7">
        <v>3800000</v>
      </c>
      <c r="Z62" s="1"/>
      <c r="AA62" s="2">
        <f ca="1">DATE(2000,08,07)</f>
        <v>0</v>
      </c>
      <c r="AB62" s="4">
        <v>1.252</v>
      </c>
      <c r="AC62" s="3">
        <v>180</v>
      </c>
      <c r="AD62" s="8">
        <v>266000</v>
      </c>
      <c r="AE62" s="1" t="s">
        <v>51</v>
      </c>
      <c r="AF62" s="1" t="s">
        <v>51</v>
      </c>
      <c r="AG62" s="1" t="s">
        <v>47</v>
      </c>
      <c r="AH62" s="1"/>
      <c r="AI62" s="1"/>
      <c r="AJ62" s="3">
        <v>1</v>
      </c>
      <c r="AK62" s="1" t="s">
        <v>52</v>
      </c>
      <c r="AL62" s="3">
        <v>3</v>
      </c>
      <c r="AM62" s="8">
        <v>40.060000000000002</v>
      </c>
      <c r="AN62" s="1"/>
      <c r="AO62" s="1" t="s">
        <v>436</v>
      </c>
      <c r="AP62" s="1" t="s">
        <v>387</v>
      </c>
      <c r="AQ62" s="1" t="s">
        <v>437</v>
      </c>
      <c r="AR62" s="1" t="s">
        <v>438</v>
      </c>
    </row>
    <row r="63">
      <c r="A63" s="2">
        <f ca="1">DATE(1999,11,02)</f>
        <v>0</v>
      </c>
      <c r="B63" s="2">
        <f ca="1">DATE(2000,02,09)</f>
        <v>0</v>
      </c>
      <c r="C63" s="1" t="s">
        <v>439</v>
      </c>
      <c r="D63" s="3">
        <v>7374</v>
      </c>
      <c r="E63" s="1" t="s">
        <v>43</v>
      </c>
      <c r="F63" s="1" t="s">
        <v>440</v>
      </c>
      <c r="G63" s="1" t="s">
        <v>441</v>
      </c>
      <c r="H63" s="4">
        <v>1.26</v>
      </c>
      <c r="I63" s="4">
        <v>7</v>
      </c>
      <c r="J63" s="5">
        <v>90</v>
      </c>
      <c r="K63" s="4">
        <v>18</v>
      </c>
      <c r="L63" s="1" t="s">
        <v>46</v>
      </c>
      <c r="M63" s="1" t="s">
        <v>47</v>
      </c>
      <c r="N63" s="1" t="s">
        <v>442</v>
      </c>
      <c r="O63" s="1" t="s">
        <v>48</v>
      </c>
      <c r="P63" s="1" t="s">
        <v>443</v>
      </c>
      <c r="Q63" s="4">
        <v>1.444</v>
      </c>
      <c r="R63" s="4">
        <v>1.333</v>
      </c>
      <c r="S63" s="6">
        <v>4.2222200000000001</v>
      </c>
      <c r="T63" s="1" t="s">
        <v>50</v>
      </c>
      <c r="U63" s="1"/>
      <c r="V63" s="1"/>
      <c r="W63" s="1"/>
      <c r="X63" s="5">
        <v>60</v>
      </c>
      <c r="Y63" s="7">
        <v>5000000</v>
      </c>
      <c r="Z63" s="1"/>
      <c r="AA63" s="2">
        <f ca="1">DATE(2000,08,07)</f>
        <v>0</v>
      </c>
      <c r="AB63" s="4">
        <v>67.465000000000003</v>
      </c>
      <c r="AC63" s="3">
        <v>180</v>
      </c>
      <c r="AD63" s="8">
        <v>10368209</v>
      </c>
      <c r="AE63" s="1" t="s">
        <v>51</v>
      </c>
      <c r="AF63" s="1" t="s">
        <v>51</v>
      </c>
      <c r="AG63" s="1" t="s">
        <v>47</v>
      </c>
      <c r="AH63" s="1"/>
      <c r="AI63" s="1"/>
      <c r="AJ63" s="3">
        <v>1</v>
      </c>
      <c r="AK63" s="1" t="s">
        <v>52</v>
      </c>
      <c r="AL63" s="3">
        <v>4</v>
      </c>
      <c r="AM63" s="8">
        <v>31.25</v>
      </c>
      <c r="AN63" s="1"/>
      <c r="AO63" s="1" t="s">
        <v>444</v>
      </c>
      <c r="AP63" s="1" t="s">
        <v>441</v>
      </c>
      <c r="AQ63" s="1" t="s">
        <v>445</v>
      </c>
      <c r="AR63" s="1" t="s">
        <v>446</v>
      </c>
    </row>
    <row r="64">
      <c r="A64" s="2">
        <f ca="1">DATE(1999,11,15)</f>
        <v>0</v>
      </c>
      <c r="B64" s="2">
        <f ca="1">DATE(2000,02,10)</f>
        <v>0</v>
      </c>
      <c r="C64" s="1" t="s">
        <v>447</v>
      </c>
      <c r="D64" s="3">
        <v>3571</v>
      </c>
      <c r="E64" s="1" t="s">
        <v>43</v>
      </c>
      <c r="F64" s="1" t="s">
        <v>448</v>
      </c>
      <c r="G64" s="1" t="s">
        <v>66</v>
      </c>
      <c r="H64" s="4">
        <v>1.05</v>
      </c>
      <c r="I64" s="4">
        <v>7</v>
      </c>
      <c r="J64" s="5">
        <v>75</v>
      </c>
      <c r="K64" s="4">
        <v>15</v>
      </c>
      <c r="L64" s="1" t="s">
        <v>46</v>
      </c>
      <c r="M64" s="1" t="s">
        <v>47</v>
      </c>
      <c r="N64" s="1" t="s">
        <v>449</v>
      </c>
      <c r="O64" s="1" t="s">
        <v>48</v>
      </c>
      <c r="P64" s="1" t="s">
        <v>450</v>
      </c>
      <c r="Q64" s="4">
        <v>1.3999999999999999</v>
      </c>
      <c r="R64" s="4">
        <v>1.6000000000000001</v>
      </c>
      <c r="S64" s="8">
        <v>4</v>
      </c>
      <c r="T64" s="1" t="s">
        <v>50</v>
      </c>
      <c r="U64" s="8">
        <v>16</v>
      </c>
      <c r="V64" s="8">
        <v>14</v>
      </c>
      <c r="W64" s="7">
        <v>5000000</v>
      </c>
      <c r="X64" s="5">
        <v>75</v>
      </c>
      <c r="Y64" s="7">
        <v>5000000</v>
      </c>
      <c r="Z64" s="1"/>
      <c r="AA64" s="2">
        <f ca="1">DATE(2000,08,08)</f>
        <v>0</v>
      </c>
      <c r="AB64" s="4">
        <v>57.500999999999998</v>
      </c>
      <c r="AC64" s="3">
        <v>180</v>
      </c>
      <c r="AD64" s="8">
        <v>6765625</v>
      </c>
      <c r="AE64" s="1" t="s">
        <v>51</v>
      </c>
      <c r="AF64" s="1" t="s">
        <v>51</v>
      </c>
      <c r="AG64" s="1" t="s">
        <v>47</v>
      </c>
      <c r="AH64" s="1"/>
      <c r="AI64" s="1"/>
      <c r="AJ64" s="3">
        <v>1</v>
      </c>
      <c r="AK64" s="1" t="s">
        <v>52</v>
      </c>
      <c r="AL64" s="3">
        <v>3</v>
      </c>
      <c r="AM64" s="8">
        <v>15.130000000000001</v>
      </c>
      <c r="AN64" s="1"/>
      <c r="AO64" s="1" t="s">
        <v>451</v>
      </c>
      <c r="AP64" s="1" t="s">
        <v>66</v>
      </c>
      <c r="AQ64" s="1" t="s">
        <v>452</v>
      </c>
      <c r="AR64" s="1" t="s">
        <v>453</v>
      </c>
    </row>
    <row r="65">
      <c r="A65" s="2">
        <f ca="1">DATE(1999,12,08)</f>
        <v>0</v>
      </c>
      <c r="B65" s="2">
        <f ca="1">DATE(2000,02,10)</f>
        <v>0</v>
      </c>
      <c r="C65" s="1" t="s">
        <v>454</v>
      </c>
      <c r="D65" s="3">
        <v>7379</v>
      </c>
      <c r="E65" s="1" t="s">
        <v>43</v>
      </c>
      <c r="F65" s="1" t="s">
        <v>455</v>
      </c>
      <c r="G65" s="1" t="s">
        <v>239</v>
      </c>
      <c r="H65" s="4">
        <v>1.3999999999999999</v>
      </c>
      <c r="I65" s="8">
        <v>7</v>
      </c>
      <c r="J65" s="5">
        <v>58.799999999999997</v>
      </c>
      <c r="K65" s="4">
        <v>20</v>
      </c>
      <c r="L65" s="1" t="s">
        <v>46</v>
      </c>
      <c r="M65" s="1" t="s">
        <v>47</v>
      </c>
      <c r="N65" s="3">
        <v>516540101</v>
      </c>
      <c r="O65" s="1" t="s">
        <v>48</v>
      </c>
      <c r="P65" s="1" t="s">
        <v>456</v>
      </c>
      <c r="Q65" s="4">
        <v>1.3999999999999999</v>
      </c>
      <c r="R65" s="4">
        <v>1.3999999999999999</v>
      </c>
      <c r="S65" s="8">
        <v>4.2000000000000002</v>
      </c>
      <c r="T65" s="1" t="s">
        <v>50</v>
      </c>
      <c r="U65" s="1"/>
      <c r="V65" s="1"/>
      <c r="W65" s="1"/>
      <c r="X65" s="5">
        <v>50</v>
      </c>
      <c r="Y65" s="7">
        <v>2942000</v>
      </c>
      <c r="Z65" s="1"/>
      <c r="AA65" s="1"/>
      <c r="AB65" s="1"/>
      <c r="AC65" s="1"/>
      <c r="AD65" s="1"/>
      <c r="AE65" s="1" t="s">
        <v>51</v>
      </c>
      <c r="AF65" s="1" t="s">
        <v>51</v>
      </c>
      <c r="AG65" s="1" t="s">
        <v>47</v>
      </c>
      <c r="AH65" s="1"/>
      <c r="AI65" s="1"/>
      <c r="AJ65" s="3">
        <v>1</v>
      </c>
      <c r="AK65" s="1" t="s">
        <v>52</v>
      </c>
      <c r="AL65" s="3">
        <v>4</v>
      </c>
      <c r="AM65" s="8">
        <v>54.939999999999998</v>
      </c>
      <c r="AN65" s="1"/>
      <c r="AO65" s="1" t="s">
        <v>457</v>
      </c>
      <c r="AP65" s="1" t="s">
        <v>239</v>
      </c>
      <c r="AQ65" s="1" t="s">
        <v>458</v>
      </c>
      <c r="AR65" s="1" t="s">
        <v>459</v>
      </c>
    </row>
    <row r="66">
      <c r="A66" s="2">
        <f ca="1">DATE(1999,12,08)</f>
        <v>0</v>
      </c>
      <c r="B66" s="2">
        <f ca="1">DATE(2000,02,10)</f>
        <v>0</v>
      </c>
      <c r="C66" s="1" t="s">
        <v>454</v>
      </c>
      <c r="D66" s="3">
        <v>7379</v>
      </c>
      <c r="E66" s="1" t="s">
        <v>43</v>
      </c>
      <c r="F66" s="1" t="s">
        <v>455</v>
      </c>
      <c r="G66" s="1" t="s">
        <v>179</v>
      </c>
      <c r="H66" s="4">
        <v>1.3999999999999999</v>
      </c>
      <c r="I66" s="8">
        <v>7</v>
      </c>
      <c r="J66" s="5">
        <v>21.199999999999999</v>
      </c>
      <c r="K66" s="8">
        <v>20</v>
      </c>
      <c r="L66" s="1" t="s">
        <v>58</v>
      </c>
      <c r="M66" s="1" t="s">
        <v>47</v>
      </c>
      <c r="N66" s="3">
        <v>516540101</v>
      </c>
      <c r="O66" s="1" t="s">
        <v>48</v>
      </c>
      <c r="P66" s="1" t="s">
        <v>460</v>
      </c>
      <c r="Q66" s="4">
        <v>1.3999999999999999</v>
      </c>
      <c r="R66" s="4">
        <v>1.3999999999999999</v>
      </c>
      <c r="S66" s="8">
        <v>4.2000000000000002</v>
      </c>
      <c r="T66" s="1" t="s">
        <v>60</v>
      </c>
      <c r="U66" s="1"/>
      <c r="V66" s="1"/>
      <c r="W66" s="1"/>
      <c r="X66" s="1"/>
      <c r="Y66" s="7">
        <v>1058000</v>
      </c>
      <c r="Z66" s="1"/>
      <c r="AA66" s="1"/>
      <c r="AB66" s="1"/>
      <c r="AC66" s="1"/>
      <c r="AD66" s="1"/>
      <c r="AE66" s="1" t="s">
        <v>51</v>
      </c>
      <c r="AF66" s="1" t="s">
        <v>51</v>
      </c>
      <c r="AG66" s="1" t="s">
        <v>47</v>
      </c>
      <c r="AH66" s="1"/>
      <c r="AI66" s="1"/>
      <c r="AJ66" s="3">
        <v>1</v>
      </c>
      <c r="AK66" s="1" t="s">
        <v>52</v>
      </c>
      <c r="AL66" s="3">
        <v>4</v>
      </c>
      <c r="AM66" s="1"/>
      <c r="AN66" s="1"/>
      <c r="AO66" s="1" t="s">
        <v>461</v>
      </c>
      <c r="AP66" s="1" t="s">
        <v>179</v>
      </c>
      <c r="AQ66" s="1" t="s">
        <v>462</v>
      </c>
      <c r="AR66" s="1" t="s">
        <v>463</v>
      </c>
    </row>
    <row r="67">
      <c r="A67" s="2">
        <f ca="1">DATE(1999,11,01)</f>
        <v>0</v>
      </c>
      <c r="B67" s="2">
        <f ca="1">DATE(2000,02,10)</f>
        <v>0</v>
      </c>
      <c r="C67" s="1" t="s">
        <v>464</v>
      </c>
      <c r="D67" s="3">
        <v>8299</v>
      </c>
      <c r="E67" s="1" t="s">
        <v>43</v>
      </c>
      <c r="F67" s="1" t="s">
        <v>465</v>
      </c>
      <c r="G67" s="1" t="s">
        <v>239</v>
      </c>
      <c r="H67" s="4">
        <v>0.83999999999999997</v>
      </c>
      <c r="I67" s="8">
        <v>7</v>
      </c>
      <c r="J67" s="5">
        <v>68.400000000000006</v>
      </c>
      <c r="K67" s="4">
        <v>12</v>
      </c>
      <c r="L67" s="1" t="s">
        <v>46</v>
      </c>
      <c r="M67" s="1" t="s">
        <v>47</v>
      </c>
      <c r="N67" s="1" t="s">
        <v>466</v>
      </c>
      <c r="O67" s="1" t="s">
        <v>48</v>
      </c>
      <c r="P67" s="1" t="s">
        <v>467</v>
      </c>
      <c r="Q67" s="4">
        <v>1.417</v>
      </c>
      <c r="R67" s="4">
        <v>1.417</v>
      </c>
      <c r="S67" s="6">
        <v>4.1666699999999999</v>
      </c>
      <c r="T67" s="1" t="s">
        <v>50</v>
      </c>
      <c r="U67" s="1"/>
      <c r="V67" s="1"/>
      <c r="W67" s="1"/>
      <c r="X67" s="5">
        <v>115</v>
      </c>
      <c r="Y67" s="7">
        <v>5700000</v>
      </c>
      <c r="Z67" s="1"/>
      <c r="AA67" s="1"/>
      <c r="AB67" s="1"/>
      <c r="AC67" s="1"/>
      <c r="AD67" s="1"/>
      <c r="AE67" s="1" t="s">
        <v>51</v>
      </c>
      <c r="AF67" s="1" t="s">
        <v>51</v>
      </c>
      <c r="AG67" s="1" t="s">
        <v>47</v>
      </c>
      <c r="AH67" s="1"/>
      <c r="AI67" s="1"/>
      <c r="AJ67" s="3">
        <v>1</v>
      </c>
      <c r="AK67" s="1" t="s">
        <v>52</v>
      </c>
      <c r="AL67" s="3">
        <v>3</v>
      </c>
      <c r="AM67" s="1"/>
      <c r="AN67" s="1"/>
      <c r="AO67" s="1" t="s">
        <v>468</v>
      </c>
      <c r="AP67" s="1" t="s">
        <v>239</v>
      </c>
      <c r="AQ67" s="1" t="s">
        <v>469</v>
      </c>
      <c r="AR67" s="1" t="s">
        <v>470</v>
      </c>
    </row>
    <row r="68">
      <c r="A68" s="2">
        <f ca="1">DATE(1999,11,01)</f>
        <v>0</v>
      </c>
      <c r="B68" s="2">
        <f ca="1">DATE(2000,02,10)</f>
        <v>0</v>
      </c>
      <c r="C68" s="1" t="s">
        <v>464</v>
      </c>
      <c r="D68" s="3">
        <v>8299</v>
      </c>
      <c r="E68" s="1" t="s">
        <v>43</v>
      </c>
      <c r="F68" s="1" t="s">
        <v>465</v>
      </c>
      <c r="G68" s="1" t="s">
        <v>179</v>
      </c>
      <c r="H68" s="4">
        <v>0.83999999999999997</v>
      </c>
      <c r="I68" s="8">
        <v>7</v>
      </c>
      <c r="J68" s="5">
        <v>21.600000000000001</v>
      </c>
      <c r="K68" s="8">
        <v>12</v>
      </c>
      <c r="L68" s="1" t="s">
        <v>58</v>
      </c>
      <c r="M68" s="1" t="s">
        <v>47</v>
      </c>
      <c r="N68" s="3">
        <v>532262102</v>
      </c>
      <c r="O68" s="1" t="s">
        <v>48</v>
      </c>
      <c r="P68" s="1" t="s">
        <v>471</v>
      </c>
      <c r="Q68" s="4">
        <v>1.417</v>
      </c>
      <c r="R68" s="4">
        <v>1.417</v>
      </c>
      <c r="S68" s="6">
        <v>4.1666699999999999</v>
      </c>
      <c r="T68" s="1" t="s">
        <v>60</v>
      </c>
      <c r="U68" s="1"/>
      <c r="V68" s="1"/>
      <c r="W68" s="1"/>
      <c r="X68" s="1"/>
      <c r="Y68" s="7">
        <v>1800000</v>
      </c>
      <c r="Z68" s="1"/>
      <c r="AA68" s="1"/>
      <c r="AB68" s="1"/>
      <c r="AC68" s="1"/>
      <c r="AD68" s="1"/>
      <c r="AE68" s="1" t="s">
        <v>51</v>
      </c>
      <c r="AF68" s="1" t="s">
        <v>51</v>
      </c>
      <c r="AG68" s="1" t="s">
        <v>47</v>
      </c>
      <c r="AH68" s="1"/>
      <c r="AI68" s="1"/>
      <c r="AJ68" s="3">
        <v>1</v>
      </c>
      <c r="AK68" s="1" t="s">
        <v>52</v>
      </c>
      <c r="AL68" s="3">
        <v>3</v>
      </c>
      <c r="AM68" s="1"/>
      <c r="AN68" s="1"/>
      <c r="AO68" s="1" t="s">
        <v>472</v>
      </c>
      <c r="AP68" s="1" t="s">
        <v>179</v>
      </c>
      <c r="AQ68" s="1" t="s">
        <v>473</v>
      </c>
      <c r="AR68" s="1" t="s">
        <v>474</v>
      </c>
    </row>
    <row r="69">
      <c r="A69" s="2">
        <f ca="1">DATE(1999,12,09)</f>
        <v>0</v>
      </c>
      <c r="B69" s="2">
        <f ca="1">DATE(2000,02,10)</f>
        <v>0</v>
      </c>
      <c r="C69" s="1" t="s">
        <v>475</v>
      </c>
      <c r="D69" s="3">
        <v>5999</v>
      </c>
      <c r="E69" s="1" t="s">
        <v>43</v>
      </c>
      <c r="F69" s="1" t="s">
        <v>476</v>
      </c>
      <c r="G69" s="1" t="s">
        <v>45</v>
      </c>
      <c r="H69" s="4">
        <v>0.77000000000000002</v>
      </c>
      <c r="I69" s="4">
        <v>7</v>
      </c>
      <c r="J69" s="5">
        <v>66</v>
      </c>
      <c r="K69" s="4">
        <v>11</v>
      </c>
      <c r="L69" s="1" t="s">
        <v>46</v>
      </c>
      <c r="M69" s="1" t="s">
        <v>47</v>
      </c>
      <c r="N69" s="1" t="s">
        <v>477</v>
      </c>
      <c r="O69" s="1" t="s">
        <v>48</v>
      </c>
      <c r="P69" s="1" t="s">
        <v>478</v>
      </c>
      <c r="Q69" s="4">
        <v>1.4550000000000001</v>
      </c>
      <c r="R69" s="4">
        <v>1.4550000000000001</v>
      </c>
      <c r="S69" s="6">
        <v>4.09091</v>
      </c>
      <c r="T69" s="1" t="s">
        <v>50</v>
      </c>
      <c r="U69" s="1"/>
      <c r="V69" s="1"/>
      <c r="W69" s="1"/>
      <c r="X69" s="5">
        <v>100</v>
      </c>
      <c r="Y69" s="7">
        <v>6000000</v>
      </c>
      <c r="Z69" s="1"/>
      <c r="AA69" s="1"/>
      <c r="AB69" s="1"/>
      <c r="AC69" s="1"/>
      <c r="AD69" s="1"/>
      <c r="AE69" s="1" t="s">
        <v>51</v>
      </c>
      <c r="AF69" s="1" t="s">
        <v>51</v>
      </c>
      <c r="AG69" s="1" t="s">
        <v>47</v>
      </c>
      <c r="AH69" s="1"/>
      <c r="AI69" s="1"/>
      <c r="AJ69" s="3">
        <v>1</v>
      </c>
      <c r="AK69" s="1" t="s">
        <v>52</v>
      </c>
      <c r="AL69" s="3">
        <v>4</v>
      </c>
      <c r="AM69" s="8">
        <v>11</v>
      </c>
      <c r="AN69" s="1"/>
      <c r="AO69" s="1" t="s">
        <v>479</v>
      </c>
      <c r="AP69" s="1" t="s">
        <v>45</v>
      </c>
      <c r="AQ69" s="1" t="s">
        <v>480</v>
      </c>
      <c r="AR69" s="1" t="s">
        <v>481</v>
      </c>
    </row>
    <row r="70">
      <c r="A70" s="2">
        <f ca="1">DATE(1999,12,09)</f>
        <v>0</v>
      </c>
      <c r="B70" s="2">
        <f ca="1">DATE(2000,02,10)</f>
        <v>0</v>
      </c>
      <c r="C70" s="1" t="s">
        <v>475</v>
      </c>
      <c r="D70" s="3">
        <v>5999</v>
      </c>
      <c r="E70" s="1" t="s">
        <v>43</v>
      </c>
      <c r="F70" s="1" t="s">
        <v>476</v>
      </c>
      <c r="G70" s="1" t="s">
        <v>482</v>
      </c>
      <c r="H70" s="1" t="s">
        <v>57</v>
      </c>
      <c r="I70" s="1" t="s">
        <v>57</v>
      </c>
      <c r="J70" s="5">
        <v>16.5</v>
      </c>
      <c r="K70" s="8">
        <v>11</v>
      </c>
      <c r="L70" s="1" t="s">
        <v>58</v>
      </c>
      <c r="M70" s="1" t="s">
        <v>47</v>
      </c>
      <c r="N70" s="1"/>
      <c r="O70" s="1" t="s">
        <v>48</v>
      </c>
      <c r="P70" s="1" t="s">
        <v>483</v>
      </c>
      <c r="Q70" s="1"/>
      <c r="R70" s="1"/>
      <c r="S70" s="1"/>
      <c r="T70" s="1" t="s">
        <v>60</v>
      </c>
      <c r="U70" s="1"/>
      <c r="V70" s="1"/>
      <c r="W70" s="1"/>
      <c r="X70" s="1"/>
      <c r="Y70" s="7">
        <v>1500000</v>
      </c>
      <c r="Z70" s="1"/>
      <c r="AA70" s="1"/>
      <c r="AB70" s="1"/>
      <c r="AC70" s="1"/>
      <c r="AD70" s="1"/>
      <c r="AE70" s="1" t="s">
        <v>51</v>
      </c>
      <c r="AF70" s="1" t="s">
        <v>51</v>
      </c>
      <c r="AG70" s="1" t="s">
        <v>47</v>
      </c>
      <c r="AH70" s="1"/>
      <c r="AI70" s="1"/>
      <c r="AJ70" s="3">
        <v>1</v>
      </c>
      <c r="AK70" s="1" t="s">
        <v>52</v>
      </c>
      <c r="AL70" s="3">
        <v>2</v>
      </c>
      <c r="AM70" s="1"/>
      <c r="AN70" s="1"/>
      <c r="AO70" s="1" t="s">
        <v>484</v>
      </c>
      <c r="AP70" s="1" t="s">
        <v>482</v>
      </c>
      <c r="AQ70" s="1" t="s">
        <v>485</v>
      </c>
      <c r="AR70" s="1" t="s">
        <v>486</v>
      </c>
    </row>
    <row r="71">
      <c r="A71" s="2">
        <f ca="1">DATE(1999,11,19)</f>
        <v>0</v>
      </c>
      <c r="B71" s="2">
        <f ca="1">DATE(2000,02,10)</f>
        <v>0</v>
      </c>
      <c r="C71" s="1" t="s">
        <v>487</v>
      </c>
      <c r="D71" s="3">
        <v>7372</v>
      </c>
      <c r="E71" s="1" t="s">
        <v>43</v>
      </c>
      <c r="F71" s="1" t="s">
        <v>488</v>
      </c>
      <c r="G71" s="1" t="s">
        <v>106</v>
      </c>
      <c r="H71" s="4">
        <v>2.4500000000000002</v>
      </c>
      <c r="I71" s="4">
        <v>7</v>
      </c>
      <c r="J71" s="5">
        <v>121.59999999999999</v>
      </c>
      <c r="K71" s="4">
        <v>35</v>
      </c>
      <c r="L71" s="1" t="s">
        <v>46</v>
      </c>
      <c r="M71" s="1" t="s">
        <v>47</v>
      </c>
      <c r="N71" s="1" t="s">
        <v>489</v>
      </c>
      <c r="O71" s="1" t="s">
        <v>48</v>
      </c>
      <c r="P71" s="1" t="s">
        <v>490</v>
      </c>
      <c r="Q71" s="4">
        <v>1.3999999999999999</v>
      </c>
      <c r="R71" s="4">
        <v>1.0569999999999999</v>
      </c>
      <c r="S71" s="6">
        <v>4.5428600000000001</v>
      </c>
      <c r="T71" s="1" t="s">
        <v>50</v>
      </c>
      <c r="U71" s="1"/>
      <c r="V71" s="1"/>
      <c r="W71" s="1"/>
      <c r="X71" s="5">
        <v>45</v>
      </c>
      <c r="Y71" s="7">
        <v>3475000</v>
      </c>
      <c r="Z71" s="1"/>
      <c r="AA71" s="1"/>
      <c r="AB71" s="1"/>
      <c r="AC71" s="1"/>
      <c r="AD71" s="1"/>
      <c r="AE71" s="1" t="s">
        <v>51</v>
      </c>
      <c r="AF71" s="1" t="s">
        <v>51</v>
      </c>
      <c r="AG71" s="1" t="s">
        <v>47</v>
      </c>
      <c r="AH71" s="1"/>
      <c r="AI71" s="1"/>
      <c r="AJ71" s="3">
        <v>1</v>
      </c>
      <c r="AK71" s="1" t="s">
        <v>52</v>
      </c>
      <c r="AL71" s="3">
        <v>4</v>
      </c>
      <c r="AM71" s="8">
        <v>212.63</v>
      </c>
      <c r="AN71" s="1"/>
      <c r="AO71" s="1" t="s">
        <v>491</v>
      </c>
      <c r="AP71" s="1" t="s">
        <v>106</v>
      </c>
      <c r="AQ71" s="1" t="s">
        <v>492</v>
      </c>
      <c r="AR71" s="1" t="s">
        <v>493</v>
      </c>
    </row>
    <row r="72">
      <c r="A72" s="2">
        <f ca="1">DATE(1999,11,19)</f>
        <v>0</v>
      </c>
      <c r="B72" s="2">
        <f ca="1">DATE(2000,02,10)</f>
        <v>0</v>
      </c>
      <c r="C72" s="1" t="s">
        <v>487</v>
      </c>
      <c r="D72" s="3">
        <v>7372</v>
      </c>
      <c r="E72" s="1" t="s">
        <v>43</v>
      </c>
      <c r="F72" s="1" t="s">
        <v>488</v>
      </c>
      <c r="G72" s="1" t="s">
        <v>106</v>
      </c>
      <c r="H72" s="4">
        <v>2.4500000000000002</v>
      </c>
      <c r="I72" s="4">
        <v>7</v>
      </c>
      <c r="J72" s="5">
        <v>21.899999999999999</v>
      </c>
      <c r="K72" s="8">
        <v>35</v>
      </c>
      <c r="L72" s="1" t="s">
        <v>58</v>
      </c>
      <c r="M72" s="1" t="s">
        <v>47</v>
      </c>
      <c r="N72" s="1" t="s">
        <v>489</v>
      </c>
      <c r="O72" s="1" t="s">
        <v>48</v>
      </c>
      <c r="P72" s="1" t="s">
        <v>494</v>
      </c>
      <c r="Q72" s="4">
        <v>1.3999999999999999</v>
      </c>
      <c r="R72" s="4">
        <v>1.05</v>
      </c>
      <c r="S72" s="8">
        <v>4.54</v>
      </c>
      <c r="T72" s="1" t="s">
        <v>60</v>
      </c>
      <c r="U72" s="1"/>
      <c r="V72" s="1"/>
      <c r="W72" s="1"/>
      <c r="X72" s="1"/>
      <c r="Y72" s="7">
        <v>625000</v>
      </c>
      <c r="Z72" s="1"/>
      <c r="AA72" s="1"/>
      <c r="AB72" s="1"/>
      <c r="AC72" s="1"/>
      <c r="AD72" s="1"/>
      <c r="AE72" s="1" t="s">
        <v>51</v>
      </c>
      <c r="AF72" s="1" t="s">
        <v>51</v>
      </c>
      <c r="AG72" s="1" t="s">
        <v>47</v>
      </c>
      <c r="AH72" s="1"/>
      <c r="AI72" s="1"/>
      <c r="AJ72" s="3">
        <v>1</v>
      </c>
      <c r="AK72" s="1" t="s">
        <v>52</v>
      </c>
      <c r="AL72" s="3">
        <v>4</v>
      </c>
      <c r="AM72" s="1"/>
      <c r="AN72" s="1"/>
      <c r="AO72" s="1" t="s">
        <v>495</v>
      </c>
      <c r="AP72" s="1" t="s">
        <v>106</v>
      </c>
      <c r="AQ72" s="1" t="s">
        <v>496</v>
      </c>
      <c r="AR72" s="1" t="s">
        <v>497</v>
      </c>
    </row>
    <row r="73">
      <c r="A73" s="2">
        <f ca="1">DATE(1999,11,24)</f>
        <v>0</v>
      </c>
      <c r="B73" s="2">
        <f ca="1">DATE(2000,02,11)</f>
        <v>0</v>
      </c>
      <c r="C73" s="1" t="s">
        <v>498</v>
      </c>
      <c r="D73" s="3">
        <v>4832</v>
      </c>
      <c r="E73" s="1" t="s">
        <v>43</v>
      </c>
      <c r="F73" s="1" t="s">
        <v>499</v>
      </c>
      <c r="G73" s="1" t="s">
        <v>239</v>
      </c>
      <c r="H73" s="4">
        <v>1.046</v>
      </c>
      <c r="I73" s="4">
        <v>6.7480000000000002</v>
      </c>
      <c r="J73" s="5">
        <v>80.700000000000003</v>
      </c>
      <c r="K73" s="4">
        <v>15.5</v>
      </c>
      <c r="L73" s="1" t="s">
        <v>152</v>
      </c>
      <c r="M73" s="1" t="s">
        <v>47</v>
      </c>
      <c r="N73" s="1" t="s">
        <v>500</v>
      </c>
      <c r="O73" s="1" t="s">
        <v>48</v>
      </c>
      <c r="P73" s="1" t="s">
        <v>501</v>
      </c>
      <c r="Q73" s="4">
        <v>1.3480000000000001</v>
      </c>
      <c r="R73" s="4">
        <v>1.3480000000000001</v>
      </c>
      <c r="S73" s="6">
        <v>4.0516100000000002</v>
      </c>
      <c r="T73" s="1" t="s">
        <v>50</v>
      </c>
      <c r="U73" s="1"/>
      <c r="V73" s="1"/>
      <c r="W73" s="1"/>
      <c r="X73" s="5">
        <v>150</v>
      </c>
      <c r="Y73" s="7">
        <v>5206000</v>
      </c>
      <c r="Z73" s="1"/>
      <c r="AA73" s="1"/>
      <c r="AB73" s="1"/>
      <c r="AC73" s="1"/>
      <c r="AD73" s="1"/>
      <c r="AE73" s="1" t="s">
        <v>51</v>
      </c>
      <c r="AF73" s="1" t="s">
        <v>51</v>
      </c>
      <c r="AG73" s="1" t="s">
        <v>51</v>
      </c>
      <c r="AH73" s="1"/>
      <c r="AI73" s="1"/>
      <c r="AJ73" s="3">
        <v>1</v>
      </c>
      <c r="AK73" s="1" t="s">
        <v>52</v>
      </c>
      <c r="AL73" s="3">
        <v>4</v>
      </c>
      <c r="AM73" s="8">
        <v>14.130000000000001</v>
      </c>
      <c r="AN73" s="1"/>
      <c r="AO73" s="1" t="s">
        <v>502</v>
      </c>
      <c r="AP73" s="1" t="s">
        <v>239</v>
      </c>
      <c r="AQ73" s="1" t="s">
        <v>503</v>
      </c>
      <c r="AR73" s="1" t="s">
        <v>504</v>
      </c>
    </row>
    <row r="74">
      <c r="A74" s="2">
        <f ca="1">DATE(1999,11,24)</f>
        <v>0</v>
      </c>
      <c r="B74" s="2">
        <f ca="1">DATE(2000,02,11)</f>
        <v>0</v>
      </c>
      <c r="C74" s="1" t="s">
        <v>498</v>
      </c>
      <c r="D74" s="3">
        <v>4832</v>
      </c>
      <c r="E74" s="1" t="s">
        <v>43</v>
      </c>
      <c r="F74" s="1" t="s">
        <v>499</v>
      </c>
      <c r="G74" s="1" t="s">
        <v>179</v>
      </c>
      <c r="H74" s="4">
        <v>1.046</v>
      </c>
      <c r="I74" s="4">
        <v>6.7480000000000002</v>
      </c>
      <c r="J74" s="5">
        <v>25.5</v>
      </c>
      <c r="K74" s="8">
        <v>15.5</v>
      </c>
      <c r="L74" s="1" t="s">
        <v>58</v>
      </c>
      <c r="M74" s="1" t="s">
        <v>47</v>
      </c>
      <c r="N74" s="1" t="s">
        <v>500</v>
      </c>
      <c r="O74" s="1" t="s">
        <v>48</v>
      </c>
      <c r="P74" s="1" t="s">
        <v>505</v>
      </c>
      <c r="Q74" s="4">
        <v>1.3480000000000001</v>
      </c>
      <c r="R74" s="4">
        <v>1.3480000000000001</v>
      </c>
      <c r="S74" s="6">
        <v>4.0516100000000002</v>
      </c>
      <c r="T74" s="1" t="s">
        <v>60</v>
      </c>
      <c r="U74" s="1"/>
      <c r="V74" s="1"/>
      <c r="W74" s="1"/>
      <c r="X74" s="1"/>
      <c r="Y74" s="7">
        <v>1644000</v>
      </c>
      <c r="Z74" s="1"/>
      <c r="AA74" s="1"/>
      <c r="AB74" s="1"/>
      <c r="AC74" s="1"/>
      <c r="AD74" s="1"/>
      <c r="AE74" s="1" t="s">
        <v>51</v>
      </c>
      <c r="AF74" s="1" t="s">
        <v>51</v>
      </c>
      <c r="AG74" s="1" t="s">
        <v>51</v>
      </c>
      <c r="AH74" s="1"/>
      <c r="AI74" s="1"/>
      <c r="AJ74" s="3">
        <v>1</v>
      </c>
      <c r="AK74" s="1" t="s">
        <v>52</v>
      </c>
      <c r="AL74" s="3">
        <v>3</v>
      </c>
      <c r="AM74" s="1"/>
      <c r="AN74" s="1"/>
      <c r="AO74" s="1" t="s">
        <v>506</v>
      </c>
      <c r="AP74" s="1" t="s">
        <v>179</v>
      </c>
      <c r="AQ74" s="1" t="s">
        <v>507</v>
      </c>
      <c r="AR74" s="1" t="s">
        <v>508</v>
      </c>
    </row>
    <row r="75">
      <c r="A75" s="2">
        <f ca="1">DATE(1999,11,24)</f>
        <v>0</v>
      </c>
      <c r="B75" s="2">
        <f ca="1">DATE(2000,02,11)</f>
        <v>0</v>
      </c>
      <c r="C75" s="1" t="s">
        <v>509</v>
      </c>
      <c r="D75" s="3">
        <v>7375</v>
      </c>
      <c r="E75" s="1" t="s">
        <v>510</v>
      </c>
      <c r="F75" s="1" t="s">
        <v>511</v>
      </c>
      <c r="G75" s="1" t="s">
        <v>151</v>
      </c>
      <c r="H75" s="4">
        <v>1.4179999999999999</v>
      </c>
      <c r="I75" s="4">
        <v>6.75</v>
      </c>
      <c r="J75" s="5">
        <v>150.19999999999999</v>
      </c>
      <c r="K75" s="4">
        <v>21</v>
      </c>
      <c r="L75" s="1" t="s">
        <v>46</v>
      </c>
      <c r="M75" s="1" t="s">
        <v>47</v>
      </c>
      <c r="N75" s="3">
        <v>925912107</v>
      </c>
      <c r="O75" s="1" t="s">
        <v>48</v>
      </c>
      <c r="P75" s="1" t="s">
        <v>512</v>
      </c>
      <c r="Q75" s="4">
        <v>1.3500000000000001</v>
      </c>
      <c r="R75" s="4">
        <v>1.3500000000000001</v>
      </c>
      <c r="S75" s="8">
        <v>4.0499999999999998</v>
      </c>
      <c r="T75" s="1" t="s">
        <v>50</v>
      </c>
      <c r="U75" s="1"/>
      <c r="V75" s="1"/>
      <c r="W75" s="1"/>
      <c r="X75" s="1"/>
      <c r="Y75" s="7">
        <v>7150000</v>
      </c>
      <c r="Z75" s="1"/>
      <c r="AA75" s="1"/>
      <c r="AB75" s="1"/>
      <c r="AC75" s="1"/>
      <c r="AD75" s="1"/>
      <c r="AE75" s="1" t="s">
        <v>51</v>
      </c>
      <c r="AF75" s="1" t="s">
        <v>51</v>
      </c>
      <c r="AG75" s="1" t="s">
        <v>51</v>
      </c>
      <c r="AH75" s="1"/>
      <c r="AI75" s="1"/>
      <c r="AJ75" s="3">
        <v>1</v>
      </c>
      <c r="AK75" s="1" t="s">
        <v>52</v>
      </c>
      <c r="AL75" s="3">
        <v>4</v>
      </c>
      <c r="AM75" s="8">
        <v>49.810000000000002</v>
      </c>
      <c r="AN75" s="1"/>
      <c r="AO75" s="1" t="s">
        <v>513</v>
      </c>
      <c r="AP75" s="1" t="s">
        <v>151</v>
      </c>
      <c r="AQ75" s="1" t="s">
        <v>514</v>
      </c>
      <c r="AR75" s="1" t="s">
        <v>515</v>
      </c>
    </row>
    <row r="76">
      <c r="A76" s="2">
        <f ca="1">DATE(2000,01,18)</f>
        <v>0</v>
      </c>
      <c r="B76" s="2">
        <f ca="1">DATE(2000,02,11)</f>
        <v>0</v>
      </c>
      <c r="C76" s="1" t="s">
        <v>516</v>
      </c>
      <c r="D76" s="3">
        <v>4813</v>
      </c>
      <c r="E76" s="1" t="s">
        <v>517</v>
      </c>
      <c r="F76" s="1" t="s">
        <v>518</v>
      </c>
      <c r="G76" s="1" t="s">
        <v>204</v>
      </c>
      <c r="H76" s="4">
        <v>1.2</v>
      </c>
      <c r="I76" s="4">
        <v>5</v>
      </c>
      <c r="J76" s="5">
        <v>760.29999999999995</v>
      </c>
      <c r="K76" s="8">
        <v>24</v>
      </c>
      <c r="L76" s="1" t="s">
        <v>58</v>
      </c>
      <c r="M76" s="1" t="s">
        <v>47</v>
      </c>
      <c r="N76" s="1"/>
      <c r="O76" s="1" t="s">
        <v>48</v>
      </c>
      <c r="P76" s="1" t="s">
        <v>519</v>
      </c>
      <c r="Q76" s="1" t="s">
        <v>145</v>
      </c>
      <c r="R76" s="1" t="s">
        <v>145</v>
      </c>
      <c r="S76" s="1"/>
      <c r="T76" s="1" t="s">
        <v>60</v>
      </c>
      <c r="U76" s="8">
        <v>22</v>
      </c>
      <c r="V76" s="8">
        <v>20</v>
      </c>
      <c r="W76" s="7">
        <v>26400000</v>
      </c>
      <c r="X76" s="5">
        <v>554.39999999999998</v>
      </c>
      <c r="Y76" s="7">
        <v>22939130</v>
      </c>
      <c r="Z76" s="7">
        <v>8740870</v>
      </c>
      <c r="AA76" s="1"/>
      <c r="AB76" s="1"/>
      <c r="AC76" s="1"/>
      <c r="AD76" s="1"/>
      <c r="AE76" s="1" t="s">
        <v>51</v>
      </c>
      <c r="AF76" s="1" t="s">
        <v>51</v>
      </c>
      <c r="AG76" s="1" t="s">
        <v>51</v>
      </c>
      <c r="AH76" s="1"/>
      <c r="AI76" s="1"/>
      <c r="AJ76" s="3">
        <v>1</v>
      </c>
      <c r="AK76" s="1" t="s">
        <v>52</v>
      </c>
      <c r="AL76" s="3">
        <v>2</v>
      </c>
      <c r="AM76" s="1"/>
      <c r="AN76" s="1"/>
      <c r="AO76" s="1" t="s">
        <v>520</v>
      </c>
      <c r="AP76" s="1" t="s">
        <v>204</v>
      </c>
      <c r="AQ76" s="1" t="s">
        <v>521</v>
      </c>
      <c r="AR76" s="1" t="s">
        <v>522</v>
      </c>
    </row>
    <row r="77">
      <c r="A77" s="2">
        <f ca="1">DATE(1999,12,15)</f>
        <v>0</v>
      </c>
      <c r="B77" s="2">
        <f ca="1">DATE(2000,02,14)</f>
        <v>0</v>
      </c>
      <c r="C77" s="1" t="s">
        <v>523</v>
      </c>
      <c r="D77" s="3">
        <v>8731</v>
      </c>
      <c r="E77" s="1" t="s">
        <v>43</v>
      </c>
      <c r="F77" s="1" t="s">
        <v>524</v>
      </c>
      <c r="G77" s="1" t="s">
        <v>411</v>
      </c>
      <c r="H77" s="4">
        <v>1.6799999999999999</v>
      </c>
      <c r="I77" s="8">
        <v>7</v>
      </c>
      <c r="J77" s="5">
        <v>174</v>
      </c>
      <c r="K77" s="4">
        <v>24</v>
      </c>
      <c r="L77" s="1" t="s">
        <v>46</v>
      </c>
      <c r="M77" s="1" t="s">
        <v>47</v>
      </c>
      <c r="N77" s="3">
        <v>255064107</v>
      </c>
      <c r="O77" s="1" t="s">
        <v>48</v>
      </c>
      <c r="P77" s="1" t="s">
        <v>525</v>
      </c>
      <c r="Q77" s="4">
        <v>1.417</v>
      </c>
      <c r="R77" s="4">
        <v>1.417</v>
      </c>
      <c r="S77" s="6">
        <v>4.1666699999999999</v>
      </c>
      <c r="T77" s="1" t="s">
        <v>50</v>
      </c>
      <c r="U77" s="1"/>
      <c r="V77" s="1"/>
      <c r="W77" s="1"/>
      <c r="X77" s="5">
        <v>85</v>
      </c>
      <c r="Y77" s="7">
        <v>7250000</v>
      </c>
      <c r="Z77" s="1"/>
      <c r="AA77" s="2">
        <f ca="1">DATE(2000,08,12)</f>
        <v>0</v>
      </c>
      <c r="AB77" s="4">
        <v>1.0269999999999999</v>
      </c>
      <c r="AC77" s="3">
        <v>180</v>
      </c>
      <c r="AD77" s="8">
        <v>339380</v>
      </c>
      <c r="AE77" s="1" t="s">
        <v>51</v>
      </c>
      <c r="AF77" s="1" t="s">
        <v>51</v>
      </c>
      <c r="AG77" s="1" t="s">
        <v>47</v>
      </c>
      <c r="AH77" s="1"/>
      <c r="AI77" s="1"/>
      <c r="AJ77" s="3">
        <v>1</v>
      </c>
      <c r="AK77" s="1" t="s">
        <v>52</v>
      </c>
      <c r="AL77" s="3">
        <v>3</v>
      </c>
      <c r="AM77" s="8">
        <v>75</v>
      </c>
      <c r="AN77" s="1"/>
      <c r="AO77" s="1" t="s">
        <v>526</v>
      </c>
      <c r="AP77" s="1" t="s">
        <v>411</v>
      </c>
      <c r="AQ77" s="1" t="s">
        <v>527</v>
      </c>
      <c r="AR77" s="1" t="s">
        <v>528</v>
      </c>
    </row>
    <row r="78">
      <c r="A78" s="2">
        <f ca="1">DATE(1999,11,12)</f>
        <v>0</v>
      </c>
      <c r="B78" s="2">
        <f ca="1">DATE(2000,02,14)</f>
        <v>0</v>
      </c>
      <c r="C78" s="1" t="s">
        <v>529</v>
      </c>
      <c r="D78" s="3">
        <v>7389</v>
      </c>
      <c r="E78" s="1" t="s">
        <v>43</v>
      </c>
      <c r="F78" s="1" t="s">
        <v>530</v>
      </c>
      <c r="G78" s="1" t="s">
        <v>531</v>
      </c>
      <c r="H78" s="4">
        <v>1.44</v>
      </c>
      <c r="I78" s="4">
        <v>6</v>
      </c>
      <c r="J78" s="5">
        <v>345.39999999999998</v>
      </c>
      <c r="K78" s="4">
        <v>24</v>
      </c>
      <c r="L78" s="1" t="s">
        <v>46</v>
      </c>
      <c r="M78" s="1" t="s">
        <v>47</v>
      </c>
      <c r="N78" s="3">
        <v>805423100</v>
      </c>
      <c r="O78" s="1" t="s">
        <v>48</v>
      </c>
      <c r="P78" s="1" t="s">
        <v>532</v>
      </c>
      <c r="Q78" s="4">
        <v>1.208</v>
      </c>
      <c r="R78" s="4">
        <v>1.208</v>
      </c>
      <c r="S78" s="6">
        <v>3.5833300000000001</v>
      </c>
      <c r="T78" s="1" t="s">
        <v>50</v>
      </c>
      <c r="U78" s="8">
        <v>25</v>
      </c>
      <c r="V78" s="8">
        <v>22</v>
      </c>
      <c r="W78" s="7">
        <v>10212766</v>
      </c>
      <c r="X78" s="5">
        <v>240</v>
      </c>
      <c r="Y78" s="7">
        <v>12592392</v>
      </c>
      <c r="Z78" s="7">
        <v>1798913</v>
      </c>
      <c r="AA78" s="1"/>
      <c r="AB78" s="1"/>
      <c r="AC78" s="1"/>
      <c r="AD78" s="1"/>
      <c r="AE78" s="1" t="s">
        <v>51</v>
      </c>
      <c r="AF78" s="1" t="s">
        <v>51</v>
      </c>
      <c r="AG78" s="1" t="s">
        <v>47</v>
      </c>
      <c r="AH78" s="1"/>
      <c r="AI78" s="1" t="s">
        <v>533</v>
      </c>
      <c r="AJ78" s="3">
        <v>2</v>
      </c>
      <c r="AK78" s="1" t="s">
        <v>89</v>
      </c>
      <c r="AL78" s="3">
        <v>5</v>
      </c>
      <c r="AM78" s="8">
        <v>24</v>
      </c>
      <c r="AN78" s="1"/>
      <c r="AO78" s="1" t="s">
        <v>534</v>
      </c>
      <c r="AP78" s="1" t="s">
        <v>535</v>
      </c>
      <c r="AQ78" s="1" t="s">
        <v>536</v>
      </c>
      <c r="AR78" s="1" t="s">
        <v>537</v>
      </c>
    </row>
    <row r="79">
      <c r="A79" s="2">
        <f ca="1">DATE(1999,11,12)</f>
        <v>0</v>
      </c>
      <c r="B79" s="2">
        <f ca="1">DATE(2000,02,14)</f>
        <v>0</v>
      </c>
      <c r="C79" s="1" t="s">
        <v>529</v>
      </c>
      <c r="D79" s="3">
        <v>7389</v>
      </c>
      <c r="E79" s="1" t="s">
        <v>43</v>
      </c>
      <c r="F79" s="1" t="s">
        <v>530</v>
      </c>
      <c r="G79" s="1" t="s">
        <v>538</v>
      </c>
      <c r="H79" s="4">
        <v>1.44</v>
      </c>
      <c r="I79" s="4">
        <v>6</v>
      </c>
      <c r="J79" s="5">
        <v>62.600000000000001</v>
      </c>
      <c r="K79" s="8">
        <v>24</v>
      </c>
      <c r="L79" s="1" t="s">
        <v>58</v>
      </c>
      <c r="M79" s="1" t="s">
        <v>47</v>
      </c>
      <c r="N79" s="1"/>
      <c r="O79" s="1" t="s">
        <v>48</v>
      </c>
      <c r="P79" s="1" t="s">
        <v>539</v>
      </c>
      <c r="Q79" s="1" t="s">
        <v>145</v>
      </c>
      <c r="R79" s="1" t="s">
        <v>145</v>
      </c>
      <c r="S79" s="1"/>
      <c r="T79" s="1" t="s">
        <v>60</v>
      </c>
      <c r="U79" s="1"/>
      <c r="V79" s="1"/>
      <c r="W79" s="1"/>
      <c r="X79" s="1"/>
      <c r="Y79" s="7">
        <v>2283375</v>
      </c>
      <c r="Z79" s="7">
        <v>325320</v>
      </c>
      <c r="AA79" s="1"/>
      <c r="AB79" s="1"/>
      <c r="AC79" s="1"/>
      <c r="AD79" s="1"/>
      <c r="AE79" s="1" t="s">
        <v>51</v>
      </c>
      <c r="AF79" s="1" t="s">
        <v>51</v>
      </c>
      <c r="AG79" s="1" t="s">
        <v>47</v>
      </c>
      <c r="AH79" s="1"/>
      <c r="AI79" s="1" t="s">
        <v>533</v>
      </c>
      <c r="AJ79" s="3">
        <v>2</v>
      </c>
      <c r="AK79" s="1" t="s">
        <v>89</v>
      </c>
      <c r="AL79" s="3">
        <v>5</v>
      </c>
      <c r="AM79" s="1"/>
      <c r="AN79" s="1"/>
      <c r="AO79" s="1" t="s">
        <v>540</v>
      </c>
      <c r="AP79" s="1" t="s">
        <v>541</v>
      </c>
      <c r="AQ79" s="1" t="s">
        <v>542</v>
      </c>
      <c r="AR79" s="1" t="s">
        <v>543</v>
      </c>
    </row>
    <row r="80">
      <c r="A80" s="2">
        <f ca="1">DATE(1999,06,17)</f>
        <v>0</v>
      </c>
      <c r="B80" s="2">
        <f ca="1">DATE(2000,02,14)</f>
        <v>0</v>
      </c>
      <c r="C80" s="1" t="s">
        <v>544</v>
      </c>
      <c r="D80" s="3">
        <v>7375</v>
      </c>
      <c r="E80" s="1" t="s">
        <v>43</v>
      </c>
      <c r="F80" s="1" t="s">
        <v>545</v>
      </c>
      <c r="G80" s="1" t="s">
        <v>546</v>
      </c>
      <c r="H80" s="4">
        <v>0.90000000000000002</v>
      </c>
      <c r="I80" s="4">
        <v>7.5</v>
      </c>
      <c r="J80" s="5">
        <v>16.800000000000001</v>
      </c>
      <c r="K80" s="4">
        <v>12</v>
      </c>
      <c r="L80" s="1" t="s">
        <v>46</v>
      </c>
      <c r="M80" s="1" t="s">
        <v>47</v>
      </c>
      <c r="N80" s="1" t="s">
        <v>547</v>
      </c>
      <c r="O80" s="1" t="s">
        <v>48</v>
      </c>
      <c r="P80" s="1" t="s">
        <v>548</v>
      </c>
      <c r="Q80" s="1" t="s">
        <v>145</v>
      </c>
      <c r="R80" s="1" t="s">
        <v>145</v>
      </c>
      <c r="S80" s="1"/>
      <c r="T80" s="1" t="s">
        <v>50</v>
      </c>
      <c r="U80" s="8">
        <v>8</v>
      </c>
      <c r="V80" s="8">
        <v>7</v>
      </c>
      <c r="W80" s="7">
        <v>1200000</v>
      </c>
      <c r="X80" s="5">
        <v>9</v>
      </c>
      <c r="Y80" s="7">
        <v>1400000</v>
      </c>
      <c r="Z80" s="1"/>
      <c r="AA80" s="1" t="s">
        <v>549</v>
      </c>
      <c r="AB80" s="1" t="s">
        <v>550</v>
      </c>
      <c r="AC80" s="1" t="s">
        <v>551</v>
      </c>
      <c r="AD80" s="1" t="s">
        <v>552</v>
      </c>
      <c r="AE80" s="1" t="s">
        <v>51</v>
      </c>
      <c r="AF80" s="1" t="s">
        <v>51</v>
      </c>
      <c r="AG80" s="1" t="s">
        <v>51</v>
      </c>
      <c r="AH80" s="1"/>
      <c r="AI80" s="1"/>
      <c r="AJ80" s="3">
        <v>1</v>
      </c>
      <c r="AK80" s="1" t="s">
        <v>52</v>
      </c>
      <c r="AL80" s="3">
        <v>1</v>
      </c>
      <c r="AM80" s="8">
        <v>18.5</v>
      </c>
      <c r="AN80" s="1"/>
      <c r="AO80" s="1" t="s">
        <v>546</v>
      </c>
      <c r="AP80" s="1" t="s">
        <v>546</v>
      </c>
      <c r="AQ80" s="1" t="s">
        <v>546</v>
      </c>
      <c r="AR80" s="1" t="s">
        <v>548</v>
      </c>
    </row>
    <row r="81">
      <c r="A81" s="2">
        <f ca="1">DATE(1999,10,06)</f>
        <v>0</v>
      </c>
      <c r="B81" s="2">
        <f ca="1">DATE(2000,02,15)</f>
        <v>0</v>
      </c>
      <c r="C81" s="1" t="s">
        <v>553</v>
      </c>
      <c r="D81" s="3">
        <v>7389</v>
      </c>
      <c r="E81" s="1" t="s">
        <v>43</v>
      </c>
      <c r="F81" s="1" t="s">
        <v>554</v>
      </c>
      <c r="G81" s="1" t="s">
        <v>555</v>
      </c>
      <c r="H81" s="4">
        <v>0.56000000000000005</v>
      </c>
      <c r="I81" s="4">
        <v>7</v>
      </c>
      <c r="J81" s="5">
        <v>32</v>
      </c>
      <c r="K81" s="4">
        <v>8</v>
      </c>
      <c r="L81" s="1" t="s">
        <v>46</v>
      </c>
      <c r="M81" s="1" t="s">
        <v>47</v>
      </c>
      <c r="N81" s="1" t="s">
        <v>556</v>
      </c>
      <c r="O81" s="1" t="s">
        <v>48</v>
      </c>
      <c r="P81" s="1" t="s">
        <v>557</v>
      </c>
      <c r="Q81" s="4">
        <v>1.375</v>
      </c>
      <c r="R81" s="4">
        <v>1.375</v>
      </c>
      <c r="S81" s="8">
        <v>4.25</v>
      </c>
      <c r="T81" s="1" t="s">
        <v>50</v>
      </c>
      <c r="U81" s="8">
        <v>10</v>
      </c>
      <c r="V81" s="8">
        <v>10</v>
      </c>
      <c r="W81" s="7">
        <v>3500000</v>
      </c>
      <c r="X81" s="5">
        <v>35</v>
      </c>
      <c r="Y81" s="7">
        <v>4000000</v>
      </c>
      <c r="Z81" s="1"/>
      <c r="AA81" s="1"/>
      <c r="AB81" s="1"/>
      <c r="AC81" s="1"/>
      <c r="AD81" s="1"/>
      <c r="AE81" s="1" t="s">
        <v>51</v>
      </c>
      <c r="AF81" s="1" t="s">
        <v>51</v>
      </c>
      <c r="AG81" s="1" t="s">
        <v>51</v>
      </c>
      <c r="AH81" s="1"/>
      <c r="AI81" s="1"/>
      <c r="AJ81" s="3">
        <v>2</v>
      </c>
      <c r="AK81" s="1" t="s">
        <v>89</v>
      </c>
      <c r="AL81" s="3">
        <v>7</v>
      </c>
      <c r="AM81" s="8">
        <v>8.1300000000000008</v>
      </c>
      <c r="AN81" s="1"/>
      <c r="AO81" s="1" t="s">
        <v>558</v>
      </c>
      <c r="AP81" s="1" t="s">
        <v>559</v>
      </c>
      <c r="AQ81" s="1" t="s">
        <v>560</v>
      </c>
      <c r="AR81" s="1" t="s">
        <v>561</v>
      </c>
    </row>
    <row r="82">
      <c r="A82" s="2">
        <f ca="1">DATE(1999,12,06)</f>
        <v>0</v>
      </c>
      <c r="B82" s="2">
        <f ca="1">DATE(2000,02,15)</f>
        <v>0</v>
      </c>
      <c r="C82" s="1" t="s">
        <v>562</v>
      </c>
      <c r="D82" s="3">
        <v>7372</v>
      </c>
      <c r="E82" s="1" t="s">
        <v>43</v>
      </c>
      <c r="F82" s="1" t="s">
        <v>563</v>
      </c>
      <c r="G82" s="1" t="s">
        <v>441</v>
      </c>
      <c r="H82" s="4">
        <v>1.26</v>
      </c>
      <c r="I82" s="4">
        <v>7</v>
      </c>
      <c r="J82" s="5">
        <v>81</v>
      </c>
      <c r="K82" s="4">
        <v>18</v>
      </c>
      <c r="L82" s="1" t="s">
        <v>46</v>
      </c>
      <c r="M82" s="1" t="s">
        <v>47</v>
      </c>
      <c r="N82" s="3">
        <v>170404107</v>
      </c>
      <c r="O82" s="1" t="s">
        <v>48</v>
      </c>
      <c r="P82" s="1" t="s">
        <v>564</v>
      </c>
      <c r="Q82" s="4">
        <v>1.389</v>
      </c>
      <c r="R82" s="4">
        <v>1.389</v>
      </c>
      <c r="S82" s="6">
        <v>4.2222200000000001</v>
      </c>
      <c r="T82" s="1" t="s">
        <v>50</v>
      </c>
      <c r="U82" s="8">
        <v>10</v>
      </c>
      <c r="V82" s="8">
        <v>8</v>
      </c>
      <c r="W82" s="7">
        <v>4500000</v>
      </c>
      <c r="X82" s="5">
        <v>40.5</v>
      </c>
      <c r="Y82" s="7">
        <v>4500000</v>
      </c>
      <c r="Z82" s="1"/>
      <c r="AA82" s="2">
        <f ca="1">DATE(2000,08,13)</f>
        <v>0</v>
      </c>
      <c r="AB82" s="4">
        <v>86.433999999999998</v>
      </c>
      <c r="AC82" s="3">
        <v>180</v>
      </c>
      <c r="AD82" s="8">
        <v>30094801</v>
      </c>
      <c r="AE82" s="1" t="s">
        <v>51</v>
      </c>
      <c r="AF82" s="1" t="s">
        <v>51</v>
      </c>
      <c r="AG82" s="1" t="s">
        <v>47</v>
      </c>
      <c r="AH82" s="1"/>
      <c r="AI82" s="1"/>
      <c r="AJ82" s="3">
        <v>1</v>
      </c>
      <c r="AK82" s="1" t="s">
        <v>52</v>
      </c>
      <c r="AL82" s="3">
        <v>3</v>
      </c>
      <c r="AM82" s="8">
        <v>39.439999999999998</v>
      </c>
      <c r="AN82" s="1"/>
      <c r="AO82" s="1" t="s">
        <v>565</v>
      </c>
      <c r="AP82" s="1" t="s">
        <v>441</v>
      </c>
      <c r="AQ82" s="1" t="s">
        <v>566</v>
      </c>
      <c r="AR82" s="1" t="s">
        <v>567</v>
      </c>
    </row>
    <row r="83">
      <c r="A83" s="2">
        <f ca="1">DATE(1999,10,25)</f>
        <v>0</v>
      </c>
      <c r="B83" s="2">
        <f ca="1">DATE(2000,02,15)</f>
        <v>0</v>
      </c>
      <c r="C83" s="1" t="s">
        <v>568</v>
      </c>
      <c r="D83" s="3">
        <v>5451</v>
      </c>
      <c r="E83" s="1" t="s">
        <v>43</v>
      </c>
      <c r="F83" s="1" t="s">
        <v>569</v>
      </c>
      <c r="G83" s="1" t="s">
        <v>570</v>
      </c>
      <c r="H83" s="4">
        <v>0.59999999999999998</v>
      </c>
      <c r="I83" s="4">
        <v>10</v>
      </c>
      <c r="J83" s="5">
        <v>7.2000000000000002</v>
      </c>
      <c r="K83" s="4">
        <v>6</v>
      </c>
      <c r="L83" s="1" t="s">
        <v>46</v>
      </c>
      <c r="M83" s="1" t="s">
        <v>47</v>
      </c>
      <c r="N83" s="3">
        <v>476319108</v>
      </c>
      <c r="O83" s="1" t="s">
        <v>48</v>
      </c>
      <c r="P83" s="1" t="s">
        <v>571</v>
      </c>
      <c r="Q83" s="1" t="s">
        <v>145</v>
      </c>
      <c r="R83" s="1" t="s">
        <v>145</v>
      </c>
      <c r="S83" s="8">
        <v>6</v>
      </c>
      <c r="T83" s="1" t="s">
        <v>50</v>
      </c>
      <c r="U83" s="8">
        <v>7</v>
      </c>
      <c r="V83" s="8">
        <v>5</v>
      </c>
      <c r="W83" s="7">
        <v>1200000</v>
      </c>
      <c r="X83" s="5">
        <v>7.2000000000000002</v>
      </c>
      <c r="Y83" s="7">
        <v>1200000</v>
      </c>
      <c r="Z83" s="1"/>
      <c r="AA83" s="2">
        <f ca="1">DATE(2001,02,14)</f>
        <v>0</v>
      </c>
      <c r="AB83" s="4">
        <v>62.767000000000003</v>
      </c>
      <c r="AC83" s="3">
        <v>365</v>
      </c>
      <c r="AD83" s="8">
        <v>1883000</v>
      </c>
      <c r="AE83" s="1" t="s">
        <v>51</v>
      </c>
      <c r="AF83" s="1" t="s">
        <v>51</v>
      </c>
      <c r="AG83" s="1" t="s">
        <v>47</v>
      </c>
      <c r="AH83" s="1"/>
      <c r="AI83" s="1"/>
      <c r="AJ83" s="3">
        <v>1</v>
      </c>
      <c r="AK83" s="1" t="s">
        <v>52</v>
      </c>
      <c r="AL83" s="3">
        <v>1</v>
      </c>
      <c r="AM83" s="8">
        <v>6.3799999999999999</v>
      </c>
      <c r="AN83" s="1"/>
      <c r="AO83" s="1" t="s">
        <v>570</v>
      </c>
      <c r="AP83" s="1" t="s">
        <v>570</v>
      </c>
      <c r="AQ83" s="1" t="s">
        <v>570</v>
      </c>
      <c r="AR83" s="1" t="s">
        <v>572</v>
      </c>
    </row>
    <row r="84">
      <c r="A84" s="2">
        <f ca="1">DATE(1999,12,01)</f>
        <v>0</v>
      </c>
      <c r="B84" s="2">
        <f ca="1">DATE(2000,02,15)</f>
        <v>0</v>
      </c>
      <c r="C84" s="1" t="s">
        <v>573</v>
      </c>
      <c r="D84" s="3">
        <v>7389</v>
      </c>
      <c r="E84" s="1" t="s">
        <v>43</v>
      </c>
      <c r="F84" s="1" t="s">
        <v>574</v>
      </c>
      <c r="G84" s="1" t="s">
        <v>45</v>
      </c>
      <c r="H84" s="4">
        <v>0.83999999999999997</v>
      </c>
      <c r="I84" s="8">
        <v>7</v>
      </c>
      <c r="J84" s="5">
        <v>40.100000000000001</v>
      </c>
      <c r="K84" s="4">
        <v>12</v>
      </c>
      <c r="L84" s="1" t="s">
        <v>46</v>
      </c>
      <c r="M84" s="1" t="s">
        <v>47</v>
      </c>
      <c r="N84" s="1" t="s">
        <v>575</v>
      </c>
      <c r="O84" s="1" t="s">
        <v>48</v>
      </c>
      <c r="P84" s="1" t="s">
        <v>576</v>
      </c>
      <c r="Q84" s="4">
        <v>1.417</v>
      </c>
      <c r="R84" s="4">
        <v>1.417</v>
      </c>
      <c r="S84" s="6">
        <v>4.1666699999999999</v>
      </c>
      <c r="T84" s="1" t="s">
        <v>50</v>
      </c>
      <c r="U84" s="1"/>
      <c r="V84" s="1"/>
      <c r="W84" s="1"/>
      <c r="X84" s="5">
        <v>30</v>
      </c>
      <c r="Y84" s="7">
        <v>3344000</v>
      </c>
      <c r="Z84" s="1"/>
      <c r="AA84" s="1"/>
      <c r="AB84" s="1"/>
      <c r="AC84" s="1"/>
      <c r="AD84" s="1"/>
      <c r="AE84" s="1" t="s">
        <v>51</v>
      </c>
      <c r="AF84" s="1" t="s">
        <v>51</v>
      </c>
      <c r="AG84" s="1" t="s">
        <v>47</v>
      </c>
      <c r="AH84" s="1"/>
      <c r="AI84" s="1"/>
      <c r="AJ84" s="3">
        <v>1</v>
      </c>
      <c r="AK84" s="1" t="s">
        <v>52</v>
      </c>
      <c r="AL84" s="3">
        <v>3</v>
      </c>
      <c r="AM84" s="8">
        <v>18</v>
      </c>
      <c r="AN84" s="1"/>
      <c r="AO84" s="1" t="s">
        <v>577</v>
      </c>
      <c r="AP84" s="1" t="s">
        <v>45</v>
      </c>
      <c r="AQ84" s="1" t="s">
        <v>578</v>
      </c>
      <c r="AR84" s="1" t="s">
        <v>579</v>
      </c>
    </row>
    <row r="85">
      <c r="A85" s="2">
        <f ca="1">DATE(1999,12,01)</f>
        <v>0</v>
      </c>
      <c r="B85" s="2">
        <f ca="1">DATE(2000,02,15)</f>
        <v>0</v>
      </c>
      <c r="C85" s="1" t="s">
        <v>573</v>
      </c>
      <c r="D85" s="3">
        <v>7389</v>
      </c>
      <c r="E85" s="1" t="s">
        <v>43</v>
      </c>
      <c r="F85" s="1" t="s">
        <v>574</v>
      </c>
      <c r="G85" s="1" t="s">
        <v>56</v>
      </c>
      <c r="H85" s="1" t="s">
        <v>57</v>
      </c>
      <c r="I85" s="1" t="s">
        <v>57</v>
      </c>
      <c r="J85" s="5">
        <v>3.7000000000000002</v>
      </c>
      <c r="K85" s="8">
        <v>12</v>
      </c>
      <c r="L85" s="1" t="s">
        <v>58</v>
      </c>
      <c r="M85" s="1" t="s">
        <v>47</v>
      </c>
      <c r="N85" s="1" t="s">
        <v>575</v>
      </c>
      <c r="O85" s="1" t="s">
        <v>48</v>
      </c>
      <c r="P85" s="1" t="s">
        <v>580</v>
      </c>
      <c r="Q85" s="1"/>
      <c r="R85" s="1"/>
      <c r="S85" s="1"/>
      <c r="T85" s="1" t="s">
        <v>60</v>
      </c>
      <c r="U85" s="1"/>
      <c r="V85" s="1"/>
      <c r="W85" s="1"/>
      <c r="X85" s="1"/>
      <c r="Y85" s="7">
        <v>306000</v>
      </c>
      <c r="Z85" s="1"/>
      <c r="AA85" s="1"/>
      <c r="AB85" s="1"/>
      <c r="AC85" s="1"/>
      <c r="AD85" s="1"/>
      <c r="AE85" s="1" t="s">
        <v>51</v>
      </c>
      <c r="AF85" s="1" t="s">
        <v>51</v>
      </c>
      <c r="AG85" s="1" t="s">
        <v>47</v>
      </c>
      <c r="AH85" s="1"/>
      <c r="AI85" s="1"/>
      <c r="AJ85" s="3">
        <v>1</v>
      </c>
      <c r="AK85" s="1" t="s">
        <v>52</v>
      </c>
      <c r="AL85" s="3">
        <v>1</v>
      </c>
      <c r="AM85" s="1"/>
      <c r="AN85" s="1"/>
      <c r="AO85" s="1" t="s">
        <v>581</v>
      </c>
      <c r="AP85" s="1" t="s">
        <v>56</v>
      </c>
      <c r="AQ85" s="1" t="s">
        <v>56</v>
      </c>
      <c r="AR85" s="1" t="s">
        <v>377</v>
      </c>
    </row>
    <row r="86">
      <c r="A86" s="2">
        <f ca="1">DATE(1999,11,24)</f>
        <v>0</v>
      </c>
      <c r="B86" s="2">
        <f ca="1">DATE(2000,02,15)</f>
        <v>0</v>
      </c>
      <c r="C86" s="1" t="s">
        <v>582</v>
      </c>
      <c r="D86" s="3">
        <v>7372</v>
      </c>
      <c r="E86" s="1" t="s">
        <v>43</v>
      </c>
      <c r="F86" s="1" t="s">
        <v>583</v>
      </c>
      <c r="G86" s="1" t="s">
        <v>584</v>
      </c>
      <c r="H86" s="4">
        <v>0.83999999999999997</v>
      </c>
      <c r="I86" s="8">
        <v>7</v>
      </c>
      <c r="J86" s="5">
        <v>36</v>
      </c>
      <c r="K86" s="4">
        <v>12</v>
      </c>
      <c r="L86" s="1" t="s">
        <v>46</v>
      </c>
      <c r="M86" s="1" t="s">
        <v>47</v>
      </c>
      <c r="N86" s="1" t="s">
        <v>585</v>
      </c>
      <c r="O86" s="1" t="s">
        <v>77</v>
      </c>
      <c r="P86" s="1" t="s">
        <v>586</v>
      </c>
      <c r="Q86" s="4">
        <v>1.417</v>
      </c>
      <c r="R86" s="4">
        <v>1.417</v>
      </c>
      <c r="S86" s="6">
        <v>4.1666699999999999</v>
      </c>
      <c r="T86" s="1" t="s">
        <v>50</v>
      </c>
      <c r="U86" s="8">
        <v>11</v>
      </c>
      <c r="V86" s="8">
        <v>9</v>
      </c>
      <c r="W86" s="7">
        <v>3000000</v>
      </c>
      <c r="X86" s="5">
        <v>30</v>
      </c>
      <c r="Y86" s="7">
        <v>3000000</v>
      </c>
      <c r="Z86" s="1"/>
      <c r="AA86" s="2">
        <f ca="1">DATE(2000,08,13)</f>
        <v>0</v>
      </c>
      <c r="AB86" s="4">
        <v>65.111999999999995</v>
      </c>
      <c r="AC86" s="3">
        <v>180</v>
      </c>
      <c r="AD86" s="8">
        <v>5599036</v>
      </c>
      <c r="AE86" s="1" t="s">
        <v>51</v>
      </c>
      <c r="AF86" s="1" t="s">
        <v>51</v>
      </c>
      <c r="AG86" s="1" t="s">
        <v>51</v>
      </c>
      <c r="AH86" s="1"/>
      <c r="AI86" s="1"/>
      <c r="AJ86" s="3">
        <v>1</v>
      </c>
      <c r="AK86" s="1" t="s">
        <v>52</v>
      </c>
      <c r="AL86" s="3">
        <v>2</v>
      </c>
      <c r="AM86" s="8">
        <v>10.060000000000001</v>
      </c>
      <c r="AN86" s="1"/>
      <c r="AO86" s="1" t="s">
        <v>587</v>
      </c>
      <c r="AP86" s="1" t="s">
        <v>584</v>
      </c>
      <c r="AQ86" s="1" t="s">
        <v>588</v>
      </c>
      <c r="AR86" s="1" t="s">
        <v>589</v>
      </c>
    </row>
    <row r="87">
      <c r="A87" s="2">
        <f ca="1">DATE(1999,11,08)</f>
        <v>0</v>
      </c>
      <c r="B87" s="2">
        <f ca="1">DATE(2000,02,15)</f>
        <v>0</v>
      </c>
      <c r="C87" s="1" t="s">
        <v>590</v>
      </c>
      <c r="D87" s="3">
        <v>5942</v>
      </c>
      <c r="E87" s="1" t="s">
        <v>43</v>
      </c>
      <c r="F87" s="1" t="s">
        <v>591</v>
      </c>
      <c r="G87" s="1" t="s">
        <v>122</v>
      </c>
      <c r="H87" s="4">
        <v>0.69999999999999996</v>
      </c>
      <c r="I87" s="8">
        <v>7</v>
      </c>
      <c r="J87" s="5">
        <v>40.799999999999997</v>
      </c>
      <c r="K87" s="4">
        <v>10</v>
      </c>
      <c r="L87" s="1" t="s">
        <v>46</v>
      </c>
      <c r="M87" s="1" t="s">
        <v>47</v>
      </c>
      <c r="N87" s="3">
        <v>922300100</v>
      </c>
      <c r="O87" s="1" t="s">
        <v>48</v>
      </c>
      <c r="P87" s="1" t="s">
        <v>592</v>
      </c>
      <c r="Q87" s="4">
        <v>1.3999999999999999</v>
      </c>
      <c r="R87" s="4">
        <v>1.3999999999999999</v>
      </c>
      <c r="S87" s="8">
        <v>4.2000000000000002</v>
      </c>
      <c r="T87" s="1" t="s">
        <v>50</v>
      </c>
      <c r="U87" s="1"/>
      <c r="V87" s="1"/>
      <c r="W87" s="1"/>
      <c r="X87" s="5">
        <v>75</v>
      </c>
      <c r="Y87" s="7">
        <v>4000000</v>
      </c>
      <c r="Z87" s="7">
        <v>75000</v>
      </c>
      <c r="AA87" s="2">
        <f ca="1">DATE(2000,08,13)</f>
        <v>0</v>
      </c>
      <c r="AB87" s="4">
        <v>71.430999999999997</v>
      </c>
      <c r="AC87" s="3">
        <v>180</v>
      </c>
      <c r="AD87" s="8">
        <v>11175520</v>
      </c>
      <c r="AE87" s="1" t="s">
        <v>51</v>
      </c>
      <c r="AF87" s="1" t="s">
        <v>51</v>
      </c>
      <c r="AG87" s="1" t="s">
        <v>47</v>
      </c>
      <c r="AH87" s="1"/>
      <c r="AI87" s="1"/>
      <c r="AJ87" s="3">
        <v>1</v>
      </c>
      <c r="AK87" s="1" t="s">
        <v>52</v>
      </c>
      <c r="AL87" s="3">
        <v>4</v>
      </c>
      <c r="AM87" s="8">
        <v>9.8800000000000008</v>
      </c>
      <c r="AN87" s="1"/>
      <c r="AO87" s="1" t="s">
        <v>593</v>
      </c>
      <c r="AP87" s="1" t="s">
        <v>122</v>
      </c>
      <c r="AQ87" s="1" t="s">
        <v>594</v>
      </c>
      <c r="AR87" s="1" t="s">
        <v>595</v>
      </c>
    </row>
    <row r="88">
      <c r="A88" s="2">
        <f ca="1">DATE(1999,11,19)</f>
        <v>0</v>
      </c>
      <c r="B88" s="2">
        <f ca="1">DATE(2000,02,16)</f>
        <v>0</v>
      </c>
      <c r="C88" s="1" t="s">
        <v>596</v>
      </c>
      <c r="D88" s="3">
        <v>4813</v>
      </c>
      <c r="E88" s="1" t="s">
        <v>43</v>
      </c>
      <c r="F88" s="1"/>
      <c r="G88" s="1" t="s">
        <v>106</v>
      </c>
      <c r="H88" s="4">
        <v>1.3999999999999999</v>
      </c>
      <c r="I88" s="8">
        <v>7</v>
      </c>
      <c r="J88" s="5">
        <v>114.3</v>
      </c>
      <c r="K88" s="4">
        <v>20</v>
      </c>
      <c r="L88" s="1" t="s">
        <v>46</v>
      </c>
      <c r="M88" s="1" t="s">
        <v>47</v>
      </c>
      <c r="N88" s="1" t="s">
        <v>597</v>
      </c>
      <c r="O88" s="1"/>
      <c r="P88" s="1" t="s">
        <v>598</v>
      </c>
      <c r="Q88" s="4">
        <v>1.3999999999999999</v>
      </c>
      <c r="R88" s="4">
        <v>1.1000000000000001</v>
      </c>
      <c r="S88" s="8">
        <v>4.5</v>
      </c>
      <c r="T88" s="1" t="s">
        <v>50</v>
      </c>
      <c r="U88" s="1"/>
      <c r="V88" s="1"/>
      <c r="W88" s="1"/>
      <c r="X88" s="5">
        <v>100</v>
      </c>
      <c r="Y88" s="7">
        <v>5716000</v>
      </c>
      <c r="Z88" s="1"/>
      <c r="AA88" s="2">
        <f ca="1">DATE(2000,08,14)</f>
        <v>0</v>
      </c>
      <c r="AB88" s="4">
        <v>52.189999999999998</v>
      </c>
      <c r="AC88" s="3">
        <v>180</v>
      </c>
      <c r="AD88" s="8">
        <v>15624618</v>
      </c>
      <c r="AE88" s="1" t="s">
        <v>51</v>
      </c>
      <c r="AF88" s="1" t="s">
        <v>51</v>
      </c>
      <c r="AG88" s="1" t="s">
        <v>51</v>
      </c>
      <c r="AH88" s="1" t="s">
        <v>599</v>
      </c>
      <c r="AI88" s="1" t="s">
        <v>600</v>
      </c>
      <c r="AJ88" s="3">
        <v>1</v>
      </c>
      <c r="AK88" s="1" t="s">
        <v>52</v>
      </c>
      <c r="AL88" s="3">
        <v>5</v>
      </c>
      <c r="AM88" s="8">
        <v>29.559999999999999</v>
      </c>
      <c r="AN88" s="1"/>
      <c r="AO88" s="1" t="s">
        <v>601</v>
      </c>
      <c r="AP88" s="1" t="s">
        <v>106</v>
      </c>
      <c r="AQ88" s="1" t="s">
        <v>602</v>
      </c>
      <c r="AR88" s="1" t="s">
        <v>603</v>
      </c>
    </row>
    <row r="89">
      <c r="A89" s="2">
        <f ca="1">DATE(1999,11,19)</f>
        <v>0</v>
      </c>
      <c r="B89" s="2">
        <f ca="1">DATE(2000,02,16)</f>
        <v>0</v>
      </c>
      <c r="C89" s="1" t="s">
        <v>596</v>
      </c>
      <c r="D89" s="3">
        <v>4813</v>
      </c>
      <c r="E89" s="1" t="s">
        <v>43</v>
      </c>
      <c r="F89" s="1"/>
      <c r="G89" s="1" t="s">
        <v>106</v>
      </c>
      <c r="H89" s="1" t="s">
        <v>57</v>
      </c>
      <c r="I89" s="1" t="s">
        <v>57</v>
      </c>
      <c r="J89" s="5">
        <v>28.600000000000001</v>
      </c>
      <c r="K89" s="8">
        <v>20</v>
      </c>
      <c r="L89" s="1" t="s">
        <v>58</v>
      </c>
      <c r="M89" s="1" t="s">
        <v>47</v>
      </c>
      <c r="N89" s="1" t="s">
        <v>597</v>
      </c>
      <c r="O89" s="1"/>
      <c r="P89" s="1" t="s">
        <v>604</v>
      </c>
      <c r="Q89" s="1"/>
      <c r="R89" s="1"/>
      <c r="S89" s="1"/>
      <c r="T89" s="1" t="s">
        <v>60</v>
      </c>
      <c r="U89" s="1"/>
      <c r="V89" s="1"/>
      <c r="W89" s="1"/>
      <c r="X89" s="1"/>
      <c r="Y89" s="7">
        <v>1429000</v>
      </c>
      <c r="Z89" s="1"/>
      <c r="AA89" s="1"/>
      <c r="AB89" s="1"/>
      <c r="AC89" s="3">
        <v>180</v>
      </c>
      <c r="AD89" s="8">
        <v>15624618</v>
      </c>
      <c r="AE89" s="1" t="s">
        <v>51</v>
      </c>
      <c r="AF89" s="1" t="s">
        <v>51</v>
      </c>
      <c r="AG89" s="1" t="s">
        <v>51</v>
      </c>
      <c r="AH89" s="1" t="s">
        <v>599</v>
      </c>
      <c r="AI89" s="1" t="s">
        <v>600</v>
      </c>
      <c r="AJ89" s="3">
        <v>1</v>
      </c>
      <c r="AK89" s="1" t="s">
        <v>52</v>
      </c>
      <c r="AL89" s="3">
        <v>5</v>
      </c>
      <c r="AM89" s="1"/>
      <c r="AN89" s="1"/>
      <c r="AO89" s="1" t="s">
        <v>605</v>
      </c>
      <c r="AP89" s="1" t="s">
        <v>106</v>
      </c>
      <c r="AQ89" s="1" t="s">
        <v>606</v>
      </c>
      <c r="AR89" s="1" t="s">
        <v>607</v>
      </c>
    </row>
    <row r="90">
      <c r="A90" s="2">
        <f ca="1">DATE(1999,10,22)</f>
        <v>0</v>
      </c>
      <c r="B90" s="2">
        <f ca="1">DATE(2000,02,16)</f>
        <v>0</v>
      </c>
      <c r="C90" s="1" t="s">
        <v>608</v>
      </c>
      <c r="D90" s="3">
        <v>7371</v>
      </c>
      <c r="E90" s="1" t="s">
        <v>43</v>
      </c>
      <c r="F90" s="1" t="s">
        <v>609</v>
      </c>
      <c r="G90" s="1" t="s">
        <v>282</v>
      </c>
      <c r="H90" s="4">
        <v>1.1200000000000001</v>
      </c>
      <c r="I90" s="4">
        <v>7</v>
      </c>
      <c r="J90" s="5">
        <v>72</v>
      </c>
      <c r="K90" s="4">
        <v>16</v>
      </c>
      <c r="L90" s="1" t="s">
        <v>46</v>
      </c>
      <c r="M90" s="1" t="s">
        <v>47</v>
      </c>
      <c r="N90" s="3">
        <v>290140102</v>
      </c>
      <c r="O90" s="1" t="s">
        <v>48</v>
      </c>
      <c r="P90" s="1" t="s">
        <v>610</v>
      </c>
      <c r="Q90" s="4">
        <v>1.4379999999999999</v>
      </c>
      <c r="R90" s="4">
        <v>1.4379999999999999</v>
      </c>
      <c r="S90" s="4">
        <v>4.125</v>
      </c>
      <c r="T90" s="1" t="s">
        <v>50</v>
      </c>
      <c r="U90" s="1"/>
      <c r="V90" s="1"/>
      <c r="W90" s="1"/>
      <c r="X90" s="5">
        <v>57.5</v>
      </c>
      <c r="Y90" s="7">
        <v>4500000</v>
      </c>
      <c r="Z90" s="1"/>
      <c r="AA90" s="2">
        <f ca="1">DATE(2000,08,14)</f>
        <v>0</v>
      </c>
      <c r="AB90" s="4">
        <v>63.348999999999997</v>
      </c>
      <c r="AC90" s="3">
        <v>180</v>
      </c>
      <c r="AD90" s="8">
        <v>10716880</v>
      </c>
      <c r="AE90" s="1" t="s">
        <v>51</v>
      </c>
      <c r="AF90" s="1" t="s">
        <v>51</v>
      </c>
      <c r="AG90" s="1" t="s">
        <v>47</v>
      </c>
      <c r="AH90" s="1"/>
      <c r="AI90" s="1"/>
      <c r="AJ90" s="3">
        <v>1</v>
      </c>
      <c r="AK90" s="1" t="s">
        <v>52</v>
      </c>
      <c r="AL90" s="3">
        <v>3</v>
      </c>
      <c r="AM90" s="8">
        <v>32</v>
      </c>
      <c r="AN90" s="1"/>
      <c r="AO90" s="1" t="s">
        <v>611</v>
      </c>
      <c r="AP90" s="1" t="s">
        <v>282</v>
      </c>
      <c r="AQ90" s="1" t="s">
        <v>612</v>
      </c>
      <c r="AR90" s="1" t="s">
        <v>613</v>
      </c>
    </row>
    <row r="91">
      <c r="A91" s="2">
        <f ca="1">DATE(1999,11,12)</f>
        <v>0</v>
      </c>
      <c r="B91" s="2">
        <f ca="1">DATE(2000,02,17)</f>
        <v>0</v>
      </c>
      <c r="C91" s="1" t="s">
        <v>614</v>
      </c>
      <c r="D91" s="3">
        <v>7372</v>
      </c>
      <c r="E91" s="1" t="s">
        <v>43</v>
      </c>
      <c r="F91" s="1" t="s">
        <v>615</v>
      </c>
      <c r="G91" s="1" t="s">
        <v>387</v>
      </c>
      <c r="H91" s="4">
        <v>1.54</v>
      </c>
      <c r="I91" s="4">
        <v>7</v>
      </c>
      <c r="J91" s="5">
        <v>81.400000000000006</v>
      </c>
      <c r="K91" s="4">
        <v>22</v>
      </c>
      <c r="L91" s="1" t="s">
        <v>46</v>
      </c>
      <c r="M91" s="1" t="s">
        <v>47</v>
      </c>
      <c r="N91" s="1" t="s">
        <v>616</v>
      </c>
      <c r="O91" s="1" t="s">
        <v>48</v>
      </c>
      <c r="P91" s="1" t="s">
        <v>617</v>
      </c>
      <c r="Q91" s="4">
        <v>1.409</v>
      </c>
      <c r="R91" s="4">
        <v>1.409</v>
      </c>
      <c r="S91" s="6">
        <v>4.1818200000000001</v>
      </c>
      <c r="T91" s="1" t="s">
        <v>50</v>
      </c>
      <c r="U91" s="1"/>
      <c r="V91" s="1"/>
      <c r="W91" s="1"/>
      <c r="X91" s="5">
        <v>55.200000000000003</v>
      </c>
      <c r="Y91" s="7">
        <v>3700000</v>
      </c>
      <c r="Z91" s="1"/>
      <c r="AA91" s="2">
        <f ca="1">DATE(2000,08,15)</f>
        <v>0</v>
      </c>
      <c r="AB91" s="4">
        <v>72.311000000000007</v>
      </c>
      <c r="AC91" s="3">
        <v>180</v>
      </c>
      <c r="AD91" s="8">
        <v>9941250</v>
      </c>
      <c r="AE91" s="1" t="s">
        <v>51</v>
      </c>
      <c r="AF91" s="1" t="s">
        <v>51</v>
      </c>
      <c r="AG91" s="1" t="s">
        <v>47</v>
      </c>
      <c r="AH91" s="1"/>
      <c r="AI91" s="1"/>
      <c r="AJ91" s="3">
        <v>1</v>
      </c>
      <c r="AK91" s="1" t="s">
        <v>52</v>
      </c>
      <c r="AL91" s="3">
        <v>3</v>
      </c>
      <c r="AM91" s="8">
        <v>46</v>
      </c>
      <c r="AN91" s="1"/>
      <c r="AO91" s="1" t="s">
        <v>618</v>
      </c>
      <c r="AP91" s="1" t="s">
        <v>387</v>
      </c>
      <c r="AQ91" s="1" t="s">
        <v>619</v>
      </c>
      <c r="AR91" s="1" t="s">
        <v>620</v>
      </c>
    </row>
    <row r="92">
      <c r="A92" s="2">
        <f ca="1">DATE(1999,12,08)</f>
        <v>0</v>
      </c>
      <c r="B92" s="2">
        <f ca="1">DATE(2000,02,17)</f>
        <v>0</v>
      </c>
      <c r="C92" s="1" t="s">
        <v>621</v>
      </c>
      <c r="D92" s="3">
        <v>8748</v>
      </c>
      <c r="E92" s="1" t="s">
        <v>43</v>
      </c>
      <c r="F92" s="1" t="s">
        <v>622</v>
      </c>
      <c r="G92" s="1" t="s">
        <v>160</v>
      </c>
      <c r="H92" s="4">
        <v>2.2400000000000002</v>
      </c>
      <c r="I92" s="4">
        <v>7</v>
      </c>
      <c r="J92" s="5">
        <v>55.5</v>
      </c>
      <c r="K92" s="4">
        <v>32</v>
      </c>
      <c r="L92" s="1" t="s">
        <v>46</v>
      </c>
      <c r="M92" s="1" t="s">
        <v>47</v>
      </c>
      <c r="N92" s="1" t="s">
        <v>623</v>
      </c>
      <c r="O92" s="1" t="s">
        <v>48</v>
      </c>
      <c r="P92" s="1" t="s">
        <v>624</v>
      </c>
      <c r="Q92" s="4">
        <v>1.4059999999999999</v>
      </c>
      <c r="R92" s="4">
        <v>1.5629999999999999</v>
      </c>
      <c r="S92" s="6">
        <v>4.03125</v>
      </c>
      <c r="T92" s="1" t="s">
        <v>50</v>
      </c>
      <c r="U92" s="1"/>
      <c r="V92" s="1"/>
      <c r="W92" s="1"/>
      <c r="X92" s="5">
        <v>50</v>
      </c>
      <c r="Y92" s="7">
        <v>1735000</v>
      </c>
      <c r="Z92" s="1"/>
      <c r="AA92" s="1"/>
      <c r="AB92" s="1"/>
      <c r="AC92" s="1"/>
      <c r="AD92" s="1"/>
      <c r="AE92" s="1" t="s">
        <v>51</v>
      </c>
      <c r="AF92" s="1" t="s">
        <v>51</v>
      </c>
      <c r="AG92" s="1" t="s">
        <v>51</v>
      </c>
      <c r="AH92" s="1"/>
      <c r="AI92" s="1"/>
      <c r="AJ92" s="3">
        <v>1</v>
      </c>
      <c r="AK92" s="1" t="s">
        <v>52</v>
      </c>
      <c r="AL92" s="3">
        <v>3</v>
      </c>
      <c r="AM92" s="8">
        <v>72.939999999999998</v>
      </c>
      <c r="AN92" s="1"/>
      <c r="AO92" s="1" t="s">
        <v>625</v>
      </c>
      <c r="AP92" s="1" t="s">
        <v>160</v>
      </c>
      <c r="AQ92" s="1" t="s">
        <v>626</v>
      </c>
      <c r="AR92" s="1" t="s">
        <v>627</v>
      </c>
    </row>
    <row r="93">
      <c r="A93" s="2">
        <f ca="1">DATE(1999,12,08)</f>
        <v>0</v>
      </c>
      <c r="B93" s="2">
        <f ca="1">DATE(2000,02,17)</f>
        <v>0</v>
      </c>
      <c r="C93" s="1" t="s">
        <v>621</v>
      </c>
      <c r="D93" s="3">
        <v>8748</v>
      </c>
      <c r="E93" s="1" t="s">
        <v>43</v>
      </c>
      <c r="F93" s="1" t="s">
        <v>622</v>
      </c>
      <c r="G93" s="1" t="s">
        <v>160</v>
      </c>
      <c r="H93" s="4">
        <v>2.2400000000000002</v>
      </c>
      <c r="I93" s="4">
        <v>7</v>
      </c>
      <c r="J93" s="5">
        <v>7.4000000000000004</v>
      </c>
      <c r="K93" s="8">
        <v>32</v>
      </c>
      <c r="L93" s="1" t="s">
        <v>58</v>
      </c>
      <c r="M93" s="1" t="s">
        <v>47</v>
      </c>
      <c r="N93" s="1" t="s">
        <v>623</v>
      </c>
      <c r="O93" s="1" t="s">
        <v>48</v>
      </c>
      <c r="P93" s="1" t="s">
        <v>624</v>
      </c>
      <c r="Q93" s="4">
        <v>1.4059999999999999</v>
      </c>
      <c r="R93" s="4">
        <v>1.5629999999999999</v>
      </c>
      <c r="S93" s="6">
        <v>4.0311899999999996</v>
      </c>
      <c r="T93" s="1" t="s">
        <v>60</v>
      </c>
      <c r="U93" s="1"/>
      <c r="V93" s="1"/>
      <c r="W93" s="1"/>
      <c r="X93" s="1"/>
      <c r="Y93" s="7">
        <v>230435</v>
      </c>
      <c r="Z93" s="1"/>
      <c r="AA93" s="1"/>
      <c r="AB93" s="1"/>
      <c r="AC93" s="1"/>
      <c r="AD93" s="1"/>
      <c r="AE93" s="1" t="s">
        <v>51</v>
      </c>
      <c r="AF93" s="1" t="s">
        <v>51</v>
      </c>
      <c r="AG93" s="1" t="s">
        <v>51</v>
      </c>
      <c r="AH93" s="1"/>
      <c r="AI93" s="1"/>
      <c r="AJ93" s="3">
        <v>1</v>
      </c>
      <c r="AK93" s="1" t="s">
        <v>52</v>
      </c>
      <c r="AL93" s="3">
        <v>1</v>
      </c>
      <c r="AM93" s="1"/>
      <c r="AN93" s="1"/>
      <c r="AO93" s="1" t="s">
        <v>625</v>
      </c>
      <c r="AP93" s="1" t="s">
        <v>160</v>
      </c>
      <c r="AQ93" s="1" t="s">
        <v>160</v>
      </c>
      <c r="AR93" s="1" t="s">
        <v>187</v>
      </c>
    </row>
    <row r="94">
      <c r="A94" s="2">
        <f ca="1">DATE(1999,09,08)</f>
        <v>0</v>
      </c>
      <c r="B94" s="2">
        <f ca="1">DATE(2000,02,18)</f>
        <v>0</v>
      </c>
      <c r="C94" s="1" t="s">
        <v>628</v>
      </c>
      <c r="D94" s="3">
        <v>5199</v>
      </c>
      <c r="E94" s="1" t="s">
        <v>43</v>
      </c>
      <c r="F94" s="1" t="s">
        <v>629</v>
      </c>
      <c r="G94" s="1" t="s">
        <v>630</v>
      </c>
      <c r="H94" s="4">
        <v>0.69999999999999996</v>
      </c>
      <c r="I94" s="4">
        <v>10</v>
      </c>
      <c r="J94" s="5">
        <v>7</v>
      </c>
      <c r="K94" s="4">
        <v>7</v>
      </c>
      <c r="L94" s="1" t="s">
        <v>46</v>
      </c>
      <c r="M94" s="1" t="s">
        <v>47</v>
      </c>
      <c r="N94" s="1" t="s">
        <v>631</v>
      </c>
      <c r="O94" s="1" t="s">
        <v>48</v>
      </c>
      <c r="P94" s="1" t="s">
        <v>632</v>
      </c>
      <c r="Q94" s="4">
        <v>4</v>
      </c>
      <c r="R94" s="4">
        <v>1</v>
      </c>
      <c r="S94" s="8">
        <v>5</v>
      </c>
      <c r="T94" s="1" t="s">
        <v>50</v>
      </c>
      <c r="U94" s="8">
        <v>7</v>
      </c>
      <c r="V94" s="8">
        <v>7</v>
      </c>
      <c r="W94" s="7">
        <v>1000000</v>
      </c>
      <c r="X94" s="5">
        <v>7</v>
      </c>
      <c r="Y94" s="7">
        <v>1000000</v>
      </c>
      <c r="Z94" s="1"/>
      <c r="AA94" s="2">
        <f ca="1">DATE(2001,02,17)</f>
        <v>0</v>
      </c>
      <c r="AB94" s="4">
        <v>63.332999999999998</v>
      </c>
      <c r="AC94" s="3">
        <v>365</v>
      </c>
      <c r="AD94" s="8">
        <v>1900000</v>
      </c>
      <c r="AE94" s="1" t="s">
        <v>51</v>
      </c>
      <c r="AF94" s="1" t="s">
        <v>51</v>
      </c>
      <c r="AG94" s="1" t="s">
        <v>51</v>
      </c>
      <c r="AH94" s="1"/>
      <c r="AI94" s="1"/>
      <c r="AJ94" s="3">
        <v>1</v>
      </c>
      <c r="AK94" s="1" t="s">
        <v>52</v>
      </c>
      <c r="AL94" s="3">
        <v>4</v>
      </c>
      <c r="AM94" s="8">
        <v>7.4400000000000004</v>
      </c>
      <c r="AN94" s="1"/>
      <c r="AO94" s="1" t="s">
        <v>633</v>
      </c>
      <c r="AP94" s="1" t="s">
        <v>630</v>
      </c>
      <c r="AQ94" s="1" t="s">
        <v>634</v>
      </c>
      <c r="AR94" s="1" t="s">
        <v>635</v>
      </c>
    </row>
    <row r="95">
      <c r="A95" s="2">
        <f ca="1">DATE(2000,01,27)</f>
        <v>0</v>
      </c>
      <c r="B95" s="2">
        <f ca="1">DATE(2000,02,22)</f>
        <v>0</v>
      </c>
      <c r="C95" s="1" t="s">
        <v>636</v>
      </c>
      <c r="D95" s="3">
        <v>4812</v>
      </c>
      <c r="E95" s="1" t="s">
        <v>43</v>
      </c>
      <c r="F95" s="1" t="s">
        <v>637</v>
      </c>
      <c r="G95" s="1" t="s">
        <v>160</v>
      </c>
      <c r="H95" s="4">
        <v>1.1000000000000001</v>
      </c>
      <c r="I95" s="4">
        <v>5.5</v>
      </c>
      <c r="J95" s="5">
        <v>399.5</v>
      </c>
      <c r="K95" s="4">
        <v>20</v>
      </c>
      <c r="L95" s="1" t="s">
        <v>152</v>
      </c>
      <c r="M95" s="1" t="s">
        <v>47</v>
      </c>
      <c r="N95" s="1" t="s">
        <v>638</v>
      </c>
      <c r="O95" s="1" t="s">
        <v>48</v>
      </c>
      <c r="P95" s="1" t="s">
        <v>639</v>
      </c>
      <c r="Q95" s="4">
        <v>1.1000000000000001</v>
      </c>
      <c r="R95" s="4">
        <v>1.1000000000000001</v>
      </c>
      <c r="S95" s="8">
        <v>3.2999999999999998</v>
      </c>
      <c r="T95" s="1" t="s">
        <v>50</v>
      </c>
      <c r="U95" s="8">
        <v>19</v>
      </c>
      <c r="V95" s="8">
        <v>15</v>
      </c>
      <c r="W95" s="1"/>
      <c r="X95" s="1"/>
      <c r="Y95" s="7">
        <v>19975000</v>
      </c>
      <c r="Z95" s="1"/>
      <c r="AA95" s="1"/>
      <c r="AB95" s="1"/>
      <c r="AC95" s="1"/>
      <c r="AD95" s="1"/>
      <c r="AE95" s="1" t="s">
        <v>51</v>
      </c>
      <c r="AF95" s="1" t="s">
        <v>51</v>
      </c>
      <c r="AG95" s="1" t="s">
        <v>51</v>
      </c>
      <c r="AH95" s="1"/>
      <c r="AI95" s="1"/>
      <c r="AJ95" s="3">
        <v>1</v>
      </c>
      <c r="AK95" s="1" t="s">
        <v>89</v>
      </c>
      <c r="AL95" s="3">
        <v>7</v>
      </c>
      <c r="AM95" s="8">
        <v>30.129999999999999</v>
      </c>
      <c r="AN95" s="1"/>
      <c r="AO95" s="1" t="s">
        <v>640</v>
      </c>
      <c r="AP95" s="1" t="s">
        <v>429</v>
      </c>
      <c r="AQ95" s="1" t="s">
        <v>641</v>
      </c>
      <c r="AR95" s="1" t="s">
        <v>642</v>
      </c>
    </row>
    <row r="96">
      <c r="A96" s="2">
        <f ca="1">DATE(2000,01,27)</f>
        <v>0</v>
      </c>
      <c r="B96" s="2">
        <f ca="1">DATE(2000,02,22)</f>
        <v>0</v>
      </c>
      <c r="C96" s="1" t="s">
        <v>636</v>
      </c>
      <c r="D96" s="3">
        <v>4812</v>
      </c>
      <c r="E96" s="1" t="s">
        <v>43</v>
      </c>
      <c r="F96" s="1" t="s">
        <v>637</v>
      </c>
      <c r="G96" s="1" t="s">
        <v>160</v>
      </c>
      <c r="H96" s="4">
        <v>1.1000000000000001</v>
      </c>
      <c r="I96" s="4">
        <v>5.5</v>
      </c>
      <c r="J96" s="5">
        <v>70.5</v>
      </c>
      <c r="K96" s="8">
        <v>20</v>
      </c>
      <c r="L96" s="1" t="s">
        <v>152</v>
      </c>
      <c r="M96" s="1" t="s">
        <v>47</v>
      </c>
      <c r="N96" s="1" t="s">
        <v>638</v>
      </c>
      <c r="O96" s="1" t="s">
        <v>48</v>
      </c>
      <c r="P96" s="1" t="s">
        <v>643</v>
      </c>
      <c r="Q96" s="4">
        <v>1.1000000000000001</v>
      </c>
      <c r="R96" s="4">
        <v>1.1000000000000001</v>
      </c>
      <c r="S96" s="8">
        <v>3.2999999999999998</v>
      </c>
      <c r="T96" s="1" t="s">
        <v>60</v>
      </c>
      <c r="U96" s="8">
        <v>19</v>
      </c>
      <c r="V96" s="8">
        <v>15</v>
      </c>
      <c r="W96" s="1"/>
      <c r="X96" s="1"/>
      <c r="Y96" s="7">
        <v>3525000</v>
      </c>
      <c r="Z96" s="1"/>
      <c r="AA96" s="1"/>
      <c r="AB96" s="1"/>
      <c r="AC96" s="1"/>
      <c r="AD96" s="1"/>
      <c r="AE96" s="1" t="s">
        <v>51</v>
      </c>
      <c r="AF96" s="1" t="s">
        <v>51</v>
      </c>
      <c r="AG96" s="1" t="s">
        <v>51</v>
      </c>
      <c r="AH96" s="1"/>
      <c r="AI96" s="1"/>
      <c r="AJ96" s="3">
        <v>1</v>
      </c>
      <c r="AK96" s="1" t="s">
        <v>89</v>
      </c>
      <c r="AL96" s="3">
        <v>3</v>
      </c>
      <c r="AM96" s="1"/>
      <c r="AN96" s="1"/>
      <c r="AO96" s="1" t="s">
        <v>644</v>
      </c>
      <c r="AP96" s="1" t="s">
        <v>429</v>
      </c>
      <c r="AQ96" s="1" t="s">
        <v>645</v>
      </c>
      <c r="AR96" s="1" t="s">
        <v>646</v>
      </c>
    </row>
    <row r="97">
      <c r="A97" s="2">
        <f ca="1">DATE(2000,01,12)</f>
        <v>0</v>
      </c>
      <c r="B97" s="2">
        <f ca="1">DATE(2000,02,23)</f>
        <v>0</v>
      </c>
      <c r="C97" s="1" t="s">
        <v>647</v>
      </c>
      <c r="D97" s="3">
        <v>7374</v>
      </c>
      <c r="E97" s="1" t="s">
        <v>648</v>
      </c>
      <c r="F97" s="1" t="s">
        <v>649</v>
      </c>
      <c r="G97" s="1" t="s">
        <v>650</v>
      </c>
      <c r="H97" s="1" t="s">
        <v>57</v>
      </c>
      <c r="I97" s="1" t="s">
        <v>57</v>
      </c>
      <c r="J97" s="5">
        <v>327.80000000000001</v>
      </c>
      <c r="K97" s="4">
        <v>17.483000000000001</v>
      </c>
      <c r="L97" s="1" t="s">
        <v>651</v>
      </c>
      <c r="M97" s="1" t="s">
        <v>47</v>
      </c>
      <c r="N97" s="1"/>
      <c r="O97" s="1" t="s">
        <v>48</v>
      </c>
      <c r="P97" s="1" t="s">
        <v>652</v>
      </c>
      <c r="Q97" s="1"/>
      <c r="R97" s="1"/>
      <c r="S97" s="1"/>
      <c r="T97" s="1" t="s">
        <v>50</v>
      </c>
      <c r="U97" s="1"/>
      <c r="V97" s="1"/>
      <c r="W97" s="1"/>
      <c r="X97" s="1"/>
      <c r="Y97" s="7">
        <v>18750000</v>
      </c>
      <c r="Z97" s="1"/>
      <c r="AA97" s="1"/>
      <c r="AB97" s="1"/>
      <c r="AC97" s="1"/>
      <c r="AD97" s="1"/>
      <c r="AE97" s="1" t="s">
        <v>47</v>
      </c>
      <c r="AF97" s="1" t="s">
        <v>51</v>
      </c>
      <c r="AG97" s="1" t="s">
        <v>51</v>
      </c>
      <c r="AH97" s="1"/>
      <c r="AI97" s="1"/>
      <c r="AJ97" s="3">
        <v>2</v>
      </c>
      <c r="AK97" s="1" t="s">
        <v>89</v>
      </c>
      <c r="AL97" s="3">
        <v>6</v>
      </c>
      <c r="AM97" s="1"/>
      <c r="AN97" s="1"/>
      <c r="AO97" s="1" t="s">
        <v>653</v>
      </c>
      <c r="AP97" s="1" t="s">
        <v>654</v>
      </c>
      <c r="AQ97" s="1" t="s">
        <v>655</v>
      </c>
      <c r="AR97" s="1" t="s">
        <v>656</v>
      </c>
    </row>
    <row r="98">
      <c r="A98" s="2">
        <f ca="1">DATE(2000,01,12)</f>
        <v>0</v>
      </c>
      <c r="B98" s="2">
        <f ca="1">DATE(2000,02,23)</f>
        <v>0</v>
      </c>
      <c r="C98" s="1" t="s">
        <v>647</v>
      </c>
      <c r="D98" s="3">
        <v>7374</v>
      </c>
      <c r="E98" s="1" t="s">
        <v>648</v>
      </c>
      <c r="F98" s="1" t="s">
        <v>649</v>
      </c>
      <c r="G98" s="1" t="s">
        <v>650</v>
      </c>
      <c r="H98" s="1" t="s">
        <v>57</v>
      </c>
      <c r="I98" s="1" t="s">
        <v>57</v>
      </c>
      <c r="J98" s="5">
        <v>491.69999999999999</v>
      </c>
      <c r="K98" s="8">
        <v>87.409999999999997</v>
      </c>
      <c r="L98" s="1" t="s">
        <v>58</v>
      </c>
      <c r="M98" s="1" t="s">
        <v>47</v>
      </c>
      <c r="N98" s="1"/>
      <c r="O98" s="1" t="s">
        <v>48</v>
      </c>
      <c r="P98" s="1" t="s">
        <v>652</v>
      </c>
      <c r="Q98" s="1"/>
      <c r="R98" s="1"/>
      <c r="S98" s="1"/>
      <c r="T98" s="1" t="s">
        <v>60</v>
      </c>
      <c r="U98" s="1"/>
      <c r="V98" s="1"/>
      <c r="W98" s="1"/>
      <c r="X98" s="5">
        <v>200</v>
      </c>
      <c r="Y98" s="7">
        <v>5625000</v>
      </c>
      <c r="Z98" s="1"/>
      <c r="AA98" s="1"/>
      <c r="AB98" s="1"/>
      <c r="AC98" s="1"/>
      <c r="AD98" s="1"/>
      <c r="AE98" s="1" t="s">
        <v>51</v>
      </c>
      <c r="AF98" s="1" t="s">
        <v>51</v>
      </c>
      <c r="AG98" s="1" t="s">
        <v>51</v>
      </c>
      <c r="AH98" s="1"/>
      <c r="AI98" s="1"/>
      <c r="AJ98" s="3">
        <v>2</v>
      </c>
      <c r="AK98" s="1" t="s">
        <v>89</v>
      </c>
      <c r="AL98" s="3">
        <v>5</v>
      </c>
      <c r="AM98" s="1"/>
      <c r="AN98" s="1"/>
      <c r="AO98" s="1" t="s">
        <v>657</v>
      </c>
      <c r="AP98" s="1" t="s">
        <v>654</v>
      </c>
      <c r="AQ98" s="1" t="s">
        <v>658</v>
      </c>
      <c r="AR98" s="1" t="s">
        <v>659</v>
      </c>
    </row>
    <row r="99">
      <c r="A99" s="2">
        <f ca="1">DATE(1999,12,09)</f>
        <v>0</v>
      </c>
      <c r="B99" s="2">
        <f ca="1">DATE(2000,02,24)</f>
        <v>0</v>
      </c>
      <c r="C99" s="1" t="s">
        <v>660</v>
      </c>
      <c r="D99" s="3">
        <v>8299</v>
      </c>
      <c r="E99" s="1" t="s">
        <v>43</v>
      </c>
      <c r="F99" s="1" t="s">
        <v>661</v>
      </c>
      <c r="G99" s="1" t="s">
        <v>239</v>
      </c>
      <c r="H99" s="4">
        <v>0.97999999999999998</v>
      </c>
      <c r="I99" s="8">
        <v>7</v>
      </c>
      <c r="J99" s="5">
        <v>43.899999999999999</v>
      </c>
      <c r="K99" s="4">
        <v>14</v>
      </c>
      <c r="L99" s="1" t="s">
        <v>46</v>
      </c>
      <c r="M99" s="1" t="s">
        <v>47</v>
      </c>
      <c r="N99" s="1" t="s">
        <v>662</v>
      </c>
      <c r="O99" s="1" t="s">
        <v>48</v>
      </c>
      <c r="P99" s="1" t="s">
        <v>663</v>
      </c>
      <c r="Q99" s="4">
        <v>1.4290000000000001</v>
      </c>
      <c r="R99" s="4">
        <v>1.4290000000000001</v>
      </c>
      <c r="S99" s="6">
        <v>4.1428599999999998</v>
      </c>
      <c r="T99" s="1" t="s">
        <v>50</v>
      </c>
      <c r="U99" s="1"/>
      <c r="V99" s="1"/>
      <c r="W99" s="1"/>
      <c r="X99" s="5">
        <v>75</v>
      </c>
      <c r="Y99" s="7">
        <v>3135000</v>
      </c>
      <c r="Z99" s="1"/>
      <c r="AA99" s="1"/>
      <c r="AB99" s="1"/>
      <c r="AC99" s="1"/>
      <c r="AD99" s="1"/>
      <c r="AE99" s="1" t="s">
        <v>51</v>
      </c>
      <c r="AF99" s="1" t="s">
        <v>51</v>
      </c>
      <c r="AG99" s="1" t="s">
        <v>47</v>
      </c>
      <c r="AH99" s="1"/>
      <c r="AI99" s="1"/>
      <c r="AJ99" s="3">
        <v>1</v>
      </c>
      <c r="AK99" s="1" t="s">
        <v>52</v>
      </c>
      <c r="AL99" s="3">
        <v>3</v>
      </c>
      <c r="AM99" s="8">
        <v>29</v>
      </c>
      <c r="AN99" s="1"/>
      <c r="AO99" s="1" t="s">
        <v>664</v>
      </c>
      <c r="AP99" s="1" t="s">
        <v>239</v>
      </c>
      <c r="AQ99" s="1" t="s">
        <v>665</v>
      </c>
      <c r="AR99" s="1" t="s">
        <v>666</v>
      </c>
    </row>
    <row r="100">
      <c r="A100" s="2">
        <f ca="1">DATE(1999,12,09)</f>
        <v>0</v>
      </c>
      <c r="B100" s="2">
        <f ca="1">DATE(2000,02,24)</f>
        <v>0</v>
      </c>
      <c r="C100" s="1" t="s">
        <v>660</v>
      </c>
      <c r="D100" s="3">
        <v>8299</v>
      </c>
      <c r="E100" s="1" t="s">
        <v>43</v>
      </c>
      <c r="F100" s="1" t="s">
        <v>661</v>
      </c>
      <c r="G100" s="1" t="s">
        <v>667</v>
      </c>
      <c r="H100" s="4">
        <v>0.97999999999999998</v>
      </c>
      <c r="I100" s="8">
        <v>7</v>
      </c>
      <c r="J100" s="5">
        <v>15.4</v>
      </c>
      <c r="K100" s="8">
        <v>14</v>
      </c>
      <c r="L100" s="1" t="s">
        <v>58</v>
      </c>
      <c r="M100" s="1" t="s">
        <v>47</v>
      </c>
      <c r="N100" s="1" t="s">
        <v>662</v>
      </c>
      <c r="O100" s="1" t="s">
        <v>48</v>
      </c>
      <c r="P100" s="1" t="s">
        <v>668</v>
      </c>
      <c r="Q100" s="4">
        <v>1.4290000000000001</v>
      </c>
      <c r="R100" s="4">
        <v>1.4290000000000001</v>
      </c>
      <c r="S100" s="6">
        <v>4.1429299999999998</v>
      </c>
      <c r="T100" s="1" t="s">
        <v>60</v>
      </c>
      <c r="U100" s="1"/>
      <c r="V100" s="1"/>
      <c r="W100" s="1"/>
      <c r="X100" s="1"/>
      <c r="Y100" s="7">
        <v>1100000</v>
      </c>
      <c r="Z100" s="1"/>
      <c r="AA100" s="1"/>
      <c r="AB100" s="1"/>
      <c r="AC100" s="1"/>
      <c r="AD100" s="1"/>
      <c r="AE100" s="1" t="s">
        <v>51</v>
      </c>
      <c r="AF100" s="1" t="s">
        <v>51</v>
      </c>
      <c r="AG100" s="1" t="s">
        <v>47</v>
      </c>
      <c r="AH100" s="1"/>
      <c r="AI100" s="1"/>
      <c r="AJ100" s="3">
        <v>1</v>
      </c>
      <c r="AK100" s="1" t="s">
        <v>52</v>
      </c>
      <c r="AL100" s="3">
        <v>3</v>
      </c>
      <c r="AM100" s="1"/>
      <c r="AN100" s="1"/>
      <c r="AO100" s="1" t="s">
        <v>669</v>
      </c>
      <c r="AP100" s="1" t="s">
        <v>667</v>
      </c>
      <c r="AQ100" s="1" t="s">
        <v>670</v>
      </c>
      <c r="AR100" s="1" t="s">
        <v>671</v>
      </c>
    </row>
    <row r="101">
      <c r="A101" s="2">
        <f ca="1">DATE(2000,01,21)</f>
        <v>0</v>
      </c>
      <c r="B101" s="2">
        <f ca="1">DATE(2000,02,24)</f>
        <v>0</v>
      </c>
      <c r="C101" s="1" t="s">
        <v>672</v>
      </c>
      <c r="D101" s="3">
        <v>3674</v>
      </c>
      <c r="E101" s="1" t="s">
        <v>43</v>
      </c>
      <c r="F101" s="1" t="s">
        <v>673</v>
      </c>
      <c r="G101" s="1" t="s">
        <v>315</v>
      </c>
      <c r="H101" s="4">
        <v>1.5629999999999999</v>
      </c>
      <c r="I101" s="4">
        <v>6.25</v>
      </c>
      <c r="J101" s="5">
        <v>500</v>
      </c>
      <c r="K101" s="4">
        <v>25</v>
      </c>
      <c r="L101" s="1" t="s">
        <v>152</v>
      </c>
      <c r="M101" s="1" t="s">
        <v>47</v>
      </c>
      <c r="N101" s="1" t="s">
        <v>674</v>
      </c>
      <c r="O101" s="1" t="s">
        <v>48</v>
      </c>
      <c r="P101" s="1" t="s">
        <v>675</v>
      </c>
      <c r="Q101" s="4">
        <v>1.25</v>
      </c>
      <c r="R101" s="4">
        <v>1.25</v>
      </c>
      <c r="S101" s="8">
        <v>3.75</v>
      </c>
      <c r="T101" s="1" t="s">
        <v>50</v>
      </c>
      <c r="U101" s="1"/>
      <c r="V101" s="1"/>
      <c r="W101" s="1"/>
      <c r="X101" s="5">
        <v>431.30000000000001</v>
      </c>
      <c r="Y101" s="7">
        <v>20000000</v>
      </c>
      <c r="Z101" s="1"/>
      <c r="AA101" s="2">
        <f ca="1">DATE(2000,08,22)</f>
        <v>0</v>
      </c>
      <c r="AB101" s="4">
        <v>75.837000000000003</v>
      </c>
      <c r="AC101" s="3">
        <v>180</v>
      </c>
      <c r="AD101" s="8">
        <v>69301185</v>
      </c>
      <c r="AE101" s="1" t="s">
        <v>51</v>
      </c>
      <c r="AF101" s="1" t="s">
        <v>51</v>
      </c>
      <c r="AG101" s="1" t="s">
        <v>51</v>
      </c>
      <c r="AH101" s="1"/>
      <c r="AI101" s="1"/>
      <c r="AJ101" s="3">
        <v>2</v>
      </c>
      <c r="AK101" s="1" t="s">
        <v>89</v>
      </c>
      <c r="AL101" s="3">
        <v>5</v>
      </c>
      <c r="AM101" s="8">
        <v>54</v>
      </c>
      <c r="AN101" s="1"/>
      <c r="AO101" s="1" t="s">
        <v>676</v>
      </c>
      <c r="AP101" s="1" t="s">
        <v>677</v>
      </c>
      <c r="AQ101" s="1" t="s">
        <v>678</v>
      </c>
      <c r="AR101" s="1" t="s">
        <v>679</v>
      </c>
    </row>
    <row r="102">
      <c r="A102" s="2">
        <f ca="1">DATE(1999,11,09)</f>
        <v>0</v>
      </c>
      <c r="B102" s="2">
        <f ca="1">DATE(2000,02,25)</f>
        <v>0</v>
      </c>
      <c r="C102" s="1" t="s">
        <v>680</v>
      </c>
      <c r="D102" s="3">
        <v>4724</v>
      </c>
      <c r="E102" s="1" t="s">
        <v>43</v>
      </c>
      <c r="F102" s="1" t="s">
        <v>681</v>
      </c>
      <c r="G102" s="1" t="s">
        <v>151</v>
      </c>
      <c r="H102" s="4">
        <v>1.1200000000000001</v>
      </c>
      <c r="I102" s="4">
        <v>7</v>
      </c>
      <c r="J102" s="5">
        <v>86.400000000000006</v>
      </c>
      <c r="K102" s="4">
        <v>16</v>
      </c>
      <c r="L102" s="1" t="s">
        <v>152</v>
      </c>
      <c r="M102" s="1" t="s">
        <v>47</v>
      </c>
      <c r="N102" s="3">
        <v>441451101</v>
      </c>
      <c r="O102" s="1" t="s">
        <v>48</v>
      </c>
      <c r="P102" s="1" t="s">
        <v>682</v>
      </c>
      <c r="Q102" s="4">
        <v>1.4059999999999999</v>
      </c>
      <c r="R102" s="4">
        <v>1.4059999999999999</v>
      </c>
      <c r="S102" s="10">
        <v>4.1875</v>
      </c>
      <c r="T102" s="1" t="s">
        <v>50</v>
      </c>
      <c r="U102" s="1"/>
      <c r="V102" s="1"/>
      <c r="W102" s="1"/>
      <c r="X102" s="5">
        <v>75</v>
      </c>
      <c r="Y102" s="7">
        <v>5400000</v>
      </c>
      <c r="Z102" s="1"/>
      <c r="AA102" s="2">
        <f ca="1">DATE(2000,08,23)</f>
        <v>0</v>
      </c>
      <c r="AB102" s="4">
        <v>90.072999999999993</v>
      </c>
      <c r="AC102" s="3">
        <v>180</v>
      </c>
      <c r="AD102" s="8">
        <v>48999000</v>
      </c>
      <c r="AE102" s="1" t="s">
        <v>51</v>
      </c>
      <c r="AF102" s="1" t="s">
        <v>51</v>
      </c>
      <c r="AG102" s="1" t="s">
        <v>51</v>
      </c>
      <c r="AH102" s="1"/>
      <c r="AI102" s="1" t="s">
        <v>683</v>
      </c>
      <c r="AJ102" s="3">
        <v>1</v>
      </c>
      <c r="AK102" s="1" t="s">
        <v>52</v>
      </c>
      <c r="AL102" s="3">
        <v>5</v>
      </c>
      <c r="AM102" s="8">
        <v>26</v>
      </c>
      <c r="AN102" s="1"/>
      <c r="AO102" s="1" t="s">
        <v>684</v>
      </c>
      <c r="AP102" s="1" t="s">
        <v>151</v>
      </c>
      <c r="AQ102" s="1" t="s">
        <v>685</v>
      </c>
      <c r="AR102" s="1" t="s">
        <v>686</v>
      </c>
    </row>
    <row r="103">
      <c r="A103" s="2">
        <f ca="1">DATE(1999,12,08)</f>
        <v>0</v>
      </c>
      <c r="B103" s="2">
        <f ca="1">DATE(2000,02,28)</f>
        <v>0</v>
      </c>
      <c r="C103" s="1" t="s">
        <v>687</v>
      </c>
      <c r="D103" s="3">
        <v>7319</v>
      </c>
      <c r="E103" s="1" t="s">
        <v>43</v>
      </c>
      <c r="F103" s="1" t="s">
        <v>688</v>
      </c>
      <c r="G103" s="1" t="s">
        <v>106</v>
      </c>
      <c r="H103" s="4">
        <v>1.6799999999999999</v>
      </c>
      <c r="I103" s="8">
        <v>7</v>
      </c>
      <c r="J103" s="5">
        <v>104.40000000000001</v>
      </c>
      <c r="K103" s="4">
        <v>24</v>
      </c>
      <c r="L103" s="1" t="s">
        <v>46</v>
      </c>
      <c r="M103" s="1" t="s">
        <v>47</v>
      </c>
      <c r="N103" s="1" t="s">
        <v>689</v>
      </c>
      <c r="O103" s="1" t="s">
        <v>48</v>
      </c>
      <c r="P103" s="1" t="s">
        <v>690</v>
      </c>
      <c r="Q103" s="4">
        <v>1.417</v>
      </c>
      <c r="R103" s="4">
        <v>1.042</v>
      </c>
      <c r="S103" s="6">
        <v>4.5416699999999999</v>
      </c>
      <c r="T103" s="1" t="s">
        <v>50</v>
      </c>
      <c r="U103" s="1"/>
      <c r="V103" s="1"/>
      <c r="W103" s="1"/>
      <c r="X103" s="5">
        <v>60</v>
      </c>
      <c r="Y103" s="7">
        <v>4350000</v>
      </c>
      <c r="Z103" s="1"/>
      <c r="AA103" s="1"/>
      <c r="AB103" s="1"/>
      <c r="AC103" s="1"/>
      <c r="AD103" s="1"/>
      <c r="AE103" s="1" t="s">
        <v>51</v>
      </c>
      <c r="AF103" s="1" t="s">
        <v>51</v>
      </c>
      <c r="AG103" s="1" t="s">
        <v>47</v>
      </c>
      <c r="AH103" s="1"/>
      <c r="AI103" s="1"/>
      <c r="AJ103" s="3">
        <v>1</v>
      </c>
      <c r="AK103" s="1" t="s">
        <v>52</v>
      </c>
      <c r="AL103" s="3">
        <v>3</v>
      </c>
      <c r="AM103" s="8">
        <v>72</v>
      </c>
      <c r="AN103" s="1"/>
      <c r="AO103" s="1" t="s">
        <v>691</v>
      </c>
      <c r="AP103" s="1" t="s">
        <v>106</v>
      </c>
      <c r="AQ103" s="1" t="s">
        <v>692</v>
      </c>
      <c r="AR103" s="1" t="s">
        <v>693</v>
      </c>
    </row>
    <row r="104">
      <c r="A104" s="2">
        <f ca="1">DATE(1999,12,08)</f>
        <v>0</v>
      </c>
      <c r="B104" s="2">
        <f ca="1">DATE(2000,02,28)</f>
        <v>0</v>
      </c>
      <c r="C104" s="1" t="s">
        <v>687</v>
      </c>
      <c r="D104" s="3">
        <v>7319</v>
      </c>
      <c r="E104" s="1" t="s">
        <v>43</v>
      </c>
      <c r="F104" s="1" t="s">
        <v>688</v>
      </c>
      <c r="G104" s="1" t="s">
        <v>106</v>
      </c>
      <c r="H104" s="4">
        <v>1.6799999999999999</v>
      </c>
      <c r="I104" s="8">
        <v>7</v>
      </c>
      <c r="J104" s="5">
        <v>21.600000000000001</v>
      </c>
      <c r="K104" s="8">
        <v>24</v>
      </c>
      <c r="L104" s="1" t="s">
        <v>58</v>
      </c>
      <c r="M104" s="1" t="s">
        <v>47</v>
      </c>
      <c r="N104" s="1" t="s">
        <v>689</v>
      </c>
      <c r="O104" s="1" t="s">
        <v>48</v>
      </c>
      <c r="P104" s="1" t="s">
        <v>694</v>
      </c>
      <c r="Q104" s="1" t="s">
        <v>145</v>
      </c>
      <c r="R104" s="1" t="s">
        <v>145</v>
      </c>
      <c r="S104" s="1"/>
      <c r="T104" s="1" t="s">
        <v>60</v>
      </c>
      <c r="U104" s="1"/>
      <c r="V104" s="1"/>
      <c r="W104" s="1"/>
      <c r="X104" s="1"/>
      <c r="Y104" s="7">
        <v>900000</v>
      </c>
      <c r="Z104" s="1"/>
      <c r="AA104" s="1"/>
      <c r="AB104" s="1"/>
      <c r="AC104" s="1"/>
      <c r="AD104" s="1"/>
      <c r="AE104" s="1" t="s">
        <v>51</v>
      </c>
      <c r="AF104" s="1" t="s">
        <v>51</v>
      </c>
      <c r="AG104" s="1" t="s">
        <v>47</v>
      </c>
      <c r="AH104" s="1"/>
      <c r="AI104" s="1"/>
      <c r="AJ104" s="3">
        <v>1</v>
      </c>
      <c r="AK104" s="1" t="s">
        <v>52</v>
      </c>
      <c r="AL104" s="3">
        <v>1</v>
      </c>
      <c r="AM104" s="1"/>
      <c r="AN104" s="1"/>
      <c r="AO104" s="1" t="s">
        <v>695</v>
      </c>
      <c r="AP104" s="1" t="s">
        <v>106</v>
      </c>
      <c r="AQ104" s="1" t="s">
        <v>106</v>
      </c>
      <c r="AR104" s="1" t="s">
        <v>214</v>
      </c>
    </row>
    <row r="105">
      <c r="A105" s="2">
        <f ca="1">DATE(1999,12,22)</f>
        <v>0</v>
      </c>
      <c r="B105" s="2">
        <f ca="1">DATE(2000,02,28)</f>
        <v>0</v>
      </c>
      <c r="C105" s="1" t="s">
        <v>696</v>
      </c>
      <c r="D105" s="3">
        <v>7372</v>
      </c>
      <c r="E105" s="1" t="s">
        <v>43</v>
      </c>
      <c r="F105" s="1" t="s">
        <v>697</v>
      </c>
      <c r="G105" s="1" t="s">
        <v>160</v>
      </c>
      <c r="H105" s="4">
        <v>1.6799999999999999</v>
      </c>
      <c r="I105" s="8">
        <v>7</v>
      </c>
      <c r="J105" s="5">
        <v>166.59999999999999</v>
      </c>
      <c r="K105" s="4">
        <v>24</v>
      </c>
      <c r="L105" s="1" t="s">
        <v>46</v>
      </c>
      <c r="M105" s="1" t="s">
        <v>47</v>
      </c>
      <c r="N105" s="3">
        <v>654113109</v>
      </c>
      <c r="O105" s="1" t="s">
        <v>698</v>
      </c>
      <c r="P105" s="1" t="s">
        <v>699</v>
      </c>
      <c r="Q105" s="4">
        <v>1.417</v>
      </c>
      <c r="R105" s="4">
        <v>1.417</v>
      </c>
      <c r="S105" s="6">
        <v>4.1666699999999999</v>
      </c>
      <c r="T105" s="1" t="s">
        <v>50</v>
      </c>
      <c r="U105" s="1"/>
      <c r="V105" s="1"/>
      <c r="W105" s="1"/>
      <c r="X105" s="5">
        <v>115</v>
      </c>
      <c r="Y105" s="7">
        <v>6941000</v>
      </c>
      <c r="Z105" s="1"/>
      <c r="AA105" s="1"/>
      <c r="AB105" s="1"/>
      <c r="AC105" s="1"/>
      <c r="AD105" s="1"/>
      <c r="AE105" s="1" t="s">
        <v>51</v>
      </c>
      <c r="AF105" s="1" t="s">
        <v>51</v>
      </c>
      <c r="AG105" s="1" t="s">
        <v>47</v>
      </c>
      <c r="AH105" s="1"/>
      <c r="AI105" s="1"/>
      <c r="AJ105" s="3">
        <v>1</v>
      </c>
      <c r="AK105" s="1" t="s">
        <v>52</v>
      </c>
      <c r="AL105" s="3">
        <v>4</v>
      </c>
      <c r="AM105" s="8">
        <v>69</v>
      </c>
      <c r="AN105" s="1"/>
      <c r="AO105" s="1" t="s">
        <v>700</v>
      </c>
      <c r="AP105" s="1" t="s">
        <v>160</v>
      </c>
      <c r="AQ105" s="1" t="s">
        <v>701</v>
      </c>
      <c r="AR105" s="1" t="s">
        <v>702</v>
      </c>
    </row>
    <row r="106">
      <c r="A106" s="2">
        <f ca="1">DATE(1999,12,22)</f>
        <v>0</v>
      </c>
      <c r="B106" s="2">
        <f ca="1">DATE(2000,02,28)</f>
        <v>0</v>
      </c>
      <c r="C106" s="1" t="s">
        <v>696</v>
      </c>
      <c r="D106" s="3">
        <v>7372</v>
      </c>
      <c r="E106" s="1" t="s">
        <v>43</v>
      </c>
      <c r="F106" s="1" t="s">
        <v>697</v>
      </c>
      <c r="G106" s="1" t="s">
        <v>160</v>
      </c>
      <c r="H106" s="4">
        <v>1.6799999999999999</v>
      </c>
      <c r="I106" s="8">
        <v>7</v>
      </c>
      <c r="J106" s="5">
        <v>25.399999999999999</v>
      </c>
      <c r="K106" s="8">
        <v>24</v>
      </c>
      <c r="L106" s="1" t="s">
        <v>58</v>
      </c>
      <c r="M106" s="1" t="s">
        <v>47</v>
      </c>
      <c r="N106" s="3">
        <v>654113109</v>
      </c>
      <c r="O106" s="1" t="s">
        <v>698</v>
      </c>
      <c r="P106" s="1" t="s">
        <v>703</v>
      </c>
      <c r="Q106" s="4">
        <v>1.417</v>
      </c>
      <c r="R106" s="4">
        <v>1.417</v>
      </c>
      <c r="S106" s="6">
        <v>4.1665799999999997</v>
      </c>
      <c r="T106" s="1" t="s">
        <v>60</v>
      </c>
      <c r="U106" s="1"/>
      <c r="V106" s="1"/>
      <c r="W106" s="1"/>
      <c r="X106" s="1"/>
      <c r="Y106" s="7">
        <v>1059000</v>
      </c>
      <c r="Z106" s="1"/>
      <c r="AA106" s="1"/>
      <c r="AB106" s="1"/>
      <c r="AC106" s="1"/>
      <c r="AD106" s="1"/>
      <c r="AE106" s="1" t="s">
        <v>51</v>
      </c>
      <c r="AF106" s="1" t="s">
        <v>51</v>
      </c>
      <c r="AG106" s="1" t="s">
        <v>47</v>
      </c>
      <c r="AH106" s="1"/>
      <c r="AI106" s="1"/>
      <c r="AJ106" s="3">
        <v>1</v>
      </c>
      <c r="AK106" s="1" t="s">
        <v>52</v>
      </c>
      <c r="AL106" s="3">
        <v>1</v>
      </c>
      <c r="AM106" s="1"/>
      <c r="AN106" s="1"/>
      <c r="AO106" s="1" t="s">
        <v>704</v>
      </c>
      <c r="AP106" s="1" t="s">
        <v>160</v>
      </c>
      <c r="AQ106" s="1" t="s">
        <v>160</v>
      </c>
      <c r="AR106" s="1" t="s">
        <v>187</v>
      </c>
    </row>
    <row r="107">
      <c r="A107" s="2">
        <f ca="1">DATE(1999,12,14)</f>
        <v>0</v>
      </c>
      <c r="B107" s="2">
        <f ca="1">DATE(2000,02,29)</f>
        <v>0</v>
      </c>
      <c r="C107" s="1" t="s">
        <v>705</v>
      </c>
      <c r="D107" s="3">
        <v>3571</v>
      </c>
      <c r="E107" s="1" t="s">
        <v>43</v>
      </c>
      <c r="F107" s="1" t="s">
        <v>706</v>
      </c>
      <c r="G107" s="1" t="s">
        <v>160</v>
      </c>
      <c r="H107" s="4">
        <v>1.75</v>
      </c>
      <c r="I107" s="4">
        <v>7</v>
      </c>
      <c r="J107" s="5">
        <v>107.8</v>
      </c>
      <c r="K107" s="4">
        <v>25</v>
      </c>
      <c r="L107" s="1" t="s">
        <v>46</v>
      </c>
      <c r="M107" s="1" t="s">
        <v>47</v>
      </c>
      <c r="N107" s="1" t="s">
        <v>707</v>
      </c>
      <c r="O107" s="1" t="s">
        <v>48</v>
      </c>
      <c r="P107" s="1" t="s">
        <v>708</v>
      </c>
      <c r="Q107" s="4">
        <v>1.3999999999999999</v>
      </c>
      <c r="R107" s="4">
        <v>1.3999999999999999</v>
      </c>
      <c r="S107" s="8">
        <v>4.2000000000000002</v>
      </c>
      <c r="T107" s="1" t="s">
        <v>50</v>
      </c>
      <c r="U107" s="1"/>
      <c r="V107" s="1"/>
      <c r="W107" s="1"/>
      <c r="X107" s="1"/>
      <c r="Y107" s="7">
        <v>4310000</v>
      </c>
      <c r="Z107" s="1"/>
      <c r="AA107" s="1"/>
      <c r="AB107" s="1"/>
      <c r="AC107" s="1"/>
      <c r="AD107" s="1"/>
      <c r="AE107" s="1" t="s">
        <v>51</v>
      </c>
      <c r="AF107" s="1" t="s">
        <v>51</v>
      </c>
      <c r="AG107" s="1" t="s">
        <v>47</v>
      </c>
      <c r="AH107" s="1"/>
      <c r="AI107" s="1"/>
      <c r="AJ107" s="3">
        <v>1</v>
      </c>
      <c r="AK107" s="1" t="s">
        <v>52</v>
      </c>
      <c r="AL107" s="3">
        <v>4</v>
      </c>
      <c r="AM107" s="8">
        <v>73.810000000000002</v>
      </c>
      <c r="AN107" s="1"/>
      <c r="AO107" s="1" t="s">
        <v>709</v>
      </c>
      <c r="AP107" s="1" t="s">
        <v>160</v>
      </c>
      <c r="AQ107" s="1" t="s">
        <v>710</v>
      </c>
      <c r="AR107" s="1" t="s">
        <v>711</v>
      </c>
    </row>
    <row r="108">
      <c r="A108" s="2">
        <f ca="1">DATE(1999,12,14)</f>
        <v>0</v>
      </c>
      <c r="B108" s="2">
        <f ca="1">DATE(2000,02,29)</f>
        <v>0</v>
      </c>
      <c r="C108" s="1" t="s">
        <v>705</v>
      </c>
      <c r="D108" s="3">
        <v>3571</v>
      </c>
      <c r="E108" s="1" t="s">
        <v>43</v>
      </c>
      <c r="F108" s="1" t="s">
        <v>706</v>
      </c>
      <c r="G108" s="1" t="s">
        <v>160</v>
      </c>
      <c r="H108" s="4">
        <v>1.75</v>
      </c>
      <c r="I108" s="4">
        <v>7</v>
      </c>
      <c r="J108" s="5">
        <v>17.300000000000001</v>
      </c>
      <c r="K108" s="8">
        <v>25</v>
      </c>
      <c r="L108" s="1" t="s">
        <v>58</v>
      </c>
      <c r="M108" s="1" t="s">
        <v>47</v>
      </c>
      <c r="N108" s="1" t="s">
        <v>707</v>
      </c>
      <c r="O108" s="1" t="s">
        <v>48</v>
      </c>
      <c r="P108" s="1" t="s">
        <v>712</v>
      </c>
      <c r="Q108" s="4">
        <v>1.3999999999999999</v>
      </c>
      <c r="R108" s="4">
        <v>1.3999999999999999</v>
      </c>
      <c r="S108" s="8">
        <v>4.2000000000000002</v>
      </c>
      <c r="T108" s="1" t="s">
        <v>60</v>
      </c>
      <c r="U108" s="1"/>
      <c r="V108" s="1"/>
      <c r="W108" s="1"/>
      <c r="X108" s="5">
        <v>75</v>
      </c>
      <c r="Y108" s="7">
        <v>690000</v>
      </c>
      <c r="Z108" s="1"/>
      <c r="AA108" s="1"/>
      <c r="AB108" s="1"/>
      <c r="AC108" s="1"/>
      <c r="AD108" s="1"/>
      <c r="AE108" s="1" t="s">
        <v>51</v>
      </c>
      <c r="AF108" s="1" t="s">
        <v>51</v>
      </c>
      <c r="AG108" s="1" t="s">
        <v>47</v>
      </c>
      <c r="AH108" s="1"/>
      <c r="AI108" s="1"/>
      <c r="AJ108" s="3">
        <v>1</v>
      </c>
      <c r="AK108" s="1" t="s">
        <v>52</v>
      </c>
      <c r="AL108" s="3">
        <v>1</v>
      </c>
      <c r="AM108" s="1"/>
      <c r="AN108" s="1"/>
      <c r="AO108" s="1" t="s">
        <v>713</v>
      </c>
      <c r="AP108" s="1" t="s">
        <v>160</v>
      </c>
      <c r="AQ108" s="1" t="s">
        <v>160</v>
      </c>
      <c r="AR108" s="1" t="s">
        <v>187</v>
      </c>
    </row>
    <row r="109">
      <c r="A109" s="2">
        <f ca="1">DATE(1999,12,22)</f>
        <v>0</v>
      </c>
      <c r="B109" s="2">
        <f ca="1">DATE(2000,02,29)</f>
        <v>0</v>
      </c>
      <c r="C109" s="1" t="s">
        <v>714</v>
      </c>
      <c r="D109" s="3">
        <v>7372</v>
      </c>
      <c r="E109" s="1" t="s">
        <v>43</v>
      </c>
      <c r="F109" s="1" t="s">
        <v>715</v>
      </c>
      <c r="G109" s="1" t="s">
        <v>716</v>
      </c>
      <c r="H109" s="4">
        <v>1.26</v>
      </c>
      <c r="I109" s="4">
        <v>7</v>
      </c>
      <c r="J109" s="5">
        <v>76.5</v>
      </c>
      <c r="K109" s="4">
        <v>18</v>
      </c>
      <c r="L109" s="1" t="s">
        <v>46</v>
      </c>
      <c r="M109" s="1" t="s">
        <v>47</v>
      </c>
      <c r="N109" s="1" t="s">
        <v>717</v>
      </c>
      <c r="O109" s="1" t="s">
        <v>48</v>
      </c>
      <c r="P109" s="1" t="s">
        <v>718</v>
      </c>
      <c r="Q109" s="4">
        <v>1.389</v>
      </c>
      <c r="R109" s="4">
        <v>1.389</v>
      </c>
      <c r="S109" s="6">
        <v>4.2222200000000001</v>
      </c>
      <c r="T109" s="1" t="s">
        <v>50</v>
      </c>
      <c r="U109" s="1"/>
      <c r="V109" s="1"/>
      <c r="W109" s="1"/>
      <c r="X109" s="5">
        <v>70</v>
      </c>
      <c r="Y109" s="7">
        <v>4250000</v>
      </c>
      <c r="Z109" s="1"/>
      <c r="AA109" s="2">
        <f ca="1">DATE(2000,08,27)</f>
        <v>0</v>
      </c>
      <c r="AB109" s="4">
        <v>21.122</v>
      </c>
      <c r="AC109" s="3">
        <v>180</v>
      </c>
      <c r="AD109" s="8">
        <v>4321556</v>
      </c>
      <c r="AE109" s="1" t="s">
        <v>51</v>
      </c>
      <c r="AF109" s="1" t="s">
        <v>51</v>
      </c>
      <c r="AG109" s="1" t="s">
        <v>47</v>
      </c>
      <c r="AH109" s="1"/>
      <c r="AI109" s="1"/>
      <c r="AJ109" s="3">
        <v>2</v>
      </c>
      <c r="AK109" s="1" t="s">
        <v>89</v>
      </c>
      <c r="AL109" s="3">
        <v>3</v>
      </c>
      <c r="AM109" s="8">
        <v>56.810000000000002</v>
      </c>
      <c r="AN109" s="1"/>
      <c r="AO109" s="1" t="s">
        <v>719</v>
      </c>
      <c r="AP109" s="1" t="s">
        <v>720</v>
      </c>
      <c r="AQ109" s="1" t="s">
        <v>721</v>
      </c>
      <c r="AR109" s="1" t="s">
        <v>722</v>
      </c>
    </row>
    <row r="110">
      <c r="A110" s="2">
        <f ca="1">DATE(1999,12,21)</f>
        <v>0</v>
      </c>
      <c r="B110" s="2">
        <f ca="1">DATE(2000,02,29)</f>
        <v>0</v>
      </c>
      <c r="C110" s="1" t="s">
        <v>723</v>
      </c>
      <c r="D110" s="3">
        <v>7389</v>
      </c>
      <c r="E110" s="1" t="s">
        <v>43</v>
      </c>
      <c r="F110" s="1" t="s">
        <v>724</v>
      </c>
      <c r="G110" s="1" t="s">
        <v>239</v>
      </c>
      <c r="H110" s="4">
        <v>1.47</v>
      </c>
      <c r="I110" s="8">
        <v>7</v>
      </c>
      <c r="J110" s="5">
        <v>168</v>
      </c>
      <c r="K110" s="4">
        <v>21</v>
      </c>
      <c r="L110" s="1" t="s">
        <v>46</v>
      </c>
      <c r="M110" s="1" t="s">
        <v>47</v>
      </c>
      <c r="N110" s="1" t="s">
        <v>725</v>
      </c>
      <c r="O110" s="1" t="s">
        <v>48</v>
      </c>
      <c r="P110" s="1" t="s">
        <v>726</v>
      </c>
      <c r="Q110" s="4">
        <v>1.381</v>
      </c>
      <c r="R110" s="4">
        <v>1.4290000000000001</v>
      </c>
      <c r="S110" s="6">
        <v>4.19048</v>
      </c>
      <c r="T110" s="1" t="s">
        <v>50</v>
      </c>
      <c r="U110" s="1"/>
      <c r="V110" s="1"/>
      <c r="W110" s="1"/>
      <c r="X110" s="5">
        <v>100</v>
      </c>
      <c r="Y110" s="7">
        <v>8000000</v>
      </c>
      <c r="Z110" s="1"/>
      <c r="AA110" s="1"/>
      <c r="AB110" s="1"/>
      <c r="AC110" s="1"/>
      <c r="AD110" s="1"/>
      <c r="AE110" s="1" t="s">
        <v>51</v>
      </c>
      <c r="AF110" s="1" t="s">
        <v>51</v>
      </c>
      <c r="AG110" s="1" t="s">
        <v>47</v>
      </c>
      <c r="AH110" s="1"/>
      <c r="AI110" s="1"/>
      <c r="AJ110" s="3">
        <v>1</v>
      </c>
      <c r="AK110" s="1" t="s">
        <v>52</v>
      </c>
      <c r="AL110" s="3">
        <v>5</v>
      </c>
      <c r="AM110" s="8">
        <v>61.5</v>
      </c>
      <c r="AN110" s="1"/>
      <c r="AO110" s="1" t="s">
        <v>727</v>
      </c>
      <c r="AP110" s="1" t="s">
        <v>239</v>
      </c>
      <c r="AQ110" s="1" t="s">
        <v>728</v>
      </c>
      <c r="AR110" s="1" t="s">
        <v>729</v>
      </c>
    </row>
    <row r="111">
      <c r="A111" s="2">
        <f ca="1">DATE(1999,12,13)</f>
        <v>0</v>
      </c>
      <c r="B111" s="2">
        <f ca="1">DATE(2000,03,01)</f>
        <v>0</v>
      </c>
      <c r="C111" s="1" t="s">
        <v>730</v>
      </c>
      <c r="D111" s="3">
        <v>7372</v>
      </c>
      <c r="E111" s="1" t="s">
        <v>43</v>
      </c>
      <c r="F111" s="1" t="s">
        <v>731</v>
      </c>
      <c r="G111" s="1" t="s">
        <v>160</v>
      </c>
      <c r="H111" s="4">
        <v>1.9950000000000001</v>
      </c>
      <c r="I111" s="4">
        <v>5.25</v>
      </c>
      <c r="J111" s="5">
        <v>741.89999999999998</v>
      </c>
      <c r="K111" s="4">
        <v>38</v>
      </c>
      <c r="L111" s="1" t="s">
        <v>46</v>
      </c>
      <c r="M111" s="1" t="s">
        <v>47</v>
      </c>
      <c r="N111" s="3">
        <v>696642107</v>
      </c>
      <c r="O111" s="1" t="s">
        <v>48</v>
      </c>
      <c r="P111" s="1" t="s">
        <v>732</v>
      </c>
      <c r="Q111" s="4">
        <v>1.0660000000000001</v>
      </c>
      <c r="R111" s="4">
        <v>1.0529999999999999</v>
      </c>
      <c r="S111" s="6">
        <v>3.13158</v>
      </c>
      <c r="T111" s="1" t="s">
        <v>50</v>
      </c>
      <c r="U111" s="1"/>
      <c r="V111" s="1"/>
      <c r="W111" s="1"/>
      <c r="X111" s="5">
        <v>100</v>
      </c>
      <c r="Y111" s="7">
        <v>19524000</v>
      </c>
      <c r="Z111" s="1"/>
      <c r="AA111" s="1"/>
      <c r="AB111" s="1"/>
      <c r="AC111" s="1"/>
      <c r="AD111" s="1"/>
      <c r="AE111" s="1" t="s">
        <v>51</v>
      </c>
      <c r="AF111" s="1" t="s">
        <v>51</v>
      </c>
      <c r="AG111" s="1" t="s">
        <v>47</v>
      </c>
      <c r="AH111" s="1" t="s">
        <v>733</v>
      </c>
      <c r="AI111" s="1" t="s">
        <v>734</v>
      </c>
      <c r="AJ111" s="3">
        <v>1</v>
      </c>
      <c r="AK111" s="1" t="s">
        <v>89</v>
      </c>
      <c r="AL111" s="3">
        <v>4</v>
      </c>
      <c r="AM111" s="8">
        <v>95.060000000000002</v>
      </c>
      <c r="AN111" s="1"/>
      <c r="AO111" s="1" t="s">
        <v>735</v>
      </c>
      <c r="AP111" s="1" t="s">
        <v>736</v>
      </c>
      <c r="AQ111" s="1" t="s">
        <v>737</v>
      </c>
      <c r="AR111" s="1" t="s">
        <v>738</v>
      </c>
    </row>
    <row r="112">
      <c r="A112" s="2">
        <f ca="1">DATE(1999,12,13)</f>
        <v>0</v>
      </c>
      <c r="B112" s="2">
        <f ca="1">DATE(2000,03,01)</f>
        <v>0</v>
      </c>
      <c r="C112" s="1" t="s">
        <v>730</v>
      </c>
      <c r="D112" s="3">
        <v>7372</v>
      </c>
      <c r="E112" s="1" t="s">
        <v>43</v>
      </c>
      <c r="F112" s="1" t="s">
        <v>731</v>
      </c>
      <c r="G112" s="1" t="s">
        <v>160</v>
      </c>
      <c r="H112" s="4">
        <v>1.9950000000000001</v>
      </c>
      <c r="I112" s="4">
        <v>5.25</v>
      </c>
      <c r="J112" s="5">
        <v>132.09999999999999</v>
      </c>
      <c r="K112" s="8">
        <v>38</v>
      </c>
      <c r="L112" s="1" t="s">
        <v>58</v>
      </c>
      <c r="M112" s="1" t="s">
        <v>47</v>
      </c>
      <c r="N112" s="3">
        <v>696642107</v>
      </c>
      <c r="O112" s="1" t="s">
        <v>48</v>
      </c>
      <c r="P112" s="1" t="s">
        <v>739</v>
      </c>
      <c r="Q112" s="4">
        <v>1.065</v>
      </c>
      <c r="R112" s="4">
        <v>1.0529999999999999</v>
      </c>
      <c r="S112" s="10">
        <v>3.1315</v>
      </c>
      <c r="T112" s="1" t="s">
        <v>60</v>
      </c>
      <c r="U112" s="1"/>
      <c r="V112" s="1"/>
      <c r="W112" s="1"/>
      <c r="X112" s="1"/>
      <c r="Y112" s="7">
        <v>3476000</v>
      </c>
      <c r="Z112" s="1"/>
      <c r="AA112" s="1"/>
      <c r="AB112" s="1"/>
      <c r="AC112" s="1"/>
      <c r="AD112" s="1"/>
      <c r="AE112" s="1" t="s">
        <v>51</v>
      </c>
      <c r="AF112" s="1" t="s">
        <v>51</v>
      </c>
      <c r="AG112" s="1" t="s">
        <v>47</v>
      </c>
      <c r="AH112" s="1" t="s">
        <v>733</v>
      </c>
      <c r="AI112" s="1" t="s">
        <v>734</v>
      </c>
      <c r="AJ112" s="3">
        <v>1</v>
      </c>
      <c r="AK112" s="1" t="s">
        <v>89</v>
      </c>
      <c r="AL112" s="3">
        <v>2</v>
      </c>
      <c r="AM112" s="1"/>
      <c r="AN112" s="1"/>
      <c r="AO112" s="1" t="s">
        <v>740</v>
      </c>
      <c r="AP112" s="1" t="s">
        <v>736</v>
      </c>
      <c r="AQ112" s="1" t="s">
        <v>741</v>
      </c>
      <c r="AR112" s="1" t="s">
        <v>742</v>
      </c>
    </row>
    <row r="113">
      <c r="A113" s="1"/>
      <c r="B113" s="2">
        <f ca="1">DATE(2000,03,02)</f>
        <v>0</v>
      </c>
      <c r="C113" s="1" t="s">
        <v>743</v>
      </c>
      <c r="D113" s="3">
        <v>7373</v>
      </c>
      <c r="E113" s="1" t="s">
        <v>744</v>
      </c>
      <c r="F113" s="1" t="s">
        <v>745</v>
      </c>
      <c r="G113" s="1" t="s">
        <v>106</v>
      </c>
      <c r="H113" s="4">
        <v>1.6799999999999999</v>
      </c>
      <c r="I113" s="8">
        <v>7</v>
      </c>
      <c r="J113" s="5">
        <v>120</v>
      </c>
      <c r="K113" s="4">
        <v>24</v>
      </c>
      <c r="L113" s="1" t="s">
        <v>58</v>
      </c>
      <c r="M113" s="1" t="s">
        <v>47</v>
      </c>
      <c r="N113" s="1" t="s">
        <v>746</v>
      </c>
      <c r="O113" s="1" t="s">
        <v>48</v>
      </c>
      <c r="P113" s="1" t="s">
        <v>747</v>
      </c>
      <c r="Q113" s="4">
        <v>1.3999999999999999</v>
      </c>
      <c r="R113" s="4">
        <v>1.3999999999999999</v>
      </c>
      <c r="S113" s="8">
        <v>4.2000000000000002</v>
      </c>
      <c r="T113" s="1" t="s">
        <v>50</v>
      </c>
      <c r="U113" s="1"/>
      <c r="V113" s="1"/>
      <c r="W113" s="1"/>
      <c r="X113" s="1"/>
      <c r="Y113" s="7">
        <v>5000000</v>
      </c>
      <c r="Z113" s="1"/>
      <c r="AA113" s="1"/>
      <c r="AB113" s="1"/>
      <c r="AC113" s="1"/>
      <c r="AD113" s="1"/>
      <c r="AE113" s="1" t="s">
        <v>51</v>
      </c>
      <c r="AF113" s="1" t="s">
        <v>51</v>
      </c>
      <c r="AG113" s="1" t="s">
        <v>51</v>
      </c>
      <c r="AH113" s="1"/>
      <c r="AI113" s="1"/>
      <c r="AJ113" s="3">
        <v>1</v>
      </c>
      <c r="AK113" s="1" t="s">
        <v>52</v>
      </c>
      <c r="AL113" s="3">
        <v>11</v>
      </c>
      <c r="AM113" s="8">
        <v>99.560000000000002</v>
      </c>
      <c r="AN113" s="1"/>
      <c r="AO113" s="1" t="s">
        <v>748</v>
      </c>
      <c r="AP113" s="1" t="s">
        <v>106</v>
      </c>
      <c r="AQ113" s="1" t="s">
        <v>749</v>
      </c>
      <c r="AR113" s="1" t="s">
        <v>750</v>
      </c>
    </row>
    <row r="114">
      <c r="A114" s="2">
        <f ca="1">DATE(1999,12,10)</f>
        <v>0</v>
      </c>
      <c r="B114" s="2">
        <f ca="1">DATE(2000,03,02)</f>
        <v>0</v>
      </c>
      <c r="C114" s="1" t="s">
        <v>751</v>
      </c>
      <c r="D114" s="3">
        <v>7372</v>
      </c>
      <c r="E114" s="1" t="s">
        <v>43</v>
      </c>
      <c r="F114" s="1" t="s">
        <v>752</v>
      </c>
      <c r="G114" s="1" t="s">
        <v>122</v>
      </c>
      <c r="H114" s="4">
        <v>1.26</v>
      </c>
      <c r="I114" s="4">
        <v>7</v>
      </c>
      <c r="J114" s="5">
        <v>63</v>
      </c>
      <c r="K114" s="4">
        <v>18</v>
      </c>
      <c r="L114" s="1" t="s">
        <v>46</v>
      </c>
      <c r="M114" s="1" t="s">
        <v>47</v>
      </c>
      <c r="N114" s="1" t="s">
        <v>753</v>
      </c>
      <c r="O114" s="1" t="s">
        <v>48</v>
      </c>
      <c r="P114" s="1" t="s">
        <v>754</v>
      </c>
      <c r="Q114" s="4">
        <v>1.389</v>
      </c>
      <c r="R114" s="4">
        <v>1.389</v>
      </c>
      <c r="S114" s="6">
        <v>4.2222200000000001</v>
      </c>
      <c r="T114" s="1" t="s">
        <v>50</v>
      </c>
      <c r="U114" s="1"/>
      <c r="V114" s="1"/>
      <c r="W114" s="1"/>
      <c r="X114" s="5">
        <v>52.299999999999997</v>
      </c>
      <c r="Y114" s="7">
        <v>3500000</v>
      </c>
      <c r="Z114" s="1"/>
      <c r="AA114" s="2">
        <f ca="1">DATE(2000,08,29)</f>
        <v>0</v>
      </c>
      <c r="AB114" s="4">
        <v>82.347999999999999</v>
      </c>
      <c r="AC114" s="3">
        <v>180</v>
      </c>
      <c r="AD114" s="8">
        <v>16328002</v>
      </c>
      <c r="AE114" s="1" t="s">
        <v>51</v>
      </c>
      <c r="AF114" s="1" t="s">
        <v>51</v>
      </c>
      <c r="AG114" s="1" t="s">
        <v>47</v>
      </c>
      <c r="AH114" s="1"/>
      <c r="AI114" s="1"/>
      <c r="AJ114" s="3">
        <v>1</v>
      </c>
      <c r="AK114" s="1" t="s">
        <v>52</v>
      </c>
      <c r="AL114" s="3">
        <v>4</v>
      </c>
      <c r="AM114" s="8">
        <v>23.879999999999999</v>
      </c>
      <c r="AN114" s="1"/>
      <c r="AO114" s="1" t="s">
        <v>755</v>
      </c>
      <c r="AP114" s="1" t="s">
        <v>122</v>
      </c>
      <c r="AQ114" s="1" t="s">
        <v>756</v>
      </c>
      <c r="AR114" s="1" t="s">
        <v>757</v>
      </c>
    </row>
    <row r="115">
      <c r="A115" s="2">
        <f ca="1">DATE(1999,12,23)</f>
        <v>0</v>
      </c>
      <c r="B115" s="2">
        <f ca="1">DATE(2000,03,02)</f>
        <v>0</v>
      </c>
      <c r="C115" s="1" t="s">
        <v>758</v>
      </c>
      <c r="D115" s="3">
        <v>7379</v>
      </c>
      <c r="E115" s="1" t="s">
        <v>43</v>
      </c>
      <c r="F115" s="1" t="s">
        <v>759</v>
      </c>
      <c r="G115" s="1" t="s">
        <v>96</v>
      </c>
      <c r="H115" s="4">
        <v>1.6799999999999999</v>
      </c>
      <c r="I115" s="8">
        <v>7</v>
      </c>
      <c r="J115" s="5">
        <v>92.400000000000006</v>
      </c>
      <c r="K115" s="4">
        <v>24</v>
      </c>
      <c r="L115" s="1" t="s">
        <v>46</v>
      </c>
      <c r="M115" s="1" t="s">
        <v>47</v>
      </c>
      <c r="N115" s="1" t="s">
        <v>760</v>
      </c>
      <c r="O115" s="1" t="s">
        <v>48</v>
      </c>
      <c r="P115" s="1" t="s">
        <v>761</v>
      </c>
      <c r="Q115" s="4">
        <v>1.417</v>
      </c>
      <c r="R115" s="4">
        <v>1.417</v>
      </c>
      <c r="S115" s="6">
        <v>4.1666699999999999</v>
      </c>
      <c r="T115" s="1" t="s">
        <v>50</v>
      </c>
      <c r="U115" s="1"/>
      <c r="V115" s="1"/>
      <c r="W115" s="1"/>
      <c r="X115" s="5">
        <v>80</v>
      </c>
      <c r="Y115" s="7">
        <v>3850000</v>
      </c>
      <c r="Z115" s="1"/>
      <c r="AA115" s="1"/>
      <c r="AB115" s="1"/>
      <c r="AC115" s="1"/>
      <c r="AD115" s="1"/>
      <c r="AE115" s="1" t="s">
        <v>51</v>
      </c>
      <c r="AF115" s="1" t="s">
        <v>51</v>
      </c>
      <c r="AG115" s="1" t="s">
        <v>47</v>
      </c>
      <c r="AH115" s="1"/>
      <c r="AI115" s="1"/>
      <c r="AJ115" s="3">
        <v>1</v>
      </c>
      <c r="AK115" s="1" t="s">
        <v>52</v>
      </c>
      <c r="AL115" s="3">
        <v>4</v>
      </c>
      <c r="AM115" s="8">
        <v>57.25</v>
      </c>
      <c r="AN115" s="1"/>
      <c r="AO115" s="1" t="s">
        <v>762</v>
      </c>
      <c r="AP115" s="1" t="s">
        <v>96</v>
      </c>
      <c r="AQ115" s="1" t="s">
        <v>763</v>
      </c>
      <c r="AR115" s="1" t="s">
        <v>764</v>
      </c>
    </row>
    <row r="116">
      <c r="A116" s="2">
        <f ca="1">DATE(1999,12,23)</f>
        <v>0</v>
      </c>
      <c r="B116" s="2">
        <f ca="1">DATE(2000,03,02)</f>
        <v>0</v>
      </c>
      <c r="C116" s="1" t="s">
        <v>758</v>
      </c>
      <c r="D116" s="3">
        <v>7379</v>
      </c>
      <c r="E116" s="1" t="s">
        <v>43</v>
      </c>
      <c r="F116" s="1" t="s">
        <v>759</v>
      </c>
      <c r="G116" s="1" t="s">
        <v>765</v>
      </c>
      <c r="H116" s="4">
        <v>1.6799999999999999</v>
      </c>
      <c r="I116" s="8">
        <v>7</v>
      </c>
      <c r="J116" s="5">
        <v>27.600000000000001</v>
      </c>
      <c r="K116" s="8">
        <v>24</v>
      </c>
      <c r="L116" s="1" t="s">
        <v>58</v>
      </c>
      <c r="M116" s="1" t="s">
        <v>47</v>
      </c>
      <c r="N116" s="1" t="s">
        <v>760</v>
      </c>
      <c r="O116" s="1" t="s">
        <v>48</v>
      </c>
      <c r="P116" s="1" t="s">
        <v>766</v>
      </c>
      <c r="Q116" s="4">
        <v>1.4159999999999999</v>
      </c>
      <c r="R116" s="4">
        <v>1.4159999999999999</v>
      </c>
      <c r="S116" s="6">
        <v>4.1665799999999997</v>
      </c>
      <c r="T116" s="1" t="s">
        <v>60</v>
      </c>
      <c r="U116" s="1"/>
      <c r="V116" s="1"/>
      <c r="W116" s="1"/>
      <c r="X116" s="1"/>
      <c r="Y116" s="7">
        <v>1150000</v>
      </c>
      <c r="Z116" s="1"/>
      <c r="AA116" s="1"/>
      <c r="AB116" s="1"/>
      <c r="AC116" s="1"/>
      <c r="AD116" s="1"/>
      <c r="AE116" s="1" t="s">
        <v>51</v>
      </c>
      <c r="AF116" s="1" t="s">
        <v>51</v>
      </c>
      <c r="AG116" s="1" t="s">
        <v>47</v>
      </c>
      <c r="AH116" s="1"/>
      <c r="AI116" s="1"/>
      <c r="AJ116" s="3">
        <v>1</v>
      </c>
      <c r="AK116" s="1" t="s">
        <v>52</v>
      </c>
      <c r="AL116" s="3">
        <v>1</v>
      </c>
      <c r="AM116" s="1"/>
      <c r="AN116" s="1"/>
      <c r="AO116" s="1" t="s">
        <v>767</v>
      </c>
      <c r="AP116" s="1" t="s">
        <v>765</v>
      </c>
      <c r="AQ116" s="1" t="s">
        <v>765</v>
      </c>
      <c r="AR116" s="1" t="s">
        <v>768</v>
      </c>
    </row>
    <row r="117">
      <c r="A117" s="2">
        <f ca="1">DATE(1999,10,29)</f>
        <v>0</v>
      </c>
      <c r="B117" s="2">
        <f ca="1">DATE(2000,03,02)</f>
        <v>0</v>
      </c>
      <c r="C117" s="1" t="s">
        <v>769</v>
      </c>
      <c r="D117" s="3">
        <v>7389</v>
      </c>
      <c r="E117" s="1" t="s">
        <v>43</v>
      </c>
      <c r="F117" s="1" t="s">
        <v>770</v>
      </c>
      <c r="G117" s="1" t="s">
        <v>122</v>
      </c>
      <c r="H117" s="4">
        <v>1.05</v>
      </c>
      <c r="I117" s="4">
        <v>7</v>
      </c>
      <c r="J117" s="5">
        <v>82.5</v>
      </c>
      <c r="K117" s="4">
        <v>15</v>
      </c>
      <c r="L117" s="1" t="s">
        <v>46</v>
      </c>
      <c r="M117" s="1" t="s">
        <v>47</v>
      </c>
      <c r="N117" s="3">
        <v>871045100</v>
      </c>
      <c r="O117" s="1" t="s">
        <v>48</v>
      </c>
      <c r="P117" s="1" t="s">
        <v>771</v>
      </c>
      <c r="Q117" s="4">
        <v>1.3999999999999999</v>
      </c>
      <c r="R117" s="4">
        <v>1.3999999999999999</v>
      </c>
      <c r="S117" s="8">
        <v>4.2000000000000002</v>
      </c>
      <c r="T117" s="1" t="s">
        <v>50</v>
      </c>
      <c r="U117" s="1"/>
      <c r="V117" s="1"/>
      <c r="W117" s="1"/>
      <c r="X117" s="5">
        <v>60</v>
      </c>
      <c r="Y117" s="7">
        <v>5500000</v>
      </c>
      <c r="Z117" s="1"/>
      <c r="AA117" s="2">
        <f ca="1">DATE(2000,08,29)</f>
        <v>0</v>
      </c>
      <c r="AB117" s="4">
        <v>76.808999999999998</v>
      </c>
      <c r="AC117" s="3">
        <v>180</v>
      </c>
      <c r="AD117" s="8">
        <v>18216355</v>
      </c>
      <c r="AE117" s="1" t="s">
        <v>51</v>
      </c>
      <c r="AF117" s="1" t="s">
        <v>51</v>
      </c>
      <c r="AG117" s="1" t="s">
        <v>51</v>
      </c>
      <c r="AH117" s="1"/>
      <c r="AI117" s="1"/>
      <c r="AJ117" s="3">
        <v>1</v>
      </c>
      <c r="AK117" s="1" t="s">
        <v>89</v>
      </c>
      <c r="AL117" s="3">
        <v>4</v>
      </c>
      <c r="AM117" s="8">
        <v>26.809999999999999</v>
      </c>
      <c r="AN117" s="1"/>
      <c r="AO117" s="1" t="s">
        <v>772</v>
      </c>
      <c r="AP117" s="1" t="s">
        <v>773</v>
      </c>
      <c r="AQ117" s="1" t="s">
        <v>774</v>
      </c>
      <c r="AR117" s="1" t="s">
        <v>775</v>
      </c>
    </row>
    <row r="118">
      <c r="A118" s="2">
        <f ca="1">DATE(1999,12,20)</f>
        <v>0</v>
      </c>
      <c r="B118" s="2">
        <f ca="1">DATE(2000,03,02)</f>
        <v>0</v>
      </c>
      <c r="C118" s="1" t="s">
        <v>776</v>
      </c>
      <c r="D118" s="3">
        <v>4899</v>
      </c>
      <c r="E118" s="1" t="s">
        <v>43</v>
      </c>
      <c r="F118" s="1" t="s">
        <v>777</v>
      </c>
      <c r="G118" s="1" t="s">
        <v>778</v>
      </c>
      <c r="H118" s="4">
        <v>1.26</v>
      </c>
      <c r="I118" s="4">
        <v>7</v>
      </c>
      <c r="J118" s="5">
        <v>36</v>
      </c>
      <c r="K118" s="8">
        <v>18</v>
      </c>
      <c r="L118" s="1" t="s">
        <v>58</v>
      </c>
      <c r="M118" s="1" t="s">
        <v>47</v>
      </c>
      <c r="N118" s="3">
        <v>918076100</v>
      </c>
      <c r="O118" s="1" t="s">
        <v>48</v>
      </c>
      <c r="P118" s="1" t="s">
        <v>779</v>
      </c>
      <c r="Q118" s="1" t="s">
        <v>145</v>
      </c>
      <c r="R118" s="1" t="s">
        <v>145</v>
      </c>
      <c r="S118" s="1"/>
      <c r="T118" s="1" t="s">
        <v>60</v>
      </c>
      <c r="U118" s="1"/>
      <c r="V118" s="1"/>
      <c r="W118" s="1"/>
      <c r="X118" s="1"/>
      <c r="Y118" s="7">
        <v>2000000</v>
      </c>
      <c r="Z118" s="1"/>
      <c r="AA118" s="1"/>
      <c r="AB118" s="1"/>
      <c r="AC118" s="1"/>
      <c r="AD118" s="1"/>
      <c r="AE118" s="1" t="s">
        <v>51</v>
      </c>
      <c r="AF118" s="1" t="s">
        <v>51</v>
      </c>
      <c r="AG118" s="1" t="s">
        <v>47</v>
      </c>
      <c r="AH118" s="1"/>
      <c r="AI118" s="1"/>
      <c r="AJ118" s="3">
        <v>2</v>
      </c>
      <c r="AK118" s="1" t="s">
        <v>89</v>
      </c>
      <c r="AL118" s="3">
        <v>2</v>
      </c>
      <c r="AM118" s="1"/>
      <c r="AN118" s="1"/>
      <c r="AO118" s="1" t="s">
        <v>780</v>
      </c>
      <c r="AP118" s="1" t="s">
        <v>781</v>
      </c>
      <c r="AQ118" s="1" t="s">
        <v>782</v>
      </c>
      <c r="AR118" s="1" t="s">
        <v>783</v>
      </c>
    </row>
    <row r="119">
      <c r="A119" s="2">
        <f ca="1">DATE(1999,12,20)</f>
        <v>0</v>
      </c>
      <c r="B119" s="2">
        <f ca="1">DATE(2000,03,02)</f>
        <v>0</v>
      </c>
      <c r="C119" s="1" t="s">
        <v>776</v>
      </c>
      <c r="D119" s="3">
        <v>4899</v>
      </c>
      <c r="E119" s="1" t="s">
        <v>43</v>
      </c>
      <c r="F119" s="1" t="s">
        <v>777</v>
      </c>
      <c r="G119" s="1" t="s">
        <v>45</v>
      </c>
      <c r="H119" s="4">
        <v>1.26</v>
      </c>
      <c r="I119" s="4">
        <v>7</v>
      </c>
      <c r="J119" s="5">
        <v>144</v>
      </c>
      <c r="K119" s="8">
        <v>18</v>
      </c>
      <c r="L119" s="1" t="s">
        <v>46</v>
      </c>
      <c r="M119" s="1" t="s">
        <v>47</v>
      </c>
      <c r="N119" s="3">
        <v>918076100</v>
      </c>
      <c r="O119" s="1" t="s">
        <v>48</v>
      </c>
      <c r="P119" s="1" t="s">
        <v>784</v>
      </c>
      <c r="Q119" s="4">
        <v>1.444</v>
      </c>
      <c r="R119" s="4">
        <v>1.389</v>
      </c>
      <c r="S119" s="6">
        <v>4.1666699999999999</v>
      </c>
      <c r="T119" s="1" t="s">
        <v>60</v>
      </c>
      <c r="U119" s="1"/>
      <c r="V119" s="1"/>
      <c r="W119" s="1"/>
      <c r="X119" s="1"/>
      <c r="Y119" s="7">
        <v>8000000</v>
      </c>
      <c r="Z119" s="1"/>
      <c r="AA119" s="1"/>
      <c r="AB119" s="1"/>
      <c r="AC119" s="1"/>
      <c r="AD119" s="1"/>
      <c r="AE119" s="1" t="s">
        <v>51</v>
      </c>
      <c r="AF119" s="1" t="s">
        <v>51</v>
      </c>
      <c r="AG119" s="1" t="s">
        <v>47</v>
      </c>
      <c r="AH119" s="1"/>
      <c r="AI119" s="1"/>
      <c r="AJ119" s="3">
        <v>1</v>
      </c>
      <c r="AK119" s="1" t="s">
        <v>52</v>
      </c>
      <c r="AL119" s="3">
        <v>1</v>
      </c>
      <c r="AM119" s="1"/>
      <c r="AN119" s="1"/>
      <c r="AO119" s="1" t="s">
        <v>785</v>
      </c>
      <c r="AP119" s="1" t="s">
        <v>45</v>
      </c>
      <c r="AQ119" s="1" t="s">
        <v>45</v>
      </c>
      <c r="AR119" s="1" t="s">
        <v>786</v>
      </c>
    </row>
    <row r="120">
      <c r="A120" s="2">
        <f ca="1">DATE(1999,12,10)</f>
        <v>0</v>
      </c>
      <c r="B120" s="2">
        <f ca="1">DATE(2000,03,03)</f>
        <v>0</v>
      </c>
      <c r="C120" s="1" t="s">
        <v>787</v>
      </c>
      <c r="D120" s="3">
        <v>7373</v>
      </c>
      <c r="E120" s="1" t="s">
        <v>43</v>
      </c>
      <c r="F120" s="1" t="s">
        <v>788</v>
      </c>
      <c r="G120" s="1" t="s">
        <v>789</v>
      </c>
      <c r="H120" s="4">
        <v>1.6799999999999999</v>
      </c>
      <c r="I120" s="8">
        <v>7</v>
      </c>
      <c r="J120" s="5">
        <v>92.400000000000006</v>
      </c>
      <c r="K120" s="4">
        <v>24</v>
      </c>
      <c r="L120" s="1" t="s">
        <v>46</v>
      </c>
      <c r="M120" s="1" t="s">
        <v>47</v>
      </c>
      <c r="N120" s="3">
        <v>925298101</v>
      </c>
      <c r="O120" s="1" t="s">
        <v>67</v>
      </c>
      <c r="P120" s="1" t="s">
        <v>790</v>
      </c>
      <c r="Q120" s="4">
        <v>1.417</v>
      </c>
      <c r="R120" s="4">
        <v>1.417</v>
      </c>
      <c r="S120" s="6">
        <v>4.1666699999999999</v>
      </c>
      <c r="T120" s="1" t="s">
        <v>50</v>
      </c>
      <c r="U120" s="1"/>
      <c r="V120" s="1"/>
      <c r="W120" s="1"/>
      <c r="X120" s="5">
        <v>57.5</v>
      </c>
      <c r="Y120" s="7">
        <v>3850000</v>
      </c>
      <c r="Z120" s="1"/>
      <c r="AA120" s="2">
        <f ca="1">DATE(2000,08,30)</f>
        <v>0</v>
      </c>
      <c r="AB120" s="4">
        <v>8.2140000000000004</v>
      </c>
      <c r="AC120" s="3">
        <v>180</v>
      </c>
      <c r="AD120" s="8">
        <v>3118804</v>
      </c>
      <c r="AE120" s="1" t="s">
        <v>51</v>
      </c>
      <c r="AF120" s="1" t="s">
        <v>51</v>
      </c>
      <c r="AG120" s="1" t="s">
        <v>51</v>
      </c>
      <c r="AH120" s="1"/>
      <c r="AI120" s="1"/>
      <c r="AJ120" s="3">
        <v>1</v>
      </c>
      <c r="AK120" s="1" t="s">
        <v>52</v>
      </c>
      <c r="AL120" s="3">
        <v>4</v>
      </c>
      <c r="AM120" s="1"/>
      <c r="AN120" s="1"/>
      <c r="AO120" s="1" t="s">
        <v>791</v>
      </c>
      <c r="AP120" s="1" t="s">
        <v>789</v>
      </c>
      <c r="AQ120" s="1" t="s">
        <v>792</v>
      </c>
      <c r="AR120" s="1" t="s">
        <v>793</v>
      </c>
    </row>
    <row r="121">
      <c r="A121" s="1"/>
      <c r="B121" s="2">
        <f ca="1">DATE(2000,03,06)</f>
        <v>0</v>
      </c>
      <c r="C121" s="1" t="s">
        <v>794</v>
      </c>
      <c r="D121" s="3">
        <v>7389</v>
      </c>
      <c r="E121" s="1" t="s">
        <v>795</v>
      </c>
      <c r="F121" s="3">
        <v>4747</v>
      </c>
      <c r="G121" s="1" t="s">
        <v>796</v>
      </c>
      <c r="H121" s="4">
        <v>1.7150000000000001</v>
      </c>
      <c r="I121" s="4">
        <v>7</v>
      </c>
      <c r="J121" s="5">
        <v>99.099999999999994</v>
      </c>
      <c r="K121" s="4">
        <v>24.5</v>
      </c>
      <c r="L121" s="1" t="s">
        <v>651</v>
      </c>
      <c r="M121" s="1" t="s">
        <v>47</v>
      </c>
      <c r="N121" s="3">
        <v>225226208</v>
      </c>
      <c r="O121" s="1" t="s">
        <v>797</v>
      </c>
      <c r="P121" s="1" t="s">
        <v>798</v>
      </c>
      <c r="Q121" s="1" t="s">
        <v>145</v>
      </c>
      <c r="R121" s="1" t="s">
        <v>145</v>
      </c>
      <c r="S121" s="1"/>
      <c r="T121" s="1" t="s">
        <v>50</v>
      </c>
      <c r="U121" s="1"/>
      <c r="V121" s="1"/>
      <c r="W121" s="1"/>
      <c r="X121" s="1"/>
      <c r="Y121" s="7">
        <v>4045000</v>
      </c>
      <c r="Z121" s="1"/>
      <c r="AA121" s="2">
        <f ca="1">DATE(2000,09,02)</f>
        <v>0</v>
      </c>
      <c r="AB121" s="1"/>
      <c r="AC121" s="3">
        <v>180</v>
      </c>
      <c r="AD121" s="1"/>
      <c r="AE121" s="1" t="s">
        <v>47</v>
      </c>
      <c r="AF121" s="1" t="s">
        <v>51</v>
      </c>
      <c r="AG121" s="1" t="s">
        <v>51</v>
      </c>
      <c r="AH121" s="1"/>
      <c r="AI121" s="1"/>
      <c r="AJ121" s="3">
        <v>1</v>
      </c>
      <c r="AK121" s="1" t="s">
        <v>52</v>
      </c>
      <c r="AL121" s="3">
        <v>3</v>
      </c>
      <c r="AM121" s="8">
        <v>126</v>
      </c>
      <c r="AN121" s="1"/>
      <c r="AO121" s="1" t="s">
        <v>799</v>
      </c>
      <c r="AP121" s="1" t="s">
        <v>796</v>
      </c>
      <c r="AQ121" s="1" t="s">
        <v>800</v>
      </c>
      <c r="AR121" s="1" t="s">
        <v>801</v>
      </c>
    </row>
    <row r="122">
      <c r="A122" s="2">
        <f ca="1">DATE(1999,12,02)</f>
        <v>0</v>
      </c>
      <c r="B122" s="2">
        <f ca="1">DATE(2000,03,06)</f>
        <v>0</v>
      </c>
      <c r="C122" s="1" t="s">
        <v>802</v>
      </c>
      <c r="D122" s="3">
        <v>4813</v>
      </c>
      <c r="E122" s="1" t="s">
        <v>43</v>
      </c>
      <c r="F122" s="1" t="s">
        <v>803</v>
      </c>
      <c r="G122" s="1" t="s">
        <v>160</v>
      </c>
      <c r="H122" s="4">
        <v>1.3999999999999999</v>
      </c>
      <c r="I122" s="8">
        <v>7</v>
      </c>
      <c r="J122" s="5">
        <v>174.09999999999999</v>
      </c>
      <c r="K122" s="4">
        <v>20</v>
      </c>
      <c r="L122" s="1" t="s">
        <v>46</v>
      </c>
      <c r="M122" s="1" t="s">
        <v>47</v>
      </c>
      <c r="N122" s="1" t="s">
        <v>804</v>
      </c>
      <c r="O122" s="1" t="s">
        <v>48</v>
      </c>
      <c r="P122" s="1" t="s">
        <v>805</v>
      </c>
      <c r="Q122" s="1" t="s">
        <v>145</v>
      </c>
      <c r="R122" s="1" t="s">
        <v>145</v>
      </c>
      <c r="S122" s="1"/>
      <c r="T122" s="1" t="s">
        <v>50</v>
      </c>
      <c r="U122" s="1"/>
      <c r="V122" s="1"/>
      <c r="W122" s="1"/>
      <c r="X122" s="5">
        <v>172.5</v>
      </c>
      <c r="Y122" s="7">
        <v>8705000</v>
      </c>
      <c r="Z122" s="1"/>
      <c r="AA122" s="1"/>
      <c r="AB122" s="1"/>
      <c r="AC122" s="1"/>
      <c r="AD122" s="1"/>
      <c r="AE122" s="1" t="s">
        <v>51</v>
      </c>
      <c r="AF122" s="1" t="s">
        <v>51</v>
      </c>
      <c r="AG122" s="1" t="s">
        <v>47</v>
      </c>
      <c r="AH122" s="1"/>
      <c r="AI122" s="1"/>
      <c r="AJ122" s="3">
        <v>1</v>
      </c>
      <c r="AK122" s="1" t="s">
        <v>52</v>
      </c>
      <c r="AL122" s="3">
        <v>4</v>
      </c>
      <c r="AM122" s="8">
        <v>35.060000000000002</v>
      </c>
      <c r="AN122" s="1"/>
      <c r="AO122" s="1" t="s">
        <v>806</v>
      </c>
      <c r="AP122" s="1" t="s">
        <v>160</v>
      </c>
      <c r="AQ122" s="1" t="s">
        <v>807</v>
      </c>
      <c r="AR122" s="1" t="s">
        <v>808</v>
      </c>
    </row>
    <row r="123">
      <c r="A123" s="2">
        <f ca="1">DATE(1999,12,02)</f>
        <v>0</v>
      </c>
      <c r="B123" s="2">
        <f ca="1">DATE(2000,03,06)</f>
        <v>0</v>
      </c>
      <c r="C123" s="1" t="s">
        <v>802</v>
      </c>
      <c r="D123" s="3">
        <v>4813</v>
      </c>
      <c r="E123" s="1" t="s">
        <v>43</v>
      </c>
      <c r="F123" s="1" t="s">
        <v>803</v>
      </c>
      <c r="G123" s="1" t="s">
        <v>160</v>
      </c>
      <c r="H123" s="4">
        <v>1.3999999999999999</v>
      </c>
      <c r="I123" s="8">
        <v>7</v>
      </c>
      <c r="J123" s="5">
        <v>25.899999999999999</v>
      </c>
      <c r="K123" s="8">
        <v>20</v>
      </c>
      <c r="L123" s="1" t="s">
        <v>58</v>
      </c>
      <c r="M123" s="1" t="s">
        <v>47</v>
      </c>
      <c r="N123" s="1" t="s">
        <v>804</v>
      </c>
      <c r="O123" s="1" t="s">
        <v>48</v>
      </c>
      <c r="P123" s="1" t="s">
        <v>809</v>
      </c>
      <c r="Q123" s="4">
        <v>1.3999999999999999</v>
      </c>
      <c r="R123" s="4">
        <v>1.3999999999999999</v>
      </c>
      <c r="S123" s="8">
        <v>4.2000000000000002</v>
      </c>
      <c r="T123" s="1" t="s">
        <v>60</v>
      </c>
      <c r="U123" s="1"/>
      <c r="V123" s="1"/>
      <c r="W123" s="1"/>
      <c r="X123" s="1"/>
      <c r="Y123" s="7">
        <v>1295000</v>
      </c>
      <c r="Z123" s="1"/>
      <c r="AA123" s="1"/>
      <c r="AB123" s="1"/>
      <c r="AC123" s="1"/>
      <c r="AD123" s="1"/>
      <c r="AE123" s="1" t="s">
        <v>51</v>
      </c>
      <c r="AF123" s="1" t="s">
        <v>51</v>
      </c>
      <c r="AG123" s="1" t="s">
        <v>47</v>
      </c>
      <c r="AH123" s="1"/>
      <c r="AI123" s="1"/>
      <c r="AJ123" s="3">
        <v>1</v>
      </c>
      <c r="AK123" s="1" t="s">
        <v>52</v>
      </c>
      <c r="AL123" s="3">
        <v>1</v>
      </c>
      <c r="AM123" s="1"/>
      <c r="AN123" s="1"/>
      <c r="AO123" s="1" t="s">
        <v>810</v>
      </c>
      <c r="AP123" s="1" t="s">
        <v>160</v>
      </c>
      <c r="AQ123" s="1" t="s">
        <v>160</v>
      </c>
      <c r="AR123" s="1" t="s">
        <v>187</v>
      </c>
    </row>
    <row r="124">
      <c r="A124" s="2">
        <f ca="1">DATE(1999,12,22)</f>
        <v>0</v>
      </c>
      <c r="B124" s="2">
        <f ca="1">DATE(2000,03,07)</f>
        <v>0</v>
      </c>
      <c r="C124" s="1" t="s">
        <v>811</v>
      </c>
      <c r="D124" s="3">
        <v>4813</v>
      </c>
      <c r="E124" s="1" t="s">
        <v>43</v>
      </c>
      <c r="F124" s="1" t="s">
        <v>812</v>
      </c>
      <c r="G124" s="1" t="s">
        <v>813</v>
      </c>
      <c r="H124" s="4">
        <v>1.19</v>
      </c>
      <c r="I124" s="8">
        <v>7</v>
      </c>
      <c r="J124" s="5">
        <v>144.5</v>
      </c>
      <c r="K124" s="4">
        <v>17</v>
      </c>
      <c r="L124" s="1" t="s">
        <v>814</v>
      </c>
      <c r="M124" s="1" t="s">
        <v>47</v>
      </c>
      <c r="N124" s="3">
        <v>337625305</v>
      </c>
      <c r="O124" s="1" t="s">
        <v>48</v>
      </c>
      <c r="P124" s="1" t="s">
        <v>815</v>
      </c>
      <c r="Q124" s="4">
        <v>1.4119999999999999</v>
      </c>
      <c r="R124" s="4">
        <v>1.4710000000000001</v>
      </c>
      <c r="S124" s="6">
        <v>4.1176500000000003</v>
      </c>
      <c r="T124" s="1" t="s">
        <v>50</v>
      </c>
      <c r="U124" s="1"/>
      <c r="V124" s="1"/>
      <c r="W124" s="1"/>
      <c r="X124" s="5">
        <v>100</v>
      </c>
      <c r="Y124" s="7">
        <v>8500000</v>
      </c>
      <c r="Z124" s="1"/>
      <c r="AA124" s="1"/>
      <c r="AB124" s="1"/>
      <c r="AC124" s="1"/>
      <c r="AD124" s="1"/>
      <c r="AE124" s="1" t="s">
        <v>51</v>
      </c>
      <c r="AF124" s="1" t="s">
        <v>51</v>
      </c>
      <c r="AG124" s="1" t="s">
        <v>47</v>
      </c>
      <c r="AH124" s="1"/>
      <c r="AI124" s="1"/>
      <c r="AJ124" s="3">
        <v>1</v>
      </c>
      <c r="AK124" s="1" t="s">
        <v>52</v>
      </c>
      <c r="AL124" s="3">
        <v>5</v>
      </c>
      <c r="AM124" s="8">
        <v>25</v>
      </c>
      <c r="AN124" s="1"/>
      <c r="AO124" s="1" t="s">
        <v>816</v>
      </c>
      <c r="AP124" s="1" t="s">
        <v>813</v>
      </c>
      <c r="AQ124" s="1" t="s">
        <v>817</v>
      </c>
      <c r="AR124" s="1" t="s">
        <v>818</v>
      </c>
    </row>
    <row r="125">
      <c r="A125" s="2">
        <f ca="1">DATE(1999,12,22)</f>
        <v>0</v>
      </c>
      <c r="B125" s="2">
        <f ca="1">DATE(2000,03,07)</f>
        <v>0</v>
      </c>
      <c r="C125" s="1" t="s">
        <v>811</v>
      </c>
      <c r="D125" s="3">
        <v>4813</v>
      </c>
      <c r="E125" s="1" t="s">
        <v>43</v>
      </c>
      <c r="F125" s="1" t="s">
        <v>812</v>
      </c>
      <c r="G125" s="1" t="s">
        <v>813</v>
      </c>
      <c r="H125" s="4">
        <v>1.19</v>
      </c>
      <c r="I125" s="8">
        <v>7</v>
      </c>
      <c r="J125" s="5">
        <v>25.5</v>
      </c>
      <c r="K125" s="8">
        <v>17</v>
      </c>
      <c r="L125" s="1" t="s">
        <v>814</v>
      </c>
      <c r="M125" s="1" t="s">
        <v>47</v>
      </c>
      <c r="N125" s="3">
        <v>337625305</v>
      </c>
      <c r="O125" s="1" t="s">
        <v>48</v>
      </c>
      <c r="P125" s="1" t="s">
        <v>819</v>
      </c>
      <c r="Q125" s="4">
        <v>1.4119999999999999</v>
      </c>
      <c r="R125" s="4">
        <v>1.4710000000000001</v>
      </c>
      <c r="S125" s="6">
        <v>4.1175899999999999</v>
      </c>
      <c r="T125" s="1" t="s">
        <v>60</v>
      </c>
      <c r="U125" s="1"/>
      <c r="V125" s="1"/>
      <c r="W125" s="1"/>
      <c r="X125" s="5">
        <v>100</v>
      </c>
      <c r="Y125" s="7">
        <v>1500000</v>
      </c>
      <c r="Z125" s="1"/>
      <c r="AA125" s="1"/>
      <c r="AB125" s="1"/>
      <c r="AC125" s="1"/>
      <c r="AD125" s="1"/>
      <c r="AE125" s="1" t="s">
        <v>51</v>
      </c>
      <c r="AF125" s="1" t="s">
        <v>51</v>
      </c>
      <c r="AG125" s="1" t="s">
        <v>47</v>
      </c>
      <c r="AH125" s="1"/>
      <c r="AI125" s="1"/>
      <c r="AJ125" s="3">
        <v>1</v>
      </c>
      <c r="AK125" s="1" t="s">
        <v>52</v>
      </c>
      <c r="AL125" s="3">
        <v>3</v>
      </c>
      <c r="AM125" s="1"/>
      <c r="AN125" s="1"/>
      <c r="AO125" s="1" t="s">
        <v>820</v>
      </c>
      <c r="AP125" s="1" t="s">
        <v>813</v>
      </c>
      <c r="AQ125" s="1" t="s">
        <v>821</v>
      </c>
      <c r="AR125" s="1" t="s">
        <v>822</v>
      </c>
    </row>
    <row r="126">
      <c r="A126" s="2">
        <f ca="1">DATE(1999,12,01)</f>
        <v>0</v>
      </c>
      <c r="B126" s="2">
        <f ca="1">DATE(2000,03,07)</f>
        <v>0</v>
      </c>
      <c r="C126" s="1" t="s">
        <v>823</v>
      </c>
      <c r="D126" s="3">
        <v>7375</v>
      </c>
      <c r="E126" s="1" t="s">
        <v>43</v>
      </c>
      <c r="F126" s="1" t="s">
        <v>824</v>
      </c>
      <c r="G126" s="1" t="s">
        <v>239</v>
      </c>
      <c r="H126" s="4">
        <v>0.69999999999999996</v>
      </c>
      <c r="I126" s="8">
        <v>7</v>
      </c>
      <c r="J126" s="5">
        <v>32.600000000000001</v>
      </c>
      <c r="K126" s="4">
        <v>10</v>
      </c>
      <c r="L126" s="1" t="s">
        <v>46</v>
      </c>
      <c r="M126" s="1" t="s">
        <v>47</v>
      </c>
      <c r="N126" s="3">
        <v>462628108</v>
      </c>
      <c r="O126" s="1" t="s">
        <v>48</v>
      </c>
      <c r="P126" s="1" t="s">
        <v>825</v>
      </c>
      <c r="Q126" s="4">
        <v>1.3999999999999999</v>
      </c>
      <c r="R126" s="4">
        <v>1.3999999999999999</v>
      </c>
      <c r="S126" s="8">
        <v>4.2000000000000002</v>
      </c>
      <c r="T126" s="1" t="s">
        <v>50</v>
      </c>
      <c r="U126" s="1"/>
      <c r="V126" s="1"/>
      <c r="W126" s="1"/>
      <c r="X126" s="5">
        <v>50</v>
      </c>
      <c r="Y126" s="7">
        <v>3258000</v>
      </c>
      <c r="Z126" s="1"/>
      <c r="AA126" s="1"/>
      <c r="AB126" s="1"/>
      <c r="AC126" s="1"/>
      <c r="AD126" s="1"/>
      <c r="AE126" s="1" t="s">
        <v>51</v>
      </c>
      <c r="AF126" s="1" t="s">
        <v>51</v>
      </c>
      <c r="AG126" s="1" t="s">
        <v>47</v>
      </c>
      <c r="AH126" s="1"/>
      <c r="AI126" s="1"/>
      <c r="AJ126" s="3">
        <v>1</v>
      </c>
      <c r="AK126" s="1" t="s">
        <v>52</v>
      </c>
      <c r="AL126" s="3">
        <v>4</v>
      </c>
      <c r="AM126" s="8">
        <v>15.75</v>
      </c>
      <c r="AN126" s="1"/>
      <c r="AO126" s="1" t="s">
        <v>826</v>
      </c>
      <c r="AP126" s="1" t="s">
        <v>239</v>
      </c>
      <c r="AQ126" s="1" t="s">
        <v>827</v>
      </c>
      <c r="AR126" s="1" t="s">
        <v>828</v>
      </c>
    </row>
    <row r="127">
      <c r="A127" s="2">
        <f ca="1">DATE(1999,12,01)</f>
        <v>0</v>
      </c>
      <c r="B127" s="2">
        <f ca="1">DATE(2000,03,07)</f>
        <v>0</v>
      </c>
      <c r="C127" s="1" t="s">
        <v>823</v>
      </c>
      <c r="D127" s="3">
        <v>7375</v>
      </c>
      <c r="E127" s="1" t="s">
        <v>43</v>
      </c>
      <c r="F127" s="1" t="s">
        <v>824</v>
      </c>
      <c r="G127" s="1" t="s">
        <v>179</v>
      </c>
      <c r="H127" s="4">
        <v>0.69999999999999996</v>
      </c>
      <c r="I127" s="8">
        <v>7</v>
      </c>
      <c r="J127" s="5">
        <v>10.300000000000001</v>
      </c>
      <c r="K127" s="8">
        <v>10</v>
      </c>
      <c r="L127" s="1" t="s">
        <v>58</v>
      </c>
      <c r="M127" s="1" t="s">
        <v>47</v>
      </c>
      <c r="N127" s="3">
        <v>462628108</v>
      </c>
      <c r="O127" s="1" t="s">
        <v>48</v>
      </c>
      <c r="P127" s="1" t="s">
        <v>829</v>
      </c>
      <c r="Q127" s="4">
        <v>1.3999999999999999</v>
      </c>
      <c r="R127" s="4">
        <v>1.3999999999999999</v>
      </c>
      <c r="S127" s="8">
        <v>4.2000000000000002</v>
      </c>
      <c r="T127" s="1" t="s">
        <v>60</v>
      </c>
      <c r="U127" s="1"/>
      <c r="V127" s="1"/>
      <c r="W127" s="1"/>
      <c r="X127" s="1"/>
      <c r="Y127" s="7">
        <v>1028902</v>
      </c>
      <c r="Z127" s="1"/>
      <c r="AA127" s="1"/>
      <c r="AB127" s="1"/>
      <c r="AC127" s="1"/>
      <c r="AD127" s="1"/>
      <c r="AE127" s="1" t="s">
        <v>51</v>
      </c>
      <c r="AF127" s="1" t="s">
        <v>51</v>
      </c>
      <c r="AG127" s="1" t="s">
        <v>47</v>
      </c>
      <c r="AH127" s="1"/>
      <c r="AI127" s="1"/>
      <c r="AJ127" s="3">
        <v>1</v>
      </c>
      <c r="AK127" s="1" t="s">
        <v>52</v>
      </c>
      <c r="AL127" s="3">
        <v>4</v>
      </c>
      <c r="AM127" s="1"/>
      <c r="AN127" s="1"/>
      <c r="AO127" s="1" t="s">
        <v>830</v>
      </c>
      <c r="AP127" s="1" t="s">
        <v>179</v>
      </c>
      <c r="AQ127" s="1" t="s">
        <v>831</v>
      </c>
      <c r="AR127" s="1" t="s">
        <v>832</v>
      </c>
    </row>
    <row r="128">
      <c r="A128" s="2">
        <f ca="1">DATE(2000,02,23)</f>
        <v>0</v>
      </c>
      <c r="B128" s="2">
        <f ca="1">DATE(2000,03,08)</f>
        <v>0</v>
      </c>
      <c r="C128" s="1" t="s">
        <v>833</v>
      </c>
      <c r="D128" s="3">
        <v>7372</v>
      </c>
      <c r="E128" s="1" t="s">
        <v>834</v>
      </c>
      <c r="F128" s="1"/>
      <c r="G128" s="1" t="s">
        <v>667</v>
      </c>
      <c r="H128" s="4">
        <v>0.23400000000000001</v>
      </c>
      <c r="I128" s="4">
        <v>7</v>
      </c>
      <c r="J128" s="5">
        <v>3.5</v>
      </c>
      <c r="K128" s="4">
        <v>3.48</v>
      </c>
      <c r="L128" s="1" t="s">
        <v>58</v>
      </c>
      <c r="M128" s="1" t="s">
        <v>47</v>
      </c>
      <c r="N128" s="1"/>
      <c r="O128" s="1"/>
      <c r="P128" s="1" t="s">
        <v>835</v>
      </c>
      <c r="Q128" s="4">
        <v>1.3999999999999999</v>
      </c>
      <c r="R128" s="4">
        <v>1.3999999999999999</v>
      </c>
      <c r="S128" s="8">
        <v>4.2000000000000002</v>
      </c>
      <c r="T128" s="1" t="s">
        <v>836</v>
      </c>
      <c r="U128" s="6">
        <v>2.9892400000000001</v>
      </c>
      <c r="V128" s="6">
        <v>2.4977200000000002</v>
      </c>
      <c r="W128" s="1"/>
      <c r="X128" s="1"/>
      <c r="Y128" s="7">
        <v>1043478</v>
      </c>
      <c r="Z128" s="1"/>
      <c r="AA128" s="1"/>
      <c r="AB128" s="1"/>
      <c r="AC128" s="1"/>
      <c r="AD128" s="1"/>
      <c r="AE128" s="1" t="s">
        <v>51</v>
      </c>
      <c r="AF128" s="1" t="s">
        <v>51</v>
      </c>
      <c r="AG128" s="1" t="s">
        <v>51</v>
      </c>
      <c r="AH128" s="1"/>
      <c r="AI128" s="1"/>
      <c r="AJ128" s="3">
        <v>1</v>
      </c>
      <c r="AK128" s="1" t="s">
        <v>52</v>
      </c>
      <c r="AL128" s="3">
        <v>4</v>
      </c>
      <c r="AM128" s="1"/>
      <c r="AN128" s="1"/>
      <c r="AO128" s="1" t="s">
        <v>837</v>
      </c>
      <c r="AP128" s="1" t="s">
        <v>667</v>
      </c>
      <c r="AQ128" s="1" t="s">
        <v>838</v>
      </c>
      <c r="AR128" s="1" t="s">
        <v>839</v>
      </c>
    </row>
    <row r="129">
      <c r="A129" s="2">
        <f ca="1">DATE(2000,02,23)</f>
        <v>0</v>
      </c>
      <c r="B129" s="2">
        <f ca="1">DATE(2000,03,08)</f>
        <v>0</v>
      </c>
      <c r="C129" s="1" t="s">
        <v>833</v>
      </c>
      <c r="D129" s="3">
        <v>7372</v>
      </c>
      <c r="E129" s="1" t="s">
        <v>834</v>
      </c>
      <c r="F129" s="1"/>
      <c r="G129" s="1" t="s">
        <v>667</v>
      </c>
      <c r="H129" s="4">
        <v>0.23400000000000001</v>
      </c>
      <c r="I129" s="4">
        <v>7</v>
      </c>
      <c r="J129" s="5">
        <v>9.5</v>
      </c>
      <c r="K129" s="4">
        <v>3.48</v>
      </c>
      <c r="L129" s="1" t="s">
        <v>58</v>
      </c>
      <c r="M129" s="1" t="s">
        <v>47</v>
      </c>
      <c r="N129" s="1"/>
      <c r="O129" s="1"/>
      <c r="P129" s="1" t="s">
        <v>840</v>
      </c>
      <c r="Q129" s="4">
        <v>1.3999999999999999</v>
      </c>
      <c r="R129" s="4">
        <v>1.3999999999999999</v>
      </c>
      <c r="S129" s="8">
        <v>4.2000000000000002</v>
      </c>
      <c r="T129" s="1" t="s">
        <v>836</v>
      </c>
      <c r="U129" s="6">
        <v>2.9892400000000001</v>
      </c>
      <c r="V129" s="6">
        <v>2.4977200000000002</v>
      </c>
      <c r="W129" s="1"/>
      <c r="X129" s="1"/>
      <c r="Y129" s="7">
        <v>2836696</v>
      </c>
      <c r="Z129" s="1"/>
      <c r="AA129" s="1"/>
      <c r="AB129" s="1"/>
      <c r="AC129" s="1"/>
      <c r="AD129" s="1"/>
      <c r="AE129" s="1" t="s">
        <v>51</v>
      </c>
      <c r="AF129" s="1" t="s">
        <v>51</v>
      </c>
      <c r="AG129" s="1" t="s">
        <v>51</v>
      </c>
      <c r="AH129" s="1"/>
      <c r="AI129" s="1"/>
      <c r="AJ129" s="3">
        <v>1</v>
      </c>
      <c r="AK129" s="1" t="s">
        <v>52</v>
      </c>
      <c r="AL129" s="3">
        <v>4</v>
      </c>
      <c r="AM129" s="1"/>
      <c r="AN129" s="1"/>
      <c r="AO129" s="1" t="s">
        <v>841</v>
      </c>
      <c r="AP129" s="1" t="s">
        <v>667</v>
      </c>
      <c r="AQ129" s="1" t="s">
        <v>842</v>
      </c>
      <c r="AR129" s="1" t="s">
        <v>843</v>
      </c>
    </row>
    <row r="130">
      <c r="A130" s="2">
        <f ca="1">DATE(2000,02,23)</f>
        <v>0</v>
      </c>
      <c r="B130" s="2">
        <f ca="1">DATE(2000,03,08)</f>
        <v>0</v>
      </c>
      <c r="C130" s="1" t="s">
        <v>833</v>
      </c>
      <c r="D130" s="3">
        <v>7372</v>
      </c>
      <c r="E130" s="1" t="s">
        <v>834</v>
      </c>
      <c r="F130" s="1"/>
      <c r="G130" s="1" t="s">
        <v>667</v>
      </c>
      <c r="H130" s="4">
        <v>0.23400000000000001</v>
      </c>
      <c r="I130" s="4">
        <v>7</v>
      </c>
      <c r="J130" s="5">
        <v>109.09999999999999</v>
      </c>
      <c r="K130" s="8">
        <v>3.48</v>
      </c>
      <c r="L130" s="1" t="s">
        <v>58</v>
      </c>
      <c r="M130" s="1" t="s">
        <v>47</v>
      </c>
      <c r="N130" s="1"/>
      <c r="O130" s="1"/>
      <c r="P130" s="1" t="s">
        <v>835</v>
      </c>
      <c r="Q130" s="4">
        <v>1.3999999999999999</v>
      </c>
      <c r="R130" s="4">
        <v>1.3999999999999999</v>
      </c>
      <c r="S130" s="8">
        <v>4.2000000000000002</v>
      </c>
      <c r="T130" s="1" t="s">
        <v>60</v>
      </c>
      <c r="U130" s="6">
        <v>2.9892400000000001</v>
      </c>
      <c r="V130" s="6">
        <v>2.4977200000000002</v>
      </c>
      <c r="W130" s="7">
        <v>36500000</v>
      </c>
      <c r="X130" s="5">
        <v>100.09999999999999</v>
      </c>
      <c r="Y130" s="7">
        <v>32619826</v>
      </c>
      <c r="Z130" s="1"/>
      <c r="AA130" s="1"/>
      <c r="AB130" s="1"/>
      <c r="AC130" s="1"/>
      <c r="AD130" s="1"/>
      <c r="AE130" s="1" t="s">
        <v>51</v>
      </c>
      <c r="AF130" s="1" t="s">
        <v>51</v>
      </c>
      <c r="AG130" s="1" t="s">
        <v>51</v>
      </c>
      <c r="AH130" s="1"/>
      <c r="AI130" s="1"/>
      <c r="AJ130" s="3">
        <v>1</v>
      </c>
      <c r="AK130" s="1" t="s">
        <v>52</v>
      </c>
      <c r="AL130" s="3">
        <v>4</v>
      </c>
      <c r="AM130" s="1"/>
      <c r="AN130" s="1"/>
      <c r="AO130" s="1" t="s">
        <v>837</v>
      </c>
      <c r="AP130" s="1" t="s">
        <v>667</v>
      </c>
      <c r="AQ130" s="1" t="s">
        <v>838</v>
      </c>
      <c r="AR130" s="1" t="s">
        <v>839</v>
      </c>
    </row>
    <row r="131">
      <c r="A131" s="2">
        <f ca="1">DATE(1999,08,31)</f>
        <v>0</v>
      </c>
      <c r="B131" s="2">
        <f ca="1">DATE(2000,03,08)</f>
        <v>0</v>
      </c>
      <c r="C131" s="1" t="s">
        <v>844</v>
      </c>
      <c r="D131" s="3">
        <v>6552</v>
      </c>
      <c r="E131" s="1" t="s">
        <v>845</v>
      </c>
      <c r="F131" s="1" t="s">
        <v>846</v>
      </c>
      <c r="G131" s="1" t="s">
        <v>393</v>
      </c>
      <c r="H131" s="4">
        <v>0.5</v>
      </c>
      <c r="I131" s="4">
        <v>10</v>
      </c>
      <c r="J131" s="5">
        <v>10</v>
      </c>
      <c r="K131" s="4">
        <v>5</v>
      </c>
      <c r="L131" s="1" t="s">
        <v>46</v>
      </c>
      <c r="M131" s="1" t="s">
        <v>47</v>
      </c>
      <c r="N131" s="1" t="s">
        <v>847</v>
      </c>
      <c r="O131" s="1" t="s">
        <v>48</v>
      </c>
      <c r="P131" s="1" t="s">
        <v>848</v>
      </c>
      <c r="Q131" s="1" t="s">
        <v>145</v>
      </c>
      <c r="R131" s="1" t="s">
        <v>145</v>
      </c>
      <c r="S131" s="1"/>
      <c r="T131" s="1" t="s">
        <v>50</v>
      </c>
      <c r="U131" s="8">
        <v>5</v>
      </c>
      <c r="V131" s="8">
        <v>5</v>
      </c>
      <c r="W131" s="7">
        <v>2000000</v>
      </c>
      <c r="X131" s="5">
        <v>10</v>
      </c>
      <c r="Y131" s="7">
        <v>2000000</v>
      </c>
      <c r="Z131" s="1"/>
      <c r="AA131" s="2">
        <f ca="1">DATE(2002,03,08)</f>
        <v>0</v>
      </c>
      <c r="AB131" s="4">
        <v>83.870999999999995</v>
      </c>
      <c r="AC131" s="3">
        <v>730</v>
      </c>
      <c r="AD131" s="8">
        <v>10400000</v>
      </c>
      <c r="AE131" s="1" t="s">
        <v>51</v>
      </c>
      <c r="AF131" s="1" t="s">
        <v>51</v>
      </c>
      <c r="AG131" s="1" t="s">
        <v>51</v>
      </c>
      <c r="AH131" s="3">
        <v>35</v>
      </c>
      <c r="AI131" s="1" t="s">
        <v>849</v>
      </c>
      <c r="AJ131" s="3">
        <v>1</v>
      </c>
      <c r="AK131" s="1" t="s">
        <v>52</v>
      </c>
      <c r="AL131" s="3">
        <v>2</v>
      </c>
      <c r="AM131" s="8">
        <v>9.25</v>
      </c>
      <c r="AN131" s="1"/>
      <c r="AO131" s="1" t="s">
        <v>850</v>
      </c>
      <c r="AP131" s="1" t="s">
        <v>393</v>
      </c>
      <c r="AQ131" s="1" t="s">
        <v>851</v>
      </c>
      <c r="AR131" s="1" t="s">
        <v>852</v>
      </c>
    </row>
    <row r="132">
      <c r="A132" s="2">
        <f ca="1">DATE(2000,02,18)</f>
        <v>0</v>
      </c>
      <c r="B132" s="2">
        <f ca="1">DATE(2000,03,09)</f>
        <v>0</v>
      </c>
      <c r="C132" s="1" t="s">
        <v>853</v>
      </c>
      <c r="D132" s="3">
        <v>4813</v>
      </c>
      <c r="E132" s="1" t="s">
        <v>166</v>
      </c>
      <c r="F132" s="1" t="s">
        <v>854</v>
      </c>
      <c r="G132" s="1" t="s">
        <v>130</v>
      </c>
      <c r="H132" s="4">
        <v>0.95099999999999996</v>
      </c>
      <c r="I132" s="4">
        <v>6.79</v>
      </c>
      <c r="J132" s="5">
        <v>252</v>
      </c>
      <c r="K132" s="8">
        <v>14</v>
      </c>
      <c r="L132" s="1" t="s">
        <v>58</v>
      </c>
      <c r="M132" s="1" t="s">
        <v>47</v>
      </c>
      <c r="N132" s="3">
        <v>362359408</v>
      </c>
      <c r="O132" s="1" t="s">
        <v>48</v>
      </c>
      <c r="P132" s="1" t="s">
        <v>855</v>
      </c>
      <c r="Q132" s="4">
        <v>1.3600000000000001</v>
      </c>
      <c r="R132" s="4">
        <v>1.3600000000000001</v>
      </c>
      <c r="S132" s="6">
        <v>4.0714300000000003</v>
      </c>
      <c r="T132" s="1" t="s">
        <v>60</v>
      </c>
      <c r="U132" s="8">
        <v>12</v>
      </c>
      <c r="V132" s="8">
        <v>10</v>
      </c>
      <c r="W132" s="7">
        <v>16000000</v>
      </c>
      <c r="X132" s="5">
        <v>176</v>
      </c>
      <c r="Y132" s="7">
        <v>18000000</v>
      </c>
      <c r="Z132" s="1"/>
      <c r="AA132" s="1"/>
      <c r="AB132" s="1"/>
      <c r="AC132" s="1"/>
      <c r="AD132" s="1"/>
      <c r="AE132" s="1" t="s">
        <v>51</v>
      </c>
      <c r="AF132" s="1" t="s">
        <v>51</v>
      </c>
      <c r="AG132" s="1" t="s">
        <v>51</v>
      </c>
      <c r="AH132" s="1"/>
      <c r="AI132" s="1"/>
      <c r="AJ132" s="3">
        <v>2</v>
      </c>
      <c r="AK132" s="1" t="s">
        <v>89</v>
      </c>
      <c r="AL132" s="3">
        <v>2</v>
      </c>
      <c r="AM132" s="1"/>
      <c r="AN132" s="1"/>
      <c r="AO132" s="1" t="s">
        <v>856</v>
      </c>
      <c r="AP132" s="1" t="s">
        <v>134</v>
      </c>
      <c r="AQ132" s="1" t="s">
        <v>857</v>
      </c>
      <c r="AR132" s="1" t="s">
        <v>858</v>
      </c>
    </row>
    <row r="133">
      <c r="A133" s="2">
        <f ca="1">DATE(1999,12,17)</f>
        <v>0</v>
      </c>
      <c r="B133" s="2">
        <f ca="1">DATE(2000,03,09)</f>
        <v>0</v>
      </c>
      <c r="C133" s="1" t="s">
        <v>859</v>
      </c>
      <c r="D133" s="3">
        <v>7375</v>
      </c>
      <c r="E133" s="1" t="s">
        <v>43</v>
      </c>
      <c r="F133" s="1" t="s">
        <v>860</v>
      </c>
      <c r="G133" s="1" t="s">
        <v>106</v>
      </c>
      <c r="H133" s="4">
        <v>0.83999999999999997</v>
      </c>
      <c r="I133" s="8">
        <v>7</v>
      </c>
      <c r="J133" s="5">
        <v>211.19999999999999</v>
      </c>
      <c r="K133" s="4">
        <v>12</v>
      </c>
      <c r="L133" s="1" t="s">
        <v>46</v>
      </c>
      <c r="M133" s="1" t="s">
        <v>47</v>
      </c>
      <c r="N133" s="1" t="s">
        <v>861</v>
      </c>
      <c r="O133" s="1" t="s">
        <v>48</v>
      </c>
      <c r="P133" s="1" t="s">
        <v>862</v>
      </c>
      <c r="Q133" s="4">
        <v>1.417</v>
      </c>
      <c r="R133" s="4">
        <v>1.417</v>
      </c>
      <c r="S133" s="6">
        <v>4.1666699999999999</v>
      </c>
      <c r="T133" s="1" t="s">
        <v>50</v>
      </c>
      <c r="U133" s="1"/>
      <c r="V133" s="1"/>
      <c r="W133" s="1"/>
      <c r="X133" s="5">
        <v>250</v>
      </c>
      <c r="Y133" s="7">
        <v>17600000</v>
      </c>
      <c r="Z133" s="1"/>
      <c r="AA133" s="1"/>
      <c r="AB133" s="1"/>
      <c r="AC133" s="1"/>
      <c r="AD133" s="1"/>
      <c r="AE133" s="1" t="s">
        <v>51</v>
      </c>
      <c r="AF133" s="1" t="s">
        <v>51</v>
      </c>
      <c r="AG133" s="1" t="s">
        <v>47</v>
      </c>
      <c r="AH133" s="1"/>
      <c r="AI133" s="1"/>
      <c r="AJ133" s="3">
        <v>1</v>
      </c>
      <c r="AK133" s="1" t="s">
        <v>52</v>
      </c>
      <c r="AL133" s="3">
        <v>5</v>
      </c>
      <c r="AM133" s="8">
        <v>14.130000000000001</v>
      </c>
      <c r="AN133" s="1"/>
      <c r="AO133" s="1" t="s">
        <v>863</v>
      </c>
      <c r="AP133" s="1" t="s">
        <v>106</v>
      </c>
      <c r="AQ133" s="1" t="s">
        <v>864</v>
      </c>
      <c r="AR133" s="1" t="s">
        <v>865</v>
      </c>
    </row>
    <row r="134">
      <c r="A134" s="2">
        <f ca="1">DATE(1999,12,17)</f>
        <v>0</v>
      </c>
      <c r="B134" s="2">
        <f ca="1">DATE(2000,03,09)</f>
        <v>0</v>
      </c>
      <c r="C134" s="1" t="s">
        <v>859</v>
      </c>
      <c r="D134" s="3">
        <v>7375</v>
      </c>
      <c r="E134" s="1" t="s">
        <v>43</v>
      </c>
      <c r="F134" s="1" t="s">
        <v>860</v>
      </c>
      <c r="G134" s="1" t="s">
        <v>106</v>
      </c>
      <c r="H134" s="4">
        <v>0.83999999999999997</v>
      </c>
      <c r="I134" s="8">
        <v>7</v>
      </c>
      <c r="J134" s="5">
        <v>52.799999999999997</v>
      </c>
      <c r="K134" s="8">
        <v>12</v>
      </c>
      <c r="L134" s="1" t="s">
        <v>58</v>
      </c>
      <c r="M134" s="1" t="s">
        <v>47</v>
      </c>
      <c r="N134" s="1" t="s">
        <v>861</v>
      </c>
      <c r="O134" s="1" t="s">
        <v>48</v>
      </c>
      <c r="P134" s="1" t="s">
        <v>866</v>
      </c>
      <c r="Q134" s="4">
        <v>1.4199999999999999</v>
      </c>
      <c r="R134" s="4">
        <v>1.4199999999999999</v>
      </c>
      <c r="S134" s="6">
        <v>4.1666699999999999</v>
      </c>
      <c r="T134" s="1" t="s">
        <v>60</v>
      </c>
      <c r="U134" s="1"/>
      <c r="V134" s="1"/>
      <c r="W134" s="1"/>
      <c r="X134" s="1"/>
      <c r="Y134" s="7">
        <v>4400000</v>
      </c>
      <c r="Z134" s="1"/>
      <c r="AA134" s="1"/>
      <c r="AB134" s="1"/>
      <c r="AC134" s="1"/>
      <c r="AD134" s="1"/>
      <c r="AE134" s="1" t="s">
        <v>51</v>
      </c>
      <c r="AF134" s="1" t="s">
        <v>51</v>
      </c>
      <c r="AG134" s="1" t="s">
        <v>47</v>
      </c>
      <c r="AH134" s="1"/>
      <c r="AI134" s="1"/>
      <c r="AJ134" s="3">
        <v>1</v>
      </c>
      <c r="AK134" s="1" t="s">
        <v>52</v>
      </c>
      <c r="AL134" s="3">
        <v>5</v>
      </c>
      <c r="AM134" s="1"/>
      <c r="AN134" s="1"/>
      <c r="AO134" s="1" t="s">
        <v>867</v>
      </c>
      <c r="AP134" s="1" t="s">
        <v>106</v>
      </c>
      <c r="AQ134" s="1" t="s">
        <v>868</v>
      </c>
      <c r="AR134" s="1" t="s">
        <v>869</v>
      </c>
    </row>
    <row r="135">
      <c r="A135" s="2">
        <f ca="1">DATE(1999,12,30)</f>
        <v>0</v>
      </c>
      <c r="B135" s="2">
        <f ca="1">DATE(2000,03,09)</f>
        <v>0</v>
      </c>
      <c r="C135" s="1" t="s">
        <v>870</v>
      </c>
      <c r="D135" s="3">
        <v>2834</v>
      </c>
      <c r="E135" s="1" t="s">
        <v>43</v>
      </c>
      <c r="F135" s="1" t="s">
        <v>871</v>
      </c>
      <c r="G135" s="1" t="s">
        <v>122</v>
      </c>
      <c r="H135" s="4">
        <v>1.26</v>
      </c>
      <c r="I135" s="4">
        <v>7</v>
      </c>
      <c r="J135" s="5">
        <v>72</v>
      </c>
      <c r="K135" s="4">
        <v>18</v>
      </c>
      <c r="L135" s="1" t="s">
        <v>46</v>
      </c>
      <c r="M135" s="1" t="s">
        <v>47</v>
      </c>
      <c r="N135" s="1" t="s">
        <v>872</v>
      </c>
      <c r="O135" s="1" t="s">
        <v>48</v>
      </c>
      <c r="P135" s="1" t="s">
        <v>873</v>
      </c>
      <c r="Q135" s="4">
        <v>1.389</v>
      </c>
      <c r="R135" s="4">
        <v>1.389</v>
      </c>
      <c r="S135" s="6">
        <v>4.2222200000000001</v>
      </c>
      <c r="T135" s="1" t="s">
        <v>50</v>
      </c>
      <c r="U135" s="1"/>
      <c r="V135" s="1"/>
      <c r="W135" s="1"/>
      <c r="X135" s="5">
        <v>56.399999999999999</v>
      </c>
      <c r="Y135" s="7">
        <v>4000000</v>
      </c>
      <c r="Z135" s="1"/>
      <c r="AA135" s="2">
        <f ca="1">DATE(2000,09,05)</f>
        <v>0</v>
      </c>
      <c r="AB135" s="4">
        <v>68.245999999999995</v>
      </c>
      <c r="AC135" s="3">
        <v>180</v>
      </c>
      <c r="AD135" s="8">
        <v>8596735</v>
      </c>
      <c r="AE135" s="1" t="s">
        <v>51</v>
      </c>
      <c r="AF135" s="1" t="s">
        <v>51</v>
      </c>
      <c r="AG135" s="1" t="s">
        <v>47</v>
      </c>
      <c r="AH135" s="1"/>
      <c r="AI135" s="1"/>
      <c r="AJ135" s="3">
        <v>1</v>
      </c>
      <c r="AK135" s="1" t="s">
        <v>52</v>
      </c>
      <c r="AL135" s="3">
        <v>3</v>
      </c>
      <c r="AM135" s="8">
        <v>31.25</v>
      </c>
      <c r="AN135" s="1"/>
      <c r="AO135" s="1" t="s">
        <v>874</v>
      </c>
      <c r="AP135" s="1" t="s">
        <v>122</v>
      </c>
      <c r="AQ135" s="1" t="s">
        <v>875</v>
      </c>
      <c r="AR135" s="1" t="s">
        <v>876</v>
      </c>
    </row>
    <row r="136">
      <c r="A136" s="2">
        <f ca="1">DATE(1999,12,10)</f>
        <v>0</v>
      </c>
      <c r="B136" s="2">
        <f ca="1">DATE(2000,03,09)</f>
        <v>0</v>
      </c>
      <c r="C136" s="1" t="s">
        <v>877</v>
      </c>
      <c r="D136" s="3">
        <v>7372</v>
      </c>
      <c r="E136" s="1" t="s">
        <v>43</v>
      </c>
      <c r="F136" s="1" t="s">
        <v>878</v>
      </c>
      <c r="G136" s="1" t="s">
        <v>239</v>
      </c>
      <c r="H136" s="4">
        <v>2.1000000000000001</v>
      </c>
      <c r="I136" s="4">
        <v>7</v>
      </c>
      <c r="J136" s="5">
        <v>95.099999999999994</v>
      </c>
      <c r="K136" s="4">
        <v>30</v>
      </c>
      <c r="L136" s="1" t="s">
        <v>46</v>
      </c>
      <c r="M136" s="1" t="s">
        <v>47</v>
      </c>
      <c r="N136" s="3">
        <v>816288104</v>
      </c>
      <c r="O136" s="1" t="s">
        <v>48</v>
      </c>
      <c r="P136" s="1" t="s">
        <v>879</v>
      </c>
      <c r="Q136" s="4">
        <v>1.3999999999999999</v>
      </c>
      <c r="R136" s="4">
        <v>1.3999999999999999</v>
      </c>
      <c r="S136" s="8">
        <v>4.2000000000000002</v>
      </c>
      <c r="T136" s="1" t="s">
        <v>50</v>
      </c>
      <c r="U136" s="1"/>
      <c r="V136" s="1"/>
      <c r="W136" s="1"/>
      <c r="X136" s="5">
        <v>75</v>
      </c>
      <c r="Y136" s="7">
        <v>3171220</v>
      </c>
      <c r="Z136" s="1"/>
      <c r="AA136" s="2">
        <f ca="1">DATE(2000,09,05)</f>
        <v>0</v>
      </c>
      <c r="AB136" s="4">
        <v>72.972999999999999</v>
      </c>
      <c r="AC136" s="3">
        <v>180</v>
      </c>
      <c r="AD136" s="8">
        <v>25216753</v>
      </c>
      <c r="AE136" s="1" t="s">
        <v>51</v>
      </c>
      <c r="AF136" s="1" t="s">
        <v>51</v>
      </c>
      <c r="AG136" s="1" t="s">
        <v>47</v>
      </c>
      <c r="AH136" s="1"/>
      <c r="AI136" s="1"/>
      <c r="AJ136" s="3">
        <v>1</v>
      </c>
      <c r="AK136" s="1" t="s">
        <v>52</v>
      </c>
      <c r="AL136" s="3">
        <v>4</v>
      </c>
      <c r="AM136" s="8">
        <v>141.22999999999999</v>
      </c>
      <c r="AN136" s="1"/>
      <c r="AO136" s="1" t="s">
        <v>880</v>
      </c>
      <c r="AP136" s="1" t="s">
        <v>239</v>
      </c>
      <c r="AQ136" s="1" t="s">
        <v>881</v>
      </c>
      <c r="AR136" s="1" t="s">
        <v>882</v>
      </c>
    </row>
    <row r="137">
      <c r="A137" s="2">
        <f ca="1">DATE(1999,12,10)</f>
        <v>0</v>
      </c>
      <c r="B137" s="2">
        <f ca="1">DATE(2000,03,09)</f>
        <v>0</v>
      </c>
      <c r="C137" s="1" t="s">
        <v>877</v>
      </c>
      <c r="D137" s="3">
        <v>7372</v>
      </c>
      <c r="E137" s="1" t="s">
        <v>43</v>
      </c>
      <c r="F137" s="1" t="s">
        <v>878</v>
      </c>
      <c r="G137" s="1" t="s">
        <v>239</v>
      </c>
      <c r="H137" s="4">
        <v>2.1000000000000001</v>
      </c>
      <c r="I137" s="4">
        <v>7</v>
      </c>
      <c r="J137" s="5">
        <v>24.899999999999999</v>
      </c>
      <c r="K137" s="8">
        <v>30</v>
      </c>
      <c r="L137" s="1" t="s">
        <v>46</v>
      </c>
      <c r="M137" s="1" t="s">
        <v>47</v>
      </c>
      <c r="N137" s="3">
        <v>816288104</v>
      </c>
      <c r="O137" s="1" t="s">
        <v>48</v>
      </c>
      <c r="P137" s="1" t="s">
        <v>883</v>
      </c>
      <c r="Q137" s="4">
        <v>1.3999999999999999</v>
      </c>
      <c r="R137" s="4">
        <v>1.3999999999999999</v>
      </c>
      <c r="S137" s="8">
        <v>4.2000000000000002</v>
      </c>
      <c r="T137" s="1" t="s">
        <v>60</v>
      </c>
      <c r="U137" s="1"/>
      <c r="V137" s="1"/>
      <c r="W137" s="1"/>
      <c r="X137" s="1"/>
      <c r="Y137" s="7">
        <v>828780</v>
      </c>
      <c r="Z137" s="1"/>
      <c r="AA137" s="1"/>
      <c r="AB137" s="1"/>
      <c r="AC137" s="3">
        <v>180</v>
      </c>
      <c r="AD137" s="8">
        <v>25216753</v>
      </c>
      <c r="AE137" s="1" t="s">
        <v>51</v>
      </c>
      <c r="AF137" s="1" t="s">
        <v>51</v>
      </c>
      <c r="AG137" s="1" t="s">
        <v>47</v>
      </c>
      <c r="AH137" s="1"/>
      <c r="AI137" s="1"/>
      <c r="AJ137" s="3">
        <v>1</v>
      </c>
      <c r="AK137" s="1" t="s">
        <v>52</v>
      </c>
      <c r="AL137" s="3">
        <v>1</v>
      </c>
      <c r="AM137" s="1"/>
      <c r="AN137" s="1"/>
      <c r="AO137" s="1" t="s">
        <v>884</v>
      </c>
      <c r="AP137" s="1" t="s">
        <v>239</v>
      </c>
      <c r="AQ137" s="1" t="s">
        <v>239</v>
      </c>
      <c r="AR137" s="1" t="s">
        <v>885</v>
      </c>
    </row>
    <row r="138">
      <c r="A138" s="2">
        <f ca="1">DATE(2000,02,15)</f>
        <v>0</v>
      </c>
      <c r="B138" s="2">
        <f ca="1">DATE(2000,03,10)</f>
        <v>0</v>
      </c>
      <c r="C138" s="1" t="s">
        <v>886</v>
      </c>
      <c r="D138" s="3">
        <v>7372</v>
      </c>
      <c r="E138" s="1" t="s">
        <v>43</v>
      </c>
      <c r="F138" s="1" t="s">
        <v>887</v>
      </c>
      <c r="G138" s="1" t="s">
        <v>239</v>
      </c>
      <c r="H138" s="4">
        <v>1.3300000000000001</v>
      </c>
      <c r="I138" s="4">
        <v>7</v>
      </c>
      <c r="J138" s="5">
        <v>69.799999999999997</v>
      </c>
      <c r="K138" s="4">
        <v>19</v>
      </c>
      <c r="L138" s="1" t="s">
        <v>46</v>
      </c>
      <c r="M138" s="1" t="s">
        <v>47</v>
      </c>
      <c r="N138" s="3">
        <v>671059103</v>
      </c>
      <c r="O138" s="1" t="s">
        <v>48</v>
      </c>
      <c r="P138" s="1" t="s">
        <v>888</v>
      </c>
      <c r="Q138" s="4">
        <v>1.421</v>
      </c>
      <c r="R138" s="4">
        <v>1.421</v>
      </c>
      <c r="S138" s="6">
        <v>4.1578900000000001</v>
      </c>
      <c r="T138" s="1" t="s">
        <v>50</v>
      </c>
      <c r="U138" s="8">
        <v>14</v>
      </c>
      <c r="V138" s="8">
        <v>12</v>
      </c>
      <c r="W138" s="7">
        <v>4000000</v>
      </c>
      <c r="X138" s="5">
        <v>52</v>
      </c>
      <c r="Y138" s="7">
        <v>3675000</v>
      </c>
      <c r="Z138" s="1"/>
      <c r="AA138" s="1"/>
      <c r="AB138" s="1"/>
      <c r="AC138" s="1"/>
      <c r="AD138" s="1"/>
      <c r="AE138" s="1" t="s">
        <v>51</v>
      </c>
      <c r="AF138" s="1" t="s">
        <v>51</v>
      </c>
      <c r="AG138" s="1" t="s">
        <v>47</v>
      </c>
      <c r="AH138" s="1"/>
      <c r="AI138" s="1"/>
      <c r="AJ138" s="3">
        <v>1</v>
      </c>
      <c r="AK138" s="1" t="s">
        <v>52</v>
      </c>
      <c r="AL138" s="3">
        <v>4</v>
      </c>
      <c r="AM138" s="8">
        <v>56.189999999999998</v>
      </c>
      <c r="AN138" s="1"/>
      <c r="AO138" s="1" t="s">
        <v>889</v>
      </c>
      <c r="AP138" s="1" t="s">
        <v>239</v>
      </c>
      <c r="AQ138" s="1" t="s">
        <v>890</v>
      </c>
      <c r="AR138" s="1" t="s">
        <v>891</v>
      </c>
    </row>
    <row r="139">
      <c r="A139" s="2">
        <f ca="1">DATE(2000,03,10)</f>
        <v>0</v>
      </c>
      <c r="B139" s="2">
        <f ca="1">DATE(2000,03,10)</f>
        <v>0</v>
      </c>
      <c r="C139" s="1" t="s">
        <v>892</v>
      </c>
      <c r="D139" s="3">
        <v>4812</v>
      </c>
      <c r="E139" s="1" t="s">
        <v>845</v>
      </c>
      <c r="F139" s="1" t="s">
        <v>893</v>
      </c>
      <c r="G139" s="1" t="s">
        <v>894</v>
      </c>
      <c r="H139" s="4">
        <v>0.034000000000000002</v>
      </c>
      <c r="I139" s="8">
        <v>7</v>
      </c>
      <c r="J139" s="5">
        <v>33.899999999999999</v>
      </c>
      <c r="K139" s="4">
        <v>3.8180000000000001</v>
      </c>
      <c r="L139" s="1" t="s">
        <v>58</v>
      </c>
      <c r="M139" s="1" t="s">
        <v>47</v>
      </c>
      <c r="N139" s="1"/>
      <c r="O139" s="1" t="s">
        <v>845</v>
      </c>
      <c r="P139" s="1" t="s">
        <v>895</v>
      </c>
      <c r="Q139" s="8">
        <v>1.5</v>
      </c>
      <c r="R139" s="4">
        <v>4</v>
      </c>
      <c r="S139" s="6">
        <v>1.4999199999999999</v>
      </c>
      <c r="T139" s="1" t="s">
        <v>896</v>
      </c>
      <c r="U139" s="1"/>
      <c r="V139" s="1"/>
      <c r="W139" s="1"/>
      <c r="X139" s="1"/>
      <c r="Y139" s="7">
        <v>69000000</v>
      </c>
      <c r="Z139" s="1"/>
      <c r="AA139" s="1"/>
      <c r="AB139" s="1"/>
      <c r="AC139" s="1"/>
      <c r="AD139" s="1"/>
      <c r="AE139" s="1" t="s">
        <v>51</v>
      </c>
      <c r="AF139" s="1" t="s">
        <v>51</v>
      </c>
      <c r="AG139" s="1" t="s">
        <v>51</v>
      </c>
      <c r="AH139" s="1"/>
      <c r="AI139" s="1"/>
      <c r="AJ139" s="3">
        <v>2</v>
      </c>
      <c r="AK139" s="1" t="s">
        <v>89</v>
      </c>
      <c r="AL139" s="3">
        <v>5</v>
      </c>
      <c r="AM139" s="1"/>
      <c r="AN139" s="1"/>
      <c r="AO139" s="1" t="s">
        <v>897</v>
      </c>
      <c r="AP139" s="1" t="s">
        <v>898</v>
      </c>
      <c r="AQ139" s="1" t="s">
        <v>899</v>
      </c>
      <c r="AR139" s="1" t="s">
        <v>900</v>
      </c>
    </row>
    <row r="140">
      <c r="A140" s="2">
        <f ca="1">DATE(2000,03,10)</f>
        <v>0</v>
      </c>
      <c r="B140" s="2">
        <f ca="1">DATE(2000,03,10)</f>
        <v>0</v>
      </c>
      <c r="C140" s="1" t="s">
        <v>892</v>
      </c>
      <c r="D140" s="3">
        <v>4812</v>
      </c>
      <c r="E140" s="1" t="s">
        <v>845</v>
      </c>
      <c r="F140" s="1" t="s">
        <v>893</v>
      </c>
      <c r="G140" s="1" t="s">
        <v>894</v>
      </c>
      <c r="H140" s="4">
        <v>0.034000000000000002</v>
      </c>
      <c r="I140" s="8">
        <v>7</v>
      </c>
      <c r="J140" s="5">
        <v>304.69999999999999</v>
      </c>
      <c r="K140" s="8">
        <v>3.8100000000000001</v>
      </c>
      <c r="L140" s="1" t="s">
        <v>58</v>
      </c>
      <c r="M140" s="1" t="s">
        <v>47</v>
      </c>
      <c r="N140" s="1"/>
      <c r="O140" s="1" t="s">
        <v>845</v>
      </c>
      <c r="P140" s="1" t="s">
        <v>895</v>
      </c>
      <c r="Q140" s="8">
        <v>1.5</v>
      </c>
      <c r="R140" s="4">
        <v>4</v>
      </c>
      <c r="S140" s="6">
        <v>1.4999199999999999</v>
      </c>
      <c r="T140" s="1" t="s">
        <v>60</v>
      </c>
      <c r="U140" s="1"/>
      <c r="V140" s="1"/>
      <c r="W140" s="1"/>
      <c r="X140" s="1"/>
      <c r="Y140" s="7">
        <v>621000000</v>
      </c>
      <c r="Z140" s="1"/>
      <c r="AA140" s="1"/>
      <c r="AB140" s="1"/>
      <c r="AC140" s="1"/>
      <c r="AD140" s="1"/>
      <c r="AE140" s="1" t="s">
        <v>51</v>
      </c>
      <c r="AF140" s="1" t="s">
        <v>51</v>
      </c>
      <c r="AG140" s="1" t="s">
        <v>51</v>
      </c>
      <c r="AH140" s="1"/>
      <c r="AI140" s="1"/>
      <c r="AJ140" s="3">
        <v>2</v>
      </c>
      <c r="AK140" s="1" t="s">
        <v>89</v>
      </c>
      <c r="AL140" s="3">
        <v>5</v>
      </c>
      <c r="AM140" s="1"/>
      <c r="AN140" s="1"/>
      <c r="AO140" s="1" t="s">
        <v>897</v>
      </c>
      <c r="AP140" s="1" t="s">
        <v>898</v>
      </c>
      <c r="AQ140" s="1" t="s">
        <v>899</v>
      </c>
      <c r="AR140" s="1" t="s">
        <v>900</v>
      </c>
    </row>
    <row r="141">
      <c r="A141" s="2">
        <f ca="1">DATE(1999,12,23)</f>
        <v>0</v>
      </c>
      <c r="B141" s="2">
        <f ca="1">DATE(2000,03,13)</f>
        <v>0</v>
      </c>
      <c r="C141" s="1" t="s">
        <v>901</v>
      </c>
      <c r="D141" s="3">
        <v>7375</v>
      </c>
      <c r="E141" s="1" t="s">
        <v>43</v>
      </c>
      <c r="F141" s="1" t="s">
        <v>902</v>
      </c>
      <c r="G141" s="1" t="s">
        <v>106</v>
      </c>
      <c r="H141" s="4">
        <v>1.6799999999999999</v>
      </c>
      <c r="I141" s="8">
        <v>7</v>
      </c>
      <c r="J141" s="5">
        <v>189.59999999999999</v>
      </c>
      <c r="K141" s="4">
        <v>24</v>
      </c>
      <c r="L141" s="1" t="s">
        <v>46</v>
      </c>
      <c r="M141" s="1" t="s">
        <v>47</v>
      </c>
      <c r="N141" s="1" t="s">
        <v>903</v>
      </c>
      <c r="O141" s="1" t="s">
        <v>48</v>
      </c>
      <c r="P141" s="1" t="s">
        <v>904</v>
      </c>
      <c r="Q141" s="4">
        <v>1.417</v>
      </c>
      <c r="R141" s="4">
        <v>1.042</v>
      </c>
      <c r="S141" s="6">
        <v>4.5416699999999999</v>
      </c>
      <c r="T141" s="1" t="s">
        <v>50</v>
      </c>
      <c r="U141" s="1"/>
      <c r="V141" s="1"/>
      <c r="W141" s="1"/>
      <c r="X141" s="5">
        <v>200</v>
      </c>
      <c r="Y141" s="7">
        <v>5266667</v>
      </c>
      <c r="Z141" s="7">
        <v>2633333</v>
      </c>
      <c r="AA141" s="1"/>
      <c r="AB141" s="1"/>
      <c r="AC141" s="1"/>
      <c r="AD141" s="1"/>
      <c r="AE141" s="1" t="s">
        <v>51</v>
      </c>
      <c r="AF141" s="1" t="s">
        <v>51</v>
      </c>
      <c r="AG141" s="1" t="s">
        <v>51</v>
      </c>
      <c r="AH141" s="1"/>
      <c r="AI141" s="1"/>
      <c r="AJ141" s="3">
        <v>1</v>
      </c>
      <c r="AK141" s="1" t="s">
        <v>52</v>
      </c>
      <c r="AL141" s="3">
        <v>5</v>
      </c>
      <c r="AM141" s="8">
        <v>29.5</v>
      </c>
      <c r="AN141" s="1"/>
      <c r="AO141" s="1" t="s">
        <v>905</v>
      </c>
      <c r="AP141" s="1" t="s">
        <v>106</v>
      </c>
      <c r="AQ141" s="1" t="s">
        <v>906</v>
      </c>
      <c r="AR141" s="1" t="s">
        <v>907</v>
      </c>
    </row>
    <row r="142">
      <c r="A142" s="2">
        <f ca="1">DATE(1999,12,23)</f>
        <v>0</v>
      </c>
      <c r="B142" s="2">
        <f ca="1">DATE(2000,03,13)</f>
        <v>0</v>
      </c>
      <c r="C142" s="1" t="s">
        <v>901</v>
      </c>
      <c r="D142" s="3">
        <v>7375</v>
      </c>
      <c r="E142" s="1" t="s">
        <v>43</v>
      </c>
      <c r="F142" s="1" t="s">
        <v>902</v>
      </c>
      <c r="G142" s="1" t="s">
        <v>106</v>
      </c>
      <c r="H142" s="4">
        <v>1.2</v>
      </c>
      <c r="I142" s="4">
        <v>5</v>
      </c>
      <c r="J142" s="5">
        <v>33.600000000000001</v>
      </c>
      <c r="K142" s="8">
        <v>24</v>
      </c>
      <c r="L142" s="1" t="s">
        <v>58</v>
      </c>
      <c r="M142" s="1" t="s">
        <v>47</v>
      </c>
      <c r="N142" s="1" t="s">
        <v>903</v>
      </c>
      <c r="O142" s="1" t="s">
        <v>48</v>
      </c>
      <c r="P142" s="1" t="s">
        <v>908</v>
      </c>
      <c r="Q142" s="1" t="s">
        <v>145</v>
      </c>
      <c r="R142" s="1" t="s">
        <v>145</v>
      </c>
      <c r="S142" s="1"/>
      <c r="T142" s="1" t="s">
        <v>60</v>
      </c>
      <c r="U142" s="1"/>
      <c r="V142" s="1"/>
      <c r="W142" s="1"/>
      <c r="X142" s="1"/>
      <c r="Y142" s="7">
        <v>1400000</v>
      </c>
      <c r="Z142" s="1"/>
      <c r="AA142" s="1"/>
      <c r="AB142" s="1"/>
      <c r="AC142" s="1"/>
      <c r="AD142" s="1"/>
      <c r="AE142" s="1" t="s">
        <v>51</v>
      </c>
      <c r="AF142" s="1" t="s">
        <v>51</v>
      </c>
      <c r="AG142" s="1" t="s">
        <v>51</v>
      </c>
      <c r="AH142" s="1"/>
      <c r="AI142" s="1"/>
      <c r="AJ142" s="3">
        <v>1</v>
      </c>
      <c r="AK142" s="1" t="s">
        <v>52</v>
      </c>
      <c r="AL142" s="3">
        <v>4</v>
      </c>
      <c r="AM142" s="1"/>
      <c r="AN142" s="1"/>
      <c r="AO142" s="1" t="s">
        <v>909</v>
      </c>
      <c r="AP142" s="1" t="s">
        <v>106</v>
      </c>
      <c r="AQ142" s="1" t="s">
        <v>910</v>
      </c>
      <c r="AR142" s="1" t="s">
        <v>911</v>
      </c>
    </row>
    <row r="143">
      <c r="A143" s="2">
        <f ca="1">DATE(1999,12,14)</f>
        <v>0</v>
      </c>
      <c r="B143" s="2">
        <f ca="1">DATE(2000,03,13)</f>
        <v>0</v>
      </c>
      <c r="C143" s="1" t="s">
        <v>912</v>
      </c>
      <c r="D143" s="3">
        <v>5999</v>
      </c>
      <c r="E143" s="1" t="s">
        <v>43</v>
      </c>
      <c r="F143" s="1" t="s">
        <v>913</v>
      </c>
      <c r="G143" s="1" t="s">
        <v>96</v>
      </c>
      <c r="H143" s="4">
        <v>1.19</v>
      </c>
      <c r="I143" s="8">
        <v>7</v>
      </c>
      <c r="J143" s="5">
        <v>63.799999999999997</v>
      </c>
      <c r="K143" s="4">
        <v>17</v>
      </c>
      <c r="L143" s="1" t="s">
        <v>46</v>
      </c>
      <c r="M143" s="1" t="s">
        <v>47</v>
      </c>
      <c r="N143" s="3">
        <v>305158107</v>
      </c>
      <c r="O143" s="1" t="s">
        <v>48</v>
      </c>
      <c r="P143" s="1" t="s">
        <v>914</v>
      </c>
      <c r="Q143" s="4">
        <v>1.4119999999999999</v>
      </c>
      <c r="R143" s="4">
        <v>1.4119999999999999</v>
      </c>
      <c r="S143" s="6">
        <v>4.1764700000000001</v>
      </c>
      <c r="T143" s="1" t="s">
        <v>50</v>
      </c>
      <c r="U143" s="1"/>
      <c r="V143" s="1"/>
      <c r="W143" s="1"/>
      <c r="X143" s="5">
        <v>40</v>
      </c>
      <c r="Y143" s="7">
        <v>3750000</v>
      </c>
      <c r="Z143" s="1"/>
      <c r="AA143" s="1"/>
      <c r="AB143" s="1"/>
      <c r="AC143" s="1"/>
      <c r="AD143" s="1"/>
      <c r="AE143" s="1" t="s">
        <v>51</v>
      </c>
      <c r="AF143" s="1" t="s">
        <v>51</v>
      </c>
      <c r="AG143" s="1" t="s">
        <v>47</v>
      </c>
      <c r="AH143" s="1"/>
      <c r="AI143" s="1"/>
      <c r="AJ143" s="3">
        <v>1</v>
      </c>
      <c r="AK143" s="1" t="s">
        <v>52</v>
      </c>
      <c r="AL143" s="3">
        <v>3</v>
      </c>
      <c r="AM143" s="8">
        <v>48.5</v>
      </c>
      <c r="AN143" s="1"/>
      <c r="AO143" s="1" t="s">
        <v>915</v>
      </c>
      <c r="AP143" s="1" t="s">
        <v>96</v>
      </c>
      <c r="AQ143" s="1" t="s">
        <v>916</v>
      </c>
      <c r="AR143" s="1" t="s">
        <v>917</v>
      </c>
    </row>
    <row r="144">
      <c r="A144" s="2">
        <f ca="1">DATE(1999,12,14)</f>
        <v>0</v>
      </c>
      <c r="B144" s="2">
        <f ca="1">DATE(2000,03,13)</f>
        <v>0</v>
      </c>
      <c r="C144" s="1" t="s">
        <v>912</v>
      </c>
      <c r="D144" s="3">
        <v>5999</v>
      </c>
      <c r="E144" s="1" t="s">
        <v>43</v>
      </c>
      <c r="F144" s="1" t="s">
        <v>913</v>
      </c>
      <c r="G144" s="1" t="s">
        <v>96</v>
      </c>
      <c r="H144" s="4">
        <v>1.19</v>
      </c>
      <c r="I144" s="8">
        <v>7</v>
      </c>
      <c r="J144" s="5">
        <v>18.5</v>
      </c>
      <c r="K144" s="8">
        <v>17</v>
      </c>
      <c r="L144" s="1" t="s">
        <v>58</v>
      </c>
      <c r="M144" s="1" t="s">
        <v>47</v>
      </c>
      <c r="N144" s="3">
        <v>305158107</v>
      </c>
      <c r="O144" s="1" t="s">
        <v>48</v>
      </c>
      <c r="P144" s="1" t="s">
        <v>918</v>
      </c>
      <c r="Q144" s="4">
        <v>1.4119999999999999</v>
      </c>
      <c r="R144" s="4">
        <v>1.4119999999999999</v>
      </c>
      <c r="S144" s="6">
        <v>4.1764099999999997</v>
      </c>
      <c r="T144" s="1" t="s">
        <v>60</v>
      </c>
      <c r="U144" s="1"/>
      <c r="V144" s="1"/>
      <c r="W144" s="1"/>
      <c r="X144" s="1"/>
      <c r="Y144" s="7">
        <v>1086957</v>
      </c>
      <c r="Z144" s="1"/>
      <c r="AA144" s="1"/>
      <c r="AB144" s="1"/>
      <c r="AC144" s="1"/>
      <c r="AD144" s="1"/>
      <c r="AE144" s="1" t="s">
        <v>51</v>
      </c>
      <c r="AF144" s="1" t="s">
        <v>51</v>
      </c>
      <c r="AG144" s="1" t="s">
        <v>47</v>
      </c>
      <c r="AH144" s="1"/>
      <c r="AI144" s="1"/>
      <c r="AJ144" s="3">
        <v>1</v>
      </c>
      <c r="AK144" s="1" t="s">
        <v>52</v>
      </c>
      <c r="AL144" s="3">
        <v>1</v>
      </c>
      <c r="AM144" s="1"/>
      <c r="AN144" s="1"/>
      <c r="AO144" s="1" t="s">
        <v>919</v>
      </c>
      <c r="AP144" s="1" t="s">
        <v>96</v>
      </c>
      <c r="AQ144" s="1" t="s">
        <v>96</v>
      </c>
      <c r="AR144" s="1" t="s">
        <v>103</v>
      </c>
    </row>
    <row r="145">
      <c r="A145" s="2">
        <f ca="1">DATE(2000,02,18)</f>
        <v>0</v>
      </c>
      <c r="B145" s="2">
        <f ca="1">DATE(2000,03,13)</f>
        <v>0</v>
      </c>
      <c r="C145" s="1" t="s">
        <v>920</v>
      </c>
      <c r="D145" s="3">
        <v>3674</v>
      </c>
      <c r="E145" s="1" t="s">
        <v>921</v>
      </c>
      <c r="F145" s="1" t="s">
        <v>922</v>
      </c>
      <c r="G145" s="1" t="s">
        <v>923</v>
      </c>
      <c r="H145" s="4">
        <v>2.5</v>
      </c>
      <c r="I145" s="4">
        <v>7.423</v>
      </c>
      <c r="J145" s="5">
        <v>974.79999999999995</v>
      </c>
      <c r="K145" s="8">
        <v>33.68</v>
      </c>
      <c r="L145" s="1" t="s">
        <v>651</v>
      </c>
      <c r="M145" s="1" t="s">
        <v>47</v>
      </c>
      <c r="N145" s="1" t="s">
        <v>924</v>
      </c>
      <c r="O145" s="1" t="s">
        <v>925</v>
      </c>
      <c r="P145" s="1" t="s">
        <v>926</v>
      </c>
      <c r="Q145" s="4">
        <v>1.4850000000000001</v>
      </c>
      <c r="R145" s="4">
        <v>1.4850000000000001</v>
      </c>
      <c r="S145" s="6">
        <v>4.4537100000000001</v>
      </c>
      <c r="T145" s="1" t="s">
        <v>50</v>
      </c>
      <c r="U145" s="8">
        <v>34.509999999999998</v>
      </c>
      <c r="V145" s="8">
        <v>28.59</v>
      </c>
      <c r="W145" s="1"/>
      <c r="X145" s="1"/>
      <c r="Y145" s="7">
        <v>2786280</v>
      </c>
      <c r="Z145" s="7">
        <v>26156831</v>
      </c>
      <c r="AA145" s="1"/>
      <c r="AB145" s="1"/>
      <c r="AC145" s="1"/>
      <c r="AD145" s="1"/>
      <c r="AE145" s="1" t="s">
        <v>47</v>
      </c>
      <c r="AF145" s="1" t="s">
        <v>51</v>
      </c>
      <c r="AG145" s="1" t="s">
        <v>51</v>
      </c>
      <c r="AH145" s="1" t="s">
        <v>927</v>
      </c>
      <c r="AI145" s="1" t="s">
        <v>928</v>
      </c>
      <c r="AJ145" s="3">
        <v>2</v>
      </c>
      <c r="AK145" s="1" t="s">
        <v>89</v>
      </c>
      <c r="AL145" s="3">
        <v>6</v>
      </c>
      <c r="AM145" s="8">
        <v>76.810000000000002</v>
      </c>
      <c r="AN145" s="1"/>
      <c r="AO145" s="1" t="s">
        <v>929</v>
      </c>
      <c r="AP145" s="1" t="s">
        <v>930</v>
      </c>
      <c r="AQ145" s="1" t="s">
        <v>931</v>
      </c>
      <c r="AR145" s="1" t="s">
        <v>932</v>
      </c>
    </row>
    <row r="146">
      <c r="A146" s="2">
        <f ca="1">DATE(2000,02,23)</f>
        <v>0</v>
      </c>
      <c r="B146" s="2">
        <f ca="1">DATE(2000,03,13)</f>
        <v>0</v>
      </c>
      <c r="C146" s="1" t="s">
        <v>933</v>
      </c>
      <c r="D146" s="3">
        <v>3669</v>
      </c>
      <c r="E146" s="1" t="s">
        <v>934</v>
      </c>
      <c r="F146" s="1" t="s">
        <v>935</v>
      </c>
      <c r="G146" s="1" t="s">
        <v>813</v>
      </c>
      <c r="H146" s="4">
        <v>1.3999999999999999</v>
      </c>
      <c r="I146" s="8">
        <v>7</v>
      </c>
      <c r="J146" s="5">
        <v>76</v>
      </c>
      <c r="K146" s="4">
        <v>20</v>
      </c>
      <c r="L146" s="1" t="s">
        <v>58</v>
      </c>
      <c r="M146" s="1" t="s">
        <v>47</v>
      </c>
      <c r="N146" s="1" t="s">
        <v>936</v>
      </c>
      <c r="O146" s="1" t="s">
        <v>48</v>
      </c>
      <c r="P146" s="1" t="s">
        <v>937</v>
      </c>
      <c r="Q146" s="4">
        <v>1.3999999999999999</v>
      </c>
      <c r="R146" s="4">
        <v>1.55</v>
      </c>
      <c r="S146" s="8">
        <v>4.0499999999999998</v>
      </c>
      <c r="T146" s="1" t="s">
        <v>50</v>
      </c>
      <c r="U146" s="8">
        <v>13</v>
      </c>
      <c r="V146" s="8">
        <v>11</v>
      </c>
      <c r="W146" s="7">
        <v>3800000</v>
      </c>
      <c r="X146" s="5">
        <v>45.600000000000001</v>
      </c>
      <c r="Y146" s="7">
        <v>3800000</v>
      </c>
      <c r="Z146" s="1"/>
      <c r="AA146" s="1"/>
      <c r="AB146" s="1"/>
      <c r="AC146" s="1"/>
      <c r="AD146" s="1"/>
      <c r="AE146" s="1" t="s">
        <v>51</v>
      </c>
      <c r="AF146" s="1" t="s">
        <v>51</v>
      </c>
      <c r="AG146" s="1" t="s">
        <v>51</v>
      </c>
      <c r="AH146" s="1"/>
      <c r="AI146" s="1"/>
      <c r="AJ146" s="3">
        <v>1</v>
      </c>
      <c r="AK146" s="1" t="s">
        <v>52</v>
      </c>
      <c r="AL146" s="3">
        <v>4</v>
      </c>
      <c r="AM146" s="8">
        <v>55.939999999999998</v>
      </c>
      <c r="AN146" s="1"/>
      <c r="AO146" s="1" t="s">
        <v>938</v>
      </c>
      <c r="AP146" s="1" t="s">
        <v>813</v>
      </c>
      <c r="AQ146" s="1" t="s">
        <v>939</v>
      </c>
      <c r="AR146" s="1" t="s">
        <v>937</v>
      </c>
    </row>
    <row r="147">
      <c r="A147" s="2">
        <f ca="1">DATE(1999,12,16)</f>
        <v>0</v>
      </c>
      <c r="B147" s="2">
        <f ca="1">DATE(2000,03,15)</f>
        <v>0</v>
      </c>
      <c r="C147" s="1" t="s">
        <v>940</v>
      </c>
      <c r="D147" s="3">
        <v>1521</v>
      </c>
      <c r="E147" s="1" t="s">
        <v>43</v>
      </c>
      <c r="F147" s="1" t="s">
        <v>941</v>
      </c>
      <c r="G147" s="1" t="s">
        <v>239</v>
      </c>
      <c r="H147" s="4">
        <v>1.1200000000000001</v>
      </c>
      <c r="I147" s="4">
        <v>7</v>
      </c>
      <c r="J147" s="5">
        <v>33.100000000000001</v>
      </c>
      <c r="K147" s="4">
        <v>16</v>
      </c>
      <c r="L147" s="1" t="s">
        <v>46</v>
      </c>
      <c r="M147" s="1" t="s">
        <v>47</v>
      </c>
      <c r="N147" s="1" t="s">
        <v>942</v>
      </c>
      <c r="O147" s="1" t="s">
        <v>77</v>
      </c>
      <c r="P147" s="1" t="s">
        <v>943</v>
      </c>
      <c r="Q147" s="4">
        <v>1.375</v>
      </c>
      <c r="R147" s="4">
        <v>1.375</v>
      </c>
      <c r="S147" s="8">
        <v>4.25</v>
      </c>
      <c r="T147" s="1" t="s">
        <v>50</v>
      </c>
      <c r="U147" s="1"/>
      <c r="V147" s="1"/>
      <c r="W147" s="1"/>
      <c r="X147" s="5">
        <v>57.5</v>
      </c>
      <c r="Y147" s="7">
        <v>2070000</v>
      </c>
      <c r="Z147" s="1"/>
      <c r="AA147" s="1"/>
      <c r="AB147" s="1"/>
      <c r="AC147" s="1"/>
      <c r="AD147" s="1"/>
      <c r="AE147" s="1" t="s">
        <v>51</v>
      </c>
      <c r="AF147" s="1" t="s">
        <v>51</v>
      </c>
      <c r="AG147" s="1" t="s">
        <v>47</v>
      </c>
      <c r="AH147" s="1"/>
      <c r="AI147" s="1"/>
      <c r="AJ147" s="3">
        <v>1</v>
      </c>
      <c r="AK147" s="1" t="s">
        <v>52</v>
      </c>
      <c r="AL147" s="3">
        <v>3</v>
      </c>
      <c r="AM147" s="8">
        <v>14.130000000000001</v>
      </c>
      <c r="AN147" s="1"/>
      <c r="AO147" s="1" t="s">
        <v>944</v>
      </c>
      <c r="AP147" s="1" t="s">
        <v>239</v>
      </c>
      <c r="AQ147" s="1" t="s">
        <v>945</v>
      </c>
      <c r="AR147" s="1" t="s">
        <v>946</v>
      </c>
    </row>
    <row r="148">
      <c r="A148" s="2">
        <f ca="1">DATE(1999,12,16)</f>
        <v>0</v>
      </c>
      <c r="B148" s="2">
        <f ca="1">DATE(2000,03,15)</f>
        <v>0</v>
      </c>
      <c r="C148" s="1" t="s">
        <v>940</v>
      </c>
      <c r="D148" s="3">
        <v>1521</v>
      </c>
      <c r="E148" s="1" t="s">
        <v>43</v>
      </c>
      <c r="F148" s="1" t="s">
        <v>941</v>
      </c>
      <c r="G148" s="1" t="s">
        <v>179</v>
      </c>
      <c r="H148" s="4">
        <v>1.1200000000000001</v>
      </c>
      <c r="I148" s="4">
        <v>7</v>
      </c>
      <c r="J148" s="5">
        <v>11</v>
      </c>
      <c r="K148" s="8">
        <v>16</v>
      </c>
      <c r="L148" s="1" t="s">
        <v>58</v>
      </c>
      <c r="M148" s="1" t="s">
        <v>47</v>
      </c>
      <c r="N148" s="1" t="s">
        <v>942</v>
      </c>
      <c r="O148" s="1" t="s">
        <v>77</v>
      </c>
      <c r="P148" s="1" t="s">
        <v>947</v>
      </c>
      <c r="Q148" s="4">
        <v>1.375</v>
      </c>
      <c r="R148" s="4">
        <v>1.375</v>
      </c>
      <c r="S148" s="8">
        <v>4.25</v>
      </c>
      <c r="T148" s="1" t="s">
        <v>60</v>
      </c>
      <c r="U148" s="1"/>
      <c r="V148" s="1"/>
      <c r="W148" s="1"/>
      <c r="X148" s="1"/>
      <c r="Y148" s="7">
        <v>690000</v>
      </c>
      <c r="Z148" s="1"/>
      <c r="AA148" s="1"/>
      <c r="AB148" s="1"/>
      <c r="AC148" s="1"/>
      <c r="AD148" s="1"/>
      <c r="AE148" s="1" t="s">
        <v>51</v>
      </c>
      <c r="AF148" s="1" t="s">
        <v>51</v>
      </c>
      <c r="AG148" s="1" t="s">
        <v>47</v>
      </c>
      <c r="AH148" s="1"/>
      <c r="AI148" s="1"/>
      <c r="AJ148" s="3">
        <v>1</v>
      </c>
      <c r="AK148" s="1" t="s">
        <v>52</v>
      </c>
      <c r="AL148" s="3">
        <v>13</v>
      </c>
      <c r="AM148" s="1"/>
      <c r="AN148" s="1"/>
      <c r="AO148" s="1" t="s">
        <v>948</v>
      </c>
      <c r="AP148" s="1" t="s">
        <v>179</v>
      </c>
      <c r="AQ148" s="1" t="s">
        <v>949</v>
      </c>
      <c r="AR148" s="1" t="s">
        <v>950</v>
      </c>
    </row>
    <row r="149">
      <c r="A149" s="2">
        <f ca="1">DATE(1999,12,22)</f>
        <v>0</v>
      </c>
      <c r="B149" s="2">
        <f ca="1">DATE(2000,03,15)</f>
        <v>0</v>
      </c>
      <c r="C149" s="1" t="s">
        <v>951</v>
      </c>
      <c r="D149" s="3">
        <v>7372</v>
      </c>
      <c r="E149" s="1" t="s">
        <v>43</v>
      </c>
      <c r="F149" s="1" t="s">
        <v>952</v>
      </c>
      <c r="G149" s="1" t="s">
        <v>122</v>
      </c>
      <c r="H149" s="4">
        <v>1.1200000000000001</v>
      </c>
      <c r="I149" s="4">
        <v>7</v>
      </c>
      <c r="J149" s="5">
        <v>72</v>
      </c>
      <c r="K149" s="4">
        <v>16</v>
      </c>
      <c r="L149" s="1" t="s">
        <v>46</v>
      </c>
      <c r="M149" s="1" t="s">
        <v>47</v>
      </c>
      <c r="N149" s="3">
        <v>545754103</v>
      </c>
      <c r="O149" s="1" t="s">
        <v>48</v>
      </c>
      <c r="P149" s="1" t="s">
        <v>953</v>
      </c>
      <c r="Q149" s="4">
        <v>1.4379999999999999</v>
      </c>
      <c r="R149" s="4">
        <v>1.375</v>
      </c>
      <c r="S149" s="10">
        <v>4.1875</v>
      </c>
      <c r="T149" s="1" t="s">
        <v>50</v>
      </c>
      <c r="U149" s="1"/>
      <c r="V149" s="1"/>
      <c r="W149" s="1"/>
      <c r="X149" s="5">
        <v>57.5</v>
      </c>
      <c r="Y149" s="7">
        <v>4500000</v>
      </c>
      <c r="Z149" s="1"/>
      <c r="AA149" s="2">
        <f ca="1">DATE(2000,09,11)</f>
        <v>0</v>
      </c>
      <c r="AB149" s="4">
        <v>54.459000000000003</v>
      </c>
      <c r="AC149" s="3">
        <v>180</v>
      </c>
      <c r="AD149" s="8">
        <v>18840247</v>
      </c>
      <c r="AE149" s="1" t="s">
        <v>51</v>
      </c>
      <c r="AF149" s="1" t="s">
        <v>51</v>
      </c>
      <c r="AG149" s="1" t="s">
        <v>47</v>
      </c>
      <c r="AH149" s="1"/>
      <c r="AI149" s="1"/>
      <c r="AJ149" s="3">
        <v>1</v>
      </c>
      <c r="AK149" s="1" t="s">
        <v>89</v>
      </c>
      <c r="AL149" s="3">
        <v>3</v>
      </c>
      <c r="AM149" s="8">
        <v>40</v>
      </c>
      <c r="AN149" s="1"/>
      <c r="AO149" s="1" t="s">
        <v>954</v>
      </c>
      <c r="AP149" s="1" t="s">
        <v>955</v>
      </c>
      <c r="AQ149" s="1" t="s">
        <v>956</v>
      </c>
      <c r="AR149" s="1" t="s">
        <v>957</v>
      </c>
    </row>
    <row r="150">
      <c r="A150" s="2">
        <f ca="1">DATE(2000,02,23)</f>
        <v>0</v>
      </c>
      <c r="B150" s="2">
        <f ca="1">DATE(2000,03,15)</f>
        <v>0</v>
      </c>
      <c r="C150" s="1" t="s">
        <v>958</v>
      </c>
      <c r="D150" s="3">
        <v>3674</v>
      </c>
      <c r="E150" s="1" t="s">
        <v>959</v>
      </c>
      <c r="F150" s="1" t="s">
        <v>960</v>
      </c>
      <c r="G150" s="1" t="s">
        <v>387</v>
      </c>
      <c r="H150" s="4">
        <v>1.1200000000000001</v>
      </c>
      <c r="I150" s="4">
        <v>7</v>
      </c>
      <c r="J150" s="5">
        <v>56</v>
      </c>
      <c r="K150" s="4">
        <v>16</v>
      </c>
      <c r="L150" s="1" t="s">
        <v>46</v>
      </c>
      <c r="M150" s="1" t="s">
        <v>47</v>
      </c>
      <c r="N150" s="1" t="s">
        <v>961</v>
      </c>
      <c r="O150" s="1" t="s">
        <v>48</v>
      </c>
      <c r="P150" s="1" t="s">
        <v>962</v>
      </c>
      <c r="Q150" s="4">
        <v>1.4379999999999999</v>
      </c>
      <c r="R150" s="4">
        <v>1.375</v>
      </c>
      <c r="S150" s="10">
        <v>4.1875</v>
      </c>
      <c r="T150" s="1" t="s">
        <v>50</v>
      </c>
      <c r="U150" s="8">
        <v>15</v>
      </c>
      <c r="V150" s="8">
        <v>13</v>
      </c>
      <c r="W150" s="7">
        <v>3500000</v>
      </c>
      <c r="X150" s="5">
        <v>49</v>
      </c>
      <c r="Y150" s="7">
        <v>3500000</v>
      </c>
      <c r="Z150" s="1"/>
      <c r="AA150" s="2">
        <f ca="1">DATE(2000,09,11)</f>
        <v>0</v>
      </c>
      <c r="AB150" s="1"/>
      <c r="AC150" s="3">
        <v>180</v>
      </c>
      <c r="AD150" s="1"/>
      <c r="AE150" s="1" t="s">
        <v>51</v>
      </c>
      <c r="AF150" s="1" t="s">
        <v>51</v>
      </c>
      <c r="AG150" s="1" t="s">
        <v>51</v>
      </c>
      <c r="AH150" s="1" t="s">
        <v>963</v>
      </c>
      <c r="AI150" s="1" t="s">
        <v>964</v>
      </c>
      <c r="AJ150" s="3">
        <v>1</v>
      </c>
      <c r="AK150" s="1" t="s">
        <v>52</v>
      </c>
      <c r="AL150" s="3">
        <v>3</v>
      </c>
      <c r="AM150" s="8">
        <v>21.129999999999999</v>
      </c>
      <c r="AN150" s="1"/>
      <c r="AO150" s="1" t="s">
        <v>965</v>
      </c>
      <c r="AP150" s="1" t="s">
        <v>387</v>
      </c>
      <c r="AQ150" s="1" t="s">
        <v>966</v>
      </c>
      <c r="AR150" s="1" t="s">
        <v>967</v>
      </c>
    </row>
    <row r="151">
      <c r="A151" s="2">
        <f ca="1">DATE(1999,12,08)</f>
        <v>0</v>
      </c>
      <c r="B151" s="2">
        <f ca="1">DATE(2000,03,15)</f>
        <v>0</v>
      </c>
      <c r="C151" s="1" t="s">
        <v>968</v>
      </c>
      <c r="D151" s="3">
        <v>6211</v>
      </c>
      <c r="E151" s="1" t="s">
        <v>43</v>
      </c>
      <c r="F151" s="1" t="s">
        <v>969</v>
      </c>
      <c r="G151" s="1" t="s">
        <v>970</v>
      </c>
      <c r="H151" s="4">
        <v>0.81000000000000005</v>
      </c>
      <c r="I151" s="4">
        <v>9</v>
      </c>
      <c r="J151" s="5">
        <v>9</v>
      </c>
      <c r="K151" s="4">
        <v>9</v>
      </c>
      <c r="L151" s="1" t="s">
        <v>46</v>
      </c>
      <c r="M151" s="1" t="s">
        <v>47</v>
      </c>
      <c r="N151" s="1" t="s">
        <v>971</v>
      </c>
      <c r="O151" s="1" t="s">
        <v>698</v>
      </c>
      <c r="P151" s="1" t="s">
        <v>972</v>
      </c>
      <c r="Q151" s="4">
        <v>1.778</v>
      </c>
      <c r="R151" s="4">
        <v>1.778</v>
      </c>
      <c r="S151" s="6">
        <v>5.4444400000000002</v>
      </c>
      <c r="T151" s="1" t="s">
        <v>50</v>
      </c>
      <c r="U151" s="8">
        <v>9</v>
      </c>
      <c r="V151" s="8">
        <v>7</v>
      </c>
      <c r="W151" s="7">
        <v>800000</v>
      </c>
      <c r="X151" s="5">
        <v>6.4000000000000004</v>
      </c>
      <c r="Y151" s="7">
        <v>1000000</v>
      </c>
      <c r="Z151" s="1"/>
      <c r="AA151" s="2">
        <f ca="1">DATE(2002,03,05)</f>
        <v>0</v>
      </c>
      <c r="AB151" s="4">
        <v>54.545000000000002</v>
      </c>
      <c r="AC151" s="3">
        <v>720</v>
      </c>
      <c r="AD151" s="8">
        <v>1200000</v>
      </c>
      <c r="AE151" s="1" t="s">
        <v>51</v>
      </c>
      <c r="AF151" s="1" t="s">
        <v>51</v>
      </c>
      <c r="AG151" s="1" t="s">
        <v>51</v>
      </c>
      <c r="AH151" s="1"/>
      <c r="AI151" s="1" t="s">
        <v>973</v>
      </c>
      <c r="AJ151" s="3">
        <v>1</v>
      </c>
      <c r="AK151" s="1" t="s">
        <v>89</v>
      </c>
      <c r="AL151" s="3">
        <v>2</v>
      </c>
      <c r="AM151" s="8">
        <v>9.25</v>
      </c>
      <c r="AN151" s="1"/>
      <c r="AO151" s="1" t="s">
        <v>974</v>
      </c>
      <c r="AP151" s="1" t="s">
        <v>975</v>
      </c>
      <c r="AQ151" s="1" t="s">
        <v>976</v>
      </c>
      <c r="AR151" s="1" t="s">
        <v>977</v>
      </c>
    </row>
    <row r="152">
      <c r="A152" s="2">
        <f ca="1">DATE(1999,12,17)</f>
        <v>0</v>
      </c>
      <c r="B152" s="2">
        <f ca="1">DATE(2000,03,16)</f>
        <v>0</v>
      </c>
      <c r="C152" s="1" t="s">
        <v>978</v>
      </c>
      <c r="D152" s="3">
        <v>4813</v>
      </c>
      <c r="E152" s="1" t="s">
        <v>43</v>
      </c>
      <c r="F152" s="1" t="s">
        <v>979</v>
      </c>
      <c r="G152" s="1" t="s">
        <v>160</v>
      </c>
      <c r="H152" s="4">
        <v>0.97999999999999998</v>
      </c>
      <c r="I152" s="8">
        <v>7</v>
      </c>
      <c r="J152" s="5">
        <v>132.30000000000001</v>
      </c>
      <c r="K152" s="4">
        <v>14</v>
      </c>
      <c r="L152" s="1" t="s">
        <v>46</v>
      </c>
      <c r="M152" s="1" t="s">
        <v>47</v>
      </c>
      <c r="N152" s="3">
        <v>913363107</v>
      </c>
      <c r="O152" s="1" t="s">
        <v>48</v>
      </c>
      <c r="P152" s="1" t="s">
        <v>980</v>
      </c>
      <c r="Q152" s="4">
        <v>1.4290000000000001</v>
      </c>
      <c r="R152" s="4">
        <v>1.4290000000000001</v>
      </c>
      <c r="S152" s="6">
        <v>4.1428599999999998</v>
      </c>
      <c r="T152" s="1" t="s">
        <v>50</v>
      </c>
      <c r="U152" s="1"/>
      <c r="V152" s="1"/>
      <c r="W152" s="1"/>
      <c r="X152" s="5">
        <v>115</v>
      </c>
      <c r="Y152" s="7">
        <v>9450000</v>
      </c>
      <c r="Z152" s="1"/>
      <c r="AA152" s="1"/>
      <c r="AB152" s="1"/>
      <c r="AC152" s="1"/>
      <c r="AD152" s="1"/>
      <c r="AE152" s="1" t="s">
        <v>51</v>
      </c>
      <c r="AF152" s="1" t="s">
        <v>51</v>
      </c>
      <c r="AG152" s="1" t="s">
        <v>47</v>
      </c>
      <c r="AH152" s="1"/>
      <c r="AI152" s="1"/>
      <c r="AJ152" s="3">
        <v>1</v>
      </c>
      <c r="AK152" s="1" t="s">
        <v>52</v>
      </c>
      <c r="AL152" s="3">
        <v>3</v>
      </c>
      <c r="AM152" s="8">
        <v>37</v>
      </c>
      <c r="AN152" s="1"/>
      <c r="AO152" s="1" t="s">
        <v>981</v>
      </c>
      <c r="AP152" s="1" t="s">
        <v>160</v>
      </c>
      <c r="AQ152" s="1" t="s">
        <v>982</v>
      </c>
      <c r="AR152" s="1" t="s">
        <v>983</v>
      </c>
    </row>
    <row r="153">
      <c r="A153" s="2">
        <f ca="1">DATE(1999,12,17)</f>
        <v>0</v>
      </c>
      <c r="B153" s="2">
        <f ca="1">DATE(2000,03,16)</f>
        <v>0</v>
      </c>
      <c r="C153" s="1" t="s">
        <v>978</v>
      </c>
      <c r="D153" s="3">
        <v>4813</v>
      </c>
      <c r="E153" s="1" t="s">
        <v>43</v>
      </c>
      <c r="F153" s="1" t="s">
        <v>979</v>
      </c>
      <c r="G153" s="1" t="s">
        <v>160</v>
      </c>
      <c r="H153" s="4">
        <v>0.97999999999999998</v>
      </c>
      <c r="I153" s="8">
        <v>7</v>
      </c>
      <c r="J153" s="5">
        <v>21.699999999999999</v>
      </c>
      <c r="K153" s="8">
        <v>14</v>
      </c>
      <c r="L153" s="1" t="s">
        <v>58</v>
      </c>
      <c r="M153" s="1" t="s">
        <v>47</v>
      </c>
      <c r="N153" s="3">
        <v>913363107</v>
      </c>
      <c r="O153" s="1" t="s">
        <v>48</v>
      </c>
      <c r="P153" s="1" t="s">
        <v>984</v>
      </c>
      <c r="Q153" s="4">
        <v>1.4299999999999999</v>
      </c>
      <c r="R153" s="4">
        <v>1.4299999999999999</v>
      </c>
      <c r="S153" s="8">
        <v>4.1399999999999997</v>
      </c>
      <c r="T153" s="1" t="s">
        <v>60</v>
      </c>
      <c r="U153" s="1"/>
      <c r="V153" s="1"/>
      <c r="W153" s="1"/>
      <c r="X153" s="1"/>
      <c r="Y153" s="7">
        <v>1550000</v>
      </c>
      <c r="Z153" s="1"/>
      <c r="AA153" s="1"/>
      <c r="AB153" s="1"/>
      <c r="AC153" s="1"/>
      <c r="AD153" s="1"/>
      <c r="AE153" s="1" t="s">
        <v>51</v>
      </c>
      <c r="AF153" s="1" t="s">
        <v>51</v>
      </c>
      <c r="AG153" s="1" t="s">
        <v>47</v>
      </c>
      <c r="AH153" s="1"/>
      <c r="AI153" s="1"/>
      <c r="AJ153" s="3">
        <v>1</v>
      </c>
      <c r="AK153" s="1" t="s">
        <v>52</v>
      </c>
      <c r="AL153" s="3">
        <v>1</v>
      </c>
      <c r="AM153" s="1"/>
      <c r="AN153" s="1"/>
      <c r="AO153" s="1" t="s">
        <v>985</v>
      </c>
      <c r="AP153" s="1" t="s">
        <v>160</v>
      </c>
      <c r="AQ153" s="1" t="s">
        <v>160</v>
      </c>
      <c r="AR153" s="1" t="s">
        <v>187</v>
      </c>
    </row>
    <row r="154">
      <c r="A154" s="2">
        <f ca="1">DATE(1999,12,21)</f>
        <v>0</v>
      </c>
      <c r="B154" s="2">
        <f ca="1">DATE(2000,03,16)</f>
        <v>0</v>
      </c>
      <c r="C154" s="1" t="s">
        <v>986</v>
      </c>
      <c r="D154" s="3">
        <v>7375</v>
      </c>
      <c r="E154" s="1" t="s">
        <v>43</v>
      </c>
      <c r="F154" s="1" t="s">
        <v>987</v>
      </c>
      <c r="G154" s="1" t="s">
        <v>204</v>
      </c>
      <c r="H154" s="4">
        <v>2.2000000000000002</v>
      </c>
      <c r="I154" s="4">
        <v>6.4939999999999998</v>
      </c>
      <c r="J154" s="5">
        <v>84.700000000000003</v>
      </c>
      <c r="K154" s="4">
        <v>33.880000000000003</v>
      </c>
      <c r="L154" s="1" t="s">
        <v>46</v>
      </c>
      <c r="M154" s="1" t="s">
        <v>47</v>
      </c>
      <c r="N154" s="3">
        <v>916706104</v>
      </c>
      <c r="O154" s="1" t="s">
        <v>48</v>
      </c>
      <c r="P154" s="1" t="s">
        <v>988</v>
      </c>
      <c r="Q154" s="4">
        <v>1.2989999999999999</v>
      </c>
      <c r="R154" s="4">
        <v>1.2989999999999999</v>
      </c>
      <c r="S154" s="10">
        <v>3.8961000000000001</v>
      </c>
      <c r="T154" s="1" t="s">
        <v>50</v>
      </c>
      <c r="U154" s="1"/>
      <c r="V154" s="1"/>
      <c r="W154" s="1"/>
      <c r="X154" s="5">
        <v>100</v>
      </c>
      <c r="Y154" s="7">
        <v>2500000</v>
      </c>
      <c r="Z154" s="1"/>
      <c r="AA154" s="2">
        <f ca="1">DATE(2000,09,12)</f>
        <v>0</v>
      </c>
      <c r="AB154" s="4">
        <v>91.608999999999995</v>
      </c>
      <c r="AC154" s="3">
        <v>180</v>
      </c>
      <c r="AD154" s="8">
        <v>25409880</v>
      </c>
      <c r="AE154" s="1" t="s">
        <v>51</v>
      </c>
      <c r="AF154" s="1" t="s">
        <v>51</v>
      </c>
      <c r="AG154" s="1" t="s">
        <v>47</v>
      </c>
      <c r="AH154" s="1"/>
      <c r="AI154" s="1"/>
      <c r="AJ154" s="3">
        <v>1</v>
      </c>
      <c r="AK154" s="1" t="s">
        <v>52</v>
      </c>
      <c r="AL154" s="3">
        <v>4</v>
      </c>
      <c r="AM154" s="8">
        <v>26.75</v>
      </c>
      <c r="AN154" s="1"/>
      <c r="AO154" s="1" t="s">
        <v>989</v>
      </c>
      <c r="AP154" s="1" t="s">
        <v>204</v>
      </c>
      <c r="AQ154" s="1" t="s">
        <v>990</v>
      </c>
      <c r="AR154" s="1" t="s">
        <v>991</v>
      </c>
    </row>
    <row r="155">
      <c r="A155" s="2">
        <f ca="1">DATE(2000,01,18)</f>
        <v>0</v>
      </c>
      <c r="B155" s="2">
        <f ca="1">DATE(2000,03,17)</f>
        <v>0</v>
      </c>
      <c r="C155" s="1" t="s">
        <v>992</v>
      </c>
      <c r="D155" s="3">
        <v>7379</v>
      </c>
      <c r="E155" s="1" t="s">
        <v>43</v>
      </c>
      <c r="F155" s="1" t="s">
        <v>993</v>
      </c>
      <c r="G155" s="1" t="s">
        <v>122</v>
      </c>
      <c r="H155" s="4">
        <v>1.05</v>
      </c>
      <c r="I155" s="4">
        <v>7</v>
      </c>
      <c r="J155" s="5">
        <v>69</v>
      </c>
      <c r="K155" s="4">
        <v>15</v>
      </c>
      <c r="L155" s="1" t="s">
        <v>46</v>
      </c>
      <c r="M155" s="1" t="s">
        <v>47</v>
      </c>
      <c r="N155" s="1" t="s">
        <v>994</v>
      </c>
      <c r="O155" s="1" t="s">
        <v>48</v>
      </c>
      <c r="P155" s="1" t="s">
        <v>995</v>
      </c>
      <c r="Q155" s="4">
        <v>1.3999999999999999</v>
      </c>
      <c r="R155" s="4">
        <v>1.3999999999999999</v>
      </c>
      <c r="S155" s="8">
        <v>4.2000000000000002</v>
      </c>
      <c r="T155" s="1" t="s">
        <v>50</v>
      </c>
      <c r="U155" s="1"/>
      <c r="V155" s="1"/>
      <c r="W155" s="1"/>
      <c r="X155" s="5">
        <v>69</v>
      </c>
      <c r="Y155" s="7">
        <v>4600000</v>
      </c>
      <c r="Z155" s="1"/>
      <c r="AA155" s="2">
        <f ca="1">DATE(2000,09,13)</f>
        <v>0</v>
      </c>
      <c r="AB155" s="4">
        <v>76.915000000000006</v>
      </c>
      <c r="AC155" s="3">
        <v>180</v>
      </c>
      <c r="AD155" s="8">
        <v>15451545</v>
      </c>
      <c r="AE155" s="1" t="s">
        <v>51</v>
      </c>
      <c r="AF155" s="1" t="s">
        <v>51</v>
      </c>
      <c r="AG155" s="1" t="s">
        <v>47</v>
      </c>
      <c r="AH155" s="1"/>
      <c r="AI155" s="1"/>
      <c r="AJ155" s="3">
        <v>1</v>
      </c>
      <c r="AK155" s="1" t="s">
        <v>52</v>
      </c>
      <c r="AL155" s="3">
        <v>4</v>
      </c>
      <c r="AM155" s="8">
        <v>20.969999999999999</v>
      </c>
      <c r="AN155" s="1"/>
      <c r="AO155" s="1" t="s">
        <v>996</v>
      </c>
      <c r="AP155" s="1" t="s">
        <v>122</v>
      </c>
      <c r="AQ155" s="1" t="s">
        <v>997</v>
      </c>
      <c r="AR155" s="1" t="s">
        <v>998</v>
      </c>
    </row>
    <row r="156">
      <c r="A156" s="2">
        <f ca="1">DATE(1999,12,23)</f>
        <v>0</v>
      </c>
      <c r="B156" s="2">
        <f ca="1">DATE(2000,03,17)</f>
        <v>0</v>
      </c>
      <c r="C156" s="1" t="s">
        <v>999</v>
      </c>
      <c r="D156" s="3">
        <v>7374</v>
      </c>
      <c r="E156" s="1" t="s">
        <v>43</v>
      </c>
      <c r="F156" s="1" t="s">
        <v>1000</v>
      </c>
      <c r="G156" s="1" t="s">
        <v>151</v>
      </c>
      <c r="H156" s="4">
        <v>1.26</v>
      </c>
      <c r="I156" s="4">
        <v>7</v>
      </c>
      <c r="J156" s="5">
        <v>144</v>
      </c>
      <c r="K156" s="4">
        <v>18</v>
      </c>
      <c r="L156" s="1" t="s">
        <v>46</v>
      </c>
      <c r="M156" s="1" t="s">
        <v>47</v>
      </c>
      <c r="N156" s="1" t="s">
        <v>1001</v>
      </c>
      <c r="O156" s="1" t="s">
        <v>48</v>
      </c>
      <c r="P156" s="1" t="s">
        <v>1002</v>
      </c>
      <c r="Q156" s="4">
        <v>1.389</v>
      </c>
      <c r="R156" s="4">
        <v>1.444</v>
      </c>
      <c r="S156" s="6">
        <v>4.1666699999999999</v>
      </c>
      <c r="T156" s="1" t="s">
        <v>50</v>
      </c>
      <c r="U156" s="1"/>
      <c r="V156" s="1"/>
      <c r="W156" s="1"/>
      <c r="X156" s="5">
        <v>100</v>
      </c>
      <c r="Y156" s="7">
        <v>8000000</v>
      </c>
      <c r="Z156" s="1"/>
      <c r="AA156" s="2">
        <f ca="1">DATE(2000,09,13)</f>
        <v>0</v>
      </c>
      <c r="AB156" s="4">
        <v>86.763000000000005</v>
      </c>
      <c r="AC156" s="3">
        <v>180</v>
      </c>
      <c r="AD156" s="8">
        <v>52435935</v>
      </c>
      <c r="AE156" s="1" t="s">
        <v>51</v>
      </c>
      <c r="AF156" s="1" t="s">
        <v>51</v>
      </c>
      <c r="AG156" s="1" t="s">
        <v>47</v>
      </c>
      <c r="AH156" s="1"/>
      <c r="AI156" s="1"/>
      <c r="AJ156" s="3">
        <v>1</v>
      </c>
      <c r="AK156" s="1" t="s">
        <v>52</v>
      </c>
      <c r="AL156" s="3">
        <v>4</v>
      </c>
      <c r="AM156" s="8">
        <v>22.059999999999999</v>
      </c>
      <c r="AN156" s="1"/>
      <c r="AO156" s="1" t="s">
        <v>1003</v>
      </c>
      <c r="AP156" s="1" t="s">
        <v>151</v>
      </c>
      <c r="AQ156" s="1" t="s">
        <v>1004</v>
      </c>
      <c r="AR156" s="1" t="s">
        <v>1005</v>
      </c>
    </row>
    <row r="157">
      <c r="A157" s="2">
        <f ca="1">DATE(2000,01,20)</f>
        <v>0</v>
      </c>
      <c r="B157" s="2">
        <f ca="1">DATE(2000,03,20)</f>
        <v>0</v>
      </c>
      <c r="C157" s="1" t="s">
        <v>1006</v>
      </c>
      <c r="D157" s="3">
        <v>2836</v>
      </c>
      <c r="E157" s="1" t="s">
        <v>43</v>
      </c>
      <c r="F157" s="1"/>
      <c r="G157" s="1" t="s">
        <v>1007</v>
      </c>
      <c r="H157" s="4">
        <v>1.47</v>
      </c>
      <c r="I157" s="8">
        <v>7</v>
      </c>
      <c r="J157" s="5">
        <v>147.40000000000001</v>
      </c>
      <c r="K157" s="4">
        <v>21</v>
      </c>
      <c r="L157" s="1" t="s">
        <v>46</v>
      </c>
      <c r="M157" s="1" t="s">
        <v>47</v>
      </c>
      <c r="N157" s="1" t="s">
        <v>1008</v>
      </c>
      <c r="O157" s="1"/>
      <c r="P157" s="1" t="s">
        <v>1009</v>
      </c>
      <c r="Q157" s="4">
        <v>1.4290000000000001</v>
      </c>
      <c r="R157" s="4">
        <v>1.381</v>
      </c>
      <c r="S157" s="6">
        <v>4.19048</v>
      </c>
      <c r="T157" s="1" t="s">
        <v>50</v>
      </c>
      <c r="U157" s="1"/>
      <c r="V157" s="1"/>
      <c r="W157" s="1"/>
      <c r="X157" s="5">
        <v>97.799999999999997</v>
      </c>
      <c r="Y157" s="7">
        <v>7020000</v>
      </c>
      <c r="Z157" s="1"/>
      <c r="AA157" s="1"/>
      <c r="AB157" s="1"/>
      <c r="AC157" s="1"/>
      <c r="AD157" s="1"/>
      <c r="AE157" s="1" t="s">
        <v>51</v>
      </c>
      <c r="AF157" s="1" t="s">
        <v>51</v>
      </c>
      <c r="AG157" s="1" t="s">
        <v>47</v>
      </c>
      <c r="AH157" s="1"/>
      <c r="AI157" s="1"/>
      <c r="AJ157" s="3">
        <v>2</v>
      </c>
      <c r="AK157" s="1" t="s">
        <v>89</v>
      </c>
      <c r="AL157" s="3">
        <v>3</v>
      </c>
      <c r="AM157" s="8">
        <v>32.130000000000003</v>
      </c>
      <c r="AN157" s="1"/>
      <c r="AO157" s="1" t="s">
        <v>1010</v>
      </c>
      <c r="AP157" s="1" t="s">
        <v>1011</v>
      </c>
      <c r="AQ157" s="1" t="s">
        <v>1012</v>
      </c>
      <c r="AR157" s="1" t="s">
        <v>1013</v>
      </c>
    </row>
    <row r="158">
      <c r="A158" s="2">
        <f ca="1">DATE(2000,01,20)</f>
        <v>0</v>
      </c>
      <c r="B158" s="2">
        <f ca="1">DATE(2000,03,20)</f>
        <v>0</v>
      </c>
      <c r="C158" s="1" t="s">
        <v>1006</v>
      </c>
      <c r="D158" s="3">
        <v>2836</v>
      </c>
      <c r="E158" s="1" t="s">
        <v>43</v>
      </c>
      <c r="F158" s="1"/>
      <c r="G158" s="1" t="s">
        <v>96</v>
      </c>
      <c r="H158" s="4">
        <v>1.47</v>
      </c>
      <c r="I158" s="8">
        <v>7</v>
      </c>
      <c r="J158" s="5">
        <v>36.200000000000003</v>
      </c>
      <c r="K158" s="8">
        <v>21</v>
      </c>
      <c r="L158" s="1" t="s">
        <v>58</v>
      </c>
      <c r="M158" s="1" t="s">
        <v>47</v>
      </c>
      <c r="N158" s="1" t="s">
        <v>1008</v>
      </c>
      <c r="O158" s="1"/>
      <c r="P158" s="1" t="s">
        <v>1014</v>
      </c>
      <c r="Q158" s="4">
        <v>1.4290000000000001</v>
      </c>
      <c r="R158" s="4">
        <v>1.381</v>
      </c>
      <c r="S158" s="6">
        <v>4.19048</v>
      </c>
      <c r="T158" s="1" t="s">
        <v>60</v>
      </c>
      <c r="U158" s="1"/>
      <c r="V158" s="1"/>
      <c r="W158" s="1"/>
      <c r="X158" s="1"/>
      <c r="Y158" s="7">
        <v>1721739</v>
      </c>
      <c r="Z158" s="1"/>
      <c r="AA158" s="1"/>
      <c r="AB158" s="1"/>
      <c r="AC158" s="1"/>
      <c r="AD158" s="1"/>
      <c r="AE158" s="1" t="s">
        <v>51</v>
      </c>
      <c r="AF158" s="1" t="s">
        <v>51</v>
      </c>
      <c r="AG158" s="1" t="s">
        <v>47</v>
      </c>
      <c r="AH158" s="1"/>
      <c r="AI158" s="1"/>
      <c r="AJ158" s="3">
        <v>1</v>
      </c>
      <c r="AK158" s="1" t="s">
        <v>89</v>
      </c>
      <c r="AL158" s="3">
        <v>2</v>
      </c>
      <c r="AM158" s="1"/>
      <c r="AN158" s="1"/>
      <c r="AO158" s="1" t="s">
        <v>1015</v>
      </c>
      <c r="AP158" s="1" t="s">
        <v>1016</v>
      </c>
      <c r="AQ158" s="1" t="s">
        <v>1017</v>
      </c>
      <c r="AR158" s="1" t="s">
        <v>1018</v>
      </c>
    </row>
    <row r="159">
      <c r="A159" s="2">
        <f ca="1">DATE(1999,12,23)</f>
        <v>0</v>
      </c>
      <c r="B159" s="2">
        <f ca="1">DATE(2000,03,20)</f>
        <v>0</v>
      </c>
      <c r="C159" s="1" t="s">
        <v>1019</v>
      </c>
      <c r="D159" s="3">
        <v>7375</v>
      </c>
      <c r="E159" s="1" t="s">
        <v>43</v>
      </c>
      <c r="F159" s="1" t="s">
        <v>1020</v>
      </c>
      <c r="G159" s="1" t="s">
        <v>160</v>
      </c>
      <c r="H159" s="4">
        <v>0.77000000000000002</v>
      </c>
      <c r="I159" s="4">
        <v>7</v>
      </c>
      <c r="J159" s="5">
        <v>50.100000000000001</v>
      </c>
      <c r="K159" s="4">
        <v>11</v>
      </c>
      <c r="L159" s="1" t="s">
        <v>46</v>
      </c>
      <c r="M159" s="1" t="s">
        <v>47</v>
      </c>
      <c r="N159" s="1" t="s">
        <v>1021</v>
      </c>
      <c r="O159" s="1" t="s">
        <v>48</v>
      </c>
      <c r="P159" s="1" t="s">
        <v>1022</v>
      </c>
      <c r="Q159" s="4">
        <v>1.4550000000000001</v>
      </c>
      <c r="R159" s="4">
        <v>1.6359999999999999</v>
      </c>
      <c r="S159" s="6">
        <v>3.90909</v>
      </c>
      <c r="T159" s="1" t="s">
        <v>50</v>
      </c>
      <c r="U159" s="1"/>
      <c r="V159" s="1"/>
      <c r="W159" s="1"/>
      <c r="X159" s="5">
        <v>86.299999999999997</v>
      </c>
      <c r="Y159" s="7">
        <v>4550000</v>
      </c>
      <c r="Z159" s="1"/>
      <c r="AA159" s="1"/>
      <c r="AB159" s="1"/>
      <c r="AC159" s="1"/>
      <c r="AD159" s="1"/>
      <c r="AE159" s="1" t="s">
        <v>51</v>
      </c>
      <c r="AF159" s="1" t="s">
        <v>51</v>
      </c>
      <c r="AG159" s="1" t="s">
        <v>47</v>
      </c>
      <c r="AH159" s="1"/>
      <c r="AI159" s="1"/>
      <c r="AJ159" s="3">
        <v>1</v>
      </c>
      <c r="AK159" s="1" t="s">
        <v>52</v>
      </c>
      <c r="AL159" s="3">
        <v>3</v>
      </c>
      <c r="AM159" s="8">
        <v>15.310000000000001</v>
      </c>
      <c r="AN159" s="1"/>
      <c r="AO159" s="1" t="s">
        <v>1023</v>
      </c>
      <c r="AP159" s="1" t="s">
        <v>160</v>
      </c>
      <c r="AQ159" s="1" t="s">
        <v>982</v>
      </c>
      <c r="AR159" s="1" t="s">
        <v>983</v>
      </c>
    </row>
    <row r="160">
      <c r="A160" s="2">
        <f ca="1">DATE(2000,01,10)</f>
        <v>0</v>
      </c>
      <c r="B160" s="2">
        <f ca="1">DATE(2000,03,21)</f>
        <v>0</v>
      </c>
      <c r="C160" s="1" t="s">
        <v>1024</v>
      </c>
      <c r="D160" s="3">
        <v>7372</v>
      </c>
      <c r="E160" s="1" t="s">
        <v>43</v>
      </c>
      <c r="F160" s="1" t="s">
        <v>1025</v>
      </c>
      <c r="G160" s="1" t="s">
        <v>122</v>
      </c>
      <c r="H160" s="4">
        <v>0.97999999999999998</v>
      </c>
      <c r="I160" s="8">
        <v>7</v>
      </c>
      <c r="J160" s="5">
        <v>70</v>
      </c>
      <c r="K160" s="4">
        <v>14</v>
      </c>
      <c r="L160" s="1" t="s">
        <v>46</v>
      </c>
      <c r="M160" s="1" t="s">
        <v>47</v>
      </c>
      <c r="N160" s="3">
        <v>128780103</v>
      </c>
      <c r="O160" s="1" t="s">
        <v>48</v>
      </c>
      <c r="P160" s="1" t="s">
        <v>1026</v>
      </c>
      <c r="Q160" s="4">
        <v>1.4290000000000001</v>
      </c>
      <c r="R160" s="4">
        <v>1.357</v>
      </c>
      <c r="S160" s="6">
        <v>4.2142900000000001</v>
      </c>
      <c r="T160" s="1" t="s">
        <v>50</v>
      </c>
      <c r="U160" s="8">
        <v>9</v>
      </c>
      <c r="V160" s="8">
        <v>7</v>
      </c>
      <c r="W160" s="7">
        <v>5000000</v>
      </c>
      <c r="X160" s="5">
        <v>40</v>
      </c>
      <c r="Y160" s="7">
        <v>5000000</v>
      </c>
      <c r="Z160" s="1"/>
      <c r="AA160" s="2">
        <f ca="1">DATE(2000,09,17)</f>
        <v>0</v>
      </c>
      <c r="AB160" s="4">
        <v>69.620999999999995</v>
      </c>
      <c r="AC160" s="3">
        <v>180</v>
      </c>
      <c r="AD160" s="8">
        <v>26607329</v>
      </c>
      <c r="AE160" s="1" t="s">
        <v>51</v>
      </c>
      <c r="AF160" s="1" t="s">
        <v>51</v>
      </c>
      <c r="AG160" s="1" t="s">
        <v>51</v>
      </c>
      <c r="AH160" s="1"/>
      <c r="AI160" s="1"/>
      <c r="AJ160" s="3">
        <v>1</v>
      </c>
      <c r="AK160" s="1" t="s">
        <v>52</v>
      </c>
      <c r="AL160" s="3">
        <v>4</v>
      </c>
      <c r="AM160" s="8">
        <v>29.440000000000001</v>
      </c>
      <c r="AN160" s="1"/>
      <c r="AO160" s="1" t="s">
        <v>1027</v>
      </c>
      <c r="AP160" s="1" t="s">
        <v>122</v>
      </c>
      <c r="AQ160" s="1" t="s">
        <v>1028</v>
      </c>
      <c r="AR160" s="1" t="s">
        <v>1029</v>
      </c>
    </row>
    <row r="161">
      <c r="A161" s="2">
        <f ca="1">DATE(2000,01,12)</f>
        <v>0</v>
      </c>
      <c r="B161" s="2">
        <f ca="1">DATE(2000,03,22)</f>
        <v>0</v>
      </c>
      <c r="C161" s="1" t="s">
        <v>1030</v>
      </c>
      <c r="D161" s="3">
        <v>4813</v>
      </c>
      <c r="E161" s="1" t="s">
        <v>43</v>
      </c>
      <c r="F161" s="1" t="s">
        <v>1031</v>
      </c>
      <c r="G161" s="1" t="s">
        <v>122</v>
      </c>
      <c r="H161" s="4">
        <v>1.1200000000000001</v>
      </c>
      <c r="I161" s="4">
        <v>7</v>
      </c>
      <c r="J161" s="5">
        <v>64</v>
      </c>
      <c r="K161" s="4">
        <v>16</v>
      </c>
      <c r="L161" s="1" t="s">
        <v>46</v>
      </c>
      <c r="M161" s="1" t="s">
        <v>47</v>
      </c>
      <c r="N161" s="1" t="s">
        <v>1032</v>
      </c>
      <c r="O161" s="1" t="s">
        <v>48</v>
      </c>
      <c r="P161" s="1" t="s">
        <v>1033</v>
      </c>
      <c r="Q161" s="4">
        <v>1.4379999999999999</v>
      </c>
      <c r="R161" s="4">
        <v>1.375</v>
      </c>
      <c r="S161" s="10">
        <v>4.1875</v>
      </c>
      <c r="T161" s="1" t="s">
        <v>50</v>
      </c>
      <c r="U161" s="8">
        <v>14</v>
      </c>
      <c r="V161" s="8">
        <v>12</v>
      </c>
      <c r="W161" s="7">
        <v>4000000</v>
      </c>
      <c r="X161" s="5">
        <v>52</v>
      </c>
      <c r="Y161" s="7">
        <v>4000000</v>
      </c>
      <c r="Z161" s="1"/>
      <c r="AA161" s="2">
        <f ca="1">DATE(2000,09,18)</f>
        <v>0</v>
      </c>
      <c r="AB161" s="4">
        <v>72.716999999999999</v>
      </c>
      <c r="AC161" s="3">
        <v>180</v>
      </c>
      <c r="AD161" s="8">
        <v>15502615</v>
      </c>
      <c r="AE161" s="1" t="s">
        <v>51</v>
      </c>
      <c r="AF161" s="1" t="s">
        <v>51</v>
      </c>
      <c r="AG161" s="1" t="s">
        <v>47</v>
      </c>
      <c r="AH161" s="1"/>
      <c r="AI161" s="1"/>
      <c r="AJ161" s="3">
        <v>1</v>
      </c>
      <c r="AK161" s="1" t="s">
        <v>52</v>
      </c>
      <c r="AL161" s="3">
        <v>3</v>
      </c>
      <c r="AM161" s="8">
        <v>27.75</v>
      </c>
      <c r="AN161" s="1"/>
      <c r="AO161" s="1" t="s">
        <v>1034</v>
      </c>
      <c r="AP161" s="1" t="s">
        <v>122</v>
      </c>
      <c r="AQ161" s="1" t="s">
        <v>1035</v>
      </c>
      <c r="AR161" s="1" t="s">
        <v>1036</v>
      </c>
    </row>
    <row r="162">
      <c r="A162" s="2">
        <f ca="1">DATE(2000,01,13)</f>
        <v>0</v>
      </c>
      <c r="B162" s="2">
        <f ca="1">DATE(2000,03,22)</f>
        <v>0</v>
      </c>
      <c r="C162" s="1" t="s">
        <v>1037</v>
      </c>
      <c r="D162" s="3">
        <v>3674</v>
      </c>
      <c r="E162" s="1" t="s">
        <v>43</v>
      </c>
      <c r="F162" s="1" t="s">
        <v>1038</v>
      </c>
      <c r="G162" s="1" t="s">
        <v>122</v>
      </c>
      <c r="H162" s="4">
        <v>0.83999999999999997</v>
      </c>
      <c r="I162" s="8">
        <v>7</v>
      </c>
      <c r="J162" s="5">
        <v>42</v>
      </c>
      <c r="K162" s="4">
        <v>12</v>
      </c>
      <c r="L162" s="1" t="s">
        <v>46</v>
      </c>
      <c r="M162" s="1" t="s">
        <v>47</v>
      </c>
      <c r="N162" s="1" t="s">
        <v>1039</v>
      </c>
      <c r="O162" s="1" t="s">
        <v>48</v>
      </c>
      <c r="P162" s="1" t="s">
        <v>1040</v>
      </c>
      <c r="Q162" s="4">
        <v>1.25</v>
      </c>
      <c r="R162" s="4">
        <v>1.583</v>
      </c>
      <c r="S162" s="6">
        <v>4.1666699999999999</v>
      </c>
      <c r="T162" s="1" t="s">
        <v>50</v>
      </c>
      <c r="U162" s="1"/>
      <c r="V162" s="1"/>
      <c r="W162" s="1"/>
      <c r="X162" s="5">
        <v>44.299999999999997</v>
      </c>
      <c r="Y162" s="7">
        <v>3500000</v>
      </c>
      <c r="Z162" s="1"/>
      <c r="AA162" s="2">
        <f ca="1">DATE(2000,09,18)</f>
        <v>0</v>
      </c>
      <c r="AB162" s="4">
        <v>75.090999999999994</v>
      </c>
      <c r="AC162" s="3">
        <v>180</v>
      </c>
      <c r="AD162" s="8">
        <v>10551330</v>
      </c>
      <c r="AE162" s="1" t="s">
        <v>51</v>
      </c>
      <c r="AF162" s="1" t="s">
        <v>51</v>
      </c>
      <c r="AG162" s="1" t="s">
        <v>51</v>
      </c>
      <c r="AH162" s="1" t="s">
        <v>1041</v>
      </c>
      <c r="AI162" s="1" t="s">
        <v>1042</v>
      </c>
      <c r="AJ162" s="3">
        <v>1</v>
      </c>
      <c r="AK162" s="1" t="s">
        <v>52</v>
      </c>
      <c r="AL162" s="3">
        <v>3</v>
      </c>
      <c r="AM162" s="8">
        <v>21.559999999999999</v>
      </c>
      <c r="AN162" s="1"/>
      <c r="AO162" s="1" t="s">
        <v>1043</v>
      </c>
      <c r="AP162" s="1" t="s">
        <v>122</v>
      </c>
      <c r="AQ162" s="1" t="s">
        <v>1044</v>
      </c>
      <c r="AR162" s="1" t="s">
        <v>1045</v>
      </c>
    </row>
    <row r="163">
      <c r="A163" s="2">
        <f ca="1">DATE(2000,01,10)</f>
        <v>0</v>
      </c>
      <c r="B163" s="2">
        <f ca="1">DATE(2000,03,22)</f>
        <v>0</v>
      </c>
      <c r="C163" s="1" t="s">
        <v>1046</v>
      </c>
      <c r="D163" s="3">
        <v>5961</v>
      </c>
      <c r="E163" s="1" t="s">
        <v>43</v>
      </c>
      <c r="F163" s="1" t="s">
        <v>1047</v>
      </c>
      <c r="G163" s="1" t="s">
        <v>1048</v>
      </c>
      <c r="H163" s="4">
        <v>0.91000000000000003</v>
      </c>
      <c r="I163" s="4">
        <v>7</v>
      </c>
      <c r="J163" s="5">
        <v>45.5</v>
      </c>
      <c r="K163" s="4">
        <v>13</v>
      </c>
      <c r="L163" s="1" t="s">
        <v>46</v>
      </c>
      <c r="M163" s="1" t="s">
        <v>47</v>
      </c>
      <c r="N163" s="1" t="s">
        <v>1049</v>
      </c>
      <c r="O163" s="1" t="s">
        <v>48</v>
      </c>
      <c r="P163" s="1" t="s">
        <v>1050</v>
      </c>
      <c r="Q163" s="4">
        <v>1.615</v>
      </c>
      <c r="R163" s="4">
        <v>1.538</v>
      </c>
      <c r="S163" s="6">
        <v>3.8461500000000002</v>
      </c>
      <c r="T163" s="1" t="s">
        <v>50</v>
      </c>
      <c r="U163" s="8">
        <v>14</v>
      </c>
      <c r="V163" s="8">
        <v>12</v>
      </c>
      <c r="W163" s="7">
        <v>3000000</v>
      </c>
      <c r="X163" s="5">
        <v>39</v>
      </c>
      <c r="Y163" s="7">
        <v>3500000</v>
      </c>
      <c r="Z163" s="1"/>
      <c r="AA163" s="2">
        <f ca="1">DATE(2000,09,18)</f>
        <v>0</v>
      </c>
      <c r="AB163" s="4">
        <v>75.155000000000001</v>
      </c>
      <c r="AC163" s="3">
        <v>180</v>
      </c>
      <c r="AD163" s="8">
        <v>10587500</v>
      </c>
      <c r="AE163" s="1" t="s">
        <v>51</v>
      </c>
      <c r="AF163" s="1" t="s">
        <v>51</v>
      </c>
      <c r="AG163" s="1" t="s">
        <v>51</v>
      </c>
      <c r="AH163" s="1"/>
      <c r="AI163" s="1"/>
      <c r="AJ163" s="3">
        <v>1</v>
      </c>
      <c r="AK163" s="1" t="s">
        <v>52</v>
      </c>
      <c r="AL163" s="3">
        <v>2</v>
      </c>
      <c r="AM163" s="8">
        <v>11.380000000000001</v>
      </c>
      <c r="AN163" s="1"/>
      <c r="AO163" s="1" t="s">
        <v>1051</v>
      </c>
      <c r="AP163" s="1" t="s">
        <v>1048</v>
      </c>
      <c r="AQ163" s="1" t="s">
        <v>1052</v>
      </c>
      <c r="AR163" s="1" t="s">
        <v>1053</v>
      </c>
    </row>
    <row r="164">
      <c r="A164" s="2">
        <f ca="1">DATE(2000,02,29)</f>
        <v>0</v>
      </c>
      <c r="B164" s="2">
        <f ca="1">DATE(2000,03,22)</f>
        <v>0</v>
      </c>
      <c r="C164" s="1" t="s">
        <v>1054</v>
      </c>
      <c r="D164" s="3">
        <v>3661</v>
      </c>
      <c r="E164" s="1" t="s">
        <v>934</v>
      </c>
      <c r="F164" s="1" t="s">
        <v>1055</v>
      </c>
      <c r="G164" s="1" t="s">
        <v>1056</v>
      </c>
      <c r="H164" s="4">
        <v>1.3999999999999999</v>
      </c>
      <c r="I164" s="8">
        <v>7</v>
      </c>
      <c r="J164" s="5">
        <v>100</v>
      </c>
      <c r="K164" s="4">
        <v>20</v>
      </c>
      <c r="L164" s="1" t="s">
        <v>1057</v>
      </c>
      <c r="M164" s="1" t="s">
        <v>47</v>
      </c>
      <c r="N164" s="1" t="s">
        <v>1058</v>
      </c>
      <c r="O164" s="1" t="s">
        <v>48</v>
      </c>
      <c r="P164" s="1" t="s">
        <v>1059</v>
      </c>
      <c r="Q164" s="4">
        <v>1.3999999999999999</v>
      </c>
      <c r="R164" s="4">
        <v>1.1000000000000001</v>
      </c>
      <c r="S164" s="8">
        <v>4.5</v>
      </c>
      <c r="T164" s="1" t="s">
        <v>50</v>
      </c>
      <c r="U164" s="8">
        <v>17</v>
      </c>
      <c r="V164" s="8">
        <v>15</v>
      </c>
      <c r="W164" s="7">
        <v>4500000</v>
      </c>
      <c r="X164" s="5">
        <v>72</v>
      </c>
      <c r="Y164" s="7">
        <v>5000000</v>
      </c>
      <c r="Z164" s="1"/>
      <c r="AA164" s="2">
        <f ca="1">DATE(2000,09,18)</f>
        <v>0</v>
      </c>
      <c r="AB164" s="4">
        <v>1.452</v>
      </c>
      <c r="AC164" s="3">
        <v>180</v>
      </c>
      <c r="AD164" s="8">
        <v>242704</v>
      </c>
      <c r="AE164" s="1" t="s">
        <v>51</v>
      </c>
      <c r="AF164" s="1" t="s">
        <v>51</v>
      </c>
      <c r="AG164" s="1" t="s">
        <v>47</v>
      </c>
      <c r="AH164" s="1"/>
      <c r="AI164" s="1"/>
      <c r="AJ164" s="3">
        <v>1</v>
      </c>
      <c r="AK164" s="1" t="s">
        <v>52</v>
      </c>
      <c r="AL164" s="3">
        <v>3</v>
      </c>
      <c r="AM164" s="8">
        <v>39.810000000000002</v>
      </c>
      <c r="AN164" s="1"/>
      <c r="AO164" s="1" t="s">
        <v>1060</v>
      </c>
      <c r="AP164" s="1" t="s">
        <v>1056</v>
      </c>
      <c r="AQ164" s="1" t="s">
        <v>1061</v>
      </c>
      <c r="AR164" s="1" t="s">
        <v>1062</v>
      </c>
    </row>
    <row r="165">
      <c r="A165" s="2">
        <f ca="1">DATE(2000,01,14)</f>
        <v>0</v>
      </c>
      <c r="B165" s="2">
        <f ca="1">DATE(2000,03,23)</f>
        <v>0</v>
      </c>
      <c r="C165" s="1" t="s">
        <v>1063</v>
      </c>
      <c r="D165" s="3">
        <v>7372</v>
      </c>
      <c r="E165" s="1" t="s">
        <v>43</v>
      </c>
      <c r="F165" s="1"/>
      <c r="G165" s="1" t="s">
        <v>96</v>
      </c>
      <c r="H165" s="4">
        <v>1.05</v>
      </c>
      <c r="I165" s="4">
        <v>7</v>
      </c>
      <c r="J165" s="5">
        <v>46.799999999999997</v>
      </c>
      <c r="K165" s="4">
        <v>15</v>
      </c>
      <c r="L165" s="1" t="s">
        <v>46</v>
      </c>
      <c r="M165" s="1" t="s">
        <v>47</v>
      </c>
      <c r="N165" s="3">
        <v>294352109</v>
      </c>
      <c r="O165" s="1"/>
      <c r="P165" s="1" t="s">
        <v>1064</v>
      </c>
      <c r="Q165" s="4">
        <v>1.3999999999999999</v>
      </c>
      <c r="R165" s="4">
        <v>1.3999999999999999</v>
      </c>
      <c r="S165" s="8">
        <v>4.2000000000000002</v>
      </c>
      <c r="T165" s="1" t="s">
        <v>50</v>
      </c>
      <c r="U165" s="1"/>
      <c r="V165" s="1"/>
      <c r="W165" s="1"/>
      <c r="X165" s="1"/>
      <c r="Y165" s="7">
        <v>3120000</v>
      </c>
      <c r="Z165" s="1"/>
      <c r="AA165" s="1"/>
      <c r="AB165" s="1"/>
      <c r="AC165" s="1"/>
      <c r="AD165" s="1"/>
      <c r="AE165" s="1" t="s">
        <v>51</v>
      </c>
      <c r="AF165" s="1" t="s">
        <v>51</v>
      </c>
      <c r="AG165" s="1" t="s">
        <v>47</v>
      </c>
      <c r="AH165" s="1"/>
      <c r="AI165" s="1"/>
      <c r="AJ165" s="3">
        <v>1</v>
      </c>
      <c r="AK165" s="1" t="s">
        <v>52</v>
      </c>
      <c r="AL165" s="3">
        <v>3</v>
      </c>
      <c r="AM165" s="8">
        <v>25.25</v>
      </c>
      <c r="AN165" s="1"/>
      <c r="AO165" s="1" t="s">
        <v>1065</v>
      </c>
      <c r="AP165" s="1" t="s">
        <v>96</v>
      </c>
      <c r="AQ165" s="1" t="s">
        <v>1066</v>
      </c>
      <c r="AR165" s="1" t="s">
        <v>1067</v>
      </c>
    </row>
    <row r="166">
      <c r="A166" s="2">
        <f ca="1">DATE(2000,01,14)</f>
        <v>0</v>
      </c>
      <c r="B166" s="2">
        <f ca="1">DATE(2000,03,23)</f>
        <v>0</v>
      </c>
      <c r="C166" s="1" t="s">
        <v>1063</v>
      </c>
      <c r="D166" s="3">
        <v>7372</v>
      </c>
      <c r="E166" s="1" t="s">
        <v>43</v>
      </c>
      <c r="F166" s="1"/>
      <c r="G166" s="1" t="s">
        <v>765</v>
      </c>
      <c r="H166" s="4">
        <v>1.05</v>
      </c>
      <c r="I166" s="4">
        <v>7</v>
      </c>
      <c r="J166" s="5">
        <v>11.5</v>
      </c>
      <c r="K166" s="8">
        <v>15</v>
      </c>
      <c r="L166" s="1" t="s">
        <v>58</v>
      </c>
      <c r="M166" s="1" t="s">
        <v>47</v>
      </c>
      <c r="N166" s="3">
        <v>294352109</v>
      </c>
      <c r="O166" s="1"/>
      <c r="P166" s="1" t="s">
        <v>1068</v>
      </c>
      <c r="Q166" s="4">
        <v>1.3999999999999999</v>
      </c>
      <c r="R166" s="4">
        <v>1.3999999999999999</v>
      </c>
      <c r="S166" s="8">
        <v>4.2000000000000002</v>
      </c>
      <c r="T166" s="1" t="s">
        <v>60</v>
      </c>
      <c r="U166" s="1"/>
      <c r="V166" s="1"/>
      <c r="W166" s="1"/>
      <c r="X166" s="1"/>
      <c r="Y166" s="7">
        <v>765217</v>
      </c>
      <c r="Z166" s="1"/>
      <c r="AA166" s="1"/>
      <c r="AB166" s="1"/>
      <c r="AC166" s="1"/>
      <c r="AD166" s="1"/>
      <c r="AE166" s="1" t="s">
        <v>51</v>
      </c>
      <c r="AF166" s="1" t="s">
        <v>51</v>
      </c>
      <c r="AG166" s="1" t="s">
        <v>47</v>
      </c>
      <c r="AH166" s="1"/>
      <c r="AI166" s="1"/>
      <c r="AJ166" s="3">
        <v>1</v>
      </c>
      <c r="AK166" s="1" t="s">
        <v>52</v>
      </c>
      <c r="AL166" s="3">
        <v>1</v>
      </c>
      <c r="AM166" s="1"/>
      <c r="AN166" s="1"/>
      <c r="AO166" s="1" t="s">
        <v>1069</v>
      </c>
      <c r="AP166" s="1" t="s">
        <v>765</v>
      </c>
      <c r="AQ166" s="1" t="s">
        <v>765</v>
      </c>
      <c r="AR166" s="1" t="s">
        <v>768</v>
      </c>
    </row>
    <row r="167">
      <c r="A167" s="2">
        <f ca="1">DATE(2000,01,18)</f>
        <v>0</v>
      </c>
      <c r="B167" s="2">
        <f ca="1">DATE(2000,03,23)</f>
        <v>0</v>
      </c>
      <c r="C167" s="1" t="s">
        <v>1070</v>
      </c>
      <c r="D167" s="3">
        <v>3674</v>
      </c>
      <c r="E167" s="1" t="s">
        <v>43</v>
      </c>
      <c r="F167" s="1" t="s">
        <v>1071</v>
      </c>
      <c r="G167" s="1" t="s">
        <v>106</v>
      </c>
      <c r="H167" s="4">
        <v>2.1699999999999999</v>
      </c>
      <c r="I167" s="8">
        <v>7</v>
      </c>
      <c r="J167" s="5">
        <v>83.700000000000003</v>
      </c>
      <c r="K167" s="4">
        <v>31</v>
      </c>
      <c r="L167" s="1" t="s">
        <v>46</v>
      </c>
      <c r="M167" s="1" t="s">
        <v>47</v>
      </c>
      <c r="N167" s="3">
        <v>826919102</v>
      </c>
      <c r="O167" s="1" t="s">
        <v>48</v>
      </c>
      <c r="P167" s="1" t="s">
        <v>1072</v>
      </c>
      <c r="Q167" s="4">
        <v>1.419</v>
      </c>
      <c r="R167" s="4">
        <v>1.032</v>
      </c>
      <c r="S167" s="6">
        <v>4.5483900000000004</v>
      </c>
      <c r="T167" s="1" t="s">
        <v>50</v>
      </c>
      <c r="U167" s="1"/>
      <c r="V167" s="1"/>
      <c r="W167" s="1"/>
      <c r="X167" s="5">
        <v>80</v>
      </c>
      <c r="Y167" s="7">
        <v>2295000</v>
      </c>
      <c r="Z167" s="7">
        <v>405000</v>
      </c>
      <c r="AA167" s="1"/>
      <c r="AB167" s="1"/>
      <c r="AC167" s="1"/>
      <c r="AD167" s="1"/>
      <c r="AE167" s="1" t="s">
        <v>51</v>
      </c>
      <c r="AF167" s="1" t="s">
        <v>51</v>
      </c>
      <c r="AG167" s="1" t="s">
        <v>47</v>
      </c>
      <c r="AH167" s="1"/>
      <c r="AI167" s="1"/>
      <c r="AJ167" s="3">
        <v>1</v>
      </c>
      <c r="AK167" s="1" t="s">
        <v>52</v>
      </c>
      <c r="AL167" s="3">
        <v>3</v>
      </c>
      <c r="AM167" s="8">
        <v>69.379999999999995</v>
      </c>
      <c r="AN167" s="1"/>
      <c r="AO167" s="1" t="s">
        <v>1073</v>
      </c>
      <c r="AP167" s="1" t="s">
        <v>106</v>
      </c>
      <c r="AQ167" s="1" t="s">
        <v>1074</v>
      </c>
      <c r="AR167" s="1" t="s">
        <v>1075</v>
      </c>
    </row>
    <row r="168">
      <c r="A168" s="2">
        <f ca="1">DATE(2000,01,18)</f>
        <v>0</v>
      </c>
      <c r="B168" s="2">
        <f ca="1">DATE(2000,03,23)</f>
        <v>0</v>
      </c>
      <c r="C168" s="1" t="s">
        <v>1070</v>
      </c>
      <c r="D168" s="3">
        <v>3674</v>
      </c>
      <c r="E168" s="1" t="s">
        <v>43</v>
      </c>
      <c r="F168" s="1" t="s">
        <v>1071</v>
      </c>
      <c r="G168" s="1" t="s">
        <v>106</v>
      </c>
      <c r="H168" s="4">
        <v>2.1699999999999999</v>
      </c>
      <c r="I168" s="8">
        <v>7</v>
      </c>
      <c r="J168" s="5">
        <v>15.5</v>
      </c>
      <c r="K168" s="8">
        <v>31</v>
      </c>
      <c r="L168" s="1" t="s">
        <v>58</v>
      </c>
      <c r="M168" s="1" t="s">
        <v>47</v>
      </c>
      <c r="N168" s="1"/>
      <c r="O168" s="1" t="s">
        <v>48</v>
      </c>
      <c r="P168" s="1" t="s">
        <v>1076</v>
      </c>
      <c r="Q168" s="1" t="s">
        <v>145</v>
      </c>
      <c r="R168" s="1" t="s">
        <v>145</v>
      </c>
      <c r="S168" s="1"/>
      <c r="T168" s="1" t="s">
        <v>60</v>
      </c>
      <c r="U168" s="1"/>
      <c r="V168" s="1"/>
      <c r="W168" s="1"/>
      <c r="X168" s="1"/>
      <c r="Y168" s="7">
        <v>500000</v>
      </c>
      <c r="Z168" s="1"/>
      <c r="AA168" s="1"/>
      <c r="AB168" s="1"/>
      <c r="AC168" s="1"/>
      <c r="AD168" s="1"/>
      <c r="AE168" s="1" t="s">
        <v>51</v>
      </c>
      <c r="AF168" s="1" t="s">
        <v>51</v>
      </c>
      <c r="AG168" s="1" t="s">
        <v>47</v>
      </c>
      <c r="AH168" s="1"/>
      <c r="AI168" s="1"/>
      <c r="AJ168" s="3">
        <v>1</v>
      </c>
      <c r="AK168" s="1" t="s">
        <v>52</v>
      </c>
      <c r="AL168" s="3">
        <v>1</v>
      </c>
      <c r="AM168" s="1"/>
      <c r="AN168" s="1"/>
      <c r="AO168" s="1" t="s">
        <v>1077</v>
      </c>
      <c r="AP168" s="1" t="s">
        <v>106</v>
      </c>
      <c r="AQ168" s="1" t="s">
        <v>106</v>
      </c>
      <c r="AR168" s="1" t="s">
        <v>214</v>
      </c>
    </row>
    <row r="169">
      <c r="A169" s="2">
        <f ca="1">DATE(1999,09,29)</f>
        <v>0</v>
      </c>
      <c r="B169" s="2">
        <f ca="1">DATE(2000,03,23)</f>
        <v>0</v>
      </c>
      <c r="C169" s="1" t="s">
        <v>1078</v>
      </c>
      <c r="D169" s="3">
        <v>6321</v>
      </c>
      <c r="E169" s="1" t="s">
        <v>166</v>
      </c>
      <c r="F169" s="1" t="s">
        <v>1079</v>
      </c>
      <c r="G169" s="1" t="s">
        <v>106</v>
      </c>
      <c r="H169" s="4">
        <v>0.34000000000000002</v>
      </c>
      <c r="I169" s="4">
        <v>4</v>
      </c>
      <c r="J169" s="5">
        <v>305.19999999999999</v>
      </c>
      <c r="K169" s="4">
        <v>8.5</v>
      </c>
      <c r="L169" s="1" t="s">
        <v>1057</v>
      </c>
      <c r="M169" s="1" t="s">
        <v>47</v>
      </c>
      <c r="N169" s="3">
        <v>866796105</v>
      </c>
      <c r="O169" s="1" t="s">
        <v>108</v>
      </c>
      <c r="P169" s="1" t="s">
        <v>1080</v>
      </c>
      <c r="Q169" s="1" t="s">
        <v>145</v>
      </c>
      <c r="R169" s="1" t="s">
        <v>145</v>
      </c>
      <c r="S169" s="1"/>
      <c r="T169" s="1" t="s">
        <v>50</v>
      </c>
      <c r="U169" s="1"/>
      <c r="V169" s="1"/>
      <c r="W169" s="1"/>
      <c r="X169" s="1"/>
      <c r="Y169" s="7">
        <v>11500000</v>
      </c>
      <c r="Z169" s="7">
        <v>24400729</v>
      </c>
      <c r="AA169" s="1"/>
      <c r="AB169" s="1"/>
      <c r="AC169" s="1"/>
      <c r="AD169" s="1"/>
      <c r="AE169" s="1" t="s">
        <v>51</v>
      </c>
      <c r="AF169" s="1" t="s">
        <v>51</v>
      </c>
      <c r="AG169" s="1" t="s">
        <v>51</v>
      </c>
      <c r="AH169" s="1"/>
      <c r="AI169" s="1"/>
      <c r="AJ169" s="3">
        <v>1</v>
      </c>
      <c r="AK169" s="1" t="s">
        <v>89</v>
      </c>
      <c r="AL169" s="3">
        <v>9</v>
      </c>
      <c r="AM169" s="8">
        <v>9.3800000000000008</v>
      </c>
      <c r="AN169" s="1"/>
      <c r="AO169" s="1" t="s">
        <v>1081</v>
      </c>
      <c r="AP169" s="1" t="s">
        <v>1082</v>
      </c>
      <c r="AQ169" s="1" t="s">
        <v>1083</v>
      </c>
      <c r="AR169" s="1" t="s">
        <v>1084</v>
      </c>
    </row>
    <row r="170">
      <c r="A170" s="2">
        <f ca="1">DATE(1999,09,29)</f>
        <v>0</v>
      </c>
      <c r="B170" s="2">
        <f ca="1">DATE(2000,03,23)</f>
        <v>0</v>
      </c>
      <c r="C170" s="1" t="s">
        <v>1078</v>
      </c>
      <c r="D170" s="3">
        <v>6321</v>
      </c>
      <c r="E170" s="1" t="s">
        <v>166</v>
      </c>
      <c r="F170" s="1" t="s">
        <v>1079</v>
      </c>
      <c r="G170" s="1" t="s">
        <v>106</v>
      </c>
      <c r="H170" s="5">
        <v>0.5</v>
      </c>
      <c r="I170" s="4">
        <v>4</v>
      </c>
      <c r="J170" s="5">
        <v>793.29999999999995</v>
      </c>
      <c r="K170" s="4">
        <v>12.5</v>
      </c>
      <c r="L170" s="1" t="s">
        <v>1057</v>
      </c>
      <c r="M170" s="1" t="s">
        <v>47</v>
      </c>
      <c r="N170" s="3">
        <v>866796105</v>
      </c>
      <c r="O170" s="1" t="s">
        <v>108</v>
      </c>
      <c r="P170" s="1" t="s">
        <v>1080</v>
      </c>
      <c r="Q170" s="1"/>
      <c r="R170" s="1"/>
      <c r="S170" s="1"/>
      <c r="T170" s="1" t="s">
        <v>175</v>
      </c>
      <c r="U170" s="1"/>
      <c r="V170" s="1"/>
      <c r="W170" s="1"/>
      <c r="X170" s="1"/>
      <c r="Y170" s="1"/>
      <c r="Z170" s="1"/>
      <c r="AA170" s="1"/>
      <c r="AB170" s="1"/>
      <c r="AC170" s="1"/>
      <c r="AD170" s="1"/>
      <c r="AE170" s="1"/>
      <c r="AF170" s="1" t="s">
        <v>51</v>
      </c>
      <c r="AG170" s="1" t="s">
        <v>51</v>
      </c>
      <c r="AH170" s="1"/>
      <c r="AI170" s="1"/>
      <c r="AJ170" s="3">
        <v>1</v>
      </c>
      <c r="AK170" s="1" t="s">
        <v>89</v>
      </c>
      <c r="AL170" s="3">
        <v>9</v>
      </c>
      <c r="AM170" s="1"/>
      <c r="AN170" s="1"/>
      <c r="AO170" s="1" t="s">
        <v>1081</v>
      </c>
      <c r="AP170" s="1" t="s">
        <v>1082</v>
      </c>
      <c r="AQ170" s="1" t="s">
        <v>1083</v>
      </c>
      <c r="AR170" s="1" t="s">
        <v>1084</v>
      </c>
    </row>
    <row r="171">
      <c r="A171" s="2">
        <f ca="1">DATE(2000,01,10)</f>
        <v>0</v>
      </c>
      <c r="B171" s="2">
        <f ca="1">DATE(2000,03,23)</f>
        <v>0</v>
      </c>
      <c r="C171" s="1" t="s">
        <v>1085</v>
      </c>
      <c r="D171" s="3">
        <v>3672</v>
      </c>
      <c r="E171" s="1" t="s">
        <v>43</v>
      </c>
      <c r="F171" s="1" t="s">
        <v>1086</v>
      </c>
      <c r="G171" s="1" t="s">
        <v>106</v>
      </c>
      <c r="H171" s="4">
        <v>1.155</v>
      </c>
      <c r="I171" s="4">
        <v>5.5</v>
      </c>
      <c r="J171" s="5">
        <v>781.20000000000005</v>
      </c>
      <c r="K171" s="4">
        <v>21</v>
      </c>
      <c r="L171" s="1" t="s">
        <v>46</v>
      </c>
      <c r="M171" s="1" t="s">
        <v>47</v>
      </c>
      <c r="N171" s="1" t="s">
        <v>1087</v>
      </c>
      <c r="O171" s="1" t="s">
        <v>108</v>
      </c>
      <c r="P171" s="1" t="s">
        <v>1088</v>
      </c>
      <c r="Q171" s="4">
        <v>1.095</v>
      </c>
      <c r="R171" s="4">
        <v>0.83299999999999996</v>
      </c>
      <c r="S171" s="6">
        <v>3.5714299999999999</v>
      </c>
      <c r="T171" s="1" t="s">
        <v>50</v>
      </c>
      <c r="U171" s="1"/>
      <c r="V171" s="1"/>
      <c r="W171" s="1"/>
      <c r="X171" s="5">
        <v>500</v>
      </c>
      <c r="Y171" s="7">
        <v>37200000</v>
      </c>
      <c r="Z171" s="1"/>
      <c r="AA171" s="1"/>
      <c r="AB171" s="1"/>
      <c r="AC171" s="1"/>
      <c r="AD171" s="1"/>
      <c r="AE171" s="1" t="s">
        <v>51</v>
      </c>
      <c r="AF171" s="1" t="s">
        <v>51</v>
      </c>
      <c r="AG171" s="1" t="s">
        <v>51</v>
      </c>
      <c r="AH171" s="1"/>
      <c r="AI171" s="1"/>
      <c r="AJ171" s="3">
        <v>1</v>
      </c>
      <c r="AK171" s="1" t="s">
        <v>52</v>
      </c>
      <c r="AL171" s="3">
        <v>9</v>
      </c>
      <c r="AM171" s="8">
        <v>19.25</v>
      </c>
      <c r="AN171" s="1"/>
      <c r="AO171" s="1" t="s">
        <v>1089</v>
      </c>
      <c r="AP171" s="1" t="s">
        <v>106</v>
      </c>
      <c r="AQ171" s="1" t="s">
        <v>1090</v>
      </c>
      <c r="AR171" s="1" t="s">
        <v>1091</v>
      </c>
    </row>
    <row r="172">
      <c r="A172" s="2">
        <f ca="1">DATE(2000,03,23)</f>
        <v>0</v>
      </c>
      <c r="B172" s="2">
        <f ca="1">DATE(2000,03,23)</f>
        <v>0</v>
      </c>
      <c r="C172" s="1" t="s">
        <v>1085</v>
      </c>
      <c r="D172" s="3">
        <v>3672</v>
      </c>
      <c r="E172" s="1" t="s">
        <v>43</v>
      </c>
      <c r="F172" s="1" t="s">
        <v>1086</v>
      </c>
      <c r="G172" s="1" t="s">
        <v>106</v>
      </c>
      <c r="H172" s="4">
        <v>1.155</v>
      </c>
      <c r="I172" s="4">
        <v>5.5</v>
      </c>
      <c r="J172" s="5">
        <v>142.80000000000001</v>
      </c>
      <c r="K172" s="8">
        <v>21</v>
      </c>
      <c r="L172" s="1" t="s">
        <v>58</v>
      </c>
      <c r="M172" s="1" t="s">
        <v>47</v>
      </c>
      <c r="N172" s="3">
        <v>590049102</v>
      </c>
      <c r="O172" s="1" t="s">
        <v>108</v>
      </c>
      <c r="P172" s="1" t="s">
        <v>1092</v>
      </c>
      <c r="Q172" s="1" t="s">
        <v>145</v>
      </c>
      <c r="R172" s="1" t="s">
        <v>145</v>
      </c>
      <c r="S172" s="1"/>
      <c r="T172" s="1" t="s">
        <v>60</v>
      </c>
      <c r="U172" s="1"/>
      <c r="V172" s="1"/>
      <c r="W172" s="1"/>
      <c r="X172" s="1"/>
      <c r="Y172" s="7">
        <v>6800000</v>
      </c>
      <c r="Z172" s="1"/>
      <c r="AA172" s="1"/>
      <c r="AB172" s="1"/>
      <c r="AC172" s="1"/>
      <c r="AD172" s="1"/>
      <c r="AE172" s="1" t="s">
        <v>51</v>
      </c>
      <c r="AF172" s="1" t="s">
        <v>51</v>
      </c>
      <c r="AG172" s="1" t="s">
        <v>51</v>
      </c>
      <c r="AH172" s="1"/>
      <c r="AI172" s="1"/>
      <c r="AJ172" s="3">
        <v>1</v>
      </c>
      <c r="AK172" s="1" t="s">
        <v>52</v>
      </c>
      <c r="AL172" s="3">
        <v>1</v>
      </c>
      <c r="AM172" s="1"/>
      <c r="AN172" s="1"/>
      <c r="AO172" s="1" t="s">
        <v>1093</v>
      </c>
      <c r="AP172" s="1" t="s">
        <v>106</v>
      </c>
      <c r="AQ172" s="1" t="s">
        <v>106</v>
      </c>
      <c r="AR172" s="1" t="s">
        <v>214</v>
      </c>
    </row>
    <row r="173">
      <c r="A173" s="2">
        <f ca="1">DATE(1999,08,31)</f>
        <v>0</v>
      </c>
      <c r="B173" s="2">
        <f ca="1">DATE(2000,03,24)</f>
        <v>0</v>
      </c>
      <c r="C173" s="1" t="s">
        <v>1094</v>
      </c>
      <c r="D173" s="3">
        <v>3571</v>
      </c>
      <c r="E173" s="1" t="s">
        <v>43</v>
      </c>
      <c r="F173" s="1" t="s">
        <v>1095</v>
      </c>
      <c r="G173" s="1" t="s">
        <v>239</v>
      </c>
      <c r="H173" s="4">
        <v>0.63</v>
      </c>
      <c r="I173" s="4">
        <v>7</v>
      </c>
      <c r="J173" s="5">
        <v>144</v>
      </c>
      <c r="K173" s="4">
        <v>9</v>
      </c>
      <c r="L173" s="1" t="s">
        <v>46</v>
      </c>
      <c r="M173" s="1" t="s">
        <v>47</v>
      </c>
      <c r="N173" s="1" t="s">
        <v>1096</v>
      </c>
      <c r="O173" s="1" t="s">
        <v>48</v>
      </c>
      <c r="P173" s="1" t="s">
        <v>1097</v>
      </c>
      <c r="Q173" s="4">
        <v>1.3999999999999999</v>
      </c>
      <c r="R173" s="4">
        <v>1.3999999999999999</v>
      </c>
      <c r="S173" s="8">
        <v>4.2000000000000002</v>
      </c>
      <c r="T173" s="1" t="s">
        <v>50</v>
      </c>
      <c r="U173" s="1"/>
      <c r="V173" s="1"/>
      <c r="W173" s="1"/>
      <c r="X173" s="5">
        <v>200</v>
      </c>
      <c r="Y173" s="7">
        <v>16000000</v>
      </c>
      <c r="Z173" s="1"/>
      <c r="AA173" s="1"/>
      <c r="AB173" s="1"/>
      <c r="AC173" s="1"/>
      <c r="AD173" s="1"/>
      <c r="AE173" s="1" t="s">
        <v>51</v>
      </c>
      <c r="AF173" s="1" t="s">
        <v>51</v>
      </c>
      <c r="AG173" s="1" t="s">
        <v>47</v>
      </c>
      <c r="AH173" s="1"/>
      <c r="AI173" s="1"/>
      <c r="AJ173" s="3">
        <v>1</v>
      </c>
      <c r="AK173" s="1" t="s">
        <v>52</v>
      </c>
      <c r="AL173" s="3">
        <v>4</v>
      </c>
      <c r="AM173" s="8">
        <v>8.25</v>
      </c>
      <c r="AN173" s="1"/>
      <c r="AO173" s="1" t="s">
        <v>1098</v>
      </c>
      <c r="AP173" s="1" t="s">
        <v>239</v>
      </c>
      <c r="AQ173" s="1" t="s">
        <v>1099</v>
      </c>
      <c r="AR173" s="1" t="s">
        <v>1100</v>
      </c>
    </row>
    <row r="174">
      <c r="A174" s="2">
        <f ca="1">DATE(1999,08,31)</f>
        <v>0</v>
      </c>
      <c r="B174" s="2">
        <f ca="1">DATE(2000,03,24)</f>
        <v>0</v>
      </c>
      <c r="C174" s="1" t="s">
        <v>1094</v>
      </c>
      <c r="D174" s="3">
        <v>3571</v>
      </c>
      <c r="E174" s="1" t="s">
        <v>43</v>
      </c>
      <c r="F174" s="1" t="s">
        <v>1095</v>
      </c>
      <c r="G174" s="1" t="s">
        <v>179</v>
      </c>
      <c r="H174" s="4">
        <v>0.63</v>
      </c>
      <c r="I174" s="4">
        <v>7</v>
      </c>
      <c r="J174" s="5">
        <v>36</v>
      </c>
      <c r="K174" s="8">
        <v>9</v>
      </c>
      <c r="L174" s="1" t="s">
        <v>58</v>
      </c>
      <c r="M174" s="1" t="s">
        <v>47</v>
      </c>
      <c r="N174" s="1" t="s">
        <v>1096</v>
      </c>
      <c r="O174" s="1" t="s">
        <v>48</v>
      </c>
      <c r="P174" s="1" t="s">
        <v>1101</v>
      </c>
      <c r="Q174" s="4">
        <v>1.3999999999999999</v>
      </c>
      <c r="R174" s="4">
        <v>1.3999999999999999</v>
      </c>
      <c r="S174" s="8">
        <v>4.2000000000000002</v>
      </c>
      <c r="T174" s="1" t="s">
        <v>60</v>
      </c>
      <c r="U174" s="1"/>
      <c r="V174" s="1"/>
      <c r="W174" s="1"/>
      <c r="X174" s="5">
        <v>200</v>
      </c>
      <c r="Y174" s="7">
        <v>4000000</v>
      </c>
      <c r="Z174" s="1"/>
      <c r="AA174" s="1"/>
      <c r="AB174" s="1"/>
      <c r="AC174" s="1"/>
      <c r="AD174" s="1"/>
      <c r="AE174" s="1" t="s">
        <v>51</v>
      </c>
      <c r="AF174" s="1" t="s">
        <v>51</v>
      </c>
      <c r="AG174" s="1" t="s">
        <v>47</v>
      </c>
      <c r="AH174" s="1"/>
      <c r="AI174" s="1"/>
      <c r="AJ174" s="3">
        <v>1</v>
      </c>
      <c r="AK174" s="1" t="s">
        <v>52</v>
      </c>
      <c r="AL174" s="3">
        <v>4</v>
      </c>
      <c r="AM174" s="1"/>
      <c r="AN174" s="1"/>
      <c r="AO174" s="1" t="s">
        <v>1102</v>
      </c>
      <c r="AP174" s="1" t="s">
        <v>179</v>
      </c>
      <c r="AQ174" s="1" t="s">
        <v>1103</v>
      </c>
      <c r="AR174" s="1" t="s">
        <v>1104</v>
      </c>
    </row>
    <row r="175">
      <c r="A175" s="2">
        <f ca="1">DATE(2000,01,14)</f>
        <v>0</v>
      </c>
      <c r="B175" s="2">
        <f ca="1">DATE(2000,03,24)</f>
        <v>0</v>
      </c>
      <c r="C175" s="1" t="s">
        <v>1105</v>
      </c>
      <c r="D175" s="3">
        <v>7379</v>
      </c>
      <c r="E175" s="1" t="s">
        <v>43</v>
      </c>
      <c r="F175" s="1" t="s">
        <v>1106</v>
      </c>
      <c r="G175" s="1" t="s">
        <v>387</v>
      </c>
      <c r="H175" s="4">
        <v>0.83999999999999997</v>
      </c>
      <c r="I175" s="8">
        <v>7</v>
      </c>
      <c r="J175" s="5">
        <v>54</v>
      </c>
      <c r="K175" s="4">
        <v>12</v>
      </c>
      <c r="L175" s="1" t="s">
        <v>46</v>
      </c>
      <c r="M175" s="1" t="s">
        <v>47</v>
      </c>
      <c r="N175" s="3">
        <v>297664104</v>
      </c>
      <c r="O175" s="1" t="s">
        <v>48</v>
      </c>
      <c r="P175" s="1" t="s">
        <v>1107</v>
      </c>
      <c r="Q175" s="4">
        <v>1.417</v>
      </c>
      <c r="R175" s="4">
        <v>1.417</v>
      </c>
      <c r="S175" s="6">
        <v>4.1666699999999999</v>
      </c>
      <c r="T175" s="1" t="s">
        <v>50</v>
      </c>
      <c r="U175" s="1"/>
      <c r="V175" s="1"/>
      <c r="W175" s="1"/>
      <c r="X175" s="5">
        <v>57.5</v>
      </c>
      <c r="Y175" s="7">
        <v>4500000</v>
      </c>
      <c r="Z175" s="1"/>
      <c r="AA175" s="2">
        <f ca="1">DATE(2000,09,20)</f>
        <v>0</v>
      </c>
      <c r="AB175" s="4">
        <v>73.884</v>
      </c>
      <c r="AC175" s="3">
        <v>180</v>
      </c>
      <c r="AD175" s="8">
        <v>13399899</v>
      </c>
      <c r="AE175" s="1" t="s">
        <v>51</v>
      </c>
      <c r="AF175" s="1" t="s">
        <v>51</v>
      </c>
      <c r="AG175" s="1" t="s">
        <v>47</v>
      </c>
      <c r="AH175" s="1"/>
      <c r="AI175" s="1"/>
      <c r="AJ175" s="3">
        <v>1</v>
      </c>
      <c r="AK175" s="1" t="s">
        <v>52</v>
      </c>
      <c r="AL175" s="3">
        <v>4</v>
      </c>
      <c r="AM175" s="8">
        <v>12.75</v>
      </c>
      <c r="AN175" s="1"/>
      <c r="AO175" s="1" t="s">
        <v>1108</v>
      </c>
      <c r="AP175" s="1" t="s">
        <v>387</v>
      </c>
      <c r="AQ175" s="1" t="s">
        <v>1109</v>
      </c>
      <c r="AR175" s="1" t="s">
        <v>1110</v>
      </c>
    </row>
    <row r="176">
      <c r="A176" s="2">
        <f ca="1">DATE(2000,02,02)</f>
        <v>0</v>
      </c>
      <c r="B176" s="2">
        <f ca="1">DATE(2000,03,24)</f>
        <v>0</v>
      </c>
      <c r="C176" s="1" t="s">
        <v>1111</v>
      </c>
      <c r="D176" s="3">
        <v>2834</v>
      </c>
      <c r="E176" s="1" t="s">
        <v>43</v>
      </c>
      <c r="F176" s="1" t="s">
        <v>1112</v>
      </c>
      <c r="G176" s="1" t="s">
        <v>228</v>
      </c>
      <c r="H176" s="4">
        <v>1.3999999999999999</v>
      </c>
      <c r="I176" s="8">
        <v>7</v>
      </c>
      <c r="J176" s="5">
        <v>108</v>
      </c>
      <c r="K176" s="4">
        <v>20</v>
      </c>
      <c r="L176" s="1" t="s">
        <v>46</v>
      </c>
      <c r="M176" s="1" t="s">
        <v>47</v>
      </c>
      <c r="N176" s="1" t="s">
        <v>1113</v>
      </c>
      <c r="O176" s="1" t="s">
        <v>48</v>
      </c>
      <c r="P176" s="1" t="s">
        <v>1114</v>
      </c>
      <c r="Q176" s="4">
        <v>1.3999999999999999</v>
      </c>
      <c r="R176" s="4">
        <v>1.3999999999999999</v>
      </c>
      <c r="S176" s="8">
        <v>4.2000000000000002</v>
      </c>
      <c r="T176" s="1" t="s">
        <v>50</v>
      </c>
      <c r="U176" s="1"/>
      <c r="V176" s="1"/>
      <c r="W176" s="1"/>
      <c r="X176" s="5">
        <v>101.2</v>
      </c>
      <c r="Y176" s="7">
        <v>5401000</v>
      </c>
      <c r="Z176" s="1"/>
      <c r="AA176" s="1"/>
      <c r="AB176" s="1"/>
      <c r="AC176" s="1"/>
      <c r="AD176" s="1"/>
      <c r="AE176" s="1" t="s">
        <v>51</v>
      </c>
      <c r="AF176" s="1" t="s">
        <v>51</v>
      </c>
      <c r="AG176" s="1" t="s">
        <v>47</v>
      </c>
      <c r="AH176" s="1"/>
      <c r="AI176" s="1"/>
      <c r="AJ176" s="3">
        <v>1</v>
      </c>
      <c r="AK176" s="1" t="s">
        <v>52</v>
      </c>
      <c r="AL176" s="3">
        <v>3</v>
      </c>
      <c r="AM176" s="8">
        <v>25</v>
      </c>
      <c r="AN176" s="1"/>
      <c r="AO176" s="1" t="s">
        <v>1115</v>
      </c>
      <c r="AP176" s="1" t="s">
        <v>228</v>
      </c>
      <c r="AQ176" s="1" t="s">
        <v>1116</v>
      </c>
      <c r="AR176" s="1" t="s">
        <v>1117</v>
      </c>
    </row>
    <row r="177">
      <c r="A177" s="2">
        <f ca="1">DATE(2000,02,02)</f>
        <v>0</v>
      </c>
      <c r="B177" s="2">
        <f ca="1">DATE(2000,03,24)</f>
        <v>0</v>
      </c>
      <c r="C177" s="1" t="s">
        <v>1111</v>
      </c>
      <c r="D177" s="3">
        <v>2834</v>
      </c>
      <c r="E177" s="1" t="s">
        <v>43</v>
      </c>
      <c r="F177" s="1" t="s">
        <v>1112</v>
      </c>
      <c r="G177" s="1" t="s">
        <v>233</v>
      </c>
      <c r="H177" s="4">
        <v>1.3999999999999999</v>
      </c>
      <c r="I177" s="8">
        <v>7</v>
      </c>
      <c r="J177" s="5">
        <v>17</v>
      </c>
      <c r="K177" s="8">
        <v>20</v>
      </c>
      <c r="L177" s="1" t="s">
        <v>58</v>
      </c>
      <c r="M177" s="1" t="s">
        <v>47</v>
      </c>
      <c r="N177" s="1" t="s">
        <v>1113</v>
      </c>
      <c r="O177" s="1" t="s">
        <v>48</v>
      </c>
      <c r="P177" s="1" t="s">
        <v>1118</v>
      </c>
      <c r="Q177" s="1" t="s">
        <v>145</v>
      </c>
      <c r="R177" s="1" t="s">
        <v>145</v>
      </c>
      <c r="S177" s="1"/>
      <c r="T177" s="1" t="s">
        <v>60</v>
      </c>
      <c r="U177" s="1"/>
      <c r="V177" s="1"/>
      <c r="W177" s="1"/>
      <c r="X177" s="1"/>
      <c r="Y177" s="7">
        <v>849000</v>
      </c>
      <c r="Z177" s="1"/>
      <c r="AA177" s="1"/>
      <c r="AB177" s="1"/>
      <c r="AC177" s="1"/>
      <c r="AD177" s="1"/>
      <c r="AE177" s="1" t="s">
        <v>51</v>
      </c>
      <c r="AF177" s="1" t="s">
        <v>51</v>
      </c>
      <c r="AG177" s="1" t="s">
        <v>47</v>
      </c>
      <c r="AH177" s="1"/>
      <c r="AI177" s="1"/>
      <c r="AJ177" s="3">
        <v>1</v>
      </c>
      <c r="AK177" s="1" t="s">
        <v>52</v>
      </c>
      <c r="AL177" s="3">
        <v>2</v>
      </c>
      <c r="AM177" s="1"/>
      <c r="AN177" s="1"/>
      <c r="AO177" s="1" t="s">
        <v>1119</v>
      </c>
      <c r="AP177" s="1" t="s">
        <v>233</v>
      </c>
      <c r="AQ177" s="1" t="s">
        <v>1120</v>
      </c>
      <c r="AR177" s="1" t="s">
        <v>1121</v>
      </c>
    </row>
    <row r="178">
      <c r="A178" s="2">
        <f ca="1">DATE(2000,01,26)</f>
        <v>0</v>
      </c>
      <c r="B178" s="2">
        <f ca="1">DATE(2000,03,27)</f>
        <v>0</v>
      </c>
      <c r="C178" s="1" t="s">
        <v>1122</v>
      </c>
      <c r="D178" s="3">
        <v>2834</v>
      </c>
      <c r="E178" s="1" t="s">
        <v>43</v>
      </c>
      <c r="F178" s="1" t="s">
        <v>1123</v>
      </c>
      <c r="G178" s="1" t="s">
        <v>75</v>
      </c>
      <c r="H178" s="4">
        <v>1.26</v>
      </c>
      <c r="I178" s="4">
        <v>7</v>
      </c>
      <c r="J178" s="5">
        <v>90</v>
      </c>
      <c r="K178" s="4">
        <v>18</v>
      </c>
      <c r="L178" s="1" t="s">
        <v>46</v>
      </c>
      <c r="M178" s="1" t="s">
        <v>47</v>
      </c>
      <c r="N178" s="1" t="s">
        <v>1124</v>
      </c>
      <c r="O178" s="1" t="s">
        <v>48</v>
      </c>
      <c r="P178" s="1" t="s">
        <v>1125</v>
      </c>
      <c r="Q178" s="4">
        <v>1.389</v>
      </c>
      <c r="R178" s="4">
        <v>1.444</v>
      </c>
      <c r="S178" s="6">
        <v>4.1666699999999999</v>
      </c>
      <c r="T178" s="1" t="s">
        <v>50</v>
      </c>
      <c r="U178" s="1"/>
      <c r="V178" s="1"/>
      <c r="W178" s="1"/>
      <c r="X178" s="5">
        <v>69</v>
      </c>
      <c r="Y178" s="7">
        <v>5000000</v>
      </c>
      <c r="Z178" s="1"/>
      <c r="AA178" s="2">
        <f ca="1">DATE(2000,09,23)</f>
        <v>0</v>
      </c>
      <c r="AB178" s="4">
        <v>78.069999999999993</v>
      </c>
      <c r="AC178" s="3">
        <v>180</v>
      </c>
      <c r="AD178" s="8">
        <v>17828974</v>
      </c>
      <c r="AE178" s="1" t="s">
        <v>51</v>
      </c>
      <c r="AF178" s="1" t="s">
        <v>51</v>
      </c>
      <c r="AG178" s="1" t="s">
        <v>47</v>
      </c>
      <c r="AH178" s="1"/>
      <c r="AI178" s="1"/>
      <c r="AJ178" s="3">
        <v>1</v>
      </c>
      <c r="AK178" s="1" t="s">
        <v>52</v>
      </c>
      <c r="AL178" s="3">
        <v>3</v>
      </c>
      <c r="AM178" s="8">
        <v>13</v>
      </c>
      <c r="AN178" s="1"/>
      <c r="AO178" s="1" t="s">
        <v>1126</v>
      </c>
      <c r="AP178" s="1" t="s">
        <v>75</v>
      </c>
      <c r="AQ178" s="1" t="s">
        <v>1127</v>
      </c>
      <c r="AR178" s="1" t="s">
        <v>1128</v>
      </c>
    </row>
    <row r="179">
      <c r="A179" s="2">
        <f ca="1">DATE(1999,09,22)</f>
        <v>0</v>
      </c>
      <c r="B179" s="2">
        <f ca="1">DATE(2000,03,27)</f>
        <v>0</v>
      </c>
      <c r="C179" s="1" t="s">
        <v>1129</v>
      </c>
      <c r="D179" s="3">
        <v>7375</v>
      </c>
      <c r="E179" s="1" t="s">
        <v>43</v>
      </c>
      <c r="F179" s="1" t="s">
        <v>1130</v>
      </c>
      <c r="G179" s="1" t="s">
        <v>106</v>
      </c>
      <c r="H179" s="4">
        <v>0.83999999999999997</v>
      </c>
      <c r="I179" s="8">
        <v>7</v>
      </c>
      <c r="J179" s="5">
        <v>50.799999999999997</v>
      </c>
      <c r="K179" s="4">
        <v>12</v>
      </c>
      <c r="L179" s="1" t="s">
        <v>46</v>
      </c>
      <c r="M179" s="1" t="s">
        <v>47</v>
      </c>
      <c r="N179" s="1" t="s">
        <v>1131</v>
      </c>
      <c r="O179" s="1" t="s">
        <v>48</v>
      </c>
      <c r="P179" s="1" t="s">
        <v>1132</v>
      </c>
      <c r="Q179" s="4">
        <v>1.417</v>
      </c>
      <c r="R179" s="4">
        <v>1.417</v>
      </c>
      <c r="S179" s="6">
        <v>4.1666699999999999</v>
      </c>
      <c r="T179" s="1" t="s">
        <v>50</v>
      </c>
      <c r="U179" s="1"/>
      <c r="V179" s="1"/>
      <c r="W179" s="1"/>
      <c r="X179" s="5">
        <v>86.299999999999997</v>
      </c>
      <c r="Y179" s="7">
        <v>4235000</v>
      </c>
      <c r="Z179" s="1"/>
      <c r="AA179" s="1"/>
      <c r="AB179" s="1"/>
      <c r="AC179" s="1"/>
      <c r="AD179" s="1"/>
      <c r="AE179" s="1" t="s">
        <v>51</v>
      </c>
      <c r="AF179" s="1" t="s">
        <v>51</v>
      </c>
      <c r="AG179" s="1" t="s">
        <v>47</v>
      </c>
      <c r="AH179" s="1"/>
      <c r="AI179" s="1"/>
      <c r="AJ179" s="3">
        <v>1</v>
      </c>
      <c r="AK179" s="1" t="s">
        <v>52</v>
      </c>
      <c r="AL179" s="3">
        <v>3</v>
      </c>
      <c r="AM179" s="8">
        <v>9.4100000000000001</v>
      </c>
      <c r="AN179" s="1"/>
      <c r="AO179" s="1" t="s">
        <v>1133</v>
      </c>
      <c r="AP179" s="1" t="s">
        <v>106</v>
      </c>
      <c r="AQ179" s="1" t="s">
        <v>1134</v>
      </c>
      <c r="AR179" s="1" t="s">
        <v>1135</v>
      </c>
    </row>
    <row r="180">
      <c r="A180" s="2">
        <f ca="1">DATE(1999,09,22)</f>
        <v>0</v>
      </c>
      <c r="B180" s="2">
        <f ca="1">DATE(2000,03,27)</f>
        <v>0</v>
      </c>
      <c r="C180" s="1" t="s">
        <v>1129</v>
      </c>
      <c r="D180" s="3">
        <v>7375</v>
      </c>
      <c r="E180" s="1" t="s">
        <v>43</v>
      </c>
      <c r="F180" s="1" t="s">
        <v>1130</v>
      </c>
      <c r="G180" s="1" t="s">
        <v>106</v>
      </c>
      <c r="H180" s="4">
        <v>0.83999999999999997</v>
      </c>
      <c r="I180" s="8">
        <v>7</v>
      </c>
      <c r="J180" s="5">
        <v>9.1999999999999993</v>
      </c>
      <c r="K180" s="8">
        <v>12</v>
      </c>
      <c r="L180" s="1" t="s">
        <v>58</v>
      </c>
      <c r="M180" s="1" t="s">
        <v>47</v>
      </c>
      <c r="N180" s="1" t="s">
        <v>1131</v>
      </c>
      <c r="O180" s="1" t="s">
        <v>48</v>
      </c>
      <c r="P180" s="1" t="s">
        <v>1136</v>
      </c>
      <c r="Q180" s="1" t="s">
        <v>145</v>
      </c>
      <c r="R180" s="1" t="s">
        <v>145</v>
      </c>
      <c r="S180" s="1"/>
      <c r="T180" s="1" t="s">
        <v>60</v>
      </c>
      <c r="U180" s="1"/>
      <c r="V180" s="1"/>
      <c r="W180" s="1"/>
      <c r="X180" s="1"/>
      <c r="Y180" s="7">
        <v>765000</v>
      </c>
      <c r="Z180" s="1"/>
      <c r="AA180" s="1"/>
      <c r="AB180" s="1"/>
      <c r="AC180" s="1"/>
      <c r="AD180" s="1"/>
      <c r="AE180" s="1" t="s">
        <v>51</v>
      </c>
      <c r="AF180" s="1" t="s">
        <v>51</v>
      </c>
      <c r="AG180" s="1" t="s">
        <v>47</v>
      </c>
      <c r="AH180" s="1"/>
      <c r="AI180" s="1"/>
      <c r="AJ180" s="3">
        <v>1</v>
      </c>
      <c r="AK180" s="1" t="s">
        <v>52</v>
      </c>
      <c r="AL180" s="3">
        <v>1</v>
      </c>
      <c r="AM180" s="1"/>
      <c r="AN180" s="1"/>
      <c r="AO180" s="1" t="s">
        <v>1137</v>
      </c>
      <c r="AP180" s="1" t="s">
        <v>106</v>
      </c>
      <c r="AQ180" s="1" t="s">
        <v>106</v>
      </c>
      <c r="AR180" s="1" t="s">
        <v>214</v>
      </c>
    </row>
    <row r="181">
      <c r="A181" s="2">
        <f ca="1">DATE(2000,01,27)</f>
        <v>0</v>
      </c>
      <c r="B181" s="2">
        <f ca="1">DATE(2000,03,27)</f>
        <v>0</v>
      </c>
      <c r="C181" s="1" t="s">
        <v>1138</v>
      </c>
      <c r="D181" s="3">
        <v>2834</v>
      </c>
      <c r="E181" s="1" t="s">
        <v>43</v>
      </c>
      <c r="F181" s="1" t="s">
        <v>1139</v>
      </c>
      <c r="G181" s="1" t="s">
        <v>96</v>
      </c>
      <c r="H181" s="4">
        <v>1.05</v>
      </c>
      <c r="I181" s="4">
        <v>7</v>
      </c>
      <c r="J181" s="5">
        <v>84.400000000000006</v>
      </c>
      <c r="K181" s="4">
        <v>15</v>
      </c>
      <c r="L181" s="1" t="s">
        <v>46</v>
      </c>
      <c r="M181" s="1" t="s">
        <v>47</v>
      </c>
      <c r="N181" s="1" t="s">
        <v>1140</v>
      </c>
      <c r="O181" s="1" t="s">
        <v>48</v>
      </c>
      <c r="P181" s="1" t="s">
        <v>1141</v>
      </c>
      <c r="Q181" s="4">
        <v>1.333</v>
      </c>
      <c r="R181" s="4">
        <v>1.4670000000000001</v>
      </c>
      <c r="S181" s="8">
        <v>4.2000000000000002</v>
      </c>
      <c r="T181" s="1" t="s">
        <v>50</v>
      </c>
      <c r="U181" s="1"/>
      <c r="V181" s="1"/>
      <c r="W181" s="1"/>
      <c r="X181" s="1"/>
      <c r="Y181" s="7">
        <v>5625000</v>
      </c>
      <c r="Z181" s="1"/>
      <c r="AA181" s="1"/>
      <c r="AB181" s="1"/>
      <c r="AC181" s="1"/>
      <c r="AD181" s="1"/>
      <c r="AE181" s="1" t="s">
        <v>51</v>
      </c>
      <c r="AF181" s="1" t="s">
        <v>51</v>
      </c>
      <c r="AG181" s="1" t="s">
        <v>47</v>
      </c>
      <c r="AH181" s="1"/>
      <c r="AI181" s="1"/>
      <c r="AJ181" s="3">
        <v>1</v>
      </c>
      <c r="AK181" s="1" t="s">
        <v>52</v>
      </c>
      <c r="AL181" s="3">
        <v>4</v>
      </c>
      <c r="AM181" s="8">
        <v>15.75</v>
      </c>
      <c r="AN181" s="1"/>
      <c r="AO181" s="1" t="s">
        <v>1142</v>
      </c>
      <c r="AP181" s="1" t="s">
        <v>96</v>
      </c>
      <c r="AQ181" s="1" t="s">
        <v>1143</v>
      </c>
      <c r="AR181" s="1" t="s">
        <v>1144</v>
      </c>
    </row>
    <row r="182">
      <c r="A182" s="2">
        <f ca="1">DATE(2000,01,27)</f>
        <v>0</v>
      </c>
      <c r="B182" s="2">
        <f ca="1">DATE(2000,03,27)</f>
        <v>0</v>
      </c>
      <c r="C182" s="1" t="s">
        <v>1138</v>
      </c>
      <c r="D182" s="3">
        <v>2834</v>
      </c>
      <c r="E182" s="1" t="s">
        <v>43</v>
      </c>
      <c r="F182" s="1" t="s">
        <v>1139</v>
      </c>
      <c r="G182" s="1" t="s">
        <v>96</v>
      </c>
      <c r="H182" s="4">
        <v>1.05</v>
      </c>
      <c r="I182" s="4">
        <v>7</v>
      </c>
      <c r="J182" s="5">
        <v>28.100000000000001</v>
      </c>
      <c r="K182" s="8">
        <v>15</v>
      </c>
      <c r="L182" s="1" t="s">
        <v>58</v>
      </c>
      <c r="M182" s="1" t="s">
        <v>47</v>
      </c>
      <c r="N182" s="1"/>
      <c r="O182" s="1" t="s">
        <v>48</v>
      </c>
      <c r="P182" s="1" t="s">
        <v>1145</v>
      </c>
      <c r="Q182" s="4">
        <v>1.333</v>
      </c>
      <c r="R182" s="4">
        <v>1.4670000000000001</v>
      </c>
      <c r="S182" s="8">
        <v>4.2000000000000002</v>
      </c>
      <c r="T182" s="1" t="s">
        <v>60</v>
      </c>
      <c r="U182" s="1"/>
      <c r="V182" s="1"/>
      <c r="W182" s="1"/>
      <c r="X182" s="1"/>
      <c r="Y182" s="7">
        <v>1875000</v>
      </c>
      <c r="Z182" s="1"/>
      <c r="AA182" s="1"/>
      <c r="AB182" s="1"/>
      <c r="AC182" s="1"/>
      <c r="AD182" s="1"/>
      <c r="AE182" s="1" t="s">
        <v>51</v>
      </c>
      <c r="AF182" s="1" t="s">
        <v>51</v>
      </c>
      <c r="AG182" s="1" t="s">
        <v>47</v>
      </c>
      <c r="AH182" s="1"/>
      <c r="AI182" s="1"/>
      <c r="AJ182" s="3">
        <v>1</v>
      </c>
      <c r="AK182" s="1" t="s">
        <v>52</v>
      </c>
      <c r="AL182" s="3">
        <v>1</v>
      </c>
      <c r="AM182" s="1"/>
      <c r="AN182" s="1"/>
      <c r="AO182" s="1" t="s">
        <v>1146</v>
      </c>
      <c r="AP182" s="1" t="s">
        <v>96</v>
      </c>
      <c r="AQ182" s="1" t="s">
        <v>96</v>
      </c>
      <c r="AR182" s="1" t="s">
        <v>103</v>
      </c>
    </row>
    <row r="183">
      <c r="A183" s="2">
        <f ca="1">DATE(2000,01,24)</f>
        <v>0</v>
      </c>
      <c r="B183" s="2">
        <f ca="1">DATE(2000,03,27)</f>
        <v>0</v>
      </c>
      <c r="C183" s="1" t="s">
        <v>1147</v>
      </c>
      <c r="D183" s="3">
        <v>7372</v>
      </c>
      <c r="E183" s="1" t="s">
        <v>43</v>
      </c>
      <c r="F183" s="1" t="s">
        <v>1148</v>
      </c>
      <c r="G183" s="1" t="s">
        <v>349</v>
      </c>
      <c r="H183" s="4">
        <v>0.91000000000000003</v>
      </c>
      <c r="I183" s="4">
        <v>7</v>
      </c>
      <c r="J183" s="5">
        <v>39</v>
      </c>
      <c r="K183" s="4">
        <v>13</v>
      </c>
      <c r="L183" s="1" t="s">
        <v>46</v>
      </c>
      <c r="M183" s="1" t="s">
        <v>47</v>
      </c>
      <c r="N183" s="3">
        <v>608507109</v>
      </c>
      <c r="O183" s="1" t="s">
        <v>48</v>
      </c>
      <c r="P183" s="1" t="s">
        <v>1149</v>
      </c>
      <c r="Q183" s="4">
        <v>1.385</v>
      </c>
      <c r="R183" s="4">
        <v>1.462</v>
      </c>
      <c r="S183" s="6">
        <v>4.1538500000000003</v>
      </c>
      <c r="T183" s="1" t="s">
        <v>50</v>
      </c>
      <c r="U183" s="1"/>
      <c r="V183" s="1"/>
      <c r="W183" s="1"/>
      <c r="X183" s="5">
        <v>46</v>
      </c>
      <c r="Y183" s="7">
        <v>3000000</v>
      </c>
      <c r="Z183" s="1"/>
      <c r="AA183" s="2">
        <f ca="1">DATE(2000,09,23)</f>
        <v>0</v>
      </c>
      <c r="AB183" s="4">
        <v>66.135000000000005</v>
      </c>
      <c r="AC183" s="3">
        <v>180</v>
      </c>
      <c r="AD183" s="8">
        <v>6006048</v>
      </c>
      <c r="AE183" s="1" t="s">
        <v>51</v>
      </c>
      <c r="AF183" s="1" t="s">
        <v>51</v>
      </c>
      <c r="AG183" s="1" t="s">
        <v>47</v>
      </c>
      <c r="AH183" s="1"/>
      <c r="AI183" s="1"/>
      <c r="AJ183" s="3">
        <v>1</v>
      </c>
      <c r="AK183" s="1" t="s">
        <v>89</v>
      </c>
      <c r="AL183" s="3">
        <v>2</v>
      </c>
      <c r="AM183" s="8">
        <v>15.25</v>
      </c>
      <c r="AN183" s="1"/>
      <c r="AO183" s="1" t="s">
        <v>1150</v>
      </c>
      <c r="AP183" s="1" t="s">
        <v>1151</v>
      </c>
      <c r="AQ183" s="1" t="s">
        <v>1152</v>
      </c>
      <c r="AR183" s="1" t="s">
        <v>1153</v>
      </c>
    </row>
    <row r="184">
      <c r="A184" s="2">
        <f ca="1">DATE(2000,02,28)</f>
        <v>0</v>
      </c>
      <c r="B184" s="2">
        <f ca="1">DATE(2000,03,27)</f>
        <v>0</v>
      </c>
      <c r="C184" s="1" t="s">
        <v>1154</v>
      </c>
      <c r="D184" s="3">
        <v>1311</v>
      </c>
      <c r="E184" s="1" t="s">
        <v>744</v>
      </c>
      <c r="F184" s="1" t="s">
        <v>1155</v>
      </c>
      <c r="G184" s="1" t="s">
        <v>1156</v>
      </c>
      <c r="H184" s="1" t="s">
        <v>57</v>
      </c>
      <c r="I184" s="1" t="s">
        <v>57</v>
      </c>
      <c r="J184" s="5">
        <v>546</v>
      </c>
      <c r="K184" s="4">
        <v>16.440000000000001</v>
      </c>
      <c r="L184" s="1" t="s">
        <v>651</v>
      </c>
      <c r="M184" s="1" t="s">
        <v>47</v>
      </c>
      <c r="N184" s="1" t="s">
        <v>1157</v>
      </c>
      <c r="O184" s="1" t="s">
        <v>108</v>
      </c>
      <c r="P184" s="1" t="s">
        <v>1158</v>
      </c>
      <c r="Q184" s="1"/>
      <c r="R184" s="1"/>
      <c r="S184" s="1"/>
      <c r="T184" s="1" t="s">
        <v>50</v>
      </c>
      <c r="U184" s="1"/>
      <c r="V184" s="1"/>
      <c r="W184" s="1"/>
      <c r="X184" s="5">
        <v>100</v>
      </c>
      <c r="Y184" s="7">
        <v>33214280</v>
      </c>
      <c r="Z184" s="1"/>
      <c r="AA184" s="1"/>
      <c r="AB184" s="1"/>
      <c r="AC184" s="1"/>
      <c r="AD184" s="1"/>
      <c r="AE184" s="1" t="s">
        <v>47</v>
      </c>
      <c r="AF184" s="1" t="s">
        <v>51</v>
      </c>
      <c r="AG184" s="1" t="s">
        <v>51</v>
      </c>
      <c r="AH184" s="1"/>
      <c r="AI184" s="1" t="s">
        <v>1159</v>
      </c>
      <c r="AJ184" s="3">
        <v>2</v>
      </c>
      <c r="AK184" s="1" t="s">
        <v>89</v>
      </c>
      <c r="AL184" s="3">
        <v>5</v>
      </c>
      <c r="AM184" s="8">
        <v>15.19</v>
      </c>
      <c r="AN184" s="1"/>
      <c r="AO184" s="1" t="s">
        <v>1160</v>
      </c>
      <c r="AP184" s="1" t="s">
        <v>1161</v>
      </c>
      <c r="AQ184" s="1" t="s">
        <v>1162</v>
      </c>
      <c r="AR184" s="1" t="s">
        <v>1163</v>
      </c>
    </row>
    <row r="185">
      <c r="A185" s="2">
        <f ca="1">DATE(2000,01,28)</f>
        <v>0</v>
      </c>
      <c r="B185" s="2">
        <f ca="1">DATE(2000,03,27)</f>
        <v>0</v>
      </c>
      <c r="C185" s="1" t="s">
        <v>1164</v>
      </c>
      <c r="D185" s="3">
        <v>7372</v>
      </c>
      <c r="E185" s="1" t="s">
        <v>43</v>
      </c>
      <c r="F185" s="1" t="s">
        <v>1165</v>
      </c>
      <c r="G185" s="1" t="s">
        <v>387</v>
      </c>
      <c r="H185" s="4">
        <v>1.26</v>
      </c>
      <c r="I185" s="4">
        <v>7</v>
      </c>
      <c r="J185" s="5">
        <v>72</v>
      </c>
      <c r="K185" s="4">
        <v>18</v>
      </c>
      <c r="L185" s="1" t="s">
        <v>46</v>
      </c>
      <c r="M185" s="1" t="s">
        <v>47</v>
      </c>
      <c r="N185" s="3">
        <v>947684106</v>
      </c>
      <c r="O185" s="1" t="s">
        <v>48</v>
      </c>
      <c r="P185" s="1" t="s">
        <v>1166</v>
      </c>
      <c r="Q185" s="4">
        <v>1.444</v>
      </c>
      <c r="R185" s="4">
        <v>1.333</v>
      </c>
      <c r="S185" s="6">
        <v>4.2222200000000001</v>
      </c>
      <c r="T185" s="1" t="s">
        <v>50</v>
      </c>
      <c r="U185" s="1"/>
      <c r="V185" s="1"/>
      <c r="W185" s="1"/>
      <c r="X185" s="5">
        <v>60</v>
      </c>
      <c r="Y185" s="7">
        <v>4000000</v>
      </c>
      <c r="Z185" s="1"/>
      <c r="AA185" s="2">
        <f ca="1">DATE(2000,09,23)</f>
        <v>0</v>
      </c>
      <c r="AB185" s="4">
        <v>72.981999999999999</v>
      </c>
      <c r="AC185" s="3">
        <v>180</v>
      </c>
      <c r="AD185" s="8">
        <v>14154698</v>
      </c>
      <c r="AE185" s="1" t="s">
        <v>51</v>
      </c>
      <c r="AF185" s="1" t="s">
        <v>51</v>
      </c>
      <c r="AG185" s="1" t="s">
        <v>47</v>
      </c>
      <c r="AH185" s="1"/>
      <c r="AI185" s="1"/>
      <c r="AJ185" s="3">
        <v>1</v>
      </c>
      <c r="AK185" s="1" t="s">
        <v>52</v>
      </c>
      <c r="AL185" s="3">
        <v>3</v>
      </c>
      <c r="AM185" s="8">
        <v>47.75</v>
      </c>
      <c r="AN185" s="1"/>
      <c r="AO185" s="1" t="s">
        <v>1167</v>
      </c>
      <c r="AP185" s="1" t="s">
        <v>387</v>
      </c>
      <c r="AQ185" s="1" t="s">
        <v>1168</v>
      </c>
      <c r="AR185" s="1" t="s">
        <v>1169</v>
      </c>
    </row>
    <row r="186">
      <c r="A186" s="2">
        <f ca="1">DATE(1999,12,08)</f>
        <v>0</v>
      </c>
      <c r="B186" s="2">
        <f ca="1">DATE(2000,03,28)</f>
        <v>0</v>
      </c>
      <c r="C186" s="1" t="s">
        <v>1170</v>
      </c>
      <c r="D186" s="3">
        <v>6726</v>
      </c>
      <c r="E186" s="1" t="s">
        <v>43</v>
      </c>
      <c r="F186" s="1" t="s">
        <v>1171</v>
      </c>
      <c r="G186" s="1" t="s">
        <v>1172</v>
      </c>
      <c r="H186" s="4">
        <v>1</v>
      </c>
      <c r="I186" s="4">
        <v>5</v>
      </c>
      <c r="J186" s="5">
        <v>330</v>
      </c>
      <c r="K186" s="4">
        <v>20</v>
      </c>
      <c r="L186" s="1" t="s">
        <v>46</v>
      </c>
      <c r="M186" s="1" t="s">
        <v>47</v>
      </c>
      <c r="N186" s="1" t="s">
        <v>1173</v>
      </c>
      <c r="O186" s="1" t="s">
        <v>108</v>
      </c>
      <c r="P186" s="1" t="s">
        <v>1174</v>
      </c>
      <c r="Q186" s="4">
        <v>1</v>
      </c>
      <c r="R186" s="4">
        <v>1</v>
      </c>
      <c r="S186" s="8">
        <v>3</v>
      </c>
      <c r="T186" s="1" t="s">
        <v>50</v>
      </c>
      <c r="U186" s="8">
        <v>20</v>
      </c>
      <c r="V186" s="8">
        <v>20</v>
      </c>
      <c r="W186" s="1"/>
      <c r="X186" s="5">
        <v>500</v>
      </c>
      <c r="Y186" s="7">
        <v>16500000</v>
      </c>
      <c r="Z186" s="1"/>
      <c r="AA186" s="2">
        <f ca="1">DATE(2000,09,24)</f>
        <v>0</v>
      </c>
      <c r="AB186" s="1"/>
      <c r="AC186" s="3">
        <v>180</v>
      </c>
      <c r="AD186" s="1"/>
      <c r="AE186" s="1" t="s">
        <v>51</v>
      </c>
      <c r="AF186" s="1" t="s">
        <v>51</v>
      </c>
      <c r="AG186" s="1" t="s">
        <v>51</v>
      </c>
      <c r="AH186" s="1"/>
      <c r="AI186" s="1"/>
      <c r="AJ186" s="3">
        <v>1</v>
      </c>
      <c r="AK186" s="1" t="s">
        <v>52</v>
      </c>
      <c r="AL186" s="3">
        <v>5</v>
      </c>
      <c r="AM186" s="1"/>
      <c r="AN186" s="1"/>
      <c r="AO186" s="1" t="s">
        <v>1175</v>
      </c>
      <c r="AP186" s="1" t="s">
        <v>1172</v>
      </c>
      <c r="AQ186" s="1" t="s">
        <v>1176</v>
      </c>
      <c r="AR186" s="1" t="s">
        <v>1177</v>
      </c>
    </row>
    <row r="187">
      <c r="A187" s="2">
        <f ca="1">DATE(2000,01,07)</f>
        <v>0</v>
      </c>
      <c r="B187" s="2">
        <f ca="1">DATE(2000,03,28)</f>
        <v>0</v>
      </c>
      <c r="C187" s="1" t="s">
        <v>1178</v>
      </c>
      <c r="D187" s="3">
        <v>7375</v>
      </c>
      <c r="E187" s="1" t="s">
        <v>43</v>
      </c>
      <c r="F187" s="1" t="s">
        <v>1179</v>
      </c>
      <c r="G187" s="1" t="s">
        <v>45</v>
      </c>
      <c r="H187" s="4">
        <v>0.83999999999999997</v>
      </c>
      <c r="I187" s="8">
        <v>7</v>
      </c>
      <c r="J187" s="5">
        <v>106.8</v>
      </c>
      <c r="K187" s="4">
        <v>12</v>
      </c>
      <c r="L187" s="1" t="s">
        <v>46</v>
      </c>
      <c r="M187" s="1" t="s">
        <v>47</v>
      </c>
      <c r="N187" s="1" t="s">
        <v>1180</v>
      </c>
      <c r="O187" s="1" t="s">
        <v>48</v>
      </c>
      <c r="P187" s="1" t="s">
        <v>1181</v>
      </c>
      <c r="Q187" s="4">
        <v>1.417</v>
      </c>
      <c r="R187" s="4">
        <v>1.333</v>
      </c>
      <c r="S187" s="8">
        <v>4.25</v>
      </c>
      <c r="T187" s="1" t="s">
        <v>50</v>
      </c>
      <c r="U187" s="1"/>
      <c r="V187" s="1"/>
      <c r="W187" s="1"/>
      <c r="X187" s="5">
        <v>150</v>
      </c>
      <c r="Y187" s="7">
        <v>8898130</v>
      </c>
      <c r="Z187" s="1"/>
      <c r="AA187" s="1"/>
      <c r="AB187" s="1"/>
      <c r="AC187" s="1"/>
      <c r="AD187" s="1"/>
      <c r="AE187" s="1" t="s">
        <v>51</v>
      </c>
      <c r="AF187" s="1" t="s">
        <v>51</v>
      </c>
      <c r="AG187" s="1" t="s">
        <v>47</v>
      </c>
      <c r="AH187" s="1"/>
      <c r="AI187" s="1"/>
      <c r="AJ187" s="3">
        <v>1</v>
      </c>
      <c r="AK187" s="1" t="s">
        <v>89</v>
      </c>
      <c r="AL187" s="3">
        <v>4</v>
      </c>
      <c r="AM187" s="8">
        <v>13.25</v>
      </c>
      <c r="AN187" s="1"/>
      <c r="AO187" s="1" t="s">
        <v>1182</v>
      </c>
      <c r="AP187" s="1" t="s">
        <v>1183</v>
      </c>
      <c r="AQ187" s="1" t="s">
        <v>1184</v>
      </c>
      <c r="AR187" s="1" t="s">
        <v>1185</v>
      </c>
    </row>
    <row r="188">
      <c r="A188" s="2">
        <f ca="1">DATE(2000,01,07)</f>
        <v>0</v>
      </c>
      <c r="B188" s="2">
        <f ca="1">DATE(2000,03,28)</f>
        <v>0</v>
      </c>
      <c r="C188" s="1" t="s">
        <v>1178</v>
      </c>
      <c r="D188" s="3">
        <v>7375</v>
      </c>
      <c r="E188" s="1" t="s">
        <v>43</v>
      </c>
      <c r="F188" s="1" t="s">
        <v>1179</v>
      </c>
      <c r="G188" s="1" t="s">
        <v>45</v>
      </c>
      <c r="H188" s="4">
        <v>0.83999999999999997</v>
      </c>
      <c r="I188" s="8">
        <v>7</v>
      </c>
      <c r="J188" s="5">
        <v>25.199999999999999</v>
      </c>
      <c r="K188" s="8">
        <v>12</v>
      </c>
      <c r="L188" s="1" t="s">
        <v>58</v>
      </c>
      <c r="M188" s="1" t="s">
        <v>47</v>
      </c>
      <c r="N188" s="1"/>
      <c r="O188" s="1" t="s">
        <v>48</v>
      </c>
      <c r="P188" s="1" t="s">
        <v>1186</v>
      </c>
      <c r="Q188" s="4">
        <v>1.417</v>
      </c>
      <c r="R188" s="4">
        <v>1.333</v>
      </c>
      <c r="S188" s="8">
        <v>4.25</v>
      </c>
      <c r="T188" s="1" t="s">
        <v>60</v>
      </c>
      <c r="U188" s="1"/>
      <c r="V188" s="1"/>
      <c r="W188" s="1"/>
      <c r="X188" s="1"/>
      <c r="Y188" s="7">
        <v>2101870</v>
      </c>
      <c r="Z188" s="1"/>
      <c r="AA188" s="1"/>
      <c r="AB188" s="1"/>
      <c r="AC188" s="1"/>
      <c r="AD188" s="1"/>
      <c r="AE188" s="1" t="s">
        <v>51</v>
      </c>
      <c r="AF188" s="1" t="s">
        <v>51</v>
      </c>
      <c r="AG188" s="1" t="s">
        <v>47</v>
      </c>
      <c r="AH188" s="1"/>
      <c r="AI188" s="1"/>
      <c r="AJ188" s="3">
        <v>1</v>
      </c>
      <c r="AK188" s="1" t="s">
        <v>89</v>
      </c>
      <c r="AL188" s="3">
        <v>2</v>
      </c>
      <c r="AM188" s="1"/>
      <c r="AN188" s="1"/>
      <c r="AO188" s="1" t="s">
        <v>1187</v>
      </c>
      <c r="AP188" s="1" t="s">
        <v>1188</v>
      </c>
      <c r="AQ188" s="1" t="s">
        <v>1189</v>
      </c>
      <c r="AR188" s="1" t="s">
        <v>1190</v>
      </c>
    </row>
    <row r="189">
      <c r="A189" s="2">
        <f ca="1">DATE(1999,06,29)</f>
        <v>0</v>
      </c>
      <c r="B189" s="2">
        <f ca="1">DATE(2000,03,29)</f>
        <v>0</v>
      </c>
      <c r="C189" s="1" t="s">
        <v>1191</v>
      </c>
      <c r="D189" s="3">
        <v>2048</v>
      </c>
      <c r="E189" s="1" t="s">
        <v>43</v>
      </c>
      <c r="F189" s="1" t="s">
        <v>1192</v>
      </c>
      <c r="G189" s="1" t="s">
        <v>1193</v>
      </c>
      <c r="H189" s="4">
        <v>1</v>
      </c>
      <c r="I189" s="4">
        <v>10</v>
      </c>
      <c r="J189" s="5">
        <v>4.2999999999999998</v>
      </c>
      <c r="K189" s="4">
        <v>10</v>
      </c>
      <c r="L189" s="1" t="s">
        <v>31</v>
      </c>
      <c r="M189" s="1" t="s">
        <v>47</v>
      </c>
      <c r="N189" s="1" t="s">
        <v>1194</v>
      </c>
      <c r="O189" s="1" t="s">
        <v>87</v>
      </c>
      <c r="P189" s="1" t="s">
        <v>1195</v>
      </c>
      <c r="Q189" s="4">
        <v>4</v>
      </c>
      <c r="R189" s="4">
        <v>1</v>
      </c>
      <c r="S189" s="8">
        <v>5</v>
      </c>
      <c r="T189" s="1" t="s">
        <v>50</v>
      </c>
      <c r="U189" s="8">
        <v>4.25</v>
      </c>
      <c r="V189" s="8">
        <v>4.25</v>
      </c>
      <c r="W189" s="7">
        <v>1400000</v>
      </c>
      <c r="X189" s="5">
        <v>6</v>
      </c>
      <c r="Y189" s="7">
        <v>425000</v>
      </c>
      <c r="Z189" s="1"/>
      <c r="AA189" s="1" t="s">
        <v>1196</v>
      </c>
      <c r="AB189" s="1" t="s">
        <v>1197</v>
      </c>
      <c r="AC189" s="1" t="s">
        <v>1198</v>
      </c>
      <c r="AD189" s="1" t="s">
        <v>1199</v>
      </c>
      <c r="AE189" s="1" t="s">
        <v>51</v>
      </c>
      <c r="AF189" s="1" t="s">
        <v>47</v>
      </c>
      <c r="AG189" s="1" t="s">
        <v>51</v>
      </c>
      <c r="AH189" s="1"/>
      <c r="AI189" s="1"/>
      <c r="AJ189" s="3">
        <v>1</v>
      </c>
      <c r="AK189" s="1" t="s">
        <v>52</v>
      </c>
      <c r="AL189" s="3">
        <v>2</v>
      </c>
      <c r="AM189" s="8">
        <v>54</v>
      </c>
      <c r="AN189" s="1"/>
      <c r="AO189" s="1" t="s">
        <v>1200</v>
      </c>
      <c r="AP189" s="1" t="s">
        <v>1193</v>
      </c>
      <c r="AQ189" s="1" t="s">
        <v>1201</v>
      </c>
      <c r="AR189" s="1" t="s">
        <v>1202</v>
      </c>
    </row>
    <row r="190">
      <c r="A190" s="2">
        <f ca="1">DATE(2000,03,29)</f>
        <v>0</v>
      </c>
      <c r="B190" s="2">
        <f ca="1">DATE(2000,03,29)</f>
        <v>0</v>
      </c>
      <c r="C190" s="1" t="s">
        <v>1203</v>
      </c>
      <c r="D190" s="3">
        <v>4812</v>
      </c>
      <c r="E190" s="1" t="s">
        <v>1204</v>
      </c>
      <c r="F190" s="1" t="s">
        <v>1205</v>
      </c>
      <c r="G190" s="1" t="s">
        <v>1206</v>
      </c>
      <c r="H190" s="4">
        <v>0.54300000000000004</v>
      </c>
      <c r="I190" s="4">
        <v>3.5</v>
      </c>
      <c r="J190" s="5">
        <v>372.19999999999999</v>
      </c>
      <c r="K190" s="8">
        <v>15.51</v>
      </c>
      <c r="L190" s="1" t="s">
        <v>1207</v>
      </c>
      <c r="M190" s="1" t="s">
        <v>47</v>
      </c>
      <c r="N190" s="3">
        <v>409649209</v>
      </c>
      <c r="O190" s="1" t="s">
        <v>48</v>
      </c>
      <c r="P190" s="1" t="s">
        <v>1208</v>
      </c>
      <c r="Q190" s="4">
        <v>0.70299999999999996</v>
      </c>
      <c r="R190" s="4">
        <v>0.69599999999999995</v>
      </c>
      <c r="S190" s="6">
        <v>2.1018699999999999</v>
      </c>
      <c r="T190" s="1" t="s">
        <v>60</v>
      </c>
      <c r="U190" s="1"/>
      <c r="V190" s="1"/>
      <c r="W190" s="1"/>
      <c r="X190" s="1"/>
      <c r="Y190" s="7">
        <v>24000000</v>
      </c>
      <c r="Z190" s="1"/>
      <c r="AA190" s="1"/>
      <c r="AB190" s="1"/>
      <c r="AC190" s="1"/>
      <c r="AD190" s="1"/>
      <c r="AE190" s="1" t="s">
        <v>47</v>
      </c>
      <c r="AF190" s="1" t="s">
        <v>51</v>
      </c>
      <c r="AG190" s="1" t="s">
        <v>51</v>
      </c>
      <c r="AH190" s="1"/>
      <c r="AI190" s="1"/>
      <c r="AJ190" s="3">
        <v>1</v>
      </c>
      <c r="AK190" s="1" t="s">
        <v>1209</v>
      </c>
      <c r="AL190" s="3">
        <v>4</v>
      </c>
      <c r="AM190" s="1"/>
      <c r="AN190" s="1"/>
      <c r="AO190" s="1" t="s">
        <v>1210</v>
      </c>
      <c r="AP190" s="1" t="s">
        <v>1211</v>
      </c>
      <c r="AQ190" s="1" t="s">
        <v>1212</v>
      </c>
      <c r="AR190" s="1" t="s">
        <v>1213</v>
      </c>
    </row>
    <row r="191">
      <c r="A191" s="2">
        <f ca="1">DATE(2000,01,27)</f>
        <v>0</v>
      </c>
      <c r="B191" s="2">
        <f ca="1">DATE(2000,03,30)</f>
        <v>0</v>
      </c>
      <c r="C191" s="1" t="s">
        <v>1214</v>
      </c>
      <c r="D191" s="3">
        <v>3577</v>
      </c>
      <c r="E191" s="1" t="s">
        <v>43</v>
      </c>
      <c r="F191" s="1" t="s">
        <v>1215</v>
      </c>
      <c r="G191" s="1" t="s">
        <v>160</v>
      </c>
      <c r="H191" s="4">
        <v>2.3799999999999999</v>
      </c>
      <c r="I191" s="8">
        <v>7</v>
      </c>
      <c r="J191" s="5">
        <v>170</v>
      </c>
      <c r="K191" s="4">
        <v>34</v>
      </c>
      <c r="L191" s="1" t="s">
        <v>46</v>
      </c>
      <c r="M191" s="1" t="s">
        <v>47</v>
      </c>
      <c r="N191" s="1" t="s">
        <v>1216</v>
      </c>
      <c r="O191" s="1" t="s">
        <v>48</v>
      </c>
      <c r="P191" s="1" t="s">
        <v>1217</v>
      </c>
      <c r="Q191" s="4">
        <v>1.4119999999999999</v>
      </c>
      <c r="R191" s="4">
        <v>1.4119999999999999</v>
      </c>
      <c r="S191" s="6">
        <v>4.1764700000000001</v>
      </c>
      <c r="T191" s="1" t="s">
        <v>50</v>
      </c>
      <c r="U191" s="1"/>
      <c r="V191" s="1"/>
      <c r="W191" s="1"/>
      <c r="X191" s="5">
        <v>86.299999999999997</v>
      </c>
      <c r="Y191" s="7">
        <v>5000000</v>
      </c>
      <c r="Z191" s="1"/>
      <c r="AA191" s="1"/>
      <c r="AB191" s="1"/>
      <c r="AC191" s="1"/>
      <c r="AD191" s="1"/>
      <c r="AE191" s="1" t="s">
        <v>51</v>
      </c>
      <c r="AF191" s="1" t="s">
        <v>51</v>
      </c>
      <c r="AG191" s="1" t="s">
        <v>47</v>
      </c>
      <c r="AH191" s="1"/>
      <c r="AI191" s="1"/>
      <c r="AJ191" s="3">
        <v>1</v>
      </c>
      <c r="AK191" s="1" t="s">
        <v>52</v>
      </c>
      <c r="AL191" s="3">
        <v>3</v>
      </c>
      <c r="AM191" s="8">
        <v>118.48</v>
      </c>
      <c r="AN191" s="1"/>
      <c r="AO191" s="1" t="s">
        <v>1218</v>
      </c>
      <c r="AP191" s="1" t="s">
        <v>160</v>
      </c>
      <c r="AQ191" s="1" t="s">
        <v>1219</v>
      </c>
      <c r="AR191" s="1" t="s">
        <v>1220</v>
      </c>
    </row>
    <row r="192">
      <c r="A192" s="2">
        <f ca="1">DATE(1999,12,20)</f>
        <v>0</v>
      </c>
      <c r="B192" s="2">
        <f ca="1">DATE(2000,03,30)</f>
        <v>0</v>
      </c>
      <c r="C192" s="1" t="s">
        <v>1221</v>
      </c>
      <c r="D192" s="3">
        <v>7372</v>
      </c>
      <c r="E192" s="1" t="s">
        <v>43</v>
      </c>
      <c r="F192" s="1" t="s">
        <v>1222</v>
      </c>
      <c r="G192" s="1" t="s">
        <v>1223</v>
      </c>
      <c r="H192" s="4">
        <v>0.57999999999999996</v>
      </c>
      <c r="I192" s="8">
        <v>7.25</v>
      </c>
      <c r="J192" s="5">
        <v>15</v>
      </c>
      <c r="K192" s="4">
        <v>8</v>
      </c>
      <c r="L192" s="1" t="s">
        <v>46</v>
      </c>
      <c r="M192" s="1" t="s">
        <v>47</v>
      </c>
      <c r="N192" s="1" t="s">
        <v>1224</v>
      </c>
      <c r="O192" s="1" t="s">
        <v>87</v>
      </c>
      <c r="P192" s="1" t="s">
        <v>1225</v>
      </c>
      <c r="Q192" s="4">
        <v>2</v>
      </c>
      <c r="R192" s="4">
        <v>1.25</v>
      </c>
      <c r="S192" s="8">
        <v>4</v>
      </c>
      <c r="T192" s="1" t="s">
        <v>50</v>
      </c>
      <c r="U192" s="8">
        <v>10</v>
      </c>
      <c r="V192" s="8">
        <v>8</v>
      </c>
      <c r="W192" s="7">
        <v>1500000</v>
      </c>
      <c r="X192" s="5">
        <v>13.5</v>
      </c>
      <c r="Y192" s="7">
        <v>1875000</v>
      </c>
      <c r="Z192" s="1"/>
      <c r="AA192" s="2">
        <f ca="1">DATE(2000,06,28)</f>
        <v>0</v>
      </c>
      <c r="AB192" s="4">
        <v>38.256999999999998</v>
      </c>
      <c r="AC192" s="3">
        <v>90</v>
      </c>
      <c r="AD192" s="8">
        <v>1161802</v>
      </c>
      <c r="AE192" s="1" t="s">
        <v>51</v>
      </c>
      <c r="AF192" s="1" t="s">
        <v>47</v>
      </c>
      <c r="AG192" s="1" t="s">
        <v>51</v>
      </c>
      <c r="AH192" s="1"/>
      <c r="AI192" s="1"/>
      <c r="AJ192" s="3">
        <v>1</v>
      </c>
      <c r="AK192" s="1" t="s">
        <v>52</v>
      </c>
      <c r="AL192" s="3">
        <v>2</v>
      </c>
      <c r="AM192" s="8">
        <v>0</v>
      </c>
      <c r="AN192" s="1"/>
      <c r="AO192" s="1" t="s">
        <v>1226</v>
      </c>
      <c r="AP192" s="1" t="s">
        <v>1223</v>
      </c>
      <c r="AQ192" s="1" t="s">
        <v>1227</v>
      </c>
      <c r="AR192" s="1" t="s">
        <v>1228</v>
      </c>
    </row>
    <row r="193">
      <c r="A193" s="2">
        <f ca="1">DATE(2000,02,07)</f>
        <v>0</v>
      </c>
      <c r="B193" s="2">
        <f ca="1">DATE(2000,03,30)</f>
        <v>0</v>
      </c>
      <c r="C193" s="1" t="s">
        <v>1229</v>
      </c>
      <c r="D193" s="3">
        <v>3841</v>
      </c>
      <c r="E193" s="1" t="s">
        <v>43</v>
      </c>
      <c r="F193" s="1" t="s">
        <v>1230</v>
      </c>
      <c r="G193" s="1" t="s">
        <v>228</v>
      </c>
      <c r="H193" s="4">
        <v>1.19</v>
      </c>
      <c r="I193" s="8">
        <v>7</v>
      </c>
      <c r="J193" s="5">
        <v>62.399999999999999</v>
      </c>
      <c r="K193" s="4">
        <v>17</v>
      </c>
      <c r="L193" s="1" t="s">
        <v>46</v>
      </c>
      <c r="M193" s="1" t="s">
        <v>47</v>
      </c>
      <c r="N193" s="1" t="s">
        <v>1231</v>
      </c>
      <c r="O193" s="1" t="s">
        <v>48</v>
      </c>
      <c r="P193" s="1" t="s">
        <v>1232</v>
      </c>
      <c r="Q193" s="4">
        <v>1.4119999999999999</v>
      </c>
      <c r="R193" s="4">
        <v>1.647</v>
      </c>
      <c r="S193" s="6">
        <v>3.9411800000000001</v>
      </c>
      <c r="T193" s="1" t="s">
        <v>50</v>
      </c>
      <c r="U193" s="8">
        <v>19</v>
      </c>
      <c r="V193" s="8">
        <v>17</v>
      </c>
      <c r="W193" s="7">
        <v>4500000</v>
      </c>
      <c r="X193" s="5">
        <v>81</v>
      </c>
      <c r="Y193" s="7">
        <v>3672828</v>
      </c>
      <c r="Z193" s="1"/>
      <c r="AA193" s="1"/>
      <c r="AB193" s="1"/>
      <c r="AC193" s="1"/>
      <c r="AD193" s="1"/>
      <c r="AE193" s="1" t="s">
        <v>51</v>
      </c>
      <c r="AF193" s="1" t="s">
        <v>51</v>
      </c>
      <c r="AG193" s="1" t="s">
        <v>51</v>
      </c>
      <c r="AH193" s="1"/>
      <c r="AI193" s="1"/>
      <c r="AJ193" s="3">
        <v>1</v>
      </c>
      <c r="AK193" s="1" t="s">
        <v>52</v>
      </c>
      <c r="AL193" s="3">
        <v>3</v>
      </c>
      <c r="AM193" s="8">
        <v>22.879999999999999</v>
      </c>
      <c r="AN193" s="1"/>
      <c r="AO193" s="1" t="s">
        <v>1233</v>
      </c>
      <c r="AP193" s="1" t="s">
        <v>228</v>
      </c>
      <c r="AQ193" s="1" t="s">
        <v>1234</v>
      </c>
      <c r="AR193" s="1" t="s">
        <v>1235</v>
      </c>
    </row>
    <row r="194">
      <c r="A194" s="2">
        <f ca="1">DATE(2000,02,07)</f>
        <v>0</v>
      </c>
      <c r="B194" s="2">
        <f ca="1">DATE(2000,03,30)</f>
        <v>0</v>
      </c>
      <c r="C194" s="1" t="s">
        <v>1229</v>
      </c>
      <c r="D194" s="3">
        <v>3841</v>
      </c>
      <c r="E194" s="1" t="s">
        <v>43</v>
      </c>
      <c r="F194" s="1" t="s">
        <v>1230</v>
      </c>
      <c r="G194" s="1" t="s">
        <v>233</v>
      </c>
      <c r="H194" s="1" t="s">
        <v>57</v>
      </c>
      <c r="I194" s="1" t="s">
        <v>57</v>
      </c>
      <c r="J194" s="5">
        <v>14.1</v>
      </c>
      <c r="K194" s="8">
        <v>17</v>
      </c>
      <c r="L194" s="1" t="s">
        <v>58</v>
      </c>
      <c r="M194" s="1" t="s">
        <v>47</v>
      </c>
      <c r="N194" s="1" t="s">
        <v>1231</v>
      </c>
      <c r="O194" s="1" t="s">
        <v>48</v>
      </c>
      <c r="P194" s="1" t="s">
        <v>1236</v>
      </c>
      <c r="Q194" s="1"/>
      <c r="R194" s="1"/>
      <c r="S194" s="1"/>
      <c r="T194" s="1" t="s">
        <v>60</v>
      </c>
      <c r="U194" s="8">
        <v>19</v>
      </c>
      <c r="V194" s="8">
        <v>17</v>
      </c>
      <c r="W194" s="1"/>
      <c r="X194" s="1"/>
      <c r="Y194" s="7">
        <v>827172</v>
      </c>
      <c r="Z194" s="1"/>
      <c r="AA194" s="1"/>
      <c r="AB194" s="1"/>
      <c r="AC194" s="1"/>
      <c r="AD194" s="1"/>
      <c r="AE194" s="1" t="s">
        <v>51</v>
      </c>
      <c r="AF194" s="1" t="s">
        <v>51</v>
      </c>
      <c r="AG194" s="1" t="s">
        <v>51</v>
      </c>
      <c r="AH194" s="1"/>
      <c r="AI194" s="1"/>
      <c r="AJ194" s="3">
        <v>1</v>
      </c>
      <c r="AK194" s="1" t="s">
        <v>52</v>
      </c>
      <c r="AL194" s="3">
        <v>1</v>
      </c>
      <c r="AM194" s="1"/>
      <c r="AN194" s="1"/>
      <c r="AO194" s="1" t="s">
        <v>1237</v>
      </c>
      <c r="AP194" s="1" t="s">
        <v>233</v>
      </c>
      <c r="AQ194" s="1" t="s">
        <v>233</v>
      </c>
      <c r="AR194" s="1" t="s">
        <v>236</v>
      </c>
    </row>
    <row r="195">
      <c r="A195" s="2">
        <f ca="1">DATE(1999,10,12)</f>
        <v>0</v>
      </c>
      <c r="B195" s="2">
        <f ca="1">DATE(2000,03,30)</f>
        <v>0</v>
      </c>
      <c r="C195" s="1" t="s">
        <v>1238</v>
      </c>
      <c r="D195" s="3">
        <v>7311</v>
      </c>
      <c r="E195" s="1" t="s">
        <v>43</v>
      </c>
      <c r="F195" s="1" t="s">
        <v>1239</v>
      </c>
      <c r="G195" s="1" t="s">
        <v>160</v>
      </c>
      <c r="H195" s="4">
        <v>1.3300000000000001</v>
      </c>
      <c r="I195" s="4">
        <v>7</v>
      </c>
      <c r="J195" s="5">
        <v>66.099999999999994</v>
      </c>
      <c r="K195" s="4">
        <v>19</v>
      </c>
      <c r="L195" s="1" t="s">
        <v>46</v>
      </c>
      <c r="M195" s="1" t="s">
        <v>47</v>
      </c>
      <c r="N195" s="1" t="s">
        <v>1240</v>
      </c>
      <c r="O195" s="1" t="s">
        <v>48</v>
      </c>
      <c r="P195" s="1" t="s">
        <v>1241</v>
      </c>
      <c r="Q195" s="4">
        <v>1.421</v>
      </c>
      <c r="R195" s="4">
        <v>1.421</v>
      </c>
      <c r="S195" s="6">
        <v>4.1578900000000001</v>
      </c>
      <c r="T195" s="1" t="s">
        <v>50</v>
      </c>
      <c r="U195" s="1"/>
      <c r="V195" s="1"/>
      <c r="W195" s="7">
        <v>5000000</v>
      </c>
      <c r="X195" s="5">
        <v>57.5</v>
      </c>
      <c r="Y195" s="7">
        <v>3480000</v>
      </c>
      <c r="Z195" s="1"/>
      <c r="AA195" s="1"/>
      <c r="AB195" s="1"/>
      <c r="AC195" s="1"/>
      <c r="AD195" s="1"/>
      <c r="AE195" s="1" t="s">
        <v>51</v>
      </c>
      <c r="AF195" s="1" t="s">
        <v>51</v>
      </c>
      <c r="AG195" s="1" t="s">
        <v>47</v>
      </c>
      <c r="AH195" s="1"/>
      <c r="AI195" s="1"/>
      <c r="AJ195" s="3">
        <v>1</v>
      </c>
      <c r="AK195" s="1" t="s">
        <v>52</v>
      </c>
      <c r="AL195" s="3">
        <v>3</v>
      </c>
      <c r="AM195" s="8">
        <v>20.940000000000001</v>
      </c>
      <c r="AN195" s="1"/>
      <c r="AO195" s="1" t="s">
        <v>1242</v>
      </c>
      <c r="AP195" s="1" t="s">
        <v>160</v>
      </c>
      <c r="AQ195" s="1" t="s">
        <v>1243</v>
      </c>
      <c r="AR195" s="1" t="s">
        <v>1244</v>
      </c>
    </row>
    <row r="196">
      <c r="A196" s="2">
        <f ca="1">DATE(1999,10,12)</f>
        <v>0</v>
      </c>
      <c r="B196" s="2">
        <f ca="1">DATE(2000,03,30)</f>
        <v>0</v>
      </c>
      <c r="C196" s="1" t="s">
        <v>1238</v>
      </c>
      <c r="D196" s="3">
        <v>7311</v>
      </c>
      <c r="E196" s="1" t="s">
        <v>43</v>
      </c>
      <c r="F196" s="1" t="s">
        <v>1239</v>
      </c>
      <c r="G196" s="1" t="s">
        <v>160</v>
      </c>
      <c r="H196" s="4">
        <v>1.3300000000000001</v>
      </c>
      <c r="I196" s="4">
        <v>7</v>
      </c>
      <c r="J196" s="5">
        <v>9.9000000000000004</v>
      </c>
      <c r="K196" s="8">
        <v>19</v>
      </c>
      <c r="L196" s="1" t="s">
        <v>58</v>
      </c>
      <c r="M196" s="1" t="s">
        <v>47</v>
      </c>
      <c r="N196" s="1" t="s">
        <v>1240</v>
      </c>
      <c r="O196" s="1" t="s">
        <v>48</v>
      </c>
      <c r="P196" s="1" t="s">
        <v>1245</v>
      </c>
      <c r="Q196" s="4">
        <v>1.421</v>
      </c>
      <c r="R196" s="4">
        <v>1.421</v>
      </c>
      <c r="S196" s="6">
        <v>4.1578900000000001</v>
      </c>
      <c r="T196" s="1" t="s">
        <v>60</v>
      </c>
      <c r="U196" s="1"/>
      <c r="V196" s="1"/>
      <c r="W196" s="1"/>
      <c r="X196" s="1"/>
      <c r="Y196" s="7">
        <v>520000</v>
      </c>
      <c r="Z196" s="1"/>
      <c r="AA196" s="1"/>
      <c r="AB196" s="1"/>
      <c r="AC196" s="1"/>
      <c r="AD196" s="1"/>
      <c r="AE196" s="1" t="s">
        <v>51</v>
      </c>
      <c r="AF196" s="1" t="s">
        <v>51</v>
      </c>
      <c r="AG196" s="1" t="s">
        <v>47</v>
      </c>
      <c r="AH196" s="1"/>
      <c r="AI196" s="1"/>
      <c r="AJ196" s="3">
        <v>1</v>
      </c>
      <c r="AK196" s="1" t="s">
        <v>52</v>
      </c>
      <c r="AL196" s="3">
        <v>1</v>
      </c>
      <c r="AM196" s="1"/>
      <c r="AN196" s="1"/>
      <c r="AO196" s="1" t="s">
        <v>1246</v>
      </c>
      <c r="AP196" s="1" t="s">
        <v>160</v>
      </c>
      <c r="AQ196" s="1" t="s">
        <v>160</v>
      </c>
      <c r="AR196" s="1" t="s">
        <v>187</v>
      </c>
    </row>
    <row r="197">
      <c r="A197" s="2">
        <f ca="1">DATE(2000,01,20)</f>
        <v>0</v>
      </c>
      <c r="B197" s="2">
        <f ca="1">DATE(2000,04,04)</f>
        <v>0</v>
      </c>
      <c r="C197" s="1" t="s">
        <v>1247</v>
      </c>
      <c r="D197" s="3">
        <v>2899</v>
      </c>
      <c r="E197" s="1" t="s">
        <v>43</v>
      </c>
      <c r="F197" s="1" t="s">
        <v>1248</v>
      </c>
      <c r="G197" s="1" t="s">
        <v>160</v>
      </c>
      <c r="H197" s="4">
        <v>1.3999999999999999</v>
      </c>
      <c r="I197" s="8">
        <v>7</v>
      </c>
      <c r="J197" s="5">
        <v>72.299999999999997</v>
      </c>
      <c r="K197" s="4">
        <v>20</v>
      </c>
      <c r="L197" s="1" t="s">
        <v>46</v>
      </c>
      <c r="M197" s="1" t="s">
        <v>47</v>
      </c>
      <c r="N197" s="1" t="s">
        <v>1249</v>
      </c>
      <c r="O197" s="1" t="s">
        <v>48</v>
      </c>
      <c r="P197" s="1" t="s">
        <v>1250</v>
      </c>
      <c r="Q197" s="4">
        <v>1.3999999999999999</v>
      </c>
      <c r="R197" s="4">
        <v>1.3999999999999999</v>
      </c>
      <c r="S197" s="8">
        <v>4.2000000000000002</v>
      </c>
      <c r="T197" s="1" t="s">
        <v>50</v>
      </c>
      <c r="U197" s="1"/>
      <c r="V197" s="1"/>
      <c r="W197" s="1"/>
      <c r="X197" s="5">
        <v>75</v>
      </c>
      <c r="Y197" s="7">
        <v>3615000</v>
      </c>
      <c r="Z197" s="1"/>
      <c r="AA197" s="1"/>
      <c r="AB197" s="1"/>
      <c r="AC197" s="1"/>
      <c r="AD197" s="1"/>
      <c r="AE197" s="1" t="s">
        <v>51</v>
      </c>
      <c r="AF197" s="1" t="s">
        <v>51</v>
      </c>
      <c r="AG197" s="1" t="s">
        <v>51</v>
      </c>
      <c r="AH197" s="1"/>
      <c r="AI197" s="1"/>
      <c r="AJ197" s="3">
        <v>1</v>
      </c>
      <c r="AK197" s="1" t="s">
        <v>52</v>
      </c>
      <c r="AL197" s="3">
        <v>3</v>
      </c>
      <c r="AM197" s="8">
        <v>24.879999999999999</v>
      </c>
      <c r="AN197" s="1"/>
      <c r="AO197" s="1" t="s">
        <v>1251</v>
      </c>
      <c r="AP197" s="1" t="s">
        <v>160</v>
      </c>
      <c r="AQ197" s="1" t="s">
        <v>1252</v>
      </c>
      <c r="AR197" s="1" t="s">
        <v>1253</v>
      </c>
    </row>
    <row r="198">
      <c r="A198" s="2">
        <f ca="1">DATE(2000,01,20)</f>
        <v>0</v>
      </c>
      <c r="B198" s="2">
        <f ca="1">DATE(2000,04,04)</f>
        <v>0</v>
      </c>
      <c r="C198" s="1" t="s">
        <v>1247</v>
      </c>
      <c r="D198" s="3">
        <v>2899</v>
      </c>
      <c r="E198" s="1" t="s">
        <v>43</v>
      </c>
      <c r="F198" s="1" t="s">
        <v>1248</v>
      </c>
      <c r="G198" s="1" t="s">
        <v>160</v>
      </c>
      <c r="H198" s="4">
        <v>1.3999999999999999</v>
      </c>
      <c r="I198" s="8">
        <v>7</v>
      </c>
      <c r="J198" s="5">
        <v>6.7000000000000002</v>
      </c>
      <c r="K198" s="8">
        <v>20</v>
      </c>
      <c r="L198" s="1" t="s">
        <v>58</v>
      </c>
      <c r="M198" s="1" t="s">
        <v>47</v>
      </c>
      <c r="N198" s="1" t="s">
        <v>1249</v>
      </c>
      <c r="O198" s="1" t="s">
        <v>48</v>
      </c>
      <c r="P198" s="1" t="s">
        <v>1254</v>
      </c>
      <c r="Q198" s="4">
        <v>1.3999999999999999</v>
      </c>
      <c r="R198" s="4">
        <v>1.3999999999999999</v>
      </c>
      <c r="S198" s="8">
        <v>4.2000000000000002</v>
      </c>
      <c r="T198" s="1" t="s">
        <v>60</v>
      </c>
      <c r="U198" s="1"/>
      <c r="V198" s="1"/>
      <c r="W198" s="1"/>
      <c r="X198" s="1"/>
      <c r="Y198" s="7">
        <v>334783</v>
      </c>
      <c r="Z198" s="1"/>
      <c r="AA198" s="1"/>
      <c r="AB198" s="1"/>
      <c r="AC198" s="1"/>
      <c r="AD198" s="1"/>
      <c r="AE198" s="1" t="s">
        <v>51</v>
      </c>
      <c r="AF198" s="1" t="s">
        <v>51</v>
      </c>
      <c r="AG198" s="1" t="s">
        <v>51</v>
      </c>
      <c r="AH198" s="1"/>
      <c r="AI198" s="1"/>
      <c r="AJ198" s="3">
        <v>1</v>
      </c>
      <c r="AK198" s="1" t="s">
        <v>52</v>
      </c>
      <c r="AL198" s="3">
        <v>1</v>
      </c>
      <c r="AM198" s="1"/>
      <c r="AN198" s="1"/>
      <c r="AO198" s="1" t="s">
        <v>1255</v>
      </c>
      <c r="AP198" s="1" t="s">
        <v>160</v>
      </c>
      <c r="AQ198" s="1" t="s">
        <v>160</v>
      </c>
      <c r="AR198" s="1" t="s">
        <v>187</v>
      </c>
    </row>
    <row r="199">
      <c r="A199" s="2">
        <f ca="1">DATE(1999,12,16)</f>
        <v>0</v>
      </c>
      <c r="B199" s="2">
        <f ca="1">DATE(2000,04,04)</f>
        <v>0</v>
      </c>
      <c r="C199" s="1" t="s">
        <v>1256</v>
      </c>
      <c r="D199" s="3">
        <v>5461</v>
      </c>
      <c r="E199" s="1" t="s">
        <v>43</v>
      </c>
      <c r="F199" s="1" t="s">
        <v>1257</v>
      </c>
      <c r="G199" s="1" t="s">
        <v>96</v>
      </c>
      <c r="H199" s="4">
        <v>1.47</v>
      </c>
      <c r="I199" s="8">
        <v>7</v>
      </c>
      <c r="J199" s="5">
        <v>63</v>
      </c>
      <c r="K199" s="4">
        <v>21</v>
      </c>
      <c r="L199" s="1" t="s">
        <v>46</v>
      </c>
      <c r="M199" s="1" t="s">
        <v>47</v>
      </c>
      <c r="N199" s="3">
        <v>501014104</v>
      </c>
      <c r="O199" s="1" t="s">
        <v>48</v>
      </c>
      <c r="P199" s="1" t="s">
        <v>1258</v>
      </c>
      <c r="Q199" s="4">
        <v>1.405</v>
      </c>
      <c r="R199" s="4">
        <v>1.405</v>
      </c>
      <c r="S199" s="6">
        <v>4.19048</v>
      </c>
      <c r="T199" s="1" t="s">
        <v>50</v>
      </c>
      <c r="U199" s="1"/>
      <c r="V199" s="1"/>
      <c r="W199" s="1"/>
      <c r="X199" s="5">
        <v>74.799999999999997</v>
      </c>
      <c r="Y199" s="7">
        <v>3000000</v>
      </c>
      <c r="Z199" s="1"/>
      <c r="AA199" s="2">
        <f ca="1">DATE(2000,10,01)</f>
        <v>0</v>
      </c>
      <c r="AB199" s="4">
        <v>75.971000000000004</v>
      </c>
      <c r="AC199" s="3">
        <v>180</v>
      </c>
      <c r="AD199" s="8">
        <v>9484957</v>
      </c>
      <c r="AE199" s="1" t="s">
        <v>51</v>
      </c>
      <c r="AF199" s="1" t="s">
        <v>51</v>
      </c>
      <c r="AG199" s="1" t="s">
        <v>51</v>
      </c>
      <c r="AH199" s="1"/>
      <c r="AI199" s="1"/>
      <c r="AJ199" s="3">
        <v>1</v>
      </c>
      <c r="AK199" s="1" t="s">
        <v>89</v>
      </c>
      <c r="AL199" s="3">
        <v>4</v>
      </c>
      <c r="AM199" s="8">
        <v>37</v>
      </c>
      <c r="AN199" s="1"/>
      <c r="AO199" s="1" t="s">
        <v>1259</v>
      </c>
      <c r="AP199" s="1" t="s">
        <v>1260</v>
      </c>
      <c r="AQ199" s="1" t="s">
        <v>1261</v>
      </c>
      <c r="AR199" s="1" t="s">
        <v>1262</v>
      </c>
    </row>
    <row r="200">
      <c r="A200" s="2">
        <f ca="1">DATE(1999,11,23)</f>
        <v>0</v>
      </c>
      <c r="B200" s="2">
        <f ca="1">DATE(2000,04,04)</f>
        <v>0</v>
      </c>
      <c r="C200" s="1" t="s">
        <v>1263</v>
      </c>
      <c r="D200" s="3">
        <v>6311</v>
      </c>
      <c r="E200" s="1" t="s">
        <v>43</v>
      </c>
      <c r="F200" s="1" t="s">
        <v>1264</v>
      </c>
      <c r="G200" s="1" t="s">
        <v>1265</v>
      </c>
      <c r="H200" s="4">
        <v>0.64000000000000001</v>
      </c>
      <c r="I200" s="4">
        <v>4.4909999999999997</v>
      </c>
      <c r="J200" s="9">
        <v>2495.9000000000001</v>
      </c>
      <c r="K200" s="4">
        <v>14.25</v>
      </c>
      <c r="L200" s="1" t="s">
        <v>46</v>
      </c>
      <c r="M200" s="1" t="s">
        <v>47</v>
      </c>
      <c r="N200" s="1" t="s">
        <v>1266</v>
      </c>
      <c r="O200" s="1" t="s">
        <v>108</v>
      </c>
      <c r="P200" s="1" t="s">
        <v>1267</v>
      </c>
      <c r="Q200" s="4">
        <v>0.84199999999999997</v>
      </c>
      <c r="R200" s="4">
        <v>0.84199999999999997</v>
      </c>
      <c r="S200" s="6">
        <v>2.8070200000000001</v>
      </c>
      <c r="T200" s="1" t="s">
        <v>50</v>
      </c>
      <c r="U200" s="8">
        <v>24</v>
      </c>
      <c r="V200" s="8">
        <v>14</v>
      </c>
      <c r="W200" s="1"/>
      <c r="X200" s="9">
        <v>6513.6000000000004</v>
      </c>
      <c r="Y200" s="7">
        <v>175150000</v>
      </c>
      <c r="Z200" s="1"/>
      <c r="AA200" s="1"/>
      <c r="AB200" s="1"/>
      <c r="AC200" s="1"/>
      <c r="AD200" s="1"/>
      <c r="AE200" s="1" t="s">
        <v>51</v>
      </c>
      <c r="AF200" s="1" t="s">
        <v>51</v>
      </c>
      <c r="AG200" s="1" t="s">
        <v>51</v>
      </c>
      <c r="AH200" s="1"/>
      <c r="AI200" s="1"/>
      <c r="AJ200" s="3">
        <v>2</v>
      </c>
      <c r="AK200" s="1" t="s">
        <v>89</v>
      </c>
      <c r="AL200" s="3">
        <v>14</v>
      </c>
      <c r="AM200" s="8">
        <v>14.75</v>
      </c>
      <c r="AN200" s="1"/>
      <c r="AO200" s="1" t="s">
        <v>1268</v>
      </c>
      <c r="AP200" s="1" t="s">
        <v>1269</v>
      </c>
      <c r="AQ200" s="1" t="s">
        <v>1270</v>
      </c>
      <c r="AR200" s="1" t="s">
        <v>1271</v>
      </c>
    </row>
    <row r="201">
      <c r="A201" s="2">
        <f ca="1">DATE(1999,11,23)</f>
        <v>0</v>
      </c>
      <c r="B201" s="2">
        <f ca="1">DATE(2000,04,04)</f>
        <v>0</v>
      </c>
      <c r="C201" s="1" t="s">
        <v>1263</v>
      </c>
      <c r="D201" s="3">
        <v>6311</v>
      </c>
      <c r="E201" s="1" t="s">
        <v>43</v>
      </c>
      <c r="F201" s="1" t="s">
        <v>1264</v>
      </c>
      <c r="G201" s="1" t="s">
        <v>1272</v>
      </c>
      <c r="H201" s="4">
        <v>0.64000000000000001</v>
      </c>
      <c r="I201" s="4">
        <v>4.4909999999999997</v>
      </c>
      <c r="J201" s="5">
        <v>382.60000000000002</v>
      </c>
      <c r="K201" s="8">
        <v>14.25</v>
      </c>
      <c r="L201" s="1" t="s">
        <v>58</v>
      </c>
      <c r="M201" s="1" t="s">
        <v>47</v>
      </c>
      <c r="N201" s="1" t="s">
        <v>1266</v>
      </c>
      <c r="O201" s="1" t="s">
        <v>108</v>
      </c>
      <c r="P201" s="1" t="s">
        <v>1273</v>
      </c>
      <c r="Q201" s="4">
        <v>0.84199999999999997</v>
      </c>
      <c r="R201" s="4">
        <v>0.84199999999999997</v>
      </c>
      <c r="S201" s="6">
        <v>2.8070200000000001</v>
      </c>
      <c r="T201" s="1" t="s">
        <v>60</v>
      </c>
      <c r="U201" s="8">
        <v>24</v>
      </c>
      <c r="V201" s="8">
        <v>14</v>
      </c>
      <c r="W201" s="1"/>
      <c r="X201" s="1"/>
      <c r="Y201" s="7">
        <v>26850000</v>
      </c>
      <c r="Z201" s="1"/>
      <c r="AA201" s="1"/>
      <c r="AB201" s="1"/>
      <c r="AC201" s="1"/>
      <c r="AD201" s="1"/>
      <c r="AE201" s="1" t="s">
        <v>51</v>
      </c>
      <c r="AF201" s="1" t="s">
        <v>51</v>
      </c>
      <c r="AG201" s="1" t="s">
        <v>51</v>
      </c>
      <c r="AH201" s="1"/>
      <c r="AI201" s="1"/>
      <c r="AJ201" s="3">
        <v>2</v>
      </c>
      <c r="AK201" s="1" t="s">
        <v>89</v>
      </c>
      <c r="AL201" s="3">
        <v>3</v>
      </c>
      <c r="AM201" s="1"/>
      <c r="AN201" s="1"/>
      <c r="AO201" s="1" t="s">
        <v>1274</v>
      </c>
      <c r="AP201" s="1" t="s">
        <v>1275</v>
      </c>
      <c r="AQ201" s="1" t="s">
        <v>1276</v>
      </c>
      <c r="AR201" s="1" t="s">
        <v>1277</v>
      </c>
    </row>
    <row r="202">
      <c r="A202" s="2">
        <f ca="1">DATE(2000,01,31)</f>
        <v>0</v>
      </c>
      <c r="B202" s="2">
        <f ca="1">DATE(2000,04,04)</f>
        <v>0</v>
      </c>
      <c r="C202" s="1" t="s">
        <v>1278</v>
      </c>
      <c r="D202" s="3">
        <v>3845</v>
      </c>
      <c r="E202" s="1" t="s">
        <v>43</v>
      </c>
      <c r="F202" s="1" t="s">
        <v>1279</v>
      </c>
      <c r="G202" s="1" t="s">
        <v>45</v>
      </c>
      <c r="H202" s="4">
        <v>0.97999999999999998</v>
      </c>
      <c r="I202" s="8">
        <v>7</v>
      </c>
      <c r="J202" s="5">
        <v>56</v>
      </c>
      <c r="K202" s="4">
        <v>14</v>
      </c>
      <c r="L202" s="1" t="s">
        <v>46</v>
      </c>
      <c r="M202" s="1" t="s">
        <v>47</v>
      </c>
      <c r="N202" s="1" t="s">
        <v>1280</v>
      </c>
      <c r="O202" s="1" t="s">
        <v>48</v>
      </c>
      <c r="P202" s="1" t="s">
        <v>1281</v>
      </c>
      <c r="Q202" s="4">
        <v>1.4290000000000001</v>
      </c>
      <c r="R202" s="4">
        <v>1.4290000000000001</v>
      </c>
      <c r="S202" s="6">
        <v>4.1428599999999998</v>
      </c>
      <c r="T202" s="1" t="s">
        <v>50</v>
      </c>
      <c r="U202" s="8">
        <v>13</v>
      </c>
      <c r="V202" s="8">
        <v>11</v>
      </c>
      <c r="W202" s="7">
        <v>4000000</v>
      </c>
      <c r="X202" s="5">
        <v>48</v>
      </c>
      <c r="Y202" s="7">
        <v>4000000</v>
      </c>
      <c r="Z202" s="1"/>
      <c r="AA202" s="1"/>
      <c r="AB202" s="1"/>
      <c r="AC202" s="1"/>
      <c r="AD202" s="1"/>
      <c r="AE202" s="1" t="s">
        <v>51</v>
      </c>
      <c r="AF202" s="1" t="s">
        <v>51</v>
      </c>
      <c r="AG202" s="1" t="s">
        <v>47</v>
      </c>
      <c r="AH202" s="1"/>
      <c r="AI202" s="1"/>
      <c r="AJ202" s="3">
        <v>1</v>
      </c>
      <c r="AK202" s="1" t="s">
        <v>52</v>
      </c>
      <c r="AL202" s="3">
        <v>3</v>
      </c>
      <c r="AM202" s="8">
        <v>25.629999999999999</v>
      </c>
      <c r="AN202" s="1"/>
      <c r="AO202" s="1" t="s">
        <v>1282</v>
      </c>
      <c r="AP202" s="1" t="s">
        <v>45</v>
      </c>
      <c r="AQ202" s="1" t="s">
        <v>1283</v>
      </c>
      <c r="AR202" s="1" t="s">
        <v>1284</v>
      </c>
    </row>
    <row r="203">
      <c r="A203" s="2">
        <f ca="1">DATE(2000,01,18)</f>
        <v>0</v>
      </c>
      <c r="B203" s="2">
        <f ca="1">DATE(2000,04,04)</f>
        <v>0</v>
      </c>
      <c r="C203" s="1" t="s">
        <v>1285</v>
      </c>
      <c r="D203" s="3">
        <v>7372</v>
      </c>
      <c r="E203" s="1" t="s">
        <v>43</v>
      </c>
      <c r="F203" s="1" t="s">
        <v>1286</v>
      </c>
      <c r="G203" s="1" t="s">
        <v>813</v>
      </c>
      <c r="H203" s="4">
        <v>0.91000000000000003</v>
      </c>
      <c r="I203" s="4">
        <v>7</v>
      </c>
      <c r="J203" s="5">
        <v>45.5</v>
      </c>
      <c r="K203" s="4">
        <v>13</v>
      </c>
      <c r="L203" s="1" t="s">
        <v>46</v>
      </c>
      <c r="M203" s="1" t="s">
        <v>47</v>
      </c>
      <c r="N203" s="3">
        <v>903844108</v>
      </c>
      <c r="O203" s="1" t="s">
        <v>48</v>
      </c>
      <c r="P203" s="1" t="s">
        <v>1287</v>
      </c>
      <c r="Q203" s="4">
        <v>1.385</v>
      </c>
      <c r="R203" s="4">
        <v>1.385</v>
      </c>
      <c r="S203" s="6">
        <v>4.2307699999999997</v>
      </c>
      <c r="T203" s="1" t="s">
        <v>50</v>
      </c>
      <c r="U203" s="1"/>
      <c r="V203" s="1"/>
      <c r="W203" s="1"/>
      <c r="X203" s="5">
        <v>50</v>
      </c>
      <c r="Y203" s="7">
        <v>3500000</v>
      </c>
      <c r="Z203" s="1"/>
      <c r="AA203" s="1"/>
      <c r="AB203" s="1"/>
      <c r="AC203" s="1"/>
      <c r="AD203" s="1"/>
      <c r="AE203" s="1" t="s">
        <v>51</v>
      </c>
      <c r="AF203" s="1" t="s">
        <v>51</v>
      </c>
      <c r="AG203" s="1" t="s">
        <v>51</v>
      </c>
      <c r="AH203" s="1"/>
      <c r="AI203" s="1"/>
      <c r="AJ203" s="3">
        <v>1</v>
      </c>
      <c r="AK203" s="1" t="s">
        <v>52</v>
      </c>
      <c r="AL203" s="3">
        <v>4</v>
      </c>
      <c r="AM203" s="8">
        <v>20</v>
      </c>
      <c r="AN203" s="1"/>
      <c r="AO203" s="1" t="s">
        <v>1288</v>
      </c>
      <c r="AP203" s="1" t="s">
        <v>813</v>
      </c>
      <c r="AQ203" s="1" t="s">
        <v>1289</v>
      </c>
      <c r="AR203" s="1" t="s">
        <v>1290</v>
      </c>
    </row>
    <row r="204">
      <c r="A204" s="2">
        <f ca="1">DATE(2000,01,18)</f>
        <v>0</v>
      </c>
      <c r="B204" s="2">
        <f ca="1">DATE(2000,04,04)</f>
        <v>0</v>
      </c>
      <c r="C204" s="1" t="s">
        <v>1285</v>
      </c>
      <c r="D204" s="3">
        <v>7372</v>
      </c>
      <c r="E204" s="1" t="s">
        <v>43</v>
      </c>
      <c r="F204" s="1" t="s">
        <v>1286</v>
      </c>
      <c r="G204" s="1" t="s">
        <v>813</v>
      </c>
      <c r="H204" s="4">
        <v>0.91000000000000003</v>
      </c>
      <c r="I204" s="4">
        <v>7</v>
      </c>
      <c r="J204" s="5">
        <v>9.8000000000000007</v>
      </c>
      <c r="K204" s="8">
        <v>13</v>
      </c>
      <c r="L204" s="1" t="s">
        <v>58</v>
      </c>
      <c r="M204" s="1" t="s">
        <v>47</v>
      </c>
      <c r="N204" s="3">
        <v>903844108</v>
      </c>
      <c r="O204" s="1" t="s">
        <v>48</v>
      </c>
      <c r="P204" s="1" t="s">
        <v>1291</v>
      </c>
      <c r="Q204" s="4">
        <v>1.385</v>
      </c>
      <c r="R204" s="4">
        <v>1.385</v>
      </c>
      <c r="S204" s="6">
        <v>4.2307699999999997</v>
      </c>
      <c r="T204" s="1" t="s">
        <v>60</v>
      </c>
      <c r="U204" s="1"/>
      <c r="V204" s="1"/>
      <c r="W204" s="1"/>
      <c r="X204" s="1"/>
      <c r="Y204" s="7">
        <v>750000</v>
      </c>
      <c r="Z204" s="1"/>
      <c r="AA204" s="1"/>
      <c r="AB204" s="1"/>
      <c r="AC204" s="1"/>
      <c r="AD204" s="1"/>
      <c r="AE204" s="1" t="s">
        <v>51</v>
      </c>
      <c r="AF204" s="1" t="s">
        <v>51</v>
      </c>
      <c r="AG204" s="1" t="s">
        <v>51</v>
      </c>
      <c r="AH204" s="1"/>
      <c r="AI204" s="1"/>
      <c r="AJ204" s="3">
        <v>1</v>
      </c>
      <c r="AK204" s="1" t="s">
        <v>52</v>
      </c>
      <c r="AL204" s="3">
        <v>2</v>
      </c>
      <c r="AM204" s="1"/>
      <c r="AN204" s="1"/>
      <c r="AO204" s="1" t="s">
        <v>1292</v>
      </c>
      <c r="AP204" s="1" t="s">
        <v>813</v>
      </c>
      <c r="AQ204" s="1" t="s">
        <v>1293</v>
      </c>
      <c r="AR204" s="1" t="s">
        <v>1294</v>
      </c>
    </row>
    <row r="205">
      <c r="A205" s="2">
        <f ca="1">DATE(2000,02,04)</f>
        <v>0</v>
      </c>
      <c r="B205" s="2">
        <f ca="1">DATE(2000,04,04)</f>
        <v>0</v>
      </c>
      <c r="C205" s="1" t="s">
        <v>1295</v>
      </c>
      <c r="D205" s="3">
        <v>3669</v>
      </c>
      <c r="E205" s="1" t="s">
        <v>43</v>
      </c>
      <c r="F205" s="1" t="s">
        <v>1296</v>
      </c>
      <c r="G205" s="1" t="s">
        <v>1297</v>
      </c>
      <c r="H205" s="4">
        <v>0.94499999999999995</v>
      </c>
      <c r="I205" s="8">
        <v>7</v>
      </c>
      <c r="J205" s="5">
        <v>91.099999999999994</v>
      </c>
      <c r="K205" s="4">
        <v>13.5</v>
      </c>
      <c r="L205" s="1" t="s">
        <v>46</v>
      </c>
      <c r="M205" s="1" t="s">
        <v>47</v>
      </c>
      <c r="N205" s="3">
        <v>918458100</v>
      </c>
      <c r="O205" s="1" t="s">
        <v>67</v>
      </c>
      <c r="P205" s="1" t="s">
        <v>1298</v>
      </c>
      <c r="Q205" s="4">
        <v>1.407</v>
      </c>
      <c r="R205" s="4">
        <v>1.7410000000000001</v>
      </c>
      <c r="S205" s="6">
        <v>3.8518500000000002</v>
      </c>
      <c r="T205" s="1" t="s">
        <v>50</v>
      </c>
      <c r="U205" s="1"/>
      <c r="V205" s="1"/>
      <c r="W205" s="1"/>
      <c r="X205" s="5">
        <v>115</v>
      </c>
      <c r="Y205" s="7">
        <v>6750000</v>
      </c>
      <c r="Z205" s="1"/>
      <c r="AA205" s="2">
        <f ca="1">DATE(2000,07,03)</f>
        <v>0</v>
      </c>
      <c r="AB205" s="4">
        <v>79.968999999999994</v>
      </c>
      <c r="AC205" s="3">
        <v>90</v>
      </c>
      <c r="AD205" s="8">
        <v>26947286</v>
      </c>
      <c r="AE205" s="1" t="s">
        <v>51</v>
      </c>
      <c r="AF205" s="1" t="s">
        <v>51</v>
      </c>
      <c r="AG205" s="1" t="s">
        <v>51</v>
      </c>
      <c r="AH205" s="1"/>
      <c r="AI205" s="1"/>
      <c r="AJ205" s="3">
        <v>1</v>
      </c>
      <c r="AK205" s="1" t="s">
        <v>52</v>
      </c>
      <c r="AL205" s="3">
        <v>4</v>
      </c>
      <c r="AM205" s="8">
        <v>20.25</v>
      </c>
      <c r="AN205" s="1"/>
      <c r="AO205" s="1" t="s">
        <v>1299</v>
      </c>
      <c r="AP205" s="1" t="s">
        <v>1297</v>
      </c>
      <c r="AQ205" s="1" t="s">
        <v>1300</v>
      </c>
      <c r="AR205" s="1" t="s">
        <v>1301</v>
      </c>
    </row>
    <row r="206">
      <c r="A206" s="2">
        <f ca="1">DATE(2000,01,18)</f>
        <v>0</v>
      </c>
      <c r="B206" s="2">
        <f ca="1">DATE(2000,04,06)</f>
        <v>0</v>
      </c>
      <c r="C206" s="1" t="s">
        <v>1302</v>
      </c>
      <c r="D206" s="3">
        <v>4899</v>
      </c>
      <c r="E206" s="1" t="s">
        <v>43</v>
      </c>
      <c r="F206" s="1" t="s">
        <v>1303</v>
      </c>
      <c r="G206" s="1" t="s">
        <v>411</v>
      </c>
      <c r="H206" s="4">
        <v>1.1200000000000001</v>
      </c>
      <c r="I206" s="4">
        <v>7</v>
      </c>
      <c r="J206" s="5">
        <v>160</v>
      </c>
      <c r="K206" s="4">
        <v>16</v>
      </c>
      <c r="L206" s="1" t="s">
        <v>46</v>
      </c>
      <c r="M206" s="1" t="s">
        <v>47</v>
      </c>
      <c r="N206" s="1" t="s">
        <v>1304</v>
      </c>
      <c r="O206" s="1" t="s">
        <v>48</v>
      </c>
      <c r="P206" s="1" t="s">
        <v>1305</v>
      </c>
      <c r="Q206" s="4">
        <v>1.4059999999999999</v>
      </c>
      <c r="R206" s="4">
        <v>1.4059999999999999</v>
      </c>
      <c r="S206" s="10">
        <v>4.1875</v>
      </c>
      <c r="T206" s="1" t="s">
        <v>50</v>
      </c>
      <c r="U206" s="8">
        <v>16</v>
      </c>
      <c r="V206" s="8">
        <v>14</v>
      </c>
      <c r="W206" s="1"/>
      <c r="X206" s="5">
        <v>100</v>
      </c>
      <c r="Y206" s="7">
        <v>10000000</v>
      </c>
      <c r="Z206" s="1"/>
      <c r="AA206" s="2">
        <f ca="1">DATE(2000,10,03)</f>
        <v>0</v>
      </c>
      <c r="AB206" s="4">
        <v>78.929000000000002</v>
      </c>
      <c r="AC206" s="3">
        <v>180</v>
      </c>
      <c r="AD206" s="8">
        <v>37204808</v>
      </c>
      <c r="AE206" s="1" t="s">
        <v>51</v>
      </c>
      <c r="AF206" s="1" t="s">
        <v>51</v>
      </c>
      <c r="AG206" s="1" t="s">
        <v>47</v>
      </c>
      <c r="AH206" s="1"/>
      <c r="AI206" s="1"/>
      <c r="AJ206" s="3">
        <v>1</v>
      </c>
      <c r="AK206" s="1" t="s">
        <v>52</v>
      </c>
      <c r="AL206" s="3">
        <v>5</v>
      </c>
      <c r="AM206" s="8">
        <v>16</v>
      </c>
      <c r="AN206" s="1"/>
      <c r="AO206" s="1" t="s">
        <v>1306</v>
      </c>
      <c r="AP206" s="1" t="s">
        <v>411</v>
      </c>
      <c r="AQ206" s="1" t="s">
        <v>1307</v>
      </c>
      <c r="AR206" s="1" t="s">
        <v>1308</v>
      </c>
    </row>
    <row r="207">
      <c r="A207" s="2">
        <f ca="1">DATE(2000,01,07)</f>
        <v>0</v>
      </c>
      <c r="B207" s="2">
        <f ca="1">DATE(2000,04,06)</f>
        <v>0</v>
      </c>
      <c r="C207" s="1" t="s">
        <v>1309</v>
      </c>
      <c r="D207" s="3">
        <v>7389</v>
      </c>
      <c r="E207" s="1" t="s">
        <v>43</v>
      </c>
      <c r="F207" s="1" t="s">
        <v>1310</v>
      </c>
      <c r="G207" s="1" t="s">
        <v>1311</v>
      </c>
      <c r="H207" s="4">
        <v>1.1200000000000001</v>
      </c>
      <c r="I207" s="4">
        <v>7</v>
      </c>
      <c r="J207" s="5">
        <v>81.599999999999994</v>
      </c>
      <c r="K207" s="4">
        <v>16</v>
      </c>
      <c r="L207" s="1" t="s">
        <v>46</v>
      </c>
      <c r="M207" s="1" t="s">
        <v>47</v>
      </c>
      <c r="N207" s="3">
        <v>465713105</v>
      </c>
      <c r="O207" s="1" t="s">
        <v>48</v>
      </c>
      <c r="P207" s="1" t="s">
        <v>1312</v>
      </c>
      <c r="Q207" s="4">
        <v>1.4379999999999999</v>
      </c>
      <c r="R207" s="4">
        <v>1.375</v>
      </c>
      <c r="S207" s="10">
        <v>4.1875</v>
      </c>
      <c r="T207" s="1" t="s">
        <v>50</v>
      </c>
      <c r="U207" s="1"/>
      <c r="V207" s="1"/>
      <c r="W207" s="1"/>
      <c r="X207" s="5">
        <v>65</v>
      </c>
      <c r="Y207" s="7">
        <v>5100000</v>
      </c>
      <c r="Z207" s="1"/>
      <c r="AA207" s="1"/>
      <c r="AB207" s="1"/>
      <c r="AC207" s="1"/>
      <c r="AD207" s="1"/>
      <c r="AE207" s="1" t="s">
        <v>51</v>
      </c>
      <c r="AF207" s="1" t="s">
        <v>51</v>
      </c>
      <c r="AG207" s="1" t="s">
        <v>47</v>
      </c>
      <c r="AH207" s="1"/>
      <c r="AI207" s="1"/>
      <c r="AJ207" s="3">
        <v>3</v>
      </c>
      <c r="AK207" s="1" t="s">
        <v>110</v>
      </c>
      <c r="AL207" s="3">
        <v>3</v>
      </c>
      <c r="AM207" s="8">
        <v>25</v>
      </c>
      <c r="AN207" s="1"/>
      <c r="AO207" s="1" t="s">
        <v>1313</v>
      </c>
      <c r="AP207" s="1" t="s">
        <v>1314</v>
      </c>
      <c r="AQ207" s="1" t="s">
        <v>1315</v>
      </c>
      <c r="AR207" s="1" t="s">
        <v>1316</v>
      </c>
    </row>
    <row r="208">
      <c r="A208" s="2">
        <f ca="1">DATE(2000,01,28)</f>
        <v>0</v>
      </c>
      <c r="B208" s="2">
        <f ca="1">DATE(2000,04,06)</f>
        <v>0</v>
      </c>
      <c r="C208" s="1" t="s">
        <v>1317</v>
      </c>
      <c r="D208" s="3">
        <v>7375</v>
      </c>
      <c r="E208" s="1" t="s">
        <v>43</v>
      </c>
      <c r="F208" s="1" t="s">
        <v>1318</v>
      </c>
      <c r="G208" s="1" t="s">
        <v>387</v>
      </c>
      <c r="H208" s="4">
        <v>0.56000000000000005</v>
      </c>
      <c r="I208" s="4">
        <v>7</v>
      </c>
      <c r="J208" s="5">
        <v>32</v>
      </c>
      <c r="K208" s="4">
        <v>8</v>
      </c>
      <c r="L208" s="1" t="s">
        <v>46</v>
      </c>
      <c r="M208" s="1" t="s">
        <v>47</v>
      </c>
      <c r="N208" s="3">
        <v>538146101</v>
      </c>
      <c r="O208" s="1" t="s">
        <v>48</v>
      </c>
      <c r="P208" s="1" t="s">
        <v>1319</v>
      </c>
      <c r="Q208" s="4">
        <v>1.5</v>
      </c>
      <c r="R208" s="4">
        <v>1.375</v>
      </c>
      <c r="S208" s="4">
        <v>4.125</v>
      </c>
      <c r="T208" s="1" t="s">
        <v>50</v>
      </c>
      <c r="U208" s="1"/>
      <c r="V208" s="1"/>
      <c r="W208" s="1"/>
      <c r="X208" s="5">
        <v>57.5</v>
      </c>
      <c r="Y208" s="7">
        <v>4000000</v>
      </c>
      <c r="Z208" s="1"/>
      <c r="AA208" s="2">
        <f ca="1">DATE(2000,10,03)</f>
        <v>0</v>
      </c>
      <c r="AB208" s="4">
        <v>70.221999999999994</v>
      </c>
      <c r="AC208" s="3">
        <v>180</v>
      </c>
      <c r="AD208" s="8">
        <v>20603027</v>
      </c>
      <c r="AE208" s="1" t="s">
        <v>51</v>
      </c>
      <c r="AF208" s="1" t="s">
        <v>51</v>
      </c>
      <c r="AG208" s="1" t="s">
        <v>47</v>
      </c>
      <c r="AH208" s="1"/>
      <c r="AI208" s="1"/>
      <c r="AJ208" s="3">
        <v>1</v>
      </c>
      <c r="AK208" s="1" t="s">
        <v>52</v>
      </c>
      <c r="AL208" s="3">
        <v>3</v>
      </c>
      <c r="AM208" s="8">
        <v>9.5</v>
      </c>
      <c r="AN208" s="1"/>
      <c r="AO208" s="1" t="s">
        <v>1320</v>
      </c>
      <c r="AP208" s="1" t="s">
        <v>387</v>
      </c>
      <c r="AQ208" s="1" t="s">
        <v>1321</v>
      </c>
      <c r="AR208" s="1" t="s">
        <v>1322</v>
      </c>
    </row>
    <row r="209">
      <c r="A209" s="2">
        <f ca="1">DATE(2000,01,31)</f>
        <v>0</v>
      </c>
      <c r="B209" s="2">
        <f ca="1">DATE(2000,04,06)</f>
        <v>0</v>
      </c>
      <c r="C209" s="1" t="s">
        <v>1323</v>
      </c>
      <c r="D209" s="3">
        <v>7372</v>
      </c>
      <c r="E209" s="1" t="s">
        <v>43</v>
      </c>
      <c r="F209" s="1" t="s">
        <v>1324</v>
      </c>
      <c r="G209" s="1" t="s">
        <v>160</v>
      </c>
      <c r="H209" s="4">
        <v>1.05</v>
      </c>
      <c r="I209" s="4">
        <v>7</v>
      </c>
      <c r="J209" s="5">
        <v>51.700000000000003</v>
      </c>
      <c r="K209" s="4">
        <v>15</v>
      </c>
      <c r="L209" s="1" t="s">
        <v>46</v>
      </c>
      <c r="M209" s="1" t="s">
        <v>47</v>
      </c>
      <c r="N209" s="3">
        <v>784932105</v>
      </c>
      <c r="O209" s="1" t="s">
        <v>48</v>
      </c>
      <c r="P209" s="1" t="s">
        <v>1325</v>
      </c>
      <c r="Q209" s="4">
        <v>1.3999999999999999</v>
      </c>
      <c r="R209" s="4">
        <v>1.3999999999999999</v>
      </c>
      <c r="S209" s="8">
        <v>4.2000000000000002</v>
      </c>
      <c r="T209" s="1" t="s">
        <v>50</v>
      </c>
      <c r="U209" s="1"/>
      <c r="V209" s="1"/>
      <c r="W209" s="1"/>
      <c r="X209" s="5">
        <v>100</v>
      </c>
      <c r="Y209" s="7">
        <v>3448000</v>
      </c>
      <c r="Z209" s="1"/>
      <c r="AA209" s="1"/>
      <c r="AB209" s="1"/>
      <c r="AC209" s="1"/>
      <c r="AD209" s="1"/>
      <c r="AE209" s="1" t="s">
        <v>51</v>
      </c>
      <c r="AF209" s="1" t="s">
        <v>51</v>
      </c>
      <c r="AG209" s="1" t="s">
        <v>47</v>
      </c>
      <c r="AH209" s="1"/>
      <c r="AI209" s="1"/>
      <c r="AJ209" s="3">
        <v>1</v>
      </c>
      <c r="AK209" s="1" t="s">
        <v>52</v>
      </c>
      <c r="AL209" s="3">
        <v>4</v>
      </c>
      <c r="AM209" s="8">
        <v>33</v>
      </c>
      <c r="AN209" s="1"/>
      <c r="AO209" s="1" t="s">
        <v>1326</v>
      </c>
      <c r="AP209" s="1" t="s">
        <v>160</v>
      </c>
      <c r="AQ209" s="1" t="s">
        <v>1327</v>
      </c>
      <c r="AR209" s="1" t="s">
        <v>1328</v>
      </c>
    </row>
    <row r="210">
      <c r="A210" s="2">
        <f ca="1">DATE(2000,01,31)</f>
        <v>0</v>
      </c>
      <c r="B210" s="2">
        <f ca="1">DATE(2000,04,06)</f>
        <v>0</v>
      </c>
      <c r="C210" s="1" t="s">
        <v>1323</v>
      </c>
      <c r="D210" s="3">
        <v>7372</v>
      </c>
      <c r="E210" s="1" t="s">
        <v>43</v>
      </c>
      <c r="F210" s="1" t="s">
        <v>1324</v>
      </c>
      <c r="G210" s="1" t="s">
        <v>160</v>
      </c>
      <c r="H210" s="4">
        <v>1.05</v>
      </c>
      <c r="I210" s="4">
        <v>7</v>
      </c>
      <c r="J210" s="5">
        <v>8.3000000000000007</v>
      </c>
      <c r="K210" s="8">
        <v>15</v>
      </c>
      <c r="L210" s="1" t="s">
        <v>58</v>
      </c>
      <c r="M210" s="1" t="s">
        <v>47</v>
      </c>
      <c r="N210" s="3">
        <v>784932105</v>
      </c>
      <c r="O210" s="1" t="s">
        <v>48</v>
      </c>
      <c r="P210" s="1" t="s">
        <v>1329</v>
      </c>
      <c r="Q210" s="4">
        <v>1.3999999999999999</v>
      </c>
      <c r="R210" s="4">
        <v>1.3999999999999999</v>
      </c>
      <c r="S210" s="8">
        <v>4.2000000000000002</v>
      </c>
      <c r="T210" s="1" t="s">
        <v>60</v>
      </c>
      <c r="U210" s="1"/>
      <c r="V210" s="1"/>
      <c r="W210" s="1"/>
      <c r="X210" s="1"/>
      <c r="Y210" s="7">
        <v>552000</v>
      </c>
      <c r="Z210" s="1"/>
      <c r="AA210" s="1"/>
      <c r="AB210" s="1"/>
      <c r="AC210" s="1"/>
      <c r="AD210" s="1"/>
      <c r="AE210" s="1" t="s">
        <v>51</v>
      </c>
      <c r="AF210" s="1" t="s">
        <v>51</v>
      </c>
      <c r="AG210" s="1" t="s">
        <v>47</v>
      </c>
      <c r="AH210" s="1"/>
      <c r="AI210" s="1"/>
      <c r="AJ210" s="3">
        <v>1</v>
      </c>
      <c r="AK210" s="1" t="s">
        <v>52</v>
      </c>
      <c r="AL210" s="3">
        <v>1</v>
      </c>
      <c r="AM210" s="1"/>
      <c r="AN210" s="1"/>
      <c r="AO210" s="1" t="s">
        <v>1330</v>
      </c>
      <c r="AP210" s="1" t="s">
        <v>160</v>
      </c>
      <c r="AQ210" s="1" t="s">
        <v>160</v>
      </c>
      <c r="AR210" s="1" t="s">
        <v>187</v>
      </c>
    </row>
    <row r="211">
      <c r="A211" s="2">
        <f ca="1">DATE(2000,02,11)</f>
        <v>0</v>
      </c>
      <c r="B211" s="2">
        <f ca="1">DATE(2000,04,06)</f>
        <v>0</v>
      </c>
      <c r="C211" s="1" t="s">
        <v>1331</v>
      </c>
      <c r="D211" s="3">
        <v>2836</v>
      </c>
      <c r="E211" s="1" t="s">
        <v>43</v>
      </c>
      <c r="F211" s="1" t="s">
        <v>1332</v>
      </c>
      <c r="G211" s="1" t="s">
        <v>813</v>
      </c>
      <c r="H211" s="4">
        <v>1.05</v>
      </c>
      <c r="I211" s="4">
        <v>7</v>
      </c>
      <c r="J211" s="5">
        <v>36.399999999999999</v>
      </c>
      <c r="K211" s="4">
        <v>15</v>
      </c>
      <c r="L211" s="1" t="s">
        <v>46</v>
      </c>
      <c r="M211" s="1" t="s">
        <v>47</v>
      </c>
      <c r="N211" s="3">
        <v>800677106</v>
      </c>
      <c r="O211" s="1" t="s">
        <v>48</v>
      </c>
      <c r="P211" s="1" t="s">
        <v>1333</v>
      </c>
      <c r="Q211" s="4">
        <v>1.3999999999999999</v>
      </c>
      <c r="R211" s="4">
        <v>1.5329999999999999</v>
      </c>
      <c r="S211" s="6">
        <v>4.0666700000000002</v>
      </c>
      <c r="T211" s="1" t="s">
        <v>50</v>
      </c>
      <c r="U211" s="1"/>
      <c r="V211" s="1"/>
      <c r="W211" s="1"/>
      <c r="X211" s="1"/>
      <c r="Y211" s="7">
        <v>2425000</v>
      </c>
      <c r="Z211" s="1"/>
      <c r="AA211" s="1"/>
      <c r="AB211" s="1"/>
      <c r="AC211" s="1"/>
      <c r="AD211" s="1"/>
      <c r="AE211" s="1" t="s">
        <v>51</v>
      </c>
      <c r="AF211" s="1" t="s">
        <v>51</v>
      </c>
      <c r="AG211" s="1" t="s">
        <v>47</v>
      </c>
      <c r="AH211" s="1"/>
      <c r="AI211" s="1"/>
      <c r="AJ211" s="3">
        <v>1</v>
      </c>
      <c r="AK211" s="1" t="s">
        <v>52</v>
      </c>
      <c r="AL211" s="3">
        <v>4</v>
      </c>
      <c r="AM211" s="8">
        <v>15.060000000000001</v>
      </c>
      <c r="AN211" s="1"/>
      <c r="AO211" s="1" t="s">
        <v>1334</v>
      </c>
      <c r="AP211" s="1" t="s">
        <v>813</v>
      </c>
      <c r="AQ211" s="1" t="s">
        <v>1335</v>
      </c>
      <c r="AR211" s="1" t="s">
        <v>1336</v>
      </c>
    </row>
    <row r="212">
      <c r="A212" s="2">
        <f ca="1">DATE(2000,02,11)</f>
        <v>0</v>
      </c>
      <c r="B212" s="2">
        <f ca="1">DATE(2000,04,06)</f>
        <v>0</v>
      </c>
      <c r="C212" s="1" t="s">
        <v>1331</v>
      </c>
      <c r="D212" s="3">
        <v>2836</v>
      </c>
      <c r="E212" s="1" t="s">
        <v>43</v>
      </c>
      <c r="F212" s="1" t="s">
        <v>1332</v>
      </c>
      <c r="G212" s="1" t="s">
        <v>813</v>
      </c>
      <c r="H212" s="4">
        <v>1.05</v>
      </c>
      <c r="I212" s="4">
        <v>7</v>
      </c>
      <c r="J212" s="5">
        <v>16.100000000000001</v>
      </c>
      <c r="K212" s="8">
        <v>15</v>
      </c>
      <c r="L212" s="1" t="s">
        <v>58</v>
      </c>
      <c r="M212" s="1" t="s">
        <v>47</v>
      </c>
      <c r="N212" s="3">
        <v>800677106</v>
      </c>
      <c r="O212" s="1" t="s">
        <v>48</v>
      </c>
      <c r="P212" s="1" t="s">
        <v>1337</v>
      </c>
      <c r="Q212" s="4">
        <v>1.3999999999999999</v>
      </c>
      <c r="R212" s="4">
        <v>1.5329999999999999</v>
      </c>
      <c r="S212" s="6">
        <v>4.0667299999999997</v>
      </c>
      <c r="T212" s="1" t="s">
        <v>60</v>
      </c>
      <c r="U212" s="1"/>
      <c r="V212" s="1"/>
      <c r="W212" s="1"/>
      <c r="X212" s="1"/>
      <c r="Y212" s="7">
        <v>1075000</v>
      </c>
      <c r="Z212" s="1"/>
      <c r="AA212" s="1"/>
      <c r="AB212" s="1"/>
      <c r="AC212" s="1"/>
      <c r="AD212" s="1"/>
      <c r="AE212" s="1" t="s">
        <v>51</v>
      </c>
      <c r="AF212" s="1" t="s">
        <v>51</v>
      </c>
      <c r="AG212" s="1" t="s">
        <v>47</v>
      </c>
      <c r="AH212" s="1"/>
      <c r="AI212" s="1"/>
      <c r="AJ212" s="3">
        <v>1</v>
      </c>
      <c r="AK212" s="1" t="s">
        <v>52</v>
      </c>
      <c r="AL212" s="3">
        <v>2</v>
      </c>
      <c r="AM212" s="1"/>
      <c r="AN212" s="1"/>
      <c r="AO212" s="1" t="s">
        <v>1338</v>
      </c>
      <c r="AP212" s="1" t="s">
        <v>813</v>
      </c>
      <c r="AQ212" s="1" t="s">
        <v>1293</v>
      </c>
      <c r="AR212" s="1" t="s">
        <v>1294</v>
      </c>
    </row>
    <row r="213">
      <c r="A213" s="2">
        <f ca="1">DATE(2000,02,02)</f>
        <v>0</v>
      </c>
      <c r="B213" s="2">
        <f ca="1">DATE(2000,04,06)</f>
        <v>0</v>
      </c>
      <c r="C213" s="1" t="s">
        <v>1339</v>
      </c>
      <c r="D213" s="3">
        <v>2836</v>
      </c>
      <c r="E213" s="1" t="s">
        <v>43</v>
      </c>
      <c r="F213" s="1"/>
      <c r="G213" s="1" t="s">
        <v>1056</v>
      </c>
      <c r="H213" s="4">
        <v>1.99</v>
      </c>
      <c r="I213" s="4">
        <v>6.9820000000000002</v>
      </c>
      <c r="J213" s="5">
        <v>213.80000000000001</v>
      </c>
      <c r="K213" s="4">
        <v>28.5</v>
      </c>
      <c r="L213" s="1" t="s">
        <v>46</v>
      </c>
      <c r="M213" s="1" t="s">
        <v>47</v>
      </c>
      <c r="N213" s="1" t="s">
        <v>1340</v>
      </c>
      <c r="O213" s="1"/>
      <c r="P213" s="1" t="s">
        <v>1341</v>
      </c>
      <c r="Q213" s="4">
        <v>1.4039999999999999</v>
      </c>
      <c r="R213" s="4">
        <v>1.3680000000000001</v>
      </c>
      <c r="S213" s="6">
        <v>4.2105300000000003</v>
      </c>
      <c r="T213" s="1" t="s">
        <v>50</v>
      </c>
      <c r="U213" s="1"/>
      <c r="V213" s="1"/>
      <c r="W213" s="1"/>
      <c r="X213" s="5">
        <v>126</v>
      </c>
      <c r="Y213" s="7">
        <v>7500000</v>
      </c>
      <c r="Z213" s="1"/>
      <c r="AA213" s="1"/>
      <c r="AB213" s="1"/>
      <c r="AC213" s="1"/>
      <c r="AD213" s="1"/>
      <c r="AE213" s="1" t="s">
        <v>51</v>
      </c>
      <c r="AF213" s="1" t="s">
        <v>51</v>
      </c>
      <c r="AG213" s="1" t="s">
        <v>47</v>
      </c>
      <c r="AH213" s="1"/>
      <c r="AI213" s="1"/>
      <c r="AJ213" s="3">
        <v>1</v>
      </c>
      <c r="AK213" s="1" t="s">
        <v>52</v>
      </c>
      <c r="AL213" s="3">
        <v>5</v>
      </c>
      <c r="AM213" s="8">
        <v>28.5</v>
      </c>
      <c r="AN213" s="1"/>
      <c r="AO213" s="1" t="s">
        <v>1342</v>
      </c>
      <c r="AP213" s="1" t="s">
        <v>1056</v>
      </c>
      <c r="AQ213" s="1" t="s">
        <v>1343</v>
      </c>
      <c r="AR213" s="1" t="s">
        <v>1344</v>
      </c>
    </row>
    <row r="214">
      <c r="A214" s="2">
        <f ca="1">DATE(2000,02,09)</f>
        <v>0</v>
      </c>
      <c r="B214" s="2">
        <f ca="1">DATE(2000,04,07)</f>
        <v>0</v>
      </c>
      <c r="C214" s="1" t="s">
        <v>1345</v>
      </c>
      <c r="D214" s="3">
        <v>2836</v>
      </c>
      <c r="E214" s="1" t="s">
        <v>43</v>
      </c>
      <c r="F214" s="1" t="s">
        <v>1346</v>
      </c>
      <c r="G214" s="1" t="s">
        <v>400</v>
      </c>
      <c r="H214" s="4">
        <v>1.54</v>
      </c>
      <c r="I214" s="4">
        <v>7</v>
      </c>
      <c r="J214" s="5">
        <v>172</v>
      </c>
      <c r="K214" s="4">
        <v>22</v>
      </c>
      <c r="L214" s="1" t="s">
        <v>46</v>
      </c>
      <c r="M214" s="1" t="s">
        <v>47</v>
      </c>
      <c r="N214" s="3">
        <v>528872104</v>
      </c>
      <c r="O214" s="1" t="s">
        <v>48</v>
      </c>
      <c r="P214" s="1" t="s">
        <v>1347</v>
      </c>
      <c r="Q214" s="4">
        <v>1.409</v>
      </c>
      <c r="R214" s="4">
        <v>1.409</v>
      </c>
      <c r="S214" s="6">
        <v>4.1818200000000001</v>
      </c>
      <c r="T214" s="1" t="s">
        <v>50</v>
      </c>
      <c r="U214" s="1"/>
      <c r="V214" s="1"/>
      <c r="W214" s="1"/>
      <c r="X214" s="5">
        <v>100</v>
      </c>
      <c r="Y214" s="7">
        <v>7819000</v>
      </c>
      <c r="Z214" s="1"/>
      <c r="AA214" s="1"/>
      <c r="AB214" s="1"/>
      <c r="AC214" s="1"/>
      <c r="AD214" s="1"/>
      <c r="AE214" s="1" t="s">
        <v>51</v>
      </c>
      <c r="AF214" s="1" t="s">
        <v>51</v>
      </c>
      <c r="AG214" s="1" t="s">
        <v>47</v>
      </c>
      <c r="AH214" s="1"/>
      <c r="AI214" s="1"/>
      <c r="AJ214" s="3">
        <v>1</v>
      </c>
      <c r="AK214" s="1" t="s">
        <v>89</v>
      </c>
      <c r="AL214" s="3">
        <v>4</v>
      </c>
      <c r="AM214" s="8">
        <v>18.75</v>
      </c>
      <c r="AN214" s="1"/>
      <c r="AO214" s="1" t="s">
        <v>1348</v>
      </c>
      <c r="AP214" s="1" t="s">
        <v>1349</v>
      </c>
      <c r="AQ214" s="1" t="s">
        <v>1350</v>
      </c>
      <c r="AR214" s="1" t="s">
        <v>1351</v>
      </c>
    </row>
    <row r="215">
      <c r="A215" s="2">
        <f ca="1">DATE(2000,02,09)</f>
        <v>0</v>
      </c>
      <c r="B215" s="2">
        <f ca="1">DATE(2000,04,07)</f>
        <v>0</v>
      </c>
      <c r="C215" s="1" t="s">
        <v>1345</v>
      </c>
      <c r="D215" s="3">
        <v>2836</v>
      </c>
      <c r="E215" s="1" t="s">
        <v>43</v>
      </c>
      <c r="F215" s="1" t="s">
        <v>1346</v>
      </c>
      <c r="G215" s="1" t="s">
        <v>405</v>
      </c>
      <c r="H215" s="4">
        <v>1.54</v>
      </c>
      <c r="I215" s="4">
        <v>7</v>
      </c>
      <c r="J215" s="5">
        <v>48</v>
      </c>
      <c r="K215" s="8">
        <v>22</v>
      </c>
      <c r="L215" s="1" t="s">
        <v>58</v>
      </c>
      <c r="M215" s="1" t="s">
        <v>47</v>
      </c>
      <c r="N215" s="3">
        <v>528872104</v>
      </c>
      <c r="O215" s="1" t="s">
        <v>48</v>
      </c>
      <c r="P215" s="1" t="s">
        <v>1352</v>
      </c>
      <c r="Q215" s="4">
        <v>1.409</v>
      </c>
      <c r="R215" s="4">
        <v>1.409</v>
      </c>
      <c r="S215" s="6">
        <v>4.1818200000000001</v>
      </c>
      <c r="T215" s="1" t="s">
        <v>60</v>
      </c>
      <c r="U215" s="1"/>
      <c r="V215" s="1"/>
      <c r="W215" s="1"/>
      <c r="X215" s="1"/>
      <c r="Y215" s="7">
        <v>2181000</v>
      </c>
      <c r="Z215" s="1"/>
      <c r="AA215" s="1"/>
      <c r="AB215" s="1"/>
      <c r="AC215" s="1"/>
      <c r="AD215" s="1"/>
      <c r="AE215" s="1" t="s">
        <v>51</v>
      </c>
      <c r="AF215" s="1" t="s">
        <v>51</v>
      </c>
      <c r="AG215" s="1" t="s">
        <v>47</v>
      </c>
      <c r="AH215" s="1"/>
      <c r="AI215" s="1"/>
      <c r="AJ215" s="3">
        <v>1</v>
      </c>
      <c r="AK215" s="1" t="s">
        <v>52</v>
      </c>
      <c r="AL215" s="3">
        <v>3</v>
      </c>
      <c r="AM215" s="1"/>
      <c r="AN215" s="1"/>
      <c r="AO215" s="1" t="s">
        <v>1353</v>
      </c>
      <c r="AP215" s="1" t="s">
        <v>405</v>
      </c>
      <c r="AQ215" s="1" t="s">
        <v>1354</v>
      </c>
      <c r="AR215" s="1" t="s">
        <v>1355</v>
      </c>
    </row>
    <row r="216">
      <c r="A216" s="2">
        <f ca="1">DATE(2000,01,28)</f>
        <v>0</v>
      </c>
      <c r="B216" s="2">
        <f ca="1">DATE(2000,04,07)</f>
        <v>0</v>
      </c>
      <c r="C216" s="1" t="s">
        <v>1356</v>
      </c>
      <c r="D216" s="3">
        <v>3674</v>
      </c>
      <c r="E216" s="1" t="s">
        <v>43</v>
      </c>
      <c r="F216" s="1" t="s">
        <v>1357</v>
      </c>
      <c r="G216" s="1" t="s">
        <v>168</v>
      </c>
      <c r="H216" s="4">
        <v>0.97999999999999998</v>
      </c>
      <c r="I216" s="8">
        <v>7</v>
      </c>
      <c r="J216" s="5">
        <v>68.099999999999994</v>
      </c>
      <c r="K216" s="4">
        <v>14</v>
      </c>
      <c r="L216" s="1" t="s">
        <v>46</v>
      </c>
      <c r="M216" s="1" t="s">
        <v>47</v>
      </c>
      <c r="N216" s="1" t="s">
        <v>1358</v>
      </c>
      <c r="O216" s="1" t="s">
        <v>48</v>
      </c>
      <c r="P216" s="1" t="s">
        <v>1359</v>
      </c>
      <c r="Q216" s="4">
        <v>1.357</v>
      </c>
      <c r="R216" s="4">
        <v>1.357</v>
      </c>
      <c r="S216" s="6">
        <v>4.2857099999999999</v>
      </c>
      <c r="T216" s="1" t="s">
        <v>50</v>
      </c>
      <c r="U216" s="1"/>
      <c r="V216" s="1"/>
      <c r="W216" s="1"/>
      <c r="X216" s="5">
        <v>70</v>
      </c>
      <c r="Y216" s="7">
        <v>4865354</v>
      </c>
      <c r="Z216" s="1"/>
      <c r="AA216" s="1"/>
      <c r="AB216" s="1"/>
      <c r="AC216" s="1"/>
      <c r="AD216" s="1"/>
      <c r="AE216" s="1" t="s">
        <v>51</v>
      </c>
      <c r="AF216" s="1" t="s">
        <v>51</v>
      </c>
      <c r="AG216" s="1" t="s">
        <v>47</v>
      </c>
      <c r="AH216" s="1"/>
      <c r="AI216" s="1"/>
      <c r="AJ216" s="3">
        <v>1</v>
      </c>
      <c r="AK216" s="1" t="s">
        <v>52</v>
      </c>
      <c r="AL216" s="3">
        <v>3</v>
      </c>
      <c r="AM216" s="8">
        <v>35.560000000000002</v>
      </c>
      <c r="AN216" s="1"/>
      <c r="AO216" s="1" t="s">
        <v>1360</v>
      </c>
      <c r="AP216" s="1" t="s">
        <v>168</v>
      </c>
      <c r="AQ216" s="1" t="s">
        <v>1361</v>
      </c>
      <c r="AR216" s="1" t="s">
        <v>1362</v>
      </c>
    </row>
    <row r="217">
      <c r="A217" s="2">
        <f ca="1">DATE(2000,01,28)</f>
        <v>0</v>
      </c>
      <c r="B217" s="2">
        <f ca="1">DATE(2000,04,07)</f>
        <v>0</v>
      </c>
      <c r="C217" s="1" t="s">
        <v>1356</v>
      </c>
      <c r="D217" s="3">
        <v>3674</v>
      </c>
      <c r="E217" s="1" t="s">
        <v>43</v>
      </c>
      <c r="F217" s="1" t="s">
        <v>1357</v>
      </c>
      <c r="G217" s="1" t="s">
        <v>667</v>
      </c>
      <c r="H217" s="4">
        <v>0.97999999999999998</v>
      </c>
      <c r="I217" s="8">
        <v>7</v>
      </c>
      <c r="J217" s="5">
        <v>9.4000000000000004</v>
      </c>
      <c r="K217" s="8">
        <v>14</v>
      </c>
      <c r="L217" s="1" t="s">
        <v>58</v>
      </c>
      <c r="M217" s="1" t="s">
        <v>47</v>
      </c>
      <c r="N217" s="1" t="s">
        <v>1358</v>
      </c>
      <c r="O217" s="1" t="s">
        <v>48</v>
      </c>
      <c r="P217" s="1" t="s">
        <v>1363</v>
      </c>
      <c r="Q217" s="4">
        <v>1.357</v>
      </c>
      <c r="R217" s="4">
        <v>1.357</v>
      </c>
      <c r="S217" s="6">
        <v>4.2857099999999999</v>
      </c>
      <c r="T217" s="1" t="s">
        <v>60</v>
      </c>
      <c r="U217" s="1"/>
      <c r="V217" s="1"/>
      <c r="W217" s="1"/>
      <c r="X217" s="1"/>
      <c r="Y217" s="7">
        <v>668646</v>
      </c>
      <c r="Z217" s="1"/>
      <c r="AA217" s="1"/>
      <c r="AB217" s="1"/>
      <c r="AC217" s="1"/>
      <c r="AD217" s="1"/>
      <c r="AE217" s="1" t="s">
        <v>51</v>
      </c>
      <c r="AF217" s="1" t="s">
        <v>51</v>
      </c>
      <c r="AG217" s="1" t="s">
        <v>47</v>
      </c>
      <c r="AH217" s="1"/>
      <c r="AI217" s="1"/>
      <c r="AJ217" s="3">
        <v>1</v>
      </c>
      <c r="AK217" s="1" t="s">
        <v>52</v>
      </c>
      <c r="AL217" s="3">
        <v>2</v>
      </c>
      <c r="AM217" s="1"/>
      <c r="AN217" s="1"/>
      <c r="AO217" s="1" t="s">
        <v>1364</v>
      </c>
      <c r="AP217" s="1" t="s">
        <v>667</v>
      </c>
      <c r="AQ217" s="1" t="s">
        <v>1365</v>
      </c>
      <c r="AR217" s="1" t="s">
        <v>1366</v>
      </c>
    </row>
    <row r="218">
      <c r="A218" s="2">
        <f ca="1">DATE(1999,12,21)</f>
        <v>0</v>
      </c>
      <c r="B218" s="2">
        <f ca="1">DATE(2000,04,07)</f>
        <v>0</v>
      </c>
      <c r="C218" s="1" t="s">
        <v>1367</v>
      </c>
      <c r="D218" s="3">
        <v>7375</v>
      </c>
      <c r="E218" s="1" t="s">
        <v>43</v>
      </c>
      <c r="F218" s="1" t="s">
        <v>1368</v>
      </c>
      <c r="G218" s="1" t="s">
        <v>122</v>
      </c>
      <c r="H218" s="4">
        <v>0.69999999999999996</v>
      </c>
      <c r="I218" s="8">
        <v>7</v>
      </c>
      <c r="J218" s="5">
        <v>77</v>
      </c>
      <c r="K218" s="4">
        <v>10</v>
      </c>
      <c r="L218" s="1" t="s">
        <v>46</v>
      </c>
      <c r="M218" s="1" t="s">
        <v>47</v>
      </c>
      <c r="N218" s="1" t="s">
        <v>1369</v>
      </c>
      <c r="O218" s="1" t="s">
        <v>48</v>
      </c>
      <c r="P218" s="1" t="s">
        <v>1370</v>
      </c>
      <c r="Q218" s="4">
        <v>1.5</v>
      </c>
      <c r="R218" s="4">
        <v>1.3</v>
      </c>
      <c r="S218" s="8">
        <v>4.2000000000000002</v>
      </c>
      <c r="T218" s="1" t="s">
        <v>50</v>
      </c>
      <c r="U218" s="1"/>
      <c r="V218" s="1"/>
      <c r="W218" s="1"/>
      <c r="X218" s="5">
        <v>65</v>
      </c>
      <c r="Y218" s="7">
        <v>7000000</v>
      </c>
      <c r="Z218" s="7">
        <v>700000</v>
      </c>
      <c r="AA218" s="2">
        <f ca="1">DATE(2000,10,04)</f>
        <v>0</v>
      </c>
      <c r="AB218" s="4">
        <v>84.591999999999999</v>
      </c>
      <c r="AC218" s="3">
        <v>180</v>
      </c>
      <c r="AD218" s="8">
        <v>42273476</v>
      </c>
      <c r="AE218" s="1" t="s">
        <v>51</v>
      </c>
      <c r="AF218" s="1" t="s">
        <v>51</v>
      </c>
      <c r="AG218" s="1" t="s">
        <v>47</v>
      </c>
      <c r="AH218" s="1"/>
      <c r="AI218" s="1"/>
      <c r="AJ218" s="3">
        <v>1</v>
      </c>
      <c r="AK218" s="1" t="s">
        <v>52</v>
      </c>
      <c r="AL218" s="3">
        <v>4</v>
      </c>
      <c r="AM218" s="8">
        <v>12.5</v>
      </c>
      <c r="AN218" s="1"/>
      <c r="AO218" s="1" t="s">
        <v>1371</v>
      </c>
      <c r="AP218" s="1" t="s">
        <v>122</v>
      </c>
      <c r="AQ218" s="1" t="s">
        <v>1372</v>
      </c>
      <c r="AR218" s="1" t="s">
        <v>1373</v>
      </c>
    </row>
    <row r="219">
      <c r="A219" s="2">
        <f ca="1">DATE(2000,04,07)</f>
        <v>0</v>
      </c>
      <c r="B219" s="2">
        <f ca="1">DATE(2000,04,07)</f>
        <v>0</v>
      </c>
      <c r="C219" s="1" t="s">
        <v>1339</v>
      </c>
      <c r="D219" s="3">
        <v>2834</v>
      </c>
      <c r="E219" s="1" t="s">
        <v>43</v>
      </c>
      <c r="F219" s="1" t="s">
        <v>1374</v>
      </c>
      <c r="G219" s="1" t="s">
        <v>1056</v>
      </c>
      <c r="H219" s="1" t="s">
        <v>57</v>
      </c>
      <c r="I219" s="1" t="s">
        <v>57</v>
      </c>
      <c r="J219" s="5">
        <v>48.799999999999997</v>
      </c>
      <c r="K219" s="8">
        <v>28.5</v>
      </c>
      <c r="L219" s="1" t="s">
        <v>58</v>
      </c>
      <c r="M219" s="1" t="s">
        <v>47</v>
      </c>
      <c r="N219" s="1"/>
      <c r="O219" s="1" t="s">
        <v>48</v>
      </c>
      <c r="P219" s="1" t="s">
        <v>1375</v>
      </c>
      <c r="Q219" s="1"/>
      <c r="R219" s="1"/>
      <c r="S219" s="1"/>
      <c r="T219" s="1" t="s">
        <v>60</v>
      </c>
      <c r="U219" s="1"/>
      <c r="V219" s="1"/>
      <c r="W219" s="1"/>
      <c r="X219" s="1"/>
      <c r="Y219" s="7">
        <v>1712280</v>
      </c>
      <c r="Z219" s="1"/>
      <c r="AA219" s="1"/>
      <c r="AB219" s="1"/>
      <c r="AC219" s="1"/>
      <c r="AD219" s="1"/>
      <c r="AE219" s="1" t="s">
        <v>51</v>
      </c>
      <c r="AF219" s="1" t="s">
        <v>51</v>
      </c>
      <c r="AG219" s="1" t="s">
        <v>47</v>
      </c>
      <c r="AH219" s="1"/>
      <c r="AI219" s="1"/>
      <c r="AJ219" s="3">
        <v>1</v>
      </c>
      <c r="AK219" s="1" t="s">
        <v>52</v>
      </c>
      <c r="AL219" s="3">
        <v>1</v>
      </c>
      <c r="AM219" s="1"/>
      <c r="AN219" s="1"/>
      <c r="AO219" s="1" t="s">
        <v>1376</v>
      </c>
      <c r="AP219" s="1" t="s">
        <v>1056</v>
      </c>
      <c r="AQ219" s="1" t="s">
        <v>1056</v>
      </c>
      <c r="AR219" s="1" t="s">
        <v>1377</v>
      </c>
    </row>
    <row r="220">
      <c r="A220" s="2">
        <f ca="1">DATE(2000,02,07)</f>
        <v>0</v>
      </c>
      <c r="B220" s="2">
        <f ca="1">DATE(2000,04,10)</f>
        <v>0</v>
      </c>
      <c r="C220" s="1" t="s">
        <v>1378</v>
      </c>
      <c r="D220" s="3">
        <v>2836</v>
      </c>
      <c r="E220" s="1" t="s">
        <v>43</v>
      </c>
      <c r="F220" s="1" t="s">
        <v>1379</v>
      </c>
      <c r="G220" s="1" t="s">
        <v>160</v>
      </c>
      <c r="H220" s="4">
        <v>0.91000000000000003</v>
      </c>
      <c r="I220" s="4">
        <v>7</v>
      </c>
      <c r="J220" s="5">
        <v>99.799999999999997</v>
      </c>
      <c r="K220" s="4">
        <v>13</v>
      </c>
      <c r="L220" s="1" t="s">
        <v>46</v>
      </c>
      <c r="M220" s="1" t="s">
        <v>47</v>
      </c>
      <c r="N220" s="1" t="s">
        <v>1380</v>
      </c>
      <c r="O220" s="1" t="s">
        <v>48</v>
      </c>
      <c r="P220" s="1" t="s">
        <v>1381</v>
      </c>
      <c r="Q220" s="4">
        <v>1.385</v>
      </c>
      <c r="R220" s="4">
        <v>1.385</v>
      </c>
      <c r="S220" s="6">
        <v>4.2307699999999997</v>
      </c>
      <c r="T220" s="1" t="s">
        <v>50</v>
      </c>
      <c r="U220" s="1"/>
      <c r="V220" s="1"/>
      <c r="W220" s="1"/>
      <c r="X220" s="5">
        <v>100</v>
      </c>
      <c r="Y220" s="7">
        <v>7675000</v>
      </c>
      <c r="Z220" s="1"/>
      <c r="AA220" s="1"/>
      <c r="AB220" s="1"/>
      <c r="AC220" s="1"/>
      <c r="AD220" s="1"/>
      <c r="AE220" s="1" t="s">
        <v>51</v>
      </c>
      <c r="AF220" s="1" t="s">
        <v>51</v>
      </c>
      <c r="AG220" s="1" t="s">
        <v>47</v>
      </c>
      <c r="AH220" s="1"/>
      <c r="AI220" s="1"/>
      <c r="AJ220" s="3">
        <v>1</v>
      </c>
      <c r="AK220" s="1" t="s">
        <v>52</v>
      </c>
      <c r="AL220" s="3">
        <v>3</v>
      </c>
      <c r="AM220" s="8">
        <v>15.19</v>
      </c>
      <c r="AN220" s="1"/>
      <c r="AO220" s="1" t="s">
        <v>1382</v>
      </c>
      <c r="AP220" s="1" t="s">
        <v>160</v>
      </c>
      <c r="AQ220" s="1" t="s">
        <v>1383</v>
      </c>
      <c r="AR220" s="1" t="s">
        <v>1384</v>
      </c>
    </row>
    <row r="221">
      <c r="A221" s="2">
        <f ca="1">DATE(2000,02,07)</f>
        <v>0</v>
      </c>
      <c r="B221" s="2">
        <f ca="1">DATE(2000,04,10)</f>
        <v>0</v>
      </c>
      <c r="C221" s="1" t="s">
        <v>1378</v>
      </c>
      <c r="D221" s="3">
        <v>2836</v>
      </c>
      <c r="E221" s="1" t="s">
        <v>43</v>
      </c>
      <c r="F221" s="1" t="s">
        <v>1379</v>
      </c>
      <c r="G221" s="1" t="s">
        <v>160</v>
      </c>
      <c r="H221" s="4">
        <v>0.91000000000000003</v>
      </c>
      <c r="I221" s="4">
        <v>7</v>
      </c>
      <c r="J221" s="5">
        <v>16.100000000000001</v>
      </c>
      <c r="K221" s="8">
        <v>13</v>
      </c>
      <c r="L221" s="1" t="s">
        <v>58</v>
      </c>
      <c r="M221" s="1" t="s">
        <v>47</v>
      </c>
      <c r="N221" s="1" t="s">
        <v>1380</v>
      </c>
      <c r="O221" s="1" t="s">
        <v>48</v>
      </c>
      <c r="P221" s="1" t="s">
        <v>1385</v>
      </c>
      <c r="Q221" s="4">
        <v>1.385</v>
      </c>
      <c r="R221" s="4">
        <v>1.385</v>
      </c>
      <c r="S221" s="6">
        <v>4.2307699999999997</v>
      </c>
      <c r="T221" s="1" t="s">
        <v>60</v>
      </c>
      <c r="U221" s="1"/>
      <c r="V221" s="1"/>
      <c r="W221" s="1"/>
      <c r="X221" s="1"/>
      <c r="Y221" s="7">
        <v>1239130</v>
      </c>
      <c r="Z221" s="1"/>
      <c r="AA221" s="1"/>
      <c r="AB221" s="1"/>
      <c r="AC221" s="1"/>
      <c r="AD221" s="1"/>
      <c r="AE221" s="1" t="s">
        <v>51</v>
      </c>
      <c r="AF221" s="1" t="s">
        <v>51</v>
      </c>
      <c r="AG221" s="1" t="s">
        <v>47</v>
      </c>
      <c r="AH221" s="1"/>
      <c r="AI221" s="1"/>
      <c r="AJ221" s="3">
        <v>1</v>
      </c>
      <c r="AK221" s="1" t="s">
        <v>52</v>
      </c>
      <c r="AL221" s="3">
        <v>1</v>
      </c>
      <c r="AM221" s="1"/>
      <c r="AN221" s="1"/>
      <c r="AO221" s="1" t="s">
        <v>1386</v>
      </c>
      <c r="AP221" s="1" t="s">
        <v>160</v>
      </c>
      <c r="AQ221" s="1" t="s">
        <v>160</v>
      </c>
      <c r="AR221" s="1" t="s">
        <v>187</v>
      </c>
    </row>
    <row r="222">
      <c r="A222" s="2">
        <f ca="1">DATE(1999,10,13)</f>
        <v>0</v>
      </c>
      <c r="B222" s="2">
        <f ca="1">DATE(2000,04,10)</f>
        <v>0</v>
      </c>
      <c r="C222" s="1" t="s">
        <v>1387</v>
      </c>
      <c r="D222" s="3">
        <v>7375</v>
      </c>
      <c r="E222" s="1" t="s">
        <v>43</v>
      </c>
      <c r="F222" s="1" t="s">
        <v>1388</v>
      </c>
      <c r="G222" s="1" t="s">
        <v>122</v>
      </c>
      <c r="H222" s="4">
        <v>0.63</v>
      </c>
      <c r="I222" s="4">
        <v>7</v>
      </c>
      <c r="J222" s="5">
        <v>45</v>
      </c>
      <c r="K222" s="4">
        <v>9</v>
      </c>
      <c r="L222" s="1" t="s">
        <v>46</v>
      </c>
      <c r="M222" s="1" t="s">
        <v>47</v>
      </c>
      <c r="N222" s="1" t="s">
        <v>1389</v>
      </c>
      <c r="O222" s="1" t="s">
        <v>48</v>
      </c>
      <c r="P222" s="1" t="s">
        <v>1390</v>
      </c>
      <c r="Q222" s="4">
        <v>1.222</v>
      </c>
      <c r="R222" s="4">
        <v>1.5560000000000001</v>
      </c>
      <c r="S222" s="6">
        <v>4.2222200000000001</v>
      </c>
      <c r="T222" s="1" t="s">
        <v>50</v>
      </c>
      <c r="U222" s="1"/>
      <c r="V222" s="1"/>
      <c r="W222" s="1"/>
      <c r="X222" s="5">
        <v>57.5</v>
      </c>
      <c r="Y222" s="7">
        <v>5000000</v>
      </c>
      <c r="Z222" s="1"/>
      <c r="AA222" s="2">
        <f ca="1">DATE(2000,10,08)</f>
        <v>0</v>
      </c>
      <c r="AB222" s="4">
        <v>74.337000000000003</v>
      </c>
      <c r="AC222" s="3">
        <v>180</v>
      </c>
      <c r="AD222" s="8">
        <v>14483032</v>
      </c>
      <c r="AE222" s="1" t="s">
        <v>51</v>
      </c>
      <c r="AF222" s="1" t="s">
        <v>51</v>
      </c>
      <c r="AG222" s="1" t="s">
        <v>47</v>
      </c>
      <c r="AH222" s="1"/>
      <c r="AI222" s="1"/>
      <c r="AJ222" s="3">
        <v>1</v>
      </c>
      <c r="AK222" s="1" t="s">
        <v>52</v>
      </c>
      <c r="AL222" s="3">
        <v>4</v>
      </c>
      <c r="AM222" s="8">
        <v>8.5</v>
      </c>
      <c r="AN222" s="1"/>
      <c r="AO222" s="1" t="s">
        <v>1391</v>
      </c>
      <c r="AP222" s="1" t="s">
        <v>122</v>
      </c>
      <c r="AQ222" s="1" t="s">
        <v>1392</v>
      </c>
      <c r="AR222" s="1" t="s">
        <v>1393</v>
      </c>
    </row>
    <row r="223">
      <c r="A223" s="2">
        <f ca="1">DATE(2000,03,14)</f>
        <v>0</v>
      </c>
      <c r="B223" s="2">
        <f ca="1">DATE(2000,04,10)</f>
        <v>0</v>
      </c>
      <c r="C223" s="1" t="s">
        <v>1394</v>
      </c>
      <c r="D223" s="3">
        <v>3827</v>
      </c>
      <c r="E223" s="1" t="s">
        <v>934</v>
      </c>
      <c r="F223" s="1" t="s">
        <v>1395</v>
      </c>
      <c r="G223" s="1" t="s">
        <v>387</v>
      </c>
      <c r="H223" s="4">
        <v>1.26</v>
      </c>
      <c r="I223" s="4">
        <v>7</v>
      </c>
      <c r="J223" s="5">
        <v>54</v>
      </c>
      <c r="K223" s="4">
        <v>18</v>
      </c>
      <c r="L223" s="1" t="s">
        <v>1057</v>
      </c>
      <c r="M223" s="1" t="s">
        <v>47</v>
      </c>
      <c r="N223" s="1" t="s">
        <v>1396</v>
      </c>
      <c r="O223" s="1" t="s">
        <v>48</v>
      </c>
      <c r="P223" s="1" t="s">
        <v>1397</v>
      </c>
      <c r="Q223" s="4">
        <v>1.444</v>
      </c>
      <c r="R223" s="4">
        <v>1.389</v>
      </c>
      <c r="S223" s="6">
        <v>4.1666699999999999</v>
      </c>
      <c r="T223" s="1" t="s">
        <v>50</v>
      </c>
      <c r="U223" s="8">
        <v>20</v>
      </c>
      <c r="V223" s="8">
        <v>18</v>
      </c>
      <c r="W223" s="7">
        <v>3000000</v>
      </c>
      <c r="X223" s="5">
        <v>57</v>
      </c>
      <c r="Y223" s="7">
        <v>3000000</v>
      </c>
      <c r="Z223" s="1"/>
      <c r="AA223" s="2">
        <f ca="1">DATE(2000,10,07)</f>
        <v>0</v>
      </c>
      <c r="AB223" s="4">
        <v>76.790999999999997</v>
      </c>
      <c r="AC223" s="3">
        <v>180</v>
      </c>
      <c r="AD223" s="8">
        <v>11410548</v>
      </c>
      <c r="AE223" s="1" t="s">
        <v>51</v>
      </c>
      <c r="AF223" s="1" t="s">
        <v>51</v>
      </c>
      <c r="AG223" s="1" t="s">
        <v>51</v>
      </c>
      <c r="AH223" s="1"/>
      <c r="AI223" s="1"/>
      <c r="AJ223" s="3">
        <v>1</v>
      </c>
      <c r="AK223" s="1" t="s">
        <v>52</v>
      </c>
      <c r="AL223" s="3">
        <v>3</v>
      </c>
      <c r="AM223" s="8">
        <v>21.940000000000001</v>
      </c>
      <c r="AN223" s="1"/>
      <c r="AO223" s="1" t="s">
        <v>1398</v>
      </c>
      <c r="AP223" s="1" t="s">
        <v>387</v>
      </c>
      <c r="AQ223" s="1" t="s">
        <v>1399</v>
      </c>
      <c r="AR223" s="1" t="s">
        <v>1400</v>
      </c>
    </row>
    <row r="224">
      <c r="A224" s="2">
        <f ca="1">DATE(2000,01,28)</f>
        <v>0</v>
      </c>
      <c r="B224" s="2">
        <f ca="1">DATE(2000,04,11)</f>
        <v>0</v>
      </c>
      <c r="C224" s="1" t="s">
        <v>1401</v>
      </c>
      <c r="D224" s="3">
        <v>3672</v>
      </c>
      <c r="E224" s="1" t="s">
        <v>43</v>
      </c>
      <c r="F224" s="1" t="s">
        <v>1402</v>
      </c>
      <c r="G224" s="1" t="s">
        <v>168</v>
      </c>
      <c r="H224" s="4">
        <v>0.94499999999999995</v>
      </c>
      <c r="I224" s="8">
        <v>6.75</v>
      </c>
      <c r="J224" s="5">
        <v>131</v>
      </c>
      <c r="K224" s="4">
        <v>14</v>
      </c>
      <c r="L224" s="1" t="s">
        <v>46</v>
      </c>
      <c r="M224" s="1" t="s">
        <v>47</v>
      </c>
      <c r="N224" s="3">
        <v>233162106</v>
      </c>
      <c r="O224" s="1" t="s">
        <v>48</v>
      </c>
      <c r="P224" s="1" t="s">
        <v>1403</v>
      </c>
      <c r="Q224" s="4">
        <v>1.357</v>
      </c>
      <c r="R224" s="4">
        <v>1.357</v>
      </c>
      <c r="S224" s="6">
        <v>4.0357099999999999</v>
      </c>
      <c r="T224" s="1" t="s">
        <v>50</v>
      </c>
      <c r="U224" s="1"/>
      <c r="V224" s="1"/>
      <c r="W224" s="1"/>
      <c r="X224" s="5">
        <v>150</v>
      </c>
      <c r="Y224" s="7">
        <v>9360000</v>
      </c>
      <c r="Z224" s="1"/>
      <c r="AA224" s="1"/>
      <c r="AB224" s="1"/>
      <c r="AC224" s="1"/>
      <c r="AD224" s="1"/>
      <c r="AE224" s="1" t="s">
        <v>51</v>
      </c>
      <c r="AF224" s="1" t="s">
        <v>51</v>
      </c>
      <c r="AG224" s="1" t="s">
        <v>51</v>
      </c>
      <c r="AH224" s="1"/>
      <c r="AI224" s="1"/>
      <c r="AJ224" s="3">
        <v>1</v>
      </c>
      <c r="AK224" s="1" t="s">
        <v>89</v>
      </c>
      <c r="AL224" s="3">
        <v>4</v>
      </c>
      <c r="AM224" s="1"/>
      <c r="AN224" s="1"/>
      <c r="AO224" s="1" t="s">
        <v>1404</v>
      </c>
      <c r="AP224" s="1" t="s">
        <v>1405</v>
      </c>
      <c r="AQ224" s="1" t="s">
        <v>1406</v>
      </c>
      <c r="AR224" s="1" t="s">
        <v>1407</v>
      </c>
    </row>
    <row r="225">
      <c r="A225" s="2">
        <f ca="1">DATE(2000,01,28)</f>
        <v>0</v>
      </c>
      <c r="B225" s="2">
        <f ca="1">DATE(2000,04,11)</f>
        <v>0</v>
      </c>
      <c r="C225" s="1" t="s">
        <v>1401</v>
      </c>
      <c r="D225" s="3">
        <v>3672</v>
      </c>
      <c r="E225" s="1" t="s">
        <v>43</v>
      </c>
      <c r="F225" s="1" t="s">
        <v>1402</v>
      </c>
      <c r="G225" s="1" t="s">
        <v>667</v>
      </c>
      <c r="H225" s="4">
        <v>0.94499999999999995</v>
      </c>
      <c r="I225" s="8">
        <v>6.75</v>
      </c>
      <c r="J225" s="5">
        <v>37</v>
      </c>
      <c r="K225" s="8">
        <v>14</v>
      </c>
      <c r="L225" s="1" t="s">
        <v>58</v>
      </c>
      <c r="M225" s="1" t="s">
        <v>47</v>
      </c>
      <c r="N225" s="1"/>
      <c r="O225" s="1" t="s">
        <v>48</v>
      </c>
      <c r="P225" s="1" t="s">
        <v>1408</v>
      </c>
      <c r="Q225" s="4">
        <v>1.357</v>
      </c>
      <c r="R225" s="4">
        <v>1.357</v>
      </c>
      <c r="S225" s="6">
        <v>4.0357099999999999</v>
      </c>
      <c r="T225" s="1" t="s">
        <v>60</v>
      </c>
      <c r="U225" s="1"/>
      <c r="V225" s="1"/>
      <c r="W225" s="1"/>
      <c r="X225" s="1"/>
      <c r="Y225" s="7">
        <v>2640000</v>
      </c>
      <c r="Z225" s="1"/>
      <c r="AA225" s="1"/>
      <c r="AB225" s="1"/>
      <c r="AC225" s="1"/>
      <c r="AD225" s="1"/>
      <c r="AE225" s="1" t="s">
        <v>51</v>
      </c>
      <c r="AF225" s="1" t="s">
        <v>51</v>
      </c>
      <c r="AG225" s="1" t="s">
        <v>51</v>
      </c>
      <c r="AH225" s="1"/>
      <c r="AI225" s="1"/>
      <c r="AJ225" s="3">
        <v>1</v>
      </c>
      <c r="AK225" s="1" t="s">
        <v>52</v>
      </c>
      <c r="AL225" s="3">
        <v>4</v>
      </c>
      <c r="AM225" s="1"/>
      <c r="AN225" s="1"/>
      <c r="AO225" s="1" t="s">
        <v>1409</v>
      </c>
      <c r="AP225" s="1" t="s">
        <v>667</v>
      </c>
      <c r="AQ225" s="1" t="s">
        <v>1410</v>
      </c>
      <c r="AR225" s="1" t="s">
        <v>1411</v>
      </c>
    </row>
    <row r="226">
      <c r="A226" s="2">
        <f ca="1">DATE(2000,03,28)</f>
        <v>0</v>
      </c>
      <c r="B226" s="2">
        <f ca="1">DATE(2000,04,11)</f>
        <v>0</v>
      </c>
      <c r="C226" s="1" t="s">
        <v>1412</v>
      </c>
      <c r="D226" s="3">
        <v>7389</v>
      </c>
      <c r="E226" s="1" t="s">
        <v>845</v>
      </c>
      <c r="F226" s="1" t="s">
        <v>1413</v>
      </c>
      <c r="G226" s="1" t="s">
        <v>1206</v>
      </c>
      <c r="H226" s="4">
        <v>0.97999999999999998</v>
      </c>
      <c r="I226" s="8">
        <v>7</v>
      </c>
      <c r="J226" s="5">
        <v>70</v>
      </c>
      <c r="K226" s="8">
        <v>14</v>
      </c>
      <c r="L226" s="1" t="s">
        <v>58</v>
      </c>
      <c r="M226" s="1" t="s">
        <v>47</v>
      </c>
      <c r="N226" s="1" t="s">
        <v>1414</v>
      </c>
      <c r="O226" s="1" t="s">
        <v>48</v>
      </c>
      <c r="P226" s="1" t="s">
        <v>1415</v>
      </c>
      <c r="Q226" s="4">
        <v>1.4290000000000001</v>
      </c>
      <c r="R226" s="4">
        <v>1.4290000000000001</v>
      </c>
      <c r="S226" s="6">
        <v>4.1427899999999998</v>
      </c>
      <c r="T226" s="1" t="s">
        <v>60</v>
      </c>
      <c r="U226" s="8">
        <v>16</v>
      </c>
      <c r="V226" s="8">
        <v>14</v>
      </c>
      <c r="W226" s="1"/>
      <c r="X226" s="1"/>
      <c r="Y226" s="7">
        <v>5000000</v>
      </c>
      <c r="Z226" s="1"/>
      <c r="AA226" s="1"/>
      <c r="AB226" s="1"/>
      <c r="AC226" s="1"/>
      <c r="AD226" s="1"/>
      <c r="AE226" s="1" t="s">
        <v>51</v>
      </c>
      <c r="AF226" s="1" t="s">
        <v>51</v>
      </c>
      <c r="AG226" s="1" t="s">
        <v>51</v>
      </c>
      <c r="AH226" s="1"/>
      <c r="AI226" s="1"/>
      <c r="AJ226" s="3">
        <v>1</v>
      </c>
      <c r="AK226" s="1" t="s">
        <v>52</v>
      </c>
      <c r="AL226" s="3">
        <v>1</v>
      </c>
      <c r="AM226" s="1"/>
      <c r="AN226" s="1"/>
      <c r="AO226" s="1" t="s">
        <v>1416</v>
      </c>
      <c r="AP226" s="1" t="s">
        <v>1206</v>
      </c>
      <c r="AQ226" s="1" t="s">
        <v>1206</v>
      </c>
      <c r="AR226" s="1" t="s">
        <v>1417</v>
      </c>
    </row>
    <row r="227">
      <c r="A227" s="2">
        <f ca="1">DATE(2000,01,27)</f>
        <v>0</v>
      </c>
      <c r="B227" s="2">
        <f ca="1">DATE(2000,04,12)</f>
        <v>0</v>
      </c>
      <c r="C227" s="1" t="s">
        <v>1418</v>
      </c>
      <c r="D227" s="3">
        <v>7372</v>
      </c>
      <c r="E227" s="1" t="s">
        <v>43</v>
      </c>
      <c r="F227" s="1" t="s">
        <v>1419</v>
      </c>
      <c r="G227" s="1" t="s">
        <v>239</v>
      </c>
      <c r="H227" s="4">
        <v>0.56000000000000005</v>
      </c>
      <c r="I227" s="4">
        <v>7</v>
      </c>
      <c r="J227" s="5">
        <v>28.300000000000001</v>
      </c>
      <c r="K227" s="4">
        <v>8</v>
      </c>
      <c r="L227" s="1" t="s">
        <v>46</v>
      </c>
      <c r="M227" s="1" t="s">
        <v>47</v>
      </c>
      <c r="N227" s="3">
        <v>218725109</v>
      </c>
      <c r="O227" s="1" t="s">
        <v>48</v>
      </c>
      <c r="P227" s="1" t="s">
        <v>1420</v>
      </c>
      <c r="Q227" s="4">
        <v>1.375</v>
      </c>
      <c r="R227" s="4">
        <v>1.375</v>
      </c>
      <c r="S227" s="8">
        <v>4.25</v>
      </c>
      <c r="T227" s="1" t="s">
        <v>50</v>
      </c>
      <c r="U227" s="1"/>
      <c r="V227" s="1"/>
      <c r="W227" s="1"/>
      <c r="X227" s="5">
        <v>69</v>
      </c>
      <c r="Y227" s="7">
        <v>3542000</v>
      </c>
      <c r="Z227" s="1"/>
      <c r="AA227" s="1"/>
      <c r="AB227" s="1"/>
      <c r="AC227" s="1"/>
      <c r="AD227" s="1"/>
      <c r="AE227" s="1" t="s">
        <v>51</v>
      </c>
      <c r="AF227" s="1" t="s">
        <v>51</v>
      </c>
      <c r="AG227" s="1" t="s">
        <v>47</v>
      </c>
      <c r="AH227" s="1"/>
      <c r="AI227" s="1"/>
      <c r="AJ227" s="3">
        <v>1</v>
      </c>
      <c r="AK227" s="1" t="s">
        <v>52</v>
      </c>
      <c r="AL227" s="3">
        <v>4</v>
      </c>
      <c r="AM227" s="8">
        <v>8.5</v>
      </c>
      <c r="AN227" s="1"/>
      <c r="AO227" s="1" t="s">
        <v>1421</v>
      </c>
      <c r="AP227" s="1" t="s">
        <v>239</v>
      </c>
      <c r="AQ227" s="1" t="s">
        <v>1422</v>
      </c>
      <c r="AR227" s="1" t="s">
        <v>1423</v>
      </c>
    </row>
    <row r="228">
      <c r="A228" s="2">
        <f ca="1">DATE(2000,01,27)</f>
        <v>0</v>
      </c>
      <c r="B228" s="2">
        <f ca="1">DATE(2000,04,12)</f>
        <v>0</v>
      </c>
      <c r="C228" s="1" t="s">
        <v>1418</v>
      </c>
      <c r="D228" s="3">
        <v>7372</v>
      </c>
      <c r="E228" s="1" t="s">
        <v>43</v>
      </c>
      <c r="F228" s="1" t="s">
        <v>1419</v>
      </c>
      <c r="G228" s="1" t="s">
        <v>667</v>
      </c>
      <c r="H228" s="4">
        <v>0.56000000000000005</v>
      </c>
      <c r="I228" s="4">
        <v>7</v>
      </c>
      <c r="J228" s="5">
        <v>3.7000000000000002</v>
      </c>
      <c r="K228" s="8">
        <v>8</v>
      </c>
      <c r="L228" s="1" t="s">
        <v>58</v>
      </c>
      <c r="M228" s="1" t="s">
        <v>47</v>
      </c>
      <c r="N228" s="3">
        <v>218725109</v>
      </c>
      <c r="O228" s="1" t="s">
        <v>48</v>
      </c>
      <c r="P228" s="1" t="s">
        <v>1424</v>
      </c>
      <c r="Q228" s="4">
        <v>1.375</v>
      </c>
      <c r="R228" s="4">
        <v>1.375</v>
      </c>
      <c r="S228" s="8">
        <v>4.25</v>
      </c>
      <c r="T228" s="1" t="s">
        <v>60</v>
      </c>
      <c r="U228" s="1"/>
      <c r="V228" s="1"/>
      <c r="W228" s="1"/>
      <c r="X228" s="1"/>
      <c r="Y228" s="7">
        <v>458000</v>
      </c>
      <c r="Z228" s="1"/>
      <c r="AA228" s="1"/>
      <c r="AB228" s="1"/>
      <c r="AC228" s="1"/>
      <c r="AD228" s="1"/>
      <c r="AE228" s="1" t="s">
        <v>51</v>
      </c>
      <c r="AF228" s="1" t="s">
        <v>51</v>
      </c>
      <c r="AG228" s="1" t="s">
        <v>47</v>
      </c>
      <c r="AH228" s="1"/>
      <c r="AI228" s="1"/>
      <c r="AJ228" s="3">
        <v>1</v>
      </c>
      <c r="AK228" s="1" t="s">
        <v>52</v>
      </c>
      <c r="AL228" s="3">
        <v>4</v>
      </c>
      <c r="AM228" s="1"/>
      <c r="AN228" s="1"/>
      <c r="AO228" s="1" t="s">
        <v>1425</v>
      </c>
      <c r="AP228" s="1" t="s">
        <v>667</v>
      </c>
      <c r="AQ228" s="1" t="s">
        <v>1426</v>
      </c>
      <c r="AR228" s="1" t="s">
        <v>1427</v>
      </c>
    </row>
    <row r="229">
      <c r="A229" s="2">
        <f ca="1">DATE(2000,02,04)</f>
        <v>0</v>
      </c>
      <c r="B229" s="2">
        <f ca="1">DATE(2000,04,12)</f>
        <v>0</v>
      </c>
      <c r="C229" s="1" t="s">
        <v>1428</v>
      </c>
      <c r="D229" s="3">
        <v>7372</v>
      </c>
      <c r="E229" s="1" t="s">
        <v>43</v>
      </c>
      <c r="F229" s="1" t="s">
        <v>1429</v>
      </c>
      <c r="G229" s="1" t="s">
        <v>160</v>
      </c>
      <c r="H229" s="4">
        <v>1.19</v>
      </c>
      <c r="I229" s="8">
        <v>7</v>
      </c>
      <c r="J229" s="5">
        <v>76.5</v>
      </c>
      <c r="K229" s="4">
        <v>17</v>
      </c>
      <c r="L229" s="1" t="s">
        <v>46</v>
      </c>
      <c r="M229" s="1" t="s">
        <v>47</v>
      </c>
      <c r="N229" s="3">
        <v>669967101</v>
      </c>
      <c r="O229" s="1" t="s">
        <v>48</v>
      </c>
      <c r="P229" s="1" t="s">
        <v>1430</v>
      </c>
      <c r="Q229" s="4">
        <v>1.4119999999999999</v>
      </c>
      <c r="R229" s="4">
        <v>1.4119999999999999</v>
      </c>
      <c r="S229" s="6">
        <v>4.1764700000000001</v>
      </c>
      <c r="T229" s="1" t="s">
        <v>50</v>
      </c>
      <c r="U229" s="1"/>
      <c r="V229" s="1"/>
      <c r="W229" s="1"/>
      <c r="X229" s="5">
        <v>72.5</v>
      </c>
      <c r="Y229" s="7">
        <v>4500000</v>
      </c>
      <c r="Z229" s="1"/>
      <c r="AA229" s="1"/>
      <c r="AB229" s="1"/>
      <c r="AC229" s="1"/>
      <c r="AD229" s="1"/>
      <c r="AE229" s="1" t="s">
        <v>51</v>
      </c>
      <c r="AF229" s="1" t="s">
        <v>51</v>
      </c>
      <c r="AG229" s="1" t="s">
        <v>47</v>
      </c>
      <c r="AH229" s="1"/>
      <c r="AI229" s="1"/>
      <c r="AJ229" s="3">
        <v>1</v>
      </c>
      <c r="AK229" s="1" t="s">
        <v>52</v>
      </c>
      <c r="AL229" s="3">
        <v>4</v>
      </c>
      <c r="AM229" s="8">
        <v>33.939999999999998</v>
      </c>
      <c r="AN229" s="1"/>
      <c r="AO229" s="1" t="s">
        <v>1431</v>
      </c>
      <c r="AP229" s="1" t="s">
        <v>160</v>
      </c>
      <c r="AQ229" s="1" t="s">
        <v>1432</v>
      </c>
      <c r="AR229" s="1" t="s">
        <v>1433</v>
      </c>
    </row>
    <row r="230">
      <c r="A230" s="2">
        <f ca="1">DATE(2000,02,04)</f>
        <v>0</v>
      </c>
      <c r="B230" s="2">
        <f ca="1">DATE(2000,04,12)</f>
        <v>0</v>
      </c>
      <c r="C230" s="1" t="s">
        <v>1428</v>
      </c>
      <c r="D230" s="3">
        <v>7372</v>
      </c>
      <c r="E230" s="1" t="s">
        <v>43</v>
      </c>
      <c r="F230" s="1" t="s">
        <v>1429</v>
      </c>
      <c r="G230" s="1" t="s">
        <v>160</v>
      </c>
      <c r="H230" s="4">
        <v>1.19</v>
      </c>
      <c r="I230" s="8">
        <v>7</v>
      </c>
      <c r="J230" s="5">
        <v>8.5999999999999996</v>
      </c>
      <c r="K230" s="8">
        <v>17</v>
      </c>
      <c r="L230" s="1" t="s">
        <v>58</v>
      </c>
      <c r="M230" s="1" t="s">
        <v>47</v>
      </c>
      <c r="N230" s="3">
        <v>669967101</v>
      </c>
      <c r="O230" s="1" t="s">
        <v>48</v>
      </c>
      <c r="P230" s="1" t="s">
        <v>1434</v>
      </c>
      <c r="Q230" s="4">
        <v>1.4119999999999999</v>
      </c>
      <c r="R230" s="4">
        <v>1.4119999999999999</v>
      </c>
      <c r="S230" s="6">
        <v>4.1764099999999997</v>
      </c>
      <c r="T230" s="1" t="s">
        <v>60</v>
      </c>
      <c r="U230" s="1"/>
      <c r="V230" s="1"/>
      <c r="W230" s="1"/>
      <c r="X230" s="5">
        <v>72.5</v>
      </c>
      <c r="Y230" s="7">
        <v>508100</v>
      </c>
      <c r="Z230" s="1"/>
      <c r="AA230" s="1"/>
      <c r="AB230" s="1"/>
      <c r="AC230" s="1"/>
      <c r="AD230" s="1"/>
      <c r="AE230" s="1" t="s">
        <v>51</v>
      </c>
      <c r="AF230" s="1" t="s">
        <v>51</v>
      </c>
      <c r="AG230" s="1" t="s">
        <v>47</v>
      </c>
      <c r="AH230" s="1"/>
      <c r="AI230" s="1"/>
      <c r="AJ230" s="3">
        <v>1</v>
      </c>
      <c r="AK230" s="1" t="s">
        <v>52</v>
      </c>
      <c r="AL230" s="3">
        <v>1</v>
      </c>
      <c r="AM230" s="1"/>
      <c r="AN230" s="1"/>
      <c r="AO230" s="1" t="s">
        <v>1435</v>
      </c>
      <c r="AP230" s="1" t="s">
        <v>160</v>
      </c>
      <c r="AQ230" s="1" t="s">
        <v>160</v>
      </c>
      <c r="AR230" s="1" t="s">
        <v>187</v>
      </c>
    </row>
    <row r="231">
      <c r="A231" s="1"/>
      <c r="B231" s="2">
        <f ca="1">DATE(2000,04,12)</f>
        <v>0</v>
      </c>
      <c r="C231" s="1" t="s">
        <v>1436</v>
      </c>
      <c r="D231" s="3">
        <v>7373</v>
      </c>
      <c r="E231" s="1" t="s">
        <v>744</v>
      </c>
      <c r="F231" s="1" t="s">
        <v>1437</v>
      </c>
      <c r="G231" s="1" t="s">
        <v>106</v>
      </c>
      <c r="H231" s="4">
        <v>1.19</v>
      </c>
      <c r="I231" s="8">
        <v>7</v>
      </c>
      <c r="J231" s="5">
        <v>68</v>
      </c>
      <c r="K231" s="4">
        <v>17</v>
      </c>
      <c r="L231" s="1" t="s">
        <v>58</v>
      </c>
      <c r="M231" s="1" t="s">
        <v>47</v>
      </c>
      <c r="N231" s="1" t="s">
        <v>1438</v>
      </c>
      <c r="O231" s="1" t="s">
        <v>48</v>
      </c>
      <c r="P231" s="1" t="s">
        <v>1439</v>
      </c>
      <c r="Q231" s="4">
        <v>1.3999999999999999</v>
      </c>
      <c r="R231" s="4">
        <v>1.3999999999999999</v>
      </c>
      <c r="S231" s="8">
        <v>4.2000000000000002</v>
      </c>
      <c r="T231" s="1" t="s">
        <v>50</v>
      </c>
      <c r="U231" s="1"/>
      <c r="V231" s="1"/>
      <c r="W231" s="1"/>
      <c r="X231" s="1"/>
      <c r="Y231" s="7">
        <v>4000000</v>
      </c>
      <c r="Z231" s="1"/>
      <c r="AA231" s="1"/>
      <c r="AB231" s="1"/>
      <c r="AC231" s="1"/>
      <c r="AD231" s="1"/>
      <c r="AE231" s="1" t="s">
        <v>51</v>
      </c>
      <c r="AF231" s="1" t="s">
        <v>51</v>
      </c>
      <c r="AG231" s="1" t="s">
        <v>51</v>
      </c>
      <c r="AH231" s="1"/>
      <c r="AI231" s="1"/>
      <c r="AJ231" s="3">
        <v>1</v>
      </c>
      <c r="AK231" s="1" t="s">
        <v>89</v>
      </c>
      <c r="AL231" s="3">
        <v>4</v>
      </c>
      <c r="AM231" s="8">
        <v>20.690000000000001</v>
      </c>
      <c r="AN231" s="1"/>
      <c r="AO231" s="1" t="s">
        <v>1440</v>
      </c>
      <c r="AP231" s="1" t="s">
        <v>1441</v>
      </c>
      <c r="AQ231" s="1" t="s">
        <v>1442</v>
      </c>
      <c r="AR231" s="1" t="s">
        <v>1443</v>
      </c>
    </row>
    <row r="232">
      <c r="A232" s="2">
        <f ca="1">DATE(1999,07,24)</f>
        <v>0</v>
      </c>
      <c r="B232" s="2">
        <f ca="1">DATE(2000,04,13)</f>
        <v>0</v>
      </c>
      <c r="C232" s="1" t="s">
        <v>1444</v>
      </c>
      <c r="D232" s="3">
        <v>2611</v>
      </c>
      <c r="E232" s="1" t="s">
        <v>1445</v>
      </c>
      <c r="F232" s="1" t="s">
        <v>1446</v>
      </c>
      <c r="G232" s="1" t="s">
        <v>45</v>
      </c>
      <c r="H232" s="4">
        <v>0.41299999999999998</v>
      </c>
      <c r="I232" s="4">
        <v>2.75</v>
      </c>
      <c r="J232" s="5">
        <v>118.8</v>
      </c>
      <c r="K232" s="8">
        <v>15</v>
      </c>
      <c r="L232" s="1" t="s">
        <v>651</v>
      </c>
      <c r="M232" s="1" t="s">
        <v>47</v>
      </c>
      <c r="N232" s="1" t="s">
        <v>1447</v>
      </c>
      <c r="O232" s="1" t="s">
        <v>108</v>
      </c>
      <c r="P232" s="1" t="s">
        <v>1448</v>
      </c>
      <c r="Q232" s="4">
        <v>0.55000000000000004</v>
      </c>
      <c r="R232" s="4">
        <v>0.86699999999999999</v>
      </c>
      <c r="S232" s="6">
        <v>1.3333299999999999</v>
      </c>
      <c r="T232" s="1" t="s">
        <v>60</v>
      </c>
      <c r="U232" s="1"/>
      <c r="V232" s="1"/>
      <c r="W232" s="1"/>
      <c r="X232" s="1"/>
      <c r="Y232" s="1"/>
      <c r="Z232" s="7">
        <v>7920000</v>
      </c>
      <c r="AA232" s="1"/>
      <c r="AB232" s="1"/>
      <c r="AC232" s="1"/>
      <c r="AD232" s="1"/>
      <c r="AE232" s="1" t="s">
        <v>47</v>
      </c>
      <c r="AF232" s="1" t="s">
        <v>51</v>
      </c>
      <c r="AG232" s="1" t="s">
        <v>51</v>
      </c>
      <c r="AH232" s="1"/>
      <c r="AI232" s="1"/>
      <c r="AJ232" s="3">
        <v>1</v>
      </c>
      <c r="AK232" s="1" t="s">
        <v>52</v>
      </c>
      <c r="AL232" s="3">
        <v>1</v>
      </c>
      <c r="AM232" s="1"/>
      <c r="AN232" s="1"/>
      <c r="AO232" s="1" t="s">
        <v>1449</v>
      </c>
      <c r="AP232" s="1" t="s">
        <v>45</v>
      </c>
      <c r="AQ232" s="1" t="s">
        <v>45</v>
      </c>
      <c r="AR232" s="1" t="s">
        <v>786</v>
      </c>
    </row>
    <row r="233">
      <c r="A233" s="2">
        <f ca="1">DATE(2000,02,22)</f>
        <v>0</v>
      </c>
      <c r="B233" s="2">
        <f ca="1">DATE(2000,04,19)</f>
        <v>0</v>
      </c>
      <c r="C233" s="1" t="s">
        <v>1450</v>
      </c>
      <c r="D233" s="3">
        <v>7373</v>
      </c>
      <c r="E233" s="1" t="s">
        <v>43</v>
      </c>
      <c r="F233" s="1"/>
      <c r="G233" s="1" t="s">
        <v>151</v>
      </c>
      <c r="H233" s="4">
        <v>0.69999999999999996</v>
      </c>
      <c r="I233" s="8">
        <v>7</v>
      </c>
      <c r="J233" s="5">
        <v>42</v>
      </c>
      <c r="K233" s="4">
        <v>10</v>
      </c>
      <c r="L233" s="1" t="s">
        <v>46</v>
      </c>
      <c r="M233" s="1" t="s">
        <v>47</v>
      </c>
      <c r="N233" s="3">
        <v>290787100</v>
      </c>
      <c r="O233" s="1"/>
      <c r="P233" s="1" t="s">
        <v>1451</v>
      </c>
      <c r="Q233" s="4">
        <v>1.3999999999999999</v>
      </c>
      <c r="R233" s="4">
        <v>1.3999999999999999</v>
      </c>
      <c r="S233" s="8">
        <v>4.2000000000000002</v>
      </c>
      <c r="T233" s="1" t="s">
        <v>50</v>
      </c>
      <c r="U233" s="1"/>
      <c r="V233" s="1"/>
      <c r="W233" s="1"/>
      <c r="X233" s="5">
        <v>57.5</v>
      </c>
      <c r="Y233" s="7">
        <v>4200000</v>
      </c>
      <c r="Z233" s="1"/>
      <c r="AA233" s="2">
        <f ca="1">DATE(2000,10,16)</f>
        <v>0</v>
      </c>
      <c r="AB233" s="4">
        <v>83.671000000000006</v>
      </c>
      <c r="AC233" s="3">
        <v>180</v>
      </c>
      <c r="AD233" s="8">
        <v>21520489</v>
      </c>
      <c r="AE233" s="1" t="s">
        <v>51</v>
      </c>
      <c r="AF233" s="1" t="s">
        <v>51</v>
      </c>
      <c r="AG233" s="1" t="s">
        <v>51</v>
      </c>
      <c r="AH233" s="1"/>
      <c r="AI233" s="1"/>
      <c r="AJ233" s="3">
        <v>1</v>
      </c>
      <c r="AK233" s="1" t="s">
        <v>52</v>
      </c>
      <c r="AL233" s="3">
        <v>4</v>
      </c>
      <c r="AM233" s="8">
        <v>16</v>
      </c>
      <c r="AN233" s="1"/>
      <c r="AO233" s="1" t="s">
        <v>1452</v>
      </c>
      <c r="AP233" s="1" t="s">
        <v>151</v>
      </c>
      <c r="AQ233" s="1" t="s">
        <v>1453</v>
      </c>
      <c r="AR233" s="1" t="s">
        <v>1454</v>
      </c>
    </row>
    <row r="234">
      <c r="A234" s="2">
        <f ca="1">DATE(2000,03,08)</f>
        <v>0</v>
      </c>
      <c r="B234" s="2">
        <f ca="1">DATE(2000,04,19)</f>
        <v>0</v>
      </c>
      <c r="C234" s="1" t="s">
        <v>1455</v>
      </c>
      <c r="D234" s="3">
        <v>3826</v>
      </c>
      <c r="E234" s="1" t="s">
        <v>43</v>
      </c>
      <c r="F234" s="1" t="s">
        <v>1456</v>
      </c>
      <c r="G234" s="1" t="s">
        <v>45</v>
      </c>
      <c r="H234" s="4">
        <v>0.63</v>
      </c>
      <c r="I234" s="4">
        <v>7</v>
      </c>
      <c r="J234" s="5">
        <v>86.400000000000006</v>
      </c>
      <c r="K234" s="4">
        <v>9</v>
      </c>
      <c r="L234" s="1" t="s">
        <v>46</v>
      </c>
      <c r="M234" s="1" t="s">
        <v>47</v>
      </c>
      <c r="N234" s="3">
        <v>695172205</v>
      </c>
      <c r="O234" s="1" t="s">
        <v>48</v>
      </c>
      <c r="P234" s="1" t="s">
        <v>1457</v>
      </c>
      <c r="Q234" s="4">
        <v>1.444</v>
      </c>
      <c r="R234" s="4">
        <v>1.444</v>
      </c>
      <c r="S234" s="6">
        <v>4.11111</v>
      </c>
      <c r="T234" s="1" t="s">
        <v>50</v>
      </c>
      <c r="U234" s="1"/>
      <c r="V234" s="1"/>
      <c r="W234" s="1"/>
      <c r="X234" s="5">
        <v>230</v>
      </c>
      <c r="Y234" s="7">
        <v>9600000</v>
      </c>
      <c r="Z234" s="1"/>
      <c r="AA234" s="1"/>
      <c r="AB234" s="1"/>
      <c r="AC234" s="1"/>
      <c r="AD234" s="1"/>
      <c r="AE234" s="1" t="s">
        <v>51</v>
      </c>
      <c r="AF234" s="1" t="s">
        <v>51</v>
      </c>
      <c r="AG234" s="1" t="s">
        <v>47</v>
      </c>
      <c r="AH234" s="1"/>
      <c r="AI234" s="1"/>
      <c r="AJ234" s="3">
        <v>1</v>
      </c>
      <c r="AK234" s="1" t="s">
        <v>52</v>
      </c>
      <c r="AL234" s="3">
        <v>5</v>
      </c>
      <c r="AM234" s="8">
        <v>9.1300000000000008</v>
      </c>
      <c r="AN234" s="1"/>
      <c r="AO234" s="1" t="s">
        <v>1458</v>
      </c>
      <c r="AP234" s="1" t="s">
        <v>45</v>
      </c>
      <c r="AQ234" s="1" t="s">
        <v>1459</v>
      </c>
      <c r="AR234" s="1" t="s">
        <v>1460</v>
      </c>
    </row>
    <row r="235">
      <c r="A235" s="2">
        <f ca="1">DATE(2000,03,08)</f>
        <v>0</v>
      </c>
      <c r="B235" s="2">
        <f ca="1">DATE(2000,04,19)</f>
        <v>0</v>
      </c>
      <c r="C235" s="1" t="s">
        <v>1455</v>
      </c>
      <c r="D235" s="3">
        <v>3826</v>
      </c>
      <c r="E235" s="1" t="s">
        <v>43</v>
      </c>
      <c r="F235" s="1" t="s">
        <v>1456</v>
      </c>
      <c r="G235" s="1" t="s">
        <v>45</v>
      </c>
      <c r="H235" s="4">
        <v>0.63</v>
      </c>
      <c r="I235" s="4">
        <v>7</v>
      </c>
      <c r="J235" s="5">
        <v>21.600000000000001</v>
      </c>
      <c r="K235" s="8">
        <v>9</v>
      </c>
      <c r="L235" s="1" t="s">
        <v>58</v>
      </c>
      <c r="M235" s="1" t="s">
        <v>47</v>
      </c>
      <c r="N235" s="3">
        <v>695172205</v>
      </c>
      <c r="O235" s="1" t="s">
        <v>48</v>
      </c>
      <c r="P235" s="1" t="s">
        <v>1461</v>
      </c>
      <c r="Q235" s="4">
        <v>1.444</v>
      </c>
      <c r="R235" s="4">
        <v>1.444</v>
      </c>
      <c r="S235" s="6">
        <v>4.11111</v>
      </c>
      <c r="T235" s="1" t="s">
        <v>60</v>
      </c>
      <c r="U235" s="1"/>
      <c r="V235" s="1"/>
      <c r="W235" s="1"/>
      <c r="X235" s="1"/>
      <c r="Y235" s="7">
        <v>2400000</v>
      </c>
      <c r="Z235" s="1"/>
      <c r="AA235" s="1"/>
      <c r="AB235" s="1"/>
      <c r="AC235" s="1"/>
      <c r="AD235" s="1"/>
      <c r="AE235" s="1" t="s">
        <v>51</v>
      </c>
      <c r="AF235" s="1" t="s">
        <v>51</v>
      </c>
      <c r="AG235" s="1" t="s">
        <v>47</v>
      </c>
      <c r="AH235" s="1"/>
      <c r="AI235" s="1"/>
      <c r="AJ235" s="3">
        <v>1</v>
      </c>
      <c r="AK235" s="1" t="s">
        <v>52</v>
      </c>
      <c r="AL235" s="3">
        <v>1</v>
      </c>
      <c r="AM235" s="1"/>
      <c r="AN235" s="1"/>
      <c r="AO235" s="1" t="s">
        <v>1462</v>
      </c>
      <c r="AP235" s="1" t="s">
        <v>45</v>
      </c>
      <c r="AQ235" s="1" t="s">
        <v>45</v>
      </c>
      <c r="AR235" s="1" t="s">
        <v>786</v>
      </c>
    </row>
    <row r="236">
      <c r="A236" s="2">
        <f ca="1">DATE(2000,01,25)</f>
        <v>0</v>
      </c>
      <c r="B236" s="2">
        <f ca="1">DATE(2000,04,19)</f>
        <v>0</v>
      </c>
      <c r="C236" s="1" t="s">
        <v>1463</v>
      </c>
      <c r="D236" s="3">
        <v>7379</v>
      </c>
      <c r="E236" s="1" t="s">
        <v>43</v>
      </c>
      <c r="F236" s="1" t="s">
        <v>1464</v>
      </c>
      <c r="G236" s="1" t="s">
        <v>151</v>
      </c>
      <c r="H236" s="4">
        <v>0.67000000000000004</v>
      </c>
      <c r="I236" s="4">
        <v>7.0529999999999999</v>
      </c>
      <c r="J236" s="5">
        <v>28.5</v>
      </c>
      <c r="K236" s="4">
        <v>9.5</v>
      </c>
      <c r="L236" s="1" t="s">
        <v>46</v>
      </c>
      <c r="M236" s="1" t="s">
        <v>47</v>
      </c>
      <c r="N236" s="3">
        <v>705107100</v>
      </c>
      <c r="O236" s="1" t="s">
        <v>48</v>
      </c>
      <c r="P236" s="1" t="s">
        <v>1465</v>
      </c>
      <c r="Q236" s="4">
        <v>1.3680000000000001</v>
      </c>
      <c r="R236" s="4">
        <v>1.474</v>
      </c>
      <c r="S236" s="6">
        <v>4.2105300000000003</v>
      </c>
      <c r="T236" s="1" t="s">
        <v>50</v>
      </c>
      <c r="U236" s="1"/>
      <c r="V236" s="1"/>
      <c r="W236" s="1"/>
      <c r="X236" s="5">
        <v>75</v>
      </c>
      <c r="Y236" s="7">
        <v>3000000</v>
      </c>
      <c r="Z236" s="1"/>
      <c r="AA236" s="2">
        <f ca="1">DATE(2000,10,16)</f>
        <v>0</v>
      </c>
      <c r="AB236" s="4">
        <v>84.296999999999997</v>
      </c>
      <c r="AC236" s="3">
        <v>180</v>
      </c>
      <c r="AD236" s="8">
        <v>18510876</v>
      </c>
      <c r="AE236" s="1" t="s">
        <v>51</v>
      </c>
      <c r="AF236" s="1" t="s">
        <v>51</v>
      </c>
      <c r="AG236" s="1" t="s">
        <v>51</v>
      </c>
      <c r="AH236" s="1"/>
      <c r="AI236" s="1"/>
      <c r="AJ236" s="3">
        <v>1</v>
      </c>
      <c r="AK236" s="1" t="s">
        <v>52</v>
      </c>
      <c r="AL236" s="3">
        <v>4</v>
      </c>
      <c r="AM236" s="8">
        <v>9</v>
      </c>
      <c r="AN236" s="1"/>
      <c r="AO236" s="1" t="s">
        <v>1466</v>
      </c>
      <c r="AP236" s="1" t="s">
        <v>151</v>
      </c>
      <c r="AQ236" s="1" t="s">
        <v>1467</v>
      </c>
      <c r="AR236" s="1" t="s">
        <v>1468</v>
      </c>
    </row>
    <row r="237">
      <c r="A237" s="2">
        <f ca="1">DATE(2000,01,28)</f>
        <v>0</v>
      </c>
      <c r="B237" s="2">
        <f ca="1">DATE(2000,04,19)</f>
        <v>0</v>
      </c>
      <c r="C237" s="1" t="s">
        <v>1469</v>
      </c>
      <c r="D237" s="3">
        <v>4899</v>
      </c>
      <c r="E237" s="1" t="s">
        <v>166</v>
      </c>
      <c r="F237" s="1" t="s">
        <v>1470</v>
      </c>
      <c r="G237" s="1" t="s">
        <v>1471</v>
      </c>
      <c r="H237" s="4">
        <v>0.77000000000000002</v>
      </c>
      <c r="I237" s="4">
        <v>5.5</v>
      </c>
      <c r="J237" s="5">
        <v>647.89999999999998</v>
      </c>
      <c r="K237" s="8">
        <v>14</v>
      </c>
      <c r="L237" s="1" t="s">
        <v>58</v>
      </c>
      <c r="M237" s="1" t="s">
        <v>47</v>
      </c>
      <c r="N237" s="1" t="s">
        <v>1472</v>
      </c>
      <c r="O237" s="1" t="s">
        <v>48</v>
      </c>
      <c r="P237" s="1" t="s">
        <v>1473</v>
      </c>
      <c r="Q237" s="4">
        <v>1.143</v>
      </c>
      <c r="R237" s="4">
        <v>1.071</v>
      </c>
      <c r="S237" s="6">
        <v>3.2857099999999999</v>
      </c>
      <c r="T237" s="1" t="s">
        <v>60</v>
      </c>
      <c r="U237" s="1"/>
      <c r="V237" s="1"/>
      <c r="W237" s="1"/>
      <c r="X237" s="5">
        <v>862.5</v>
      </c>
      <c r="Y237" s="7">
        <v>40627059</v>
      </c>
      <c r="Z237" s="7">
        <v>5647941</v>
      </c>
      <c r="AA237" s="1"/>
      <c r="AB237" s="1"/>
      <c r="AC237" s="1"/>
      <c r="AD237" s="1"/>
      <c r="AE237" s="1" t="s">
        <v>51</v>
      </c>
      <c r="AF237" s="1" t="s">
        <v>51</v>
      </c>
      <c r="AG237" s="1" t="s">
        <v>51</v>
      </c>
      <c r="AH237" s="1"/>
      <c r="AI237" s="1"/>
      <c r="AJ237" s="3">
        <v>2</v>
      </c>
      <c r="AK237" s="1" t="s">
        <v>89</v>
      </c>
      <c r="AL237" s="3">
        <v>2</v>
      </c>
      <c r="AM237" s="1"/>
      <c r="AN237" s="1"/>
      <c r="AO237" s="1" t="s">
        <v>1474</v>
      </c>
      <c r="AP237" s="1" t="s">
        <v>429</v>
      </c>
      <c r="AQ237" s="1" t="s">
        <v>1475</v>
      </c>
      <c r="AR237" s="1" t="s">
        <v>1476</v>
      </c>
    </row>
    <row r="238">
      <c r="A238" s="2">
        <f ca="1">DATE(1999,05,26)</f>
        <v>0</v>
      </c>
      <c r="B238" s="2">
        <f ca="1">DATE(2000,04,20)</f>
        <v>0</v>
      </c>
      <c r="C238" s="1" t="s">
        <v>1477</v>
      </c>
      <c r="D238" s="3">
        <v>3714</v>
      </c>
      <c r="E238" s="1" t="s">
        <v>43</v>
      </c>
      <c r="F238" s="1" t="s">
        <v>1478</v>
      </c>
      <c r="G238" s="1" t="s">
        <v>1479</v>
      </c>
      <c r="H238" s="4">
        <v>0.77000000000000002</v>
      </c>
      <c r="I238" s="4">
        <v>7</v>
      </c>
      <c r="J238" s="5">
        <v>32.5</v>
      </c>
      <c r="K238" s="4">
        <v>11</v>
      </c>
      <c r="L238" s="1" t="s">
        <v>46</v>
      </c>
      <c r="M238" s="1" t="s">
        <v>47</v>
      </c>
      <c r="N238" s="1" t="s">
        <v>1480</v>
      </c>
      <c r="O238" s="1" t="s">
        <v>48</v>
      </c>
      <c r="P238" s="1" t="s">
        <v>1481</v>
      </c>
      <c r="Q238" s="4">
        <v>1.2729999999999999</v>
      </c>
      <c r="R238" s="4">
        <v>1.6359999999999999</v>
      </c>
      <c r="S238" s="6">
        <v>4.09091</v>
      </c>
      <c r="T238" s="1" t="s">
        <v>50</v>
      </c>
      <c r="U238" s="1"/>
      <c r="V238" s="1"/>
      <c r="W238" s="1"/>
      <c r="X238" s="5">
        <v>46</v>
      </c>
      <c r="Y238" s="7">
        <v>2500000</v>
      </c>
      <c r="Z238" s="7">
        <v>450000</v>
      </c>
      <c r="AA238" s="2">
        <f ca="1">DATE(2000,10,17)</f>
        <v>0</v>
      </c>
      <c r="AB238" s="4">
        <v>66.126000000000005</v>
      </c>
      <c r="AC238" s="3">
        <v>180</v>
      </c>
      <c r="AD238" s="8">
        <v>6476100</v>
      </c>
      <c r="AE238" s="1" t="s">
        <v>51</v>
      </c>
      <c r="AF238" s="1" t="s">
        <v>51</v>
      </c>
      <c r="AG238" s="1" t="s">
        <v>51</v>
      </c>
      <c r="AH238" s="1"/>
      <c r="AI238" s="1"/>
      <c r="AJ238" s="3">
        <v>1</v>
      </c>
      <c r="AK238" s="1" t="s">
        <v>52</v>
      </c>
      <c r="AL238" s="3">
        <v>3</v>
      </c>
      <c r="AM238" s="8">
        <v>11</v>
      </c>
      <c r="AN238" s="1"/>
      <c r="AO238" s="1" t="s">
        <v>1482</v>
      </c>
      <c r="AP238" s="1" t="s">
        <v>1479</v>
      </c>
      <c r="AQ238" s="1" t="s">
        <v>1483</v>
      </c>
      <c r="AR238" s="1" t="s">
        <v>1484</v>
      </c>
    </row>
    <row r="239">
      <c r="A239" s="2">
        <f ca="1">DATE(2000,02,02)</f>
        <v>0</v>
      </c>
      <c r="B239" s="2">
        <f ca="1">DATE(2000,04,26)</f>
        <v>0</v>
      </c>
      <c r="C239" s="1" t="s">
        <v>1485</v>
      </c>
      <c r="D239" s="3">
        <v>4812</v>
      </c>
      <c r="E239" s="1" t="s">
        <v>43</v>
      </c>
      <c r="F239" s="1" t="s">
        <v>1486</v>
      </c>
      <c r="G239" s="1" t="s">
        <v>1487</v>
      </c>
      <c r="H239" s="4">
        <v>0.85999999999999999</v>
      </c>
      <c r="I239" s="4">
        <v>2.915</v>
      </c>
      <c r="J239" s="9">
        <v>9027</v>
      </c>
      <c r="K239" s="4">
        <v>29.5</v>
      </c>
      <c r="L239" s="1" t="s">
        <v>46</v>
      </c>
      <c r="M239" s="1" t="s">
        <v>47</v>
      </c>
      <c r="N239" s="1" t="s">
        <v>1488</v>
      </c>
      <c r="O239" s="1" t="s">
        <v>108</v>
      </c>
      <c r="P239" s="1" t="s">
        <v>1489</v>
      </c>
      <c r="Q239" s="4">
        <v>0.60999999999999999</v>
      </c>
      <c r="R239" s="4">
        <v>0.60999999999999999</v>
      </c>
      <c r="S239" s="6">
        <v>1.69492</v>
      </c>
      <c r="T239" s="1" t="s">
        <v>50</v>
      </c>
      <c r="U239" s="1"/>
      <c r="V239" s="1"/>
      <c r="W239" s="1"/>
      <c r="X239" s="5">
        <v>100</v>
      </c>
      <c r="Y239" s="7">
        <v>306000000</v>
      </c>
      <c r="Z239" s="1"/>
      <c r="AA239" s="2">
        <f ca="1">DATE(2000,10,23)</f>
        <v>0</v>
      </c>
      <c r="AB239" s="1"/>
      <c r="AC239" s="3">
        <v>180</v>
      </c>
      <c r="AD239" s="1"/>
      <c r="AE239" s="1" t="s">
        <v>51</v>
      </c>
      <c r="AF239" s="1" t="s">
        <v>51</v>
      </c>
      <c r="AG239" s="1" t="s">
        <v>51</v>
      </c>
      <c r="AH239" s="1" t="s">
        <v>1490</v>
      </c>
      <c r="AI239" s="1" t="s">
        <v>1491</v>
      </c>
      <c r="AJ239" s="3">
        <v>3</v>
      </c>
      <c r="AK239" s="1" t="s">
        <v>110</v>
      </c>
      <c r="AL239" s="3">
        <v>17</v>
      </c>
      <c r="AM239" s="1"/>
      <c r="AN239" s="1"/>
      <c r="AO239" s="1" t="s">
        <v>1492</v>
      </c>
      <c r="AP239" s="1" t="s">
        <v>1493</v>
      </c>
      <c r="AQ239" s="1" t="s">
        <v>1494</v>
      </c>
      <c r="AR239" s="1" t="s">
        <v>1495</v>
      </c>
    </row>
    <row r="240">
      <c r="A240" s="2">
        <f ca="1">DATE(2000,02,02)</f>
        <v>0</v>
      </c>
      <c r="B240" s="2">
        <f ca="1">DATE(2000,04,26)</f>
        <v>0</v>
      </c>
      <c r="C240" s="1" t="s">
        <v>1485</v>
      </c>
      <c r="D240" s="3">
        <v>4812</v>
      </c>
      <c r="E240" s="1" t="s">
        <v>43</v>
      </c>
      <c r="F240" s="1" t="s">
        <v>1486</v>
      </c>
      <c r="G240" s="1" t="s">
        <v>1487</v>
      </c>
      <c r="H240" s="4">
        <v>0.85999999999999999</v>
      </c>
      <c r="I240" s="4">
        <v>2.915</v>
      </c>
      <c r="J240" s="9">
        <v>1593</v>
      </c>
      <c r="K240" s="8">
        <v>29.5</v>
      </c>
      <c r="L240" s="1" t="s">
        <v>46</v>
      </c>
      <c r="M240" s="1" t="s">
        <v>47</v>
      </c>
      <c r="N240" s="1" t="s">
        <v>1488</v>
      </c>
      <c r="O240" s="1" t="s">
        <v>108</v>
      </c>
      <c r="P240" s="1" t="s">
        <v>1496</v>
      </c>
      <c r="Q240" s="4">
        <v>0.60999999999999999</v>
      </c>
      <c r="R240" s="4">
        <v>0.60999999999999999</v>
      </c>
      <c r="S240" s="6">
        <v>1.69492</v>
      </c>
      <c r="T240" s="1" t="s">
        <v>60</v>
      </c>
      <c r="U240" s="1"/>
      <c r="V240" s="1"/>
      <c r="W240" s="1"/>
      <c r="X240" s="1"/>
      <c r="Y240" s="7">
        <v>54000000</v>
      </c>
      <c r="Z240" s="1"/>
      <c r="AA240" s="1"/>
      <c r="AB240" s="1"/>
      <c r="AC240" s="3">
        <v>180</v>
      </c>
      <c r="AD240" s="1"/>
      <c r="AE240" s="1" t="s">
        <v>51</v>
      </c>
      <c r="AF240" s="1" t="s">
        <v>51</v>
      </c>
      <c r="AG240" s="1" t="s">
        <v>51</v>
      </c>
      <c r="AH240" s="1" t="s">
        <v>1490</v>
      </c>
      <c r="AI240" s="1" t="s">
        <v>1491</v>
      </c>
      <c r="AJ240" s="3">
        <v>3</v>
      </c>
      <c r="AK240" s="1" t="s">
        <v>110</v>
      </c>
      <c r="AL240" s="3">
        <v>8</v>
      </c>
      <c r="AM240" s="1"/>
      <c r="AN240" s="1"/>
      <c r="AO240" s="1" t="s">
        <v>1497</v>
      </c>
      <c r="AP240" s="1" t="s">
        <v>1493</v>
      </c>
      <c r="AQ240" s="1" t="s">
        <v>1498</v>
      </c>
      <c r="AR240" s="1" t="s">
        <v>1499</v>
      </c>
    </row>
    <row r="241">
      <c r="A241" s="2">
        <f ca="1">DATE(2000,02,16)</f>
        <v>0</v>
      </c>
      <c r="B241" s="2">
        <f ca="1">DATE(2000,04,26)</f>
        <v>0</v>
      </c>
      <c r="C241" s="1" t="s">
        <v>1500</v>
      </c>
      <c r="D241" s="3">
        <v>3661</v>
      </c>
      <c r="E241" s="1" t="s">
        <v>43</v>
      </c>
      <c r="F241" s="1" t="s">
        <v>1501</v>
      </c>
      <c r="G241" s="1" t="s">
        <v>45</v>
      </c>
      <c r="H241" s="4">
        <v>0.63</v>
      </c>
      <c r="I241" s="4">
        <v>7</v>
      </c>
      <c r="J241" s="5">
        <v>53</v>
      </c>
      <c r="K241" s="4">
        <v>9</v>
      </c>
      <c r="L241" s="1" t="s">
        <v>46</v>
      </c>
      <c r="M241" s="1" t="s">
        <v>47</v>
      </c>
      <c r="N241" s="3">
        <v>591409107</v>
      </c>
      <c r="O241" s="1" t="s">
        <v>48</v>
      </c>
      <c r="P241" s="1" t="s">
        <v>1502</v>
      </c>
      <c r="Q241" s="4">
        <v>1.444</v>
      </c>
      <c r="R241" s="4">
        <v>1.444</v>
      </c>
      <c r="S241" s="6">
        <v>4.11111</v>
      </c>
      <c r="T241" s="1" t="s">
        <v>50</v>
      </c>
      <c r="U241" s="1"/>
      <c r="V241" s="1"/>
      <c r="W241" s="1"/>
      <c r="X241" s="5">
        <v>86.299999999999997</v>
      </c>
      <c r="Y241" s="7">
        <v>5893480</v>
      </c>
      <c r="Z241" s="1"/>
      <c r="AA241" s="1"/>
      <c r="AB241" s="1"/>
      <c r="AC241" s="1"/>
      <c r="AD241" s="1"/>
      <c r="AE241" s="1" t="s">
        <v>51</v>
      </c>
      <c r="AF241" s="1" t="s">
        <v>51</v>
      </c>
      <c r="AG241" s="1" t="s">
        <v>47</v>
      </c>
      <c r="AH241" s="1"/>
      <c r="AI241" s="1"/>
      <c r="AJ241" s="3">
        <v>1</v>
      </c>
      <c r="AK241" s="1" t="s">
        <v>89</v>
      </c>
      <c r="AL241" s="3">
        <v>3</v>
      </c>
      <c r="AM241" s="8">
        <v>13.560000000000001</v>
      </c>
      <c r="AN241" s="1"/>
      <c r="AO241" s="1" t="s">
        <v>1503</v>
      </c>
      <c r="AP241" s="1" t="s">
        <v>1504</v>
      </c>
      <c r="AQ241" s="1" t="s">
        <v>1505</v>
      </c>
      <c r="AR241" s="1" t="s">
        <v>1506</v>
      </c>
    </row>
    <row r="242">
      <c r="A242" s="2">
        <f ca="1">DATE(2000,02,16)</f>
        <v>0</v>
      </c>
      <c r="B242" s="2">
        <f ca="1">DATE(2000,04,26)</f>
        <v>0</v>
      </c>
      <c r="C242" s="1" t="s">
        <v>1500</v>
      </c>
      <c r="D242" s="3">
        <v>3661</v>
      </c>
      <c r="E242" s="1" t="s">
        <v>43</v>
      </c>
      <c r="F242" s="1" t="s">
        <v>1501</v>
      </c>
      <c r="G242" s="1" t="s">
        <v>45</v>
      </c>
      <c r="H242" s="4">
        <v>0.63</v>
      </c>
      <c r="I242" s="4">
        <v>7</v>
      </c>
      <c r="J242" s="5">
        <v>3.2000000000000002</v>
      </c>
      <c r="K242" s="8">
        <v>9</v>
      </c>
      <c r="L242" s="1" t="s">
        <v>58</v>
      </c>
      <c r="M242" s="1" t="s">
        <v>47</v>
      </c>
      <c r="N242" s="3">
        <v>591409107</v>
      </c>
      <c r="O242" s="1" t="s">
        <v>48</v>
      </c>
      <c r="P242" s="1" t="s">
        <v>1502</v>
      </c>
      <c r="Q242" s="4">
        <v>1.444</v>
      </c>
      <c r="R242" s="4">
        <v>1.444</v>
      </c>
      <c r="S242" s="6">
        <v>4.11111</v>
      </c>
      <c r="T242" s="1" t="s">
        <v>60</v>
      </c>
      <c r="U242" s="1"/>
      <c r="V242" s="1"/>
      <c r="W242" s="1"/>
      <c r="X242" s="1"/>
      <c r="Y242" s="7">
        <v>356520</v>
      </c>
      <c r="Z242" s="1"/>
      <c r="AA242" s="1"/>
      <c r="AB242" s="1"/>
      <c r="AC242" s="1"/>
      <c r="AD242" s="1"/>
      <c r="AE242" s="1" t="s">
        <v>51</v>
      </c>
      <c r="AF242" s="1" t="s">
        <v>51</v>
      </c>
      <c r="AG242" s="1" t="s">
        <v>47</v>
      </c>
      <c r="AH242" s="1"/>
      <c r="AI242" s="1"/>
      <c r="AJ242" s="3">
        <v>1</v>
      </c>
      <c r="AK242" s="1" t="s">
        <v>52</v>
      </c>
      <c r="AL242" s="3">
        <v>1</v>
      </c>
      <c r="AM242" s="1"/>
      <c r="AN242" s="1"/>
      <c r="AO242" s="1" t="s">
        <v>1507</v>
      </c>
      <c r="AP242" s="1" t="s">
        <v>45</v>
      </c>
      <c r="AQ242" s="1" t="s">
        <v>45</v>
      </c>
      <c r="AR242" s="1" t="s">
        <v>786</v>
      </c>
    </row>
    <row r="243">
      <c r="A243" s="2">
        <f ca="1">DATE(2000,02,08)</f>
        <v>0</v>
      </c>
      <c r="B243" s="2">
        <f ca="1">DATE(2000,04,26)</f>
        <v>0</v>
      </c>
      <c r="C243" s="1" t="s">
        <v>1508</v>
      </c>
      <c r="D243" s="3">
        <v>2836</v>
      </c>
      <c r="E243" s="1" t="s">
        <v>43</v>
      </c>
      <c r="F243" s="1" t="s">
        <v>1509</v>
      </c>
      <c r="G243" s="1" t="s">
        <v>204</v>
      </c>
      <c r="H243" s="4">
        <v>0.69999999999999996</v>
      </c>
      <c r="I243" s="8">
        <v>7</v>
      </c>
      <c r="J243" s="5">
        <v>80</v>
      </c>
      <c r="K243" s="4">
        <v>10</v>
      </c>
      <c r="L243" s="1" t="s">
        <v>46</v>
      </c>
      <c r="M243" s="1" t="s">
        <v>47</v>
      </c>
      <c r="N243" s="3">
        <v>739421105</v>
      </c>
      <c r="O243" s="1" t="s">
        <v>48</v>
      </c>
      <c r="P243" s="1" t="s">
        <v>1510</v>
      </c>
      <c r="Q243" s="4">
        <v>1.3999999999999999</v>
      </c>
      <c r="R243" s="4">
        <v>1.3999999999999999</v>
      </c>
      <c r="S243" s="8">
        <v>4.2000000000000002</v>
      </c>
      <c r="T243" s="1" t="s">
        <v>50</v>
      </c>
      <c r="U243" s="1"/>
      <c r="V243" s="1"/>
      <c r="W243" s="1"/>
      <c r="X243" s="5">
        <v>156.40000000000001</v>
      </c>
      <c r="Y243" s="7">
        <v>8000000</v>
      </c>
      <c r="Z243" s="1"/>
      <c r="AA243" s="2">
        <f ca="1">DATE(2000,10,23)</f>
        <v>0</v>
      </c>
      <c r="AB243" s="4">
        <v>75.935000000000002</v>
      </c>
      <c r="AC243" s="3">
        <v>180</v>
      </c>
      <c r="AD243" s="8">
        <v>30348773</v>
      </c>
      <c r="AE243" s="1" t="s">
        <v>51</v>
      </c>
      <c r="AF243" s="1" t="s">
        <v>51</v>
      </c>
      <c r="AG243" s="1" t="s">
        <v>47</v>
      </c>
      <c r="AH243" s="1"/>
      <c r="AI243" s="1"/>
      <c r="AJ243" s="3">
        <v>1</v>
      </c>
      <c r="AK243" s="1" t="s">
        <v>52</v>
      </c>
      <c r="AL243" s="3">
        <v>3</v>
      </c>
      <c r="AM243" s="8">
        <v>11</v>
      </c>
      <c r="AN243" s="1"/>
      <c r="AO243" s="1" t="s">
        <v>1511</v>
      </c>
      <c r="AP243" s="1" t="s">
        <v>204</v>
      </c>
      <c r="AQ243" s="1" t="s">
        <v>1512</v>
      </c>
      <c r="AR243" s="1" t="s">
        <v>1513</v>
      </c>
    </row>
    <row r="244">
      <c r="A244" s="2">
        <f ca="1">DATE(1999,07,20)</f>
        <v>0</v>
      </c>
      <c r="B244" s="2">
        <f ca="1">DATE(2000,04,26)</f>
        <v>0</v>
      </c>
      <c r="C244" s="1" t="s">
        <v>1514</v>
      </c>
      <c r="D244" s="3">
        <v>7363</v>
      </c>
      <c r="E244" s="1" t="s">
        <v>43</v>
      </c>
      <c r="F244" s="1" t="s">
        <v>1515</v>
      </c>
      <c r="G244" s="1" t="s">
        <v>1516</v>
      </c>
      <c r="H244" s="4">
        <v>0.59999999999999998</v>
      </c>
      <c r="I244" s="4">
        <v>10</v>
      </c>
      <c r="J244" s="5">
        <v>7.7999999999999998</v>
      </c>
      <c r="K244" s="4">
        <v>6</v>
      </c>
      <c r="L244" s="1" t="s">
        <v>46</v>
      </c>
      <c r="M244" s="1" t="s">
        <v>47</v>
      </c>
      <c r="N244" s="3">
        <v>863170106</v>
      </c>
      <c r="O244" s="1" t="s">
        <v>48</v>
      </c>
      <c r="P244" s="1" t="s">
        <v>1517</v>
      </c>
      <c r="Q244" s="1" t="s">
        <v>145</v>
      </c>
      <c r="R244" s="1" t="s">
        <v>145</v>
      </c>
      <c r="S244" s="1"/>
      <c r="T244" s="1" t="s">
        <v>50</v>
      </c>
      <c r="U244" s="8">
        <v>9</v>
      </c>
      <c r="V244" s="8">
        <v>6</v>
      </c>
      <c r="W244" s="7">
        <v>1500000</v>
      </c>
      <c r="X244" s="5">
        <v>11.300000000000001</v>
      </c>
      <c r="Y244" s="7">
        <v>1300000</v>
      </c>
      <c r="Z244" s="1"/>
      <c r="AA244" s="2">
        <f ca="1">DATE(2001,04,26)</f>
        <v>0</v>
      </c>
      <c r="AB244" s="4">
        <v>21.748999999999999</v>
      </c>
      <c r="AC244" s="3">
        <v>365</v>
      </c>
      <c r="AD244" s="8">
        <v>1253980</v>
      </c>
      <c r="AE244" s="1" t="s">
        <v>51</v>
      </c>
      <c r="AF244" s="1" t="s">
        <v>51</v>
      </c>
      <c r="AG244" s="1" t="s">
        <v>51</v>
      </c>
      <c r="AH244" s="1"/>
      <c r="AI244" s="1"/>
      <c r="AJ244" s="3">
        <v>1</v>
      </c>
      <c r="AK244" s="1" t="s">
        <v>52</v>
      </c>
      <c r="AL244" s="3">
        <v>2</v>
      </c>
      <c r="AM244" s="8">
        <v>7</v>
      </c>
      <c r="AN244" s="1"/>
      <c r="AO244" s="1" t="s">
        <v>1518</v>
      </c>
      <c r="AP244" s="1" t="s">
        <v>1516</v>
      </c>
      <c r="AQ244" s="1" t="s">
        <v>1519</v>
      </c>
      <c r="AR244" s="1" t="s">
        <v>1520</v>
      </c>
    </row>
    <row r="245">
      <c r="A245" s="2">
        <f ca="1">DATE(2000,02,18)</f>
        <v>0</v>
      </c>
      <c r="B245" s="2">
        <f ca="1">DATE(2000,04,27)</f>
        <v>0</v>
      </c>
      <c r="C245" s="1" t="s">
        <v>1521</v>
      </c>
      <c r="D245" s="3">
        <v>3674</v>
      </c>
      <c r="E245" s="1" t="s">
        <v>43</v>
      </c>
      <c r="F245" s="1" t="s">
        <v>1522</v>
      </c>
      <c r="G245" s="1" t="s">
        <v>106</v>
      </c>
      <c r="H245" s="4">
        <v>0.95999999999999996</v>
      </c>
      <c r="I245" s="4">
        <v>6</v>
      </c>
      <c r="J245" s="5">
        <v>407.19999999999999</v>
      </c>
      <c r="K245" s="4">
        <v>16</v>
      </c>
      <c r="L245" s="1" t="s">
        <v>46</v>
      </c>
      <c r="M245" s="1" t="s">
        <v>47</v>
      </c>
      <c r="N245" s="3">
        <v>682189105</v>
      </c>
      <c r="O245" s="1" t="s">
        <v>48</v>
      </c>
      <c r="P245" s="1" t="s">
        <v>1523</v>
      </c>
      <c r="Q245" s="4">
        <v>1.1879999999999999</v>
      </c>
      <c r="R245" s="4">
        <v>0.875</v>
      </c>
      <c r="S245" s="10">
        <v>3.9375</v>
      </c>
      <c r="T245" s="1" t="s">
        <v>50</v>
      </c>
      <c r="U245" s="1"/>
      <c r="V245" s="1"/>
      <c r="W245" s="1"/>
      <c r="X245" s="5">
        <v>575</v>
      </c>
      <c r="Y245" s="7">
        <v>25450000</v>
      </c>
      <c r="Z245" s="1"/>
      <c r="AA245" s="1"/>
      <c r="AB245" s="1"/>
      <c r="AC245" s="1"/>
      <c r="AD245" s="1"/>
      <c r="AE245" s="1" t="s">
        <v>51</v>
      </c>
      <c r="AF245" s="1" t="s">
        <v>51</v>
      </c>
      <c r="AG245" s="1" t="s">
        <v>51</v>
      </c>
      <c r="AH245" s="1"/>
      <c r="AI245" s="1"/>
      <c r="AJ245" s="3">
        <v>1</v>
      </c>
      <c r="AK245" s="1" t="s">
        <v>89</v>
      </c>
      <c r="AL245" s="3">
        <v>5</v>
      </c>
      <c r="AM245" s="8">
        <v>25</v>
      </c>
      <c r="AN245" s="1"/>
      <c r="AO245" s="1" t="s">
        <v>1524</v>
      </c>
      <c r="AP245" s="1" t="s">
        <v>1525</v>
      </c>
      <c r="AQ245" s="1" t="s">
        <v>1526</v>
      </c>
      <c r="AR245" s="1" t="s">
        <v>1527</v>
      </c>
    </row>
    <row r="246">
      <c r="A246" s="2">
        <f ca="1">DATE(2000,02,18)</f>
        <v>0</v>
      </c>
      <c r="B246" s="2">
        <f ca="1">DATE(2000,04,27)</f>
        <v>0</v>
      </c>
      <c r="C246" s="1" t="s">
        <v>1521</v>
      </c>
      <c r="D246" s="3">
        <v>3674</v>
      </c>
      <c r="E246" s="1" t="s">
        <v>43</v>
      </c>
      <c r="F246" s="1" t="s">
        <v>1522</v>
      </c>
      <c r="G246" s="1" t="s">
        <v>106</v>
      </c>
      <c r="H246" s="4">
        <v>0.95999999999999996</v>
      </c>
      <c r="I246" s="4">
        <v>6</v>
      </c>
      <c r="J246" s="5">
        <v>72.799999999999997</v>
      </c>
      <c r="K246" s="8">
        <v>16</v>
      </c>
      <c r="L246" s="1" t="s">
        <v>46</v>
      </c>
      <c r="M246" s="1" t="s">
        <v>47</v>
      </c>
      <c r="N246" s="3">
        <v>783884109</v>
      </c>
      <c r="O246" s="1" t="s">
        <v>48</v>
      </c>
      <c r="P246" s="1" t="s">
        <v>1528</v>
      </c>
      <c r="Q246" s="1" t="s">
        <v>145</v>
      </c>
      <c r="R246" s="1" t="s">
        <v>145</v>
      </c>
      <c r="S246" s="1"/>
      <c r="T246" s="1" t="s">
        <v>60</v>
      </c>
      <c r="U246" s="1"/>
      <c r="V246" s="1"/>
      <c r="W246" s="1"/>
      <c r="X246" s="1"/>
      <c r="Y246" s="7">
        <v>4550000</v>
      </c>
      <c r="Z246" s="1"/>
      <c r="AA246" s="1"/>
      <c r="AB246" s="1"/>
      <c r="AC246" s="1"/>
      <c r="AD246" s="1"/>
      <c r="AE246" s="1" t="s">
        <v>51</v>
      </c>
      <c r="AF246" s="1" t="s">
        <v>51</v>
      </c>
      <c r="AG246" s="1" t="s">
        <v>51</v>
      </c>
      <c r="AH246" s="1"/>
      <c r="AI246" s="1"/>
      <c r="AJ246" s="3">
        <v>1</v>
      </c>
      <c r="AK246" s="1" t="s">
        <v>52</v>
      </c>
      <c r="AL246" s="3">
        <v>2</v>
      </c>
      <c r="AM246" s="1"/>
      <c r="AN246" s="1"/>
      <c r="AO246" s="1" t="s">
        <v>1529</v>
      </c>
      <c r="AP246" s="1" t="s">
        <v>106</v>
      </c>
      <c r="AQ246" s="1" t="s">
        <v>1530</v>
      </c>
      <c r="AR246" s="1" t="s">
        <v>1531</v>
      </c>
    </row>
    <row r="247">
      <c r="A247" s="2">
        <f ca="1">DATE(2000,02,17)</f>
        <v>0</v>
      </c>
      <c r="B247" s="2">
        <f ca="1">DATE(2000,04,27)</f>
        <v>0</v>
      </c>
      <c r="C247" s="1" t="s">
        <v>1532</v>
      </c>
      <c r="D247" s="3">
        <v>7372</v>
      </c>
      <c r="E247" s="1" t="s">
        <v>43</v>
      </c>
      <c r="F247" s="1" t="s">
        <v>1533</v>
      </c>
      <c r="G247" s="1" t="s">
        <v>106</v>
      </c>
      <c r="H247" s="4">
        <v>0.83999999999999997</v>
      </c>
      <c r="I247" s="8">
        <v>7</v>
      </c>
      <c r="J247" s="5">
        <v>40.5</v>
      </c>
      <c r="K247" s="4">
        <v>12</v>
      </c>
      <c r="L247" s="1" t="s">
        <v>46</v>
      </c>
      <c r="M247" s="1" t="s">
        <v>47</v>
      </c>
      <c r="N247" s="3">
        <v>834040107</v>
      </c>
      <c r="O247" s="1" t="s">
        <v>48</v>
      </c>
      <c r="P247" s="1" t="s">
        <v>1534</v>
      </c>
      <c r="Q247" s="4">
        <v>1.417</v>
      </c>
      <c r="R247" s="4">
        <v>1.667</v>
      </c>
      <c r="S247" s="6">
        <v>3.9166699999999999</v>
      </c>
      <c r="T247" s="1" t="s">
        <v>50</v>
      </c>
      <c r="U247" s="1"/>
      <c r="V247" s="1"/>
      <c r="W247" s="1"/>
      <c r="X247" s="5">
        <v>100</v>
      </c>
      <c r="Y247" s="7">
        <v>3375000</v>
      </c>
      <c r="Z247" s="1"/>
      <c r="AA247" s="1"/>
      <c r="AB247" s="1"/>
      <c r="AC247" s="1"/>
      <c r="AD247" s="1"/>
      <c r="AE247" s="1" t="s">
        <v>51</v>
      </c>
      <c r="AF247" s="1" t="s">
        <v>51</v>
      </c>
      <c r="AG247" s="1" t="s">
        <v>47</v>
      </c>
      <c r="AH247" s="1"/>
      <c r="AI247" s="1"/>
      <c r="AJ247" s="3">
        <v>1</v>
      </c>
      <c r="AK247" s="1" t="s">
        <v>52</v>
      </c>
      <c r="AL247" s="3">
        <v>3</v>
      </c>
      <c r="AM247" s="8">
        <v>17.879999999999999</v>
      </c>
      <c r="AN247" s="1"/>
      <c r="AO247" s="1" t="s">
        <v>1535</v>
      </c>
      <c r="AP247" s="1" t="s">
        <v>106</v>
      </c>
      <c r="AQ247" s="1" t="s">
        <v>1536</v>
      </c>
      <c r="AR247" s="1" t="s">
        <v>1537</v>
      </c>
    </row>
    <row r="248">
      <c r="A248" s="2">
        <f ca="1">DATE(2000,02,17)</f>
        <v>0</v>
      </c>
      <c r="B248" s="2">
        <f ca="1">DATE(2000,04,27)</f>
        <v>0</v>
      </c>
      <c r="C248" s="1" t="s">
        <v>1532</v>
      </c>
      <c r="D248" s="3">
        <v>7372</v>
      </c>
      <c r="E248" s="1" t="s">
        <v>43</v>
      </c>
      <c r="F248" s="1" t="s">
        <v>1533</v>
      </c>
      <c r="G248" s="1" t="s">
        <v>106</v>
      </c>
      <c r="H248" s="4">
        <v>0.83999999999999997</v>
      </c>
      <c r="I248" s="8">
        <v>7</v>
      </c>
      <c r="J248" s="5">
        <v>7.5</v>
      </c>
      <c r="K248" s="8">
        <v>12</v>
      </c>
      <c r="L248" s="1" t="s">
        <v>58</v>
      </c>
      <c r="M248" s="1" t="s">
        <v>47</v>
      </c>
      <c r="N248" s="3">
        <v>834040107</v>
      </c>
      <c r="O248" s="1" t="s">
        <v>48</v>
      </c>
      <c r="P248" s="1" t="s">
        <v>1538</v>
      </c>
      <c r="Q248" s="1" t="s">
        <v>145</v>
      </c>
      <c r="R248" s="1" t="s">
        <v>145</v>
      </c>
      <c r="S248" s="1"/>
      <c r="T248" s="1" t="s">
        <v>60</v>
      </c>
      <c r="U248" s="1"/>
      <c r="V248" s="1"/>
      <c r="W248" s="1"/>
      <c r="X248" s="1"/>
      <c r="Y248" s="7">
        <v>625000</v>
      </c>
      <c r="Z248" s="1"/>
      <c r="AA248" s="1"/>
      <c r="AB248" s="1"/>
      <c r="AC248" s="1"/>
      <c r="AD248" s="1"/>
      <c r="AE248" s="1" t="s">
        <v>51</v>
      </c>
      <c r="AF248" s="1" t="s">
        <v>51</v>
      </c>
      <c r="AG248" s="1" t="s">
        <v>47</v>
      </c>
      <c r="AH248" s="1"/>
      <c r="AI248" s="1"/>
      <c r="AJ248" s="3">
        <v>1</v>
      </c>
      <c r="AK248" s="1" t="s">
        <v>52</v>
      </c>
      <c r="AL248" s="3">
        <v>1</v>
      </c>
      <c r="AM248" s="1"/>
      <c r="AN248" s="1"/>
      <c r="AO248" s="1" t="s">
        <v>1539</v>
      </c>
      <c r="AP248" s="1" t="s">
        <v>106</v>
      </c>
      <c r="AQ248" s="1" t="s">
        <v>106</v>
      </c>
      <c r="AR248" s="1" t="s">
        <v>214</v>
      </c>
    </row>
    <row r="249">
      <c r="A249" s="2">
        <f ca="1">DATE(1999,12,22)</f>
        <v>0</v>
      </c>
      <c r="B249" s="2">
        <f ca="1">DATE(2000,05,01)</f>
        <v>0</v>
      </c>
      <c r="C249" s="1" t="s">
        <v>1540</v>
      </c>
      <c r="D249" s="3">
        <v>7374</v>
      </c>
      <c r="E249" s="1" t="s">
        <v>43</v>
      </c>
      <c r="F249" s="1" t="s">
        <v>1541</v>
      </c>
      <c r="G249" s="1" t="s">
        <v>1542</v>
      </c>
      <c r="H249" s="1" t="s">
        <v>57</v>
      </c>
      <c r="I249" s="1" t="s">
        <v>57</v>
      </c>
      <c r="J249" s="5">
        <v>6.4000000000000004</v>
      </c>
      <c r="K249" s="4">
        <v>1</v>
      </c>
      <c r="L249" s="1" t="s">
        <v>46</v>
      </c>
      <c r="M249" s="1" t="s">
        <v>47</v>
      </c>
      <c r="N249" s="1"/>
      <c r="O249" s="1" t="s">
        <v>77</v>
      </c>
      <c r="P249" s="1" t="s">
        <v>1543</v>
      </c>
      <c r="Q249" s="1"/>
      <c r="R249" s="1"/>
      <c r="S249" s="1"/>
      <c r="T249" s="1" t="s">
        <v>50</v>
      </c>
      <c r="U249" s="8">
        <v>1</v>
      </c>
      <c r="V249" s="8">
        <v>1</v>
      </c>
      <c r="W249" s="7">
        <v>19225883</v>
      </c>
      <c r="X249" s="5">
        <v>19.199999999999999</v>
      </c>
      <c r="Y249" s="7">
        <v>6374080</v>
      </c>
      <c r="Z249" s="1"/>
      <c r="AA249" s="1"/>
      <c r="AB249" s="1"/>
      <c r="AC249" s="1"/>
      <c r="AD249" s="1"/>
      <c r="AE249" s="1" t="s">
        <v>51</v>
      </c>
      <c r="AF249" s="1" t="s">
        <v>51</v>
      </c>
      <c r="AG249" s="1" t="s">
        <v>51</v>
      </c>
      <c r="AH249" s="1"/>
      <c r="AI249" s="1"/>
      <c r="AJ249" s="3">
        <v>1</v>
      </c>
      <c r="AK249" s="1" t="s">
        <v>52</v>
      </c>
      <c r="AL249" s="3">
        <v>1</v>
      </c>
      <c r="AM249" s="1"/>
      <c r="AN249" s="1"/>
      <c r="AO249" s="1" t="s">
        <v>1542</v>
      </c>
      <c r="AP249" s="1" t="s">
        <v>1542</v>
      </c>
      <c r="AQ249" s="1" t="s">
        <v>1542</v>
      </c>
      <c r="AR249" s="1" t="s">
        <v>1543</v>
      </c>
    </row>
    <row r="250">
      <c r="A250" s="2">
        <f ca="1">DATE(2000,02,16)</f>
        <v>0</v>
      </c>
      <c r="B250" s="2">
        <f ca="1">DATE(2000,05,01)</f>
        <v>0</v>
      </c>
      <c r="C250" s="1" t="s">
        <v>1544</v>
      </c>
      <c r="D250" s="3">
        <v>3842</v>
      </c>
      <c r="E250" s="1" t="s">
        <v>43</v>
      </c>
      <c r="F250" s="1" t="s">
        <v>1545</v>
      </c>
      <c r="G250" s="1" t="s">
        <v>160</v>
      </c>
      <c r="H250" s="4">
        <v>0.97999999999999998</v>
      </c>
      <c r="I250" s="8">
        <v>7</v>
      </c>
      <c r="J250" s="5">
        <v>45.100000000000001</v>
      </c>
      <c r="K250" s="4">
        <v>14</v>
      </c>
      <c r="L250" s="1" t="s">
        <v>46</v>
      </c>
      <c r="M250" s="1" t="s">
        <v>47</v>
      </c>
      <c r="N250" s="1" t="s">
        <v>1546</v>
      </c>
      <c r="O250" s="1" t="s">
        <v>48</v>
      </c>
      <c r="P250" s="1" t="s">
        <v>1547</v>
      </c>
      <c r="Q250" s="4">
        <v>1.4290000000000001</v>
      </c>
      <c r="R250" s="4">
        <v>1.4290000000000001</v>
      </c>
      <c r="S250" s="6">
        <v>4.1428599999999998</v>
      </c>
      <c r="T250" s="1" t="s">
        <v>50</v>
      </c>
      <c r="U250" s="1"/>
      <c r="V250" s="1"/>
      <c r="W250" s="1"/>
      <c r="X250" s="5">
        <v>46</v>
      </c>
      <c r="Y250" s="7">
        <v>3221000</v>
      </c>
      <c r="Z250" s="1"/>
      <c r="AA250" s="1"/>
      <c r="AB250" s="1"/>
      <c r="AC250" s="1"/>
      <c r="AD250" s="1"/>
      <c r="AE250" s="1" t="s">
        <v>51</v>
      </c>
      <c r="AF250" s="1" t="s">
        <v>51</v>
      </c>
      <c r="AG250" s="1" t="s">
        <v>47</v>
      </c>
      <c r="AH250" s="1"/>
      <c r="AI250" s="1"/>
      <c r="AJ250" s="3">
        <v>1</v>
      </c>
      <c r="AK250" s="1" t="s">
        <v>52</v>
      </c>
      <c r="AL250" s="3">
        <v>3</v>
      </c>
      <c r="AM250" s="1"/>
      <c r="AN250" s="1"/>
      <c r="AO250" s="1" t="s">
        <v>1548</v>
      </c>
      <c r="AP250" s="1" t="s">
        <v>160</v>
      </c>
      <c r="AQ250" s="1" t="s">
        <v>1549</v>
      </c>
      <c r="AR250" s="1" t="s">
        <v>1550</v>
      </c>
    </row>
    <row r="251">
      <c r="A251" s="2">
        <f ca="1">DATE(2000,02,16)</f>
        <v>0</v>
      </c>
      <c r="B251" s="2">
        <f ca="1">DATE(2000,05,01)</f>
        <v>0</v>
      </c>
      <c r="C251" s="1" t="s">
        <v>1544</v>
      </c>
      <c r="D251" s="3">
        <v>3842</v>
      </c>
      <c r="E251" s="1" t="s">
        <v>43</v>
      </c>
      <c r="F251" s="1" t="s">
        <v>1545</v>
      </c>
      <c r="G251" s="1" t="s">
        <v>160</v>
      </c>
      <c r="H251" s="4">
        <v>0.97999999999999998</v>
      </c>
      <c r="I251" s="8">
        <v>7</v>
      </c>
      <c r="J251" s="5">
        <v>5.2999999999999998</v>
      </c>
      <c r="K251" s="8">
        <v>14</v>
      </c>
      <c r="L251" s="1" t="s">
        <v>58</v>
      </c>
      <c r="M251" s="1" t="s">
        <v>47</v>
      </c>
      <c r="N251" s="1" t="s">
        <v>1546</v>
      </c>
      <c r="O251" s="1" t="s">
        <v>48</v>
      </c>
      <c r="P251" s="1" t="s">
        <v>1551</v>
      </c>
      <c r="Q251" s="4">
        <v>1.4290000000000001</v>
      </c>
      <c r="R251" s="4">
        <v>1.4290000000000001</v>
      </c>
      <c r="S251" s="6">
        <v>4.1429299999999998</v>
      </c>
      <c r="T251" s="1" t="s">
        <v>60</v>
      </c>
      <c r="U251" s="1"/>
      <c r="V251" s="1"/>
      <c r="W251" s="1"/>
      <c r="X251" s="1"/>
      <c r="Y251" s="7">
        <v>379000</v>
      </c>
      <c r="Z251" s="1"/>
      <c r="AA251" s="1"/>
      <c r="AB251" s="1"/>
      <c r="AC251" s="1"/>
      <c r="AD251" s="1"/>
      <c r="AE251" s="1" t="s">
        <v>51</v>
      </c>
      <c r="AF251" s="1" t="s">
        <v>51</v>
      </c>
      <c r="AG251" s="1" t="s">
        <v>47</v>
      </c>
      <c r="AH251" s="1"/>
      <c r="AI251" s="1"/>
      <c r="AJ251" s="3">
        <v>1</v>
      </c>
      <c r="AK251" s="1" t="s">
        <v>52</v>
      </c>
      <c r="AL251" s="3">
        <v>1</v>
      </c>
      <c r="AM251" s="1"/>
      <c r="AN251" s="1"/>
      <c r="AO251" s="1" t="s">
        <v>1552</v>
      </c>
      <c r="AP251" s="1" t="s">
        <v>160</v>
      </c>
      <c r="AQ251" s="1" t="s">
        <v>160</v>
      </c>
      <c r="AR251" s="1" t="s">
        <v>187</v>
      </c>
    </row>
    <row r="252">
      <c r="A252" s="2">
        <f ca="1">DATE(2000,02,22)</f>
        <v>0</v>
      </c>
      <c r="B252" s="2">
        <f ca="1">DATE(2000,05,02)</f>
        <v>0</v>
      </c>
      <c r="C252" s="1" t="s">
        <v>1553</v>
      </c>
      <c r="D252" s="3">
        <v>8734</v>
      </c>
      <c r="E252" s="1" t="s">
        <v>43</v>
      </c>
      <c r="F252" s="1" t="s">
        <v>1554</v>
      </c>
      <c r="G252" s="1" t="s">
        <v>1056</v>
      </c>
      <c r="H252" s="4">
        <v>0.48999999999999999</v>
      </c>
      <c r="I252" s="8">
        <v>7</v>
      </c>
      <c r="J252" s="5">
        <v>35</v>
      </c>
      <c r="K252" s="4">
        <v>7</v>
      </c>
      <c r="L252" s="1" t="s">
        <v>46</v>
      </c>
      <c r="M252" s="1" t="s">
        <v>47</v>
      </c>
      <c r="N252" s="1" t="s">
        <v>1555</v>
      </c>
      <c r="O252" s="1" t="s">
        <v>48</v>
      </c>
      <c r="P252" s="1" t="s">
        <v>1556</v>
      </c>
      <c r="Q252" s="4">
        <v>1.4290000000000001</v>
      </c>
      <c r="R252" s="4">
        <v>2</v>
      </c>
      <c r="S252" s="6">
        <v>3.5714299999999999</v>
      </c>
      <c r="T252" s="1" t="s">
        <v>50</v>
      </c>
      <c r="U252" s="1"/>
      <c r="V252" s="1"/>
      <c r="W252" s="1"/>
      <c r="X252" s="5">
        <v>75</v>
      </c>
      <c r="Y252" s="7">
        <v>5000000</v>
      </c>
      <c r="Z252" s="1"/>
      <c r="AA252" s="2">
        <f ca="1">DATE(2000,10,29)</f>
        <v>0</v>
      </c>
      <c r="AB252" s="4">
        <v>54.972000000000001</v>
      </c>
      <c r="AC252" s="3">
        <v>180</v>
      </c>
      <c r="AD252" s="8">
        <v>10822517</v>
      </c>
      <c r="AE252" s="1" t="s">
        <v>51</v>
      </c>
      <c r="AF252" s="1" t="s">
        <v>51</v>
      </c>
      <c r="AG252" s="1" t="s">
        <v>47</v>
      </c>
      <c r="AH252" s="1"/>
      <c r="AI252" s="1"/>
      <c r="AJ252" s="3">
        <v>1</v>
      </c>
      <c r="AK252" s="1" t="s">
        <v>52</v>
      </c>
      <c r="AL252" s="3">
        <v>3</v>
      </c>
      <c r="AM252" s="8">
        <v>7.3099999999999996</v>
      </c>
      <c r="AN252" s="1"/>
      <c r="AO252" s="1" t="s">
        <v>1557</v>
      </c>
      <c r="AP252" s="1" t="s">
        <v>1056</v>
      </c>
      <c r="AQ252" s="1" t="s">
        <v>1558</v>
      </c>
      <c r="AR252" s="1" t="s">
        <v>1559</v>
      </c>
    </row>
    <row r="253">
      <c r="A253" s="2">
        <f ca="1">DATE(2000,05,02)</f>
        <v>0</v>
      </c>
      <c r="B253" s="2">
        <f ca="1">DATE(2000,05,02)</f>
        <v>0</v>
      </c>
      <c r="C253" s="1" t="s">
        <v>1560</v>
      </c>
      <c r="D253" s="3">
        <v>6799</v>
      </c>
      <c r="E253" s="1" t="s">
        <v>845</v>
      </c>
      <c r="F253" s="1" t="s">
        <v>1561</v>
      </c>
      <c r="G253" s="1" t="s">
        <v>45</v>
      </c>
      <c r="H253" s="4">
        <v>0.63</v>
      </c>
      <c r="I253" s="4">
        <v>7</v>
      </c>
      <c r="J253" s="5">
        <v>20.300000000000001</v>
      </c>
      <c r="K253" s="8">
        <v>9</v>
      </c>
      <c r="L253" s="1" t="s">
        <v>1207</v>
      </c>
      <c r="M253" s="1" t="s">
        <v>47</v>
      </c>
      <c r="N253" s="1"/>
      <c r="O253" s="1" t="s">
        <v>48</v>
      </c>
      <c r="P253" s="1" t="s">
        <v>1562</v>
      </c>
      <c r="Q253" s="1" t="s">
        <v>145</v>
      </c>
      <c r="R253" s="1" t="s">
        <v>145</v>
      </c>
      <c r="S253" s="1"/>
      <c r="T253" s="1" t="s">
        <v>60</v>
      </c>
      <c r="U253" s="1"/>
      <c r="V253" s="1"/>
      <c r="W253" s="1"/>
      <c r="X253" s="1"/>
      <c r="Y253" s="7">
        <v>2250000</v>
      </c>
      <c r="Z253" s="1"/>
      <c r="AA253" s="1"/>
      <c r="AB253" s="1"/>
      <c r="AC253" s="1"/>
      <c r="AD253" s="1"/>
      <c r="AE253" s="1" t="s">
        <v>47</v>
      </c>
      <c r="AF253" s="1" t="s">
        <v>51</v>
      </c>
      <c r="AG253" s="1" t="s">
        <v>51</v>
      </c>
      <c r="AH253" s="1"/>
      <c r="AI253" s="1"/>
      <c r="AJ253" s="3">
        <v>1</v>
      </c>
      <c r="AK253" s="1" t="s">
        <v>52</v>
      </c>
      <c r="AL253" s="3">
        <v>1</v>
      </c>
      <c r="AM253" s="1"/>
      <c r="AN253" s="1"/>
      <c r="AO253" s="1" t="s">
        <v>1563</v>
      </c>
      <c r="AP253" s="1" t="s">
        <v>45</v>
      </c>
      <c r="AQ253" s="1" t="s">
        <v>45</v>
      </c>
      <c r="AR253" s="1" t="s">
        <v>786</v>
      </c>
    </row>
    <row r="254">
      <c r="A254" s="2">
        <f ca="1">DATE(2000,05,02)</f>
        <v>0</v>
      </c>
      <c r="B254" s="2">
        <f ca="1">DATE(2000,05,02)</f>
        <v>0</v>
      </c>
      <c r="C254" s="1" t="s">
        <v>1560</v>
      </c>
      <c r="D254" s="3">
        <v>6799</v>
      </c>
      <c r="E254" s="1" t="s">
        <v>845</v>
      </c>
      <c r="F254" s="1" t="s">
        <v>1561</v>
      </c>
      <c r="G254" s="1" t="s">
        <v>45</v>
      </c>
      <c r="H254" s="4">
        <v>0.63</v>
      </c>
      <c r="I254" s="4">
        <v>7</v>
      </c>
      <c r="J254" s="5">
        <v>20.300000000000001</v>
      </c>
      <c r="K254" s="8">
        <v>9</v>
      </c>
      <c r="L254" s="1" t="s">
        <v>58</v>
      </c>
      <c r="M254" s="1" t="s">
        <v>47</v>
      </c>
      <c r="N254" s="1"/>
      <c r="O254" s="1" t="s">
        <v>48</v>
      </c>
      <c r="P254" s="1" t="s">
        <v>1562</v>
      </c>
      <c r="Q254" s="1" t="s">
        <v>145</v>
      </c>
      <c r="R254" s="1" t="s">
        <v>145</v>
      </c>
      <c r="S254" s="1"/>
      <c r="T254" s="1" t="s">
        <v>60</v>
      </c>
      <c r="U254" s="1"/>
      <c r="V254" s="1"/>
      <c r="W254" s="1"/>
      <c r="X254" s="1"/>
      <c r="Y254" s="7">
        <v>2250000</v>
      </c>
      <c r="Z254" s="1"/>
      <c r="AA254" s="1"/>
      <c r="AB254" s="1"/>
      <c r="AC254" s="1"/>
      <c r="AD254" s="1"/>
      <c r="AE254" s="1" t="s">
        <v>51</v>
      </c>
      <c r="AF254" s="1" t="s">
        <v>51</v>
      </c>
      <c r="AG254" s="1" t="s">
        <v>51</v>
      </c>
      <c r="AH254" s="1"/>
      <c r="AI254" s="1"/>
      <c r="AJ254" s="3">
        <v>1</v>
      </c>
      <c r="AK254" s="1" t="s">
        <v>52</v>
      </c>
      <c r="AL254" s="3">
        <v>1</v>
      </c>
      <c r="AM254" s="1"/>
      <c r="AN254" s="1"/>
      <c r="AO254" s="1" t="s">
        <v>1563</v>
      </c>
      <c r="AP254" s="1" t="s">
        <v>45</v>
      </c>
      <c r="AQ254" s="1" t="s">
        <v>45</v>
      </c>
      <c r="AR254" s="1" t="s">
        <v>786</v>
      </c>
    </row>
    <row r="255">
      <c r="A255" s="2">
        <f ca="1">DATE(2000,01,28)</f>
        <v>0</v>
      </c>
      <c r="B255" s="2">
        <f ca="1">DATE(2000,05,03)</f>
        <v>0</v>
      </c>
      <c r="C255" s="1" t="s">
        <v>1564</v>
      </c>
      <c r="D255" s="3">
        <v>4841</v>
      </c>
      <c r="E255" s="1" t="s">
        <v>43</v>
      </c>
      <c r="F255" s="1" t="s">
        <v>1565</v>
      </c>
      <c r="G255" s="1" t="s">
        <v>151</v>
      </c>
      <c r="H255" s="4">
        <v>0.875</v>
      </c>
      <c r="I255" s="4">
        <v>6.25</v>
      </c>
      <c r="J255" s="5">
        <v>140</v>
      </c>
      <c r="K255" s="4">
        <v>14</v>
      </c>
      <c r="L255" s="1" t="s">
        <v>152</v>
      </c>
      <c r="M255" s="1" t="s">
        <v>47</v>
      </c>
      <c r="N255" s="3">
        <v>228411104</v>
      </c>
      <c r="O255" s="1" t="s">
        <v>48</v>
      </c>
      <c r="P255" s="1" t="s">
        <v>1566</v>
      </c>
      <c r="Q255" s="4">
        <v>1.25</v>
      </c>
      <c r="R255" s="4">
        <v>1.286</v>
      </c>
      <c r="S255" s="6">
        <v>3.7142900000000001</v>
      </c>
      <c r="T255" s="1" t="s">
        <v>50</v>
      </c>
      <c r="U255" s="1"/>
      <c r="V255" s="1"/>
      <c r="W255" s="1"/>
      <c r="X255" s="5">
        <v>287.5</v>
      </c>
      <c r="Y255" s="7">
        <v>10000000</v>
      </c>
      <c r="Z255" s="1"/>
      <c r="AA255" s="2">
        <f ca="1">DATE(2000,10,30)</f>
        <v>0</v>
      </c>
      <c r="AB255" s="4">
        <v>83.332999999999998</v>
      </c>
      <c r="AC255" s="3">
        <v>180</v>
      </c>
      <c r="AD255" s="8">
        <v>50000000</v>
      </c>
      <c r="AE255" s="1" t="s">
        <v>51</v>
      </c>
      <c r="AF255" s="1" t="s">
        <v>51</v>
      </c>
      <c r="AG255" s="1" t="s">
        <v>51</v>
      </c>
      <c r="AH255" s="1"/>
      <c r="AI255" s="1" t="s">
        <v>1567</v>
      </c>
      <c r="AJ255" s="3">
        <v>1</v>
      </c>
      <c r="AK255" s="1" t="s">
        <v>52</v>
      </c>
      <c r="AL255" s="3">
        <v>4</v>
      </c>
      <c r="AM255" s="8">
        <v>14</v>
      </c>
      <c r="AN255" s="1"/>
      <c r="AO255" s="1" t="s">
        <v>1568</v>
      </c>
      <c r="AP255" s="1" t="s">
        <v>151</v>
      </c>
      <c r="AQ255" s="1" t="s">
        <v>1569</v>
      </c>
      <c r="AR255" s="1" t="s">
        <v>1570</v>
      </c>
    </row>
    <row r="256">
      <c r="A256" s="2">
        <f ca="1">DATE(2000,02,18)</f>
        <v>0</v>
      </c>
      <c r="B256" s="2">
        <f ca="1">DATE(2000,05,04)</f>
        <v>0</v>
      </c>
      <c r="C256" s="1" t="s">
        <v>1571</v>
      </c>
      <c r="D256" s="3">
        <v>2836</v>
      </c>
      <c r="E256" s="1" t="s">
        <v>43</v>
      </c>
      <c r="F256" s="1" t="s">
        <v>1572</v>
      </c>
      <c r="G256" s="1" t="s">
        <v>168</v>
      </c>
      <c r="H256" s="4">
        <v>0.56000000000000005</v>
      </c>
      <c r="I256" s="4">
        <v>7</v>
      </c>
      <c r="J256" s="5">
        <v>42</v>
      </c>
      <c r="K256" s="4">
        <v>8</v>
      </c>
      <c r="L256" s="1" t="s">
        <v>46</v>
      </c>
      <c r="M256" s="1" t="s">
        <v>47</v>
      </c>
      <c r="N256" s="1" t="s">
        <v>1573</v>
      </c>
      <c r="O256" s="1" t="s">
        <v>48</v>
      </c>
      <c r="P256" s="1" t="s">
        <v>1574</v>
      </c>
      <c r="Q256" s="4">
        <v>1.3999999999999999</v>
      </c>
      <c r="R256" s="4">
        <v>1.3999999999999999</v>
      </c>
      <c r="S256" s="8">
        <v>4.2000000000000002</v>
      </c>
      <c r="T256" s="1" t="s">
        <v>50</v>
      </c>
      <c r="U256" s="1"/>
      <c r="V256" s="1"/>
      <c r="W256" s="1"/>
      <c r="X256" s="5">
        <v>90</v>
      </c>
      <c r="Y256" s="7">
        <v>5244000</v>
      </c>
      <c r="Z256" s="1"/>
      <c r="AA256" s="1"/>
      <c r="AB256" s="1"/>
      <c r="AC256" s="1"/>
      <c r="AD256" s="1"/>
      <c r="AE256" s="1" t="s">
        <v>51</v>
      </c>
      <c r="AF256" s="1" t="s">
        <v>51</v>
      </c>
      <c r="AG256" s="1" t="s">
        <v>47</v>
      </c>
      <c r="AH256" s="1"/>
      <c r="AI256" s="1"/>
      <c r="AJ256" s="3">
        <v>1</v>
      </c>
      <c r="AK256" s="1" t="s">
        <v>52</v>
      </c>
      <c r="AL256" s="3">
        <v>3</v>
      </c>
      <c r="AM256" s="8">
        <v>10.94</v>
      </c>
      <c r="AN256" s="1"/>
      <c r="AO256" s="1" t="s">
        <v>1575</v>
      </c>
      <c r="AP256" s="1" t="s">
        <v>168</v>
      </c>
      <c r="AQ256" s="1" t="s">
        <v>1576</v>
      </c>
      <c r="AR256" s="1" t="s">
        <v>1577</v>
      </c>
    </row>
    <row r="257">
      <c r="A257" s="2">
        <f ca="1">DATE(2000,02,18)</f>
        <v>0</v>
      </c>
      <c r="B257" s="2">
        <f ca="1">DATE(2000,05,04)</f>
        <v>0</v>
      </c>
      <c r="C257" s="1" t="s">
        <v>1571</v>
      </c>
      <c r="D257" s="3">
        <v>2836</v>
      </c>
      <c r="E257" s="1" t="s">
        <v>43</v>
      </c>
      <c r="F257" s="1" t="s">
        <v>1572</v>
      </c>
      <c r="G257" s="1" t="s">
        <v>667</v>
      </c>
      <c r="H257" s="4">
        <v>0.56000000000000005</v>
      </c>
      <c r="I257" s="4">
        <v>7</v>
      </c>
      <c r="J257" s="5">
        <v>6</v>
      </c>
      <c r="K257" s="8">
        <v>8</v>
      </c>
      <c r="L257" s="1" t="s">
        <v>58</v>
      </c>
      <c r="M257" s="1" t="s">
        <v>47</v>
      </c>
      <c r="N257" s="1" t="s">
        <v>1573</v>
      </c>
      <c r="O257" s="1" t="s">
        <v>48</v>
      </c>
      <c r="P257" s="1" t="s">
        <v>1578</v>
      </c>
      <c r="Q257" s="4">
        <v>1.3999999999999999</v>
      </c>
      <c r="R257" s="4">
        <v>1.3999999999999999</v>
      </c>
      <c r="S257" s="8">
        <v>4.2000000000000002</v>
      </c>
      <c r="T257" s="1" t="s">
        <v>60</v>
      </c>
      <c r="U257" s="1"/>
      <c r="V257" s="1"/>
      <c r="W257" s="1"/>
      <c r="X257" s="1"/>
      <c r="Y257" s="7">
        <v>756000</v>
      </c>
      <c r="Z257" s="1"/>
      <c r="AA257" s="1"/>
      <c r="AB257" s="1"/>
      <c r="AC257" s="1"/>
      <c r="AD257" s="1"/>
      <c r="AE257" s="1" t="s">
        <v>51</v>
      </c>
      <c r="AF257" s="1" t="s">
        <v>51</v>
      </c>
      <c r="AG257" s="1" t="s">
        <v>47</v>
      </c>
      <c r="AH257" s="1"/>
      <c r="AI257" s="1"/>
      <c r="AJ257" s="3">
        <v>1</v>
      </c>
      <c r="AK257" s="1" t="s">
        <v>52</v>
      </c>
      <c r="AL257" s="3">
        <v>1</v>
      </c>
      <c r="AM257" s="1"/>
      <c r="AN257" s="1"/>
      <c r="AO257" s="1" t="s">
        <v>1579</v>
      </c>
      <c r="AP257" s="1" t="s">
        <v>667</v>
      </c>
      <c r="AQ257" s="1" t="s">
        <v>667</v>
      </c>
      <c r="AR257" s="1" t="s">
        <v>1580</v>
      </c>
    </row>
    <row r="258">
      <c r="A258" s="2">
        <f ca="1">DATE(2000,02,11)</f>
        <v>0</v>
      </c>
      <c r="B258" s="2">
        <f ca="1">DATE(2000,05,05)</f>
        <v>0</v>
      </c>
      <c r="C258" s="1" t="s">
        <v>1581</v>
      </c>
      <c r="D258" s="3">
        <v>3821</v>
      </c>
      <c r="E258" s="1" t="s">
        <v>43</v>
      </c>
      <c r="F258" s="1" t="s">
        <v>1582</v>
      </c>
      <c r="G258" s="1" t="s">
        <v>1583</v>
      </c>
      <c r="H258" s="4">
        <v>0.56000000000000005</v>
      </c>
      <c r="I258" s="4">
        <v>7</v>
      </c>
      <c r="J258" s="5">
        <v>43.399999999999999</v>
      </c>
      <c r="K258" s="4">
        <v>8</v>
      </c>
      <c r="L258" s="1" t="s">
        <v>46</v>
      </c>
      <c r="M258" s="1" t="s">
        <v>47</v>
      </c>
      <c r="N258" s="1" t="s">
        <v>1584</v>
      </c>
      <c r="O258" s="1" t="s">
        <v>48</v>
      </c>
      <c r="P258" s="1" t="s">
        <v>1585</v>
      </c>
      <c r="Q258" s="4">
        <v>1.375</v>
      </c>
      <c r="R258" s="4">
        <v>1.375</v>
      </c>
      <c r="S258" s="8">
        <v>4.25</v>
      </c>
      <c r="T258" s="1" t="s">
        <v>50</v>
      </c>
      <c r="U258" s="1"/>
      <c r="V258" s="1"/>
      <c r="W258" s="1"/>
      <c r="X258" s="5">
        <v>100</v>
      </c>
      <c r="Y258" s="7">
        <v>5425000</v>
      </c>
      <c r="Z258" s="1"/>
      <c r="AA258" s="2">
        <f ca="1">DATE(2000,11,01)</f>
        <v>0</v>
      </c>
      <c r="AB258" s="4">
        <v>63.228000000000002</v>
      </c>
      <c r="AC258" s="3">
        <v>180</v>
      </c>
      <c r="AD258" s="8">
        <v>14364666</v>
      </c>
      <c r="AE258" s="1" t="s">
        <v>51</v>
      </c>
      <c r="AF258" s="1" t="s">
        <v>51</v>
      </c>
      <c r="AG258" s="1" t="s">
        <v>47</v>
      </c>
      <c r="AH258" s="1"/>
      <c r="AI258" s="1"/>
      <c r="AJ258" s="3">
        <v>1</v>
      </c>
      <c r="AK258" s="1" t="s">
        <v>52</v>
      </c>
      <c r="AL258" s="3">
        <v>3</v>
      </c>
      <c r="AM258" s="8">
        <v>8.3800000000000008</v>
      </c>
      <c r="AN258" s="1"/>
      <c r="AO258" s="1" t="s">
        <v>1586</v>
      </c>
      <c r="AP258" s="1" t="s">
        <v>1583</v>
      </c>
      <c r="AQ258" s="1" t="s">
        <v>1587</v>
      </c>
      <c r="AR258" s="1" t="s">
        <v>1588</v>
      </c>
    </row>
    <row r="259">
      <c r="A259" s="2">
        <f ca="1">DATE(2000,02,11)</f>
        <v>0</v>
      </c>
      <c r="B259" s="2">
        <f ca="1">DATE(2000,05,05)</f>
        <v>0</v>
      </c>
      <c r="C259" s="1" t="s">
        <v>1581</v>
      </c>
      <c r="D259" s="3">
        <v>3821</v>
      </c>
      <c r="E259" s="1" t="s">
        <v>43</v>
      </c>
      <c r="F259" s="1" t="s">
        <v>1582</v>
      </c>
      <c r="G259" s="1" t="s">
        <v>1583</v>
      </c>
      <c r="H259" s="4">
        <v>0.56000000000000005</v>
      </c>
      <c r="I259" s="4">
        <v>7</v>
      </c>
      <c r="J259" s="5">
        <v>12.6</v>
      </c>
      <c r="K259" s="8">
        <v>8</v>
      </c>
      <c r="L259" s="1" t="s">
        <v>46</v>
      </c>
      <c r="M259" s="1" t="s">
        <v>47</v>
      </c>
      <c r="N259" s="1" t="s">
        <v>1584</v>
      </c>
      <c r="O259" s="1" t="s">
        <v>48</v>
      </c>
      <c r="P259" s="1" t="s">
        <v>1589</v>
      </c>
      <c r="Q259" s="4">
        <v>1.375</v>
      </c>
      <c r="R259" s="4">
        <v>1.375</v>
      </c>
      <c r="S259" s="8">
        <v>4.25</v>
      </c>
      <c r="T259" s="1" t="s">
        <v>60</v>
      </c>
      <c r="U259" s="1"/>
      <c r="V259" s="1"/>
      <c r="W259" s="1"/>
      <c r="X259" s="5">
        <v>100</v>
      </c>
      <c r="Y259" s="7">
        <v>1575000</v>
      </c>
      <c r="Z259" s="1"/>
      <c r="AA259" s="1"/>
      <c r="AB259" s="1"/>
      <c r="AC259" s="3">
        <v>180</v>
      </c>
      <c r="AD259" s="8">
        <v>14364666</v>
      </c>
      <c r="AE259" s="1" t="s">
        <v>51</v>
      </c>
      <c r="AF259" s="1" t="s">
        <v>51</v>
      </c>
      <c r="AG259" s="1" t="s">
        <v>47</v>
      </c>
      <c r="AH259" s="1"/>
      <c r="AI259" s="1"/>
      <c r="AJ259" s="3">
        <v>1</v>
      </c>
      <c r="AK259" s="1" t="s">
        <v>52</v>
      </c>
      <c r="AL259" s="3">
        <v>1</v>
      </c>
      <c r="AM259" s="1"/>
      <c r="AN259" s="1"/>
      <c r="AO259" s="1" t="s">
        <v>1590</v>
      </c>
      <c r="AP259" s="1" t="s">
        <v>1583</v>
      </c>
      <c r="AQ259" s="1" t="s">
        <v>1583</v>
      </c>
      <c r="AR259" s="1" t="s">
        <v>1591</v>
      </c>
    </row>
    <row r="260">
      <c r="A260" s="2">
        <f ca="1">DATE(2000,02,18)</f>
        <v>0</v>
      </c>
      <c r="B260" s="2">
        <f ca="1">DATE(2000,05,05)</f>
        <v>0</v>
      </c>
      <c r="C260" s="1" t="s">
        <v>1592</v>
      </c>
      <c r="D260" s="3">
        <v>2836</v>
      </c>
      <c r="E260" s="1" t="s">
        <v>43</v>
      </c>
      <c r="F260" s="1" t="s">
        <v>1593</v>
      </c>
      <c r="G260" s="1" t="s">
        <v>387</v>
      </c>
      <c r="H260" s="4">
        <v>0.48999999999999999</v>
      </c>
      <c r="I260" s="8">
        <v>7</v>
      </c>
      <c r="J260" s="5">
        <v>35</v>
      </c>
      <c r="K260" s="4">
        <v>7</v>
      </c>
      <c r="L260" s="1" t="s">
        <v>46</v>
      </c>
      <c r="M260" s="1" t="s">
        <v>47</v>
      </c>
      <c r="N260" s="1" t="s">
        <v>1594</v>
      </c>
      <c r="O260" s="1" t="s">
        <v>48</v>
      </c>
      <c r="P260" s="1" t="s">
        <v>1595</v>
      </c>
      <c r="Q260" s="4">
        <v>1.4290000000000001</v>
      </c>
      <c r="R260" s="4">
        <v>1.714</v>
      </c>
      <c r="S260" s="6">
        <v>3.8571399999999998</v>
      </c>
      <c r="T260" s="1" t="s">
        <v>50</v>
      </c>
      <c r="U260" s="1"/>
      <c r="V260" s="1"/>
      <c r="W260" s="1"/>
      <c r="X260" s="5">
        <v>100</v>
      </c>
      <c r="Y260" s="7">
        <v>5000000</v>
      </c>
      <c r="Z260" s="1"/>
      <c r="AA260" s="2">
        <f ca="1">DATE(2000,11,01)</f>
        <v>0</v>
      </c>
      <c r="AB260" s="4">
        <v>75.963999999999999</v>
      </c>
      <c r="AC260" s="3">
        <v>180</v>
      </c>
      <c r="AD260" s="8">
        <v>18962372</v>
      </c>
      <c r="AE260" s="1" t="s">
        <v>51</v>
      </c>
      <c r="AF260" s="1" t="s">
        <v>51</v>
      </c>
      <c r="AG260" s="1" t="s">
        <v>47</v>
      </c>
      <c r="AH260" s="1"/>
      <c r="AI260" s="1"/>
      <c r="AJ260" s="3">
        <v>1</v>
      </c>
      <c r="AK260" s="1" t="s">
        <v>52</v>
      </c>
      <c r="AL260" s="3">
        <v>4</v>
      </c>
      <c r="AM260" s="8">
        <v>7.1299999999999999</v>
      </c>
      <c r="AN260" s="1"/>
      <c r="AO260" s="1" t="s">
        <v>1596</v>
      </c>
      <c r="AP260" s="1" t="s">
        <v>387</v>
      </c>
      <c r="AQ260" s="1" t="s">
        <v>1597</v>
      </c>
      <c r="AR260" s="1" t="s">
        <v>1598</v>
      </c>
    </row>
    <row r="261">
      <c r="A261" s="2">
        <f ca="1">DATE(2000,02,08)</f>
        <v>0</v>
      </c>
      <c r="B261" s="2">
        <f ca="1">DATE(2000,05,12)</f>
        <v>0</v>
      </c>
      <c r="C261" s="1" t="s">
        <v>1599</v>
      </c>
      <c r="D261" s="3">
        <v>7372</v>
      </c>
      <c r="E261" s="1" t="s">
        <v>43</v>
      </c>
      <c r="F261" s="1" t="s">
        <v>1600</v>
      </c>
      <c r="G261" s="1" t="s">
        <v>813</v>
      </c>
      <c r="H261" s="4">
        <v>0.56000000000000005</v>
      </c>
      <c r="I261" s="4">
        <v>7</v>
      </c>
      <c r="J261" s="5">
        <v>24.399999999999999</v>
      </c>
      <c r="K261" s="4">
        <v>8</v>
      </c>
      <c r="L261" s="1" t="s">
        <v>46</v>
      </c>
      <c r="M261" s="1" t="s">
        <v>47</v>
      </c>
      <c r="N261" s="3">
        <v>817439102</v>
      </c>
      <c r="O261" s="1" t="s">
        <v>48</v>
      </c>
      <c r="P261" s="1" t="s">
        <v>1601</v>
      </c>
      <c r="Q261" s="4">
        <v>1.375</v>
      </c>
      <c r="R261" s="4">
        <v>1.625</v>
      </c>
      <c r="S261" s="8">
        <v>4</v>
      </c>
      <c r="T261" s="1" t="s">
        <v>50</v>
      </c>
      <c r="U261" s="1"/>
      <c r="V261" s="1"/>
      <c r="W261" s="1"/>
      <c r="X261" s="5">
        <v>60</v>
      </c>
      <c r="Y261" s="7">
        <v>3050000</v>
      </c>
      <c r="Z261" s="1"/>
      <c r="AA261" s="1"/>
      <c r="AB261" s="1"/>
      <c r="AC261" s="1"/>
      <c r="AD261" s="1"/>
      <c r="AE261" s="1" t="s">
        <v>51</v>
      </c>
      <c r="AF261" s="1" t="s">
        <v>51</v>
      </c>
      <c r="AG261" s="1" t="s">
        <v>47</v>
      </c>
      <c r="AH261" s="1"/>
      <c r="AI261" s="1"/>
      <c r="AJ261" s="3">
        <v>1</v>
      </c>
      <c r="AK261" s="1" t="s">
        <v>52</v>
      </c>
      <c r="AL261" s="3">
        <v>4</v>
      </c>
      <c r="AM261" s="8">
        <v>10.060000000000001</v>
      </c>
      <c r="AN261" s="1"/>
      <c r="AO261" s="1" t="s">
        <v>1602</v>
      </c>
      <c r="AP261" s="1" t="s">
        <v>813</v>
      </c>
      <c r="AQ261" s="1" t="s">
        <v>1603</v>
      </c>
      <c r="AR261" s="1" t="s">
        <v>1604</v>
      </c>
    </row>
    <row r="262">
      <c r="A262" s="2">
        <f ca="1">DATE(2000,02,08)</f>
        <v>0</v>
      </c>
      <c r="B262" s="2">
        <f ca="1">DATE(2000,05,12)</f>
        <v>0</v>
      </c>
      <c r="C262" s="1" t="s">
        <v>1599</v>
      </c>
      <c r="D262" s="3">
        <v>7372</v>
      </c>
      <c r="E262" s="1" t="s">
        <v>43</v>
      </c>
      <c r="F262" s="1" t="s">
        <v>1600</v>
      </c>
      <c r="G262" s="1" t="s">
        <v>813</v>
      </c>
      <c r="H262" s="4">
        <v>0.56000000000000005</v>
      </c>
      <c r="I262" s="4">
        <v>7</v>
      </c>
      <c r="J262" s="5">
        <v>9.1999999999999993</v>
      </c>
      <c r="K262" s="8">
        <v>8</v>
      </c>
      <c r="L262" s="1" t="s">
        <v>58</v>
      </c>
      <c r="M262" s="1" t="s">
        <v>47</v>
      </c>
      <c r="N262" s="3">
        <v>817439102</v>
      </c>
      <c r="O262" s="1" t="s">
        <v>48</v>
      </c>
      <c r="P262" s="1" t="s">
        <v>1605</v>
      </c>
      <c r="Q262" s="4">
        <v>1.375</v>
      </c>
      <c r="R262" s="4">
        <v>1.625</v>
      </c>
      <c r="S262" s="8">
        <v>4</v>
      </c>
      <c r="T262" s="1" t="s">
        <v>60</v>
      </c>
      <c r="U262" s="1"/>
      <c r="V262" s="1"/>
      <c r="W262" s="1"/>
      <c r="X262" s="1"/>
      <c r="Y262" s="7">
        <v>1150000</v>
      </c>
      <c r="Z262" s="1"/>
      <c r="AA262" s="1"/>
      <c r="AB262" s="1"/>
      <c r="AC262" s="1"/>
      <c r="AD262" s="1"/>
      <c r="AE262" s="1" t="s">
        <v>51</v>
      </c>
      <c r="AF262" s="1" t="s">
        <v>51</v>
      </c>
      <c r="AG262" s="1" t="s">
        <v>47</v>
      </c>
      <c r="AH262" s="1"/>
      <c r="AI262" s="1"/>
      <c r="AJ262" s="3">
        <v>1</v>
      </c>
      <c r="AK262" s="1" t="s">
        <v>52</v>
      </c>
      <c r="AL262" s="3">
        <v>1</v>
      </c>
      <c r="AM262" s="1"/>
      <c r="AN262" s="1"/>
      <c r="AO262" s="1" t="s">
        <v>1606</v>
      </c>
      <c r="AP262" s="1" t="s">
        <v>813</v>
      </c>
      <c r="AQ262" s="1" t="s">
        <v>813</v>
      </c>
      <c r="AR262" s="1" t="s">
        <v>1607</v>
      </c>
    </row>
    <row r="263">
      <c r="A263" s="2">
        <f ca="1">DATE(2000,02,01)</f>
        <v>0</v>
      </c>
      <c r="B263" s="2">
        <f ca="1">DATE(2000,05,17)</f>
        <v>0</v>
      </c>
      <c r="C263" s="1" t="s">
        <v>1608</v>
      </c>
      <c r="D263" s="3">
        <v>7375</v>
      </c>
      <c r="E263" s="1" t="s">
        <v>43</v>
      </c>
      <c r="F263" s="1" t="s">
        <v>1609</v>
      </c>
      <c r="G263" s="1" t="s">
        <v>106</v>
      </c>
      <c r="H263" s="4">
        <v>0.69999999999999996</v>
      </c>
      <c r="I263" s="8">
        <v>7</v>
      </c>
      <c r="J263" s="5">
        <v>93</v>
      </c>
      <c r="K263" s="4">
        <v>10</v>
      </c>
      <c r="L263" s="1" t="s">
        <v>46</v>
      </c>
      <c r="M263" s="1" t="s">
        <v>47</v>
      </c>
      <c r="N263" s="1" t="s">
        <v>1610</v>
      </c>
      <c r="O263" s="1" t="s">
        <v>48</v>
      </c>
      <c r="P263" s="1" t="s">
        <v>1611</v>
      </c>
      <c r="Q263" s="4">
        <v>1.3999999999999999</v>
      </c>
      <c r="R263" s="4">
        <v>1.3999999999999999</v>
      </c>
      <c r="S263" s="8">
        <v>4.2000000000000002</v>
      </c>
      <c r="T263" s="1" t="s">
        <v>50</v>
      </c>
      <c r="U263" s="1"/>
      <c r="V263" s="1"/>
      <c r="W263" s="1"/>
      <c r="X263" s="5">
        <v>170</v>
      </c>
      <c r="Y263" s="7">
        <v>9300000</v>
      </c>
      <c r="Z263" s="1"/>
      <c r="AA263" s="1"/>
      <c r="AB263" s="1"/>
      <c r="AC263" s="1"/>
      <c r="AD263" s="1"/>
      <c r="AE263" s="1" t="s">
        <v>51</v>
      </c>
      <c r="AF263" s="1" t="s">
        <v>51</v>
      </c>
      <c r="AG263" s="1" t="s">
        <v>47</v>
      </c>
      <c r="AH263" s="1"/>
      <c r="AI263" s="1"/>
      <c r="AJ263" s="3">
        <v>1</v>
      </c>
      <c r="AK263" s="1" t="s">
        <v>52</v>
      </c>
      <c r="AL263" s="3">
        <v>4</v>
      </c>
      <c r="AM263" s="8">
        <v>14</v>
      </c>
      <c r="AN263" s="1"/>
      <c r="AO263" s="1" t="s">
        <v>1612</v>
      </c>
      <c r="AP263" s="1" t="s">
        <v>106</v>
      </c>
      <c r="AQ263" s="1" t="s">
        <v>1613</v>
      </c>
      <c r="AR263" s="1" t="s">
        <v>1614</v>
      </c>
    </row>
    <row r="264">
      <c r="A264" s="2">
        <f ca="1">DATE(2000,03,01)</f>
        <v>0</v>
      </c>
      <c r="B264" s="2">
        <f ca="1">DATE(2000,05,17)</f>
        <v>0</v>
      </c>
      <c r="C264" s="1" t="s">
        <v>1615</v>
      </c>
      <c r="D264" s="3">
        <v>3674</v>
      </c>
      <c r="E264" s="1" t="s">
        <v>43</v>
      </c>
      <c r="F264" s="1" t="s">
        <v>1616</v>
      </c>
      <c r="G264" s="1" t="s">
        <v>239</v>
      </c>
      <c r="H264" s="4">
        <v>1.3999999999999999</v>
      </c>
      <c r="I264" s="8">
        <v>7</v>
      </c>
      <c r="J264" s="5">
        <v>88.599999999999994</v>
      </c>
      <c r="K264" s="4">
        <v>20</v>
      </c>
      <c r="L264" s="1" t="s">
        <v>46</v>
      </c>
      <c r="M264" s="1" t="s">
        <v>47</v>
      </c>
      <c r="N264" s="3">
        <v>644383101</v>
      </c>
      <c r="O264" s="1" t="s">
        <v>48</v>
      </c>
      <c r="P264" s="1" t="s">
        <v>1617</v>
      </c>
      <c r="Q264" s="4">
        <v>1.3999999999999999</v>
      </c>
      <c r="R264" s="4">
        <v>1.3999999999999999</v>
      </c>
      <c r="S264" s="8">
        <v>4.2000000000000002</v>
      </c>
      <c r="T264" s="1" t="s">
        <v>50</v>
      </c>
      <c r="U264" s="1"/>
      <c r="V264" s="1"/>
      <c r="W264" s="1"/>
      <c r="X264" s="5">
        <v>86.299999999999997</v>
      </c>
      <c r="Y264" s="7">
        <v>4427500</v>
      </c>
      <c r="Z264" s="1"/>
      <c r="AA264" s="1"/>
      <c r="AB264" s="1"/>
      <c r="AC264" s="1"/>
      <c r="AD264" s="1"/>
      <c r="AE264" s="1" t="s">
        <v>51</v>
      </c>
      <c r="AF264" s="1" t="s">
        <v>51</v>
      </c>
      <c r="AG264" s="1" t="s">
        <v>47</v>
      </c>
      <c r="AH264" s="1"/>
      <c r="AI264" s="1"/>
      <c r="AJ264" s="3">
        <v>1</v>
      </c>
      <c r="AK264" s="1" t="s">
        <v>52</v>
      </c>
      <c r="AL264" s="3">
        <v>4</v>
      </c>
      <c r="AM264" s="8">
        <v>51</v>
      </c>
      <c r="AN264" s="1"/>
      <c r="AO264" s="1" t="s">
        <v>1618</v>
      </c>
      <c r="AP264" s="1" t="s">
        <v>239</v>
      </c>
      <c r="AQ264" s="1" t="s">
        <v>1619</v>
      </c>
      <c r="AR264" s="1" t="s">
        <v>1620</v>
      </c>
    </row>
    <row r="265">
      <c r="A265" s="2">
        <f ca="1">DATE(2000,03,01)</f>
        <v>0</v>
      </c>
      <c r="B265" s="2">
        <f ca="1">DATE(2000,05,17)</f>
        <v>0</v>
      </c>
      <c r="C265" s="1" t="s">
        <v>1615</v>
      </c>
      <c r="D265" s="3">
        <v>3674</v>
      </c>
      <c r="E265" s="1" t="s">
        <v>43</v>
      </c>
      <c r="F265" s="1" t="s">
        <v>1616</v>
      </c>
      <c r="G265" s="1" t="s">
        <v>239</v>
      </c>
      <c r="H265" s="4">
        <v>1.3999999999999999</v>
      </c>
      <c r="I265" s="8">
        <v>7</v>
      </c>
      <c r="J265" s="5">
        <v>11.5</v>
      </c>
      <c r="K265" s="8">
        <v>20</v>
      </c>
      <c r="L265" s="1" t="s">
        <v>58</v>
      </c>
      <c r="M265" s="1" t="s">
        <v>47</v>
      </c>
      <c r="N265" s="1"/>
      <c r="O265" s="1" t="s">
        <v>48</v>
      </c>
      <c r="P265" s="1" t="s">
        <v>1621</v>
      </c>
      <c r="Q265" s="4">
        <v>1.3999999999999999</v>
      </c>
      <c r="R265" s="4">
        <v>1.3999999999999999</v>
      </c>
      <c r="S265" s="8">
        <v>4.2000000000000002</v>
      </c>
      <c r="T265" s="1" t="s">
        <v>60</v>
      </c>
      <c r="U265" s="1"/>
      <c r="V265" s="1"/>
      <c r="W265" s="1"/>
      <c r="X265" s="1"/>
      <c r="Y265" s="7">
        <v>572500</v>
      </c>
      <c r="Z265" s="1"/>
      <c r="AA265" s="1"/>
      <c r="AB265" s="1"/>
      <c r="AC265" s="1"/>
      <c r="AD265" s="1"/>
      <c r="AE265" s="1" t="s">
        <v>51</v>
      </c>
      <c r="AF265" s="1" t="s">
        <v>51</v>
      </c>
      <c r="AG265" s="1" t="s">
        <v>47</v>
      </c>
      <c r="AH265" s="1"/>
      <c r="AI265" s="1"/>
      <c r="AJ265" s="3">
        <v>1</v>
      </c>
      <c r="AK265" s="1" t="s">
        <v>52</v>
      </c>
      <c r="AL265" s="3">
        <v>1</v>
      </c>
      <c r="AM265" s="1"/>
      <c r="AN265" s="1"/>
      <c r="AO265" s="1" t="s">
        <v>1622</v>
      </c>
      <c r="AP265" s="1" t="s">
        <v>239</v>
      </c>
      <c r="AQ265" s="1" t="s">
        <v>239</v>
      </c>
      <c r="AR265" s="1" t="s">
        <v>885</v>
      </c>
    </row>
    <row r="266">
      <c r="A266" s="2">
        <f ca="1">DATE(2000,03,14)</f>
        <v>0</v>
      </c>
      <c r="B266" s="2">
        <f ca="1">DATE(2000,05,17)</f>
        <v>0</v>
      </c>
      <c r="C266" s="1" t="s">
        <v>1623</v>
      </c>
      <c r="D266" s="3">
        <v>3674</v>
      </c>
      <c r="E266" s="1" t="s">
        <v>43</v>
      </c>
      <c r="F266" s="1"/>
      <c r="G266" s="1" t="s">
        <v>1624</v>
      </c>
      <c r="H266" s="4">
        <v>0.78000000000000003</v>
      </c>
      <c r="I266" s="4">
        <v>6.5</v>
      </c>
      <c r="J266" s="5">
        <v>42</v>
      </c>
      <c r="K266" s="4">
        <v>12</v>
      </c>
      <c r="L266" s="1" t="s">
        <v>46</v>
      </c>
      <c r="M266" s="1" t="s">
        <v>47</v>
      </c>
      <c r="N266" s="3">
        <v>654919109</v>
      </c>
      <c r="O266" s="1"/>
      <c r="P266" s="1" t="s">
        <v>1625</v>
      </c>
      <c r="Q266" s="4">
        <v>1.958</v>
      </c>
      <c r="R266" s="4">
        <v>1.958</v>
      </c>
      <c r="S266" s="6">
        <v>2.5833300000000001</v>
      </c>
      <c r="T266" s="1" t="s">
        <v>50</v>
      </c>
      <c r="U266" s="1"/>
      <c r="V266" s="1"/>
      <c r="W266" s="1"/>
      <c r="X266" s="5">
        <v>57.5</v>
      </c>
      <c r="Y266" s="7">
        <v>3500000</v>
      </c>
      <c r="Z266" s="1"/>
      <c r="AA266" s="2">
        <f ca="1">DATE(2000,11,14)</f>
        <v>0</v>
      </c>
      <c r="AB266" s="4">
        <v>56.883000000000003</v>
      </c>
      <c r="AC266" s="3">
        <v>180</v>
      </c>
      <c r="AD266" s="8">
        <v>8381531</v>
      </c>
      <c r="AE266" s="1" t="s">
        <v>51</v>
      </c>
      <c r="AF266" s="1" t="s">
        <v>51</v>
      </c>
      <c r="AG266" s="1" t="s">
        <v>47</v>
      </c>
      <c r="AH266" s="1"/>
      <c r="AI266" s="1"/>
      <c r="AJ266" s="3">
        <v>1</v>
      </c>
      <c r="AK266" s="1" t="s">
        <v>52</v>
      </c>
      <c r="AL266" s="3">
        <v>3</v>
      </c>
      <c r="AM266" s="8">
        <v>9.4100000000000001</v>
      </c>
      <c r="AN266" s="1"/>
      <c r="AO266" s="1" t="s">
        <v>1626</v>
      </c>
      <c r="AP266" s="1" t="s">
        <v>1624</v>
      </c>
      <c r="AQ266" s="1" t="s">
        <v>1627</v>
      </c>
      <c r="AR266" s="1" t="s">
        <v>1625</v>
      </c>
    </row>
    <row r="267">
      <c r="A267" s="2">
        <f ca="1">DATE(2000,04,04)</f>
        <v>0</v>
      </c>
      <c r="B267" s="2">
        <f ca="1">DATE(2000,05,17)</f>
        <v>0</v>
      </c>
      <c r="C267" s="1" t="s">
        <v>1628</v>
      </c>
      <c r="D267" s="3">
        <v>4812</v>
      </c>
      <c r="E267" s="1" t="s">
        <v>43</v>
      </c>
      <c r="F267" s="1" t="s">
        <v>1629</v>
      </c>
      <c r="G267" s="1" t="s">
        <v>151</v>
      </c>
      <c r="H267" s="4">
        <v>0.77000000000000002</v>
      </c>
      <c r="I267" s="4">
        <v>7</v>
      </c>
      <c r="J267" s="5">
        <v>88</v>
      </c>
      <c r="K267" s="4">
        <v>11</v>
      </c>
      <c r="L267" s="1" t="s">
        <v>152</v>
      </c>
      <c r="M267" s="1" t="s">
        <v>47</v>
      </c>
      <c r="N267" s="1" t="s">
        <v>1630</v>
      </c>
      <c r="O267" s="1" t="s">
        <v>48</v>
      </c>
      <c r="P267" s="1" t="s">
        <v>1631</v>
      </c>
      <c r="Q267" s="4">
        <v>1.3640000000000001</v>
      </c>
      <c r="R267" s="4">
        <v>1.4550000000000001</v>
      </c>
      <c r="S267" s="6">
        <v>4.1818200000000001</v>
      </c>
      <c r="T267" s="1" t="s">
        <v>50</v>
      </c>
      <c r="U267" s="1"/>
      <c r="V267" s="1"/>
      <c r="W267" s="1"/>
      <c r="X267" s="5">
        <v>138</v>
      </c>
      <c r="Y267" s="7">
        <v>8000000</v>
      </c>
      <c r="Z267" s="1"/>
      <c r="AA267" s="2">
        <f ca="1">DATE(2000,11,13)</f>
        <v>0</v>
      </c>
      <c r="AB267" s="4">
        <v>21.738</v>
      </c>
      <c r="AC267" s="3">
        <v>180</v>
      </c>
      <c r="AD267" s="8">
        <v>17175044</v>
      </c>
      <c r="AE267" s="1" t="s">
        <v>51</v>
      </c>
      <c r="AF267" s="1" t="s">
        <v>51</v>
      </c>
      <c r="AG267" s="1" t="s">
        <v>51</v>
      </c>
      <c r="AH267" s="1"/>
      <c r="AI267" s="1"/>
      <c r="AJ267" s="3">
        <v>1</v>
      </c>
      <c r="AK267" s="1" t="s">
        <v>52</v>
      </c>
      <c r="AL267" s="3">
        <v>4</v>
      </c>
      <c r="AM267" s="8">
        <v>11.060000000000001</v>
      </c>
      <c r="AN267" s="1"/>
      <c r="AO267" s="1" t="s">
        <v>1632</v>
      </c>
      <c r="AP267" s="1" t="s">
        <v>151</v>
      </c>
      <c r="AQ267" s="1" t="s">
        <v>1633</v>
      </c>
      <c r="AR267" s="1" t="s">
        <v>1634</v>
      </c>
    </row>
    <row r="268">
      <c r="A268" s="2">
        <f ca="1">DATE(2000,02,25)</f>
        <v>0</v>
      </c>
      <c r="B268" s="2">
        <f ca="1">DATE(2000,05,18)</f>
        <v>0</v>
      </c>
      <c r="C268" s="1" t="s">
        <v>1635</v>
      </c>
      <c r="D268" s="3">
        <v>3674</v>
      </c>
      <c r="E268" s="1" t="s">
        <v>43</v>
      </c>
      <c r="F268" s="1" t="s">
        <v>1636</v>
      </c>
      <c r="G268" s="1" t="s">
        <v>204</v>
      </c>
      <c r="H268" s="4">
        <v>0.69999999999999996</v>
      </c>
      <c r="I268" s="8">
        <v>7</v>
      </c>
      <c r="J268" s="5">
        <v>57.5</v>
      </c>
      <c r="K268" s="4">
        <v>10</v>
      </c>
      <c r="L268" s="1" t="s">
        <v>46</v>
      </c>
      <c r="M268" s="1" t="s">
        <v>47</v>
      </c>
      <c r="N268" s="1" t="s">
        <v>1637</v>
      </c>
      <c r="O268" s="1" t="s">
        <v>48</v>
      </c>
      <c r="P268" s="1" t="s">
        <v>1638</v>
      </c>
      <c r="Q268" s="4">
        <v>1.3999999999999999</v>
      </c>
      <c r="R268" s="4">
        <v>1.3999999999999999</v>
      </c>
      <c r="S268" s="8">
        <v>4.2000000000000002</v>
      </c>
      <c r="T268" s="1" t="s">
        <v>50</v>
      </c>
      <c r="U268" s="8">
        <v>14</v>
      </c>
      <c r="V268" s="8">
        <v>12</v>
      </c>
      <c r="W268" s="7">
        <v>5750000</v>
      </c>
      <c r="X268" s="5">
        <v>74.799999999999997</v>
      </c>
      <c r="Y268" s="7">
        <v>5750000</v>
      </c>
      <c r="Z268" s="1"/>
      <c r="AA268" s="2">
        <f ca="1">DATE(2000,11,14)</f>
        <v>0</v>
      </c>
      <c r="AB268" s="4">
        <v>74.343999999999994</v>
      </c>
      <c r="AC268" s="3">
        <v>180</v>
      </c>
      <c r="AD268" s="8">
        <v>26394753</v>
      </c>
      <c r="AE268" s="1" t="s">
        <v>51</v>
      </c>
      <c r="AF268" s="1" t="s">
        <v>51</v>
      </c>
      <c r="AG268" s="1" t="s">
        <v>47</v>
      </c>
      <c r="AH268" s="1"/>
      <c r="AI268" s="1"/>
      <c r="AJ268" s="3">
        <v>1</v>
      </c>
      <c r="AK268" s="1" t="s">
        <v>89</v>
      </c>
      <c r="AL268" s="3">
        <v>4</v>
      </c>
      <c r="AM268" s="8">
        <v>10.890000000000001</v>
      </c>
      <c r="AN268" s="1"/>
      <c r="AO268" s="1" t="s">
        <v>1639</v>
      </c>
      <c r="AP268" s="1" t="s">
        <v>1640</v>
      </c>
      <c r="AQ268" s="1" t="s">
        <v>1641</v>
      </c>
      <c r="AR268" s="1" t="s">
        <v>1642</v>
      </c>
    </row>
    <row r="269">
      <c r="A269" s="2">
        <f ca="1">DATE(2000,01,14)</f>
        <v>0</v>
      </c>
      <c r="B269" s="2">
        <f ca="1">DATE(2000,05,19)</f>
        <v>0</v>
      </c>
      <c r="C269" s="1" t="s">
        <v>1643</v>
      </c>
      <c r="D269" s="3">
        <v>7389</v>
      </c>
      <c r="E269" s="1" t="s">
        <v>43</v>
      </c>
      <c r="F269" s="1" t="s">
        <v>1644</v>
      </c>
      <c r="G269" s="1" t="s">
        <v>387</v>
      </c>
      <c r="H269" s="4">
        <v>0.48999999999999999</v>
      </c>
      <c r="I269" s="8">
        <v>7</v>
      </c>
      <c r="J269" s="5">
        <v>23.100000000000001</v>
      </c>
      <c r="K269" s="4">
        <v>7</v>
      </c>
      <c r="L269" s="1" t="s">
        <v>46</v>
      </c>
      <c r="M269" s="1" t="s">
        <v>47</v>
      </c>
      <c r="N269" s="3">
        <v>216485102</v>
      </c>
      <c r="O269" s="1" t="s">
        <v>48</v>
      </c>
      <c r="P269" s="1" t="s">
        <v>1645</v>
      </c>
      <c r="Q269" s="4">
        <v>1.4290000000000001</v>
      </c>
      <c r="R269" s="4">
        <v>1.714</v>
      </c>
      <c r="S269" s="6">
        <v>3.8571399999999998</v>
      </c>
      <c r="T269" s="1" t="s">
        <v>50</v>
      </c>
      <c r="U269" s="1"/>
      <c r="V269" s="1"/>
      <c r="W269" s="1"/>
      <c r="X269" s="5">
        <v>57.5</v>
      </c>
      <c r="Y269" s="7">
        <v>3300000</v>
      </c>
      <c r="Z269" s="1"/>
      <c r="AA269" s="2">
        <f ca="1">DATE(2000,11,15)</f>
        <v>0</v>
      </c>
      <c r="AB269" s="4">
        <v>82.903000000000006</v>
      </c>
      <c r="AC269" s="3">
        <v>180</v>
      </c>
      <c r="AD269" s="8">
        <v>32065353</v>
      </c>
      <c r="AE269" s="1" t="s">
        <v>51</v>
      </c>
      <c r="AF269" s="1" t="s">
        <v>51</v>
      </c>
      <c r="AG269" s="1" t="s">
        <v>51</v>
      </c>
      <c r="AH269" s="1"/>
      <c r="AI269" s="1"/>
      <c r="AJ269" s="3">
        <v>1</v>
      </c>
      <c r="AK269" s="1" t="s">
        <v>52</v>
      </c>
      <c r="AL269" s="3">
        <v>3</v>
      </c>
      <c r="AM269" s="8">
        <v>5.5300000000000002</v>
      </c>
      <c r="AN269" s="1"/>
      <c r="AO269" s="1" t="s">
        <v>1646</v>
      </c>
      <c r="AP269" s="1" t="s">
        <v>387</v>
      </c>
      <c r="AQ269" s="1" t="s">
        <v>1647</v>
      </c>
      <c r="AR269" s="1" t="s">
        <v>1648</v>
      </c>
    </row>
    <row r="270">
      <c r="A270" s="2">
        <f ca="1">DATE(2000,05,20)</f>
        <v>0</v>
      </c>
      <c r="B270" s="2">
        <f ca="1">DATE(2000,05,20)</f>
        <v>0</v>
      </c>
      <c r="C270" s="1" t="s">
        <v>1649</v>
      </c>
      <c r="D270" s="3">
        <v>2834</v>
      </c>
      <c r="E270" s="1" t="s">
        <v>1650</v>
      </c>
      <c r="F270" s="1" t="s">
        <v>1651</v>
      </c>
      <c r="G270" s="1" t="s">
        <v>765</v>
      </c>
      <c r="H270" s="4">
        <v>0.72399999999999998</v>
      </c>
      <c r="I270" s="4">
        <v>4.25</v>
      </c>
      <c r="J270" s="5">
        <v>26.300000000000001</v>
      </c>
      <c r="K270" s="4">
        <v>155</v>
      </c>
      <c r="L270" s="1" t="s">
        <v>58</v>
      </c>
      <c r="M270" s="1" t="s">
        <v>47</v>
      </c>
      <c r="N270" s="1"/>
      <c r="O270" s="1" t="s">
        <v>1652</v>
      </c>
      <c r="P270" s="1" t="s">
        <v>1653</v>
      </c>
      <c r="Q270" s="4">
        <v>0.84999999999999998</v>
      </c>
      <c r="R270" s="4">
        <v>0.84999999999999998</v>
      </c>
      <c r="S270" s="8">
        <v>2.5499999999999998</v>
      </c>
      <c r="T270" s="1" t="s">
        <v>1654</v>
      </c>
      <c r="U270" s="1"/>
      <c r="V270" s="1"/>
      <c r="W270" s="1"/>
      <c r="X270" s="1"/>
      <c r="Y270" s="7">
        <v>1380000</v>
      </c>
      <c r="Z270" s="7">
        <v>162000</v>
      </c>
      <c r="AA270" s="1"/>
      <c r="AB270" s="1"/>
      <c r="AC270" s="1"/>
      <c r="AD270" s="1"/>
      <c r="AE270" s="1" t="s">
        <v>51</v>
      </c>
      <c r="AF270" s="1" t="s">
        <v>51</v>
      </c>
      <c r="AG270" s="1" t="s">
        <v>51</v>
      </c>
      <c r="AH270" s="1"/>
      <c r="AI270" s="1"/>
      <c r="AJ270" s="3">
        <v>1</v>
      </c>
      <c r="AK270" s="1" t="s">
        <v>89</v>
      </c>
      <c r="AL270" s="3">
        <v>4</v>
      </c>
      <c r="AM270" s="1"/>
      <c r="AN270" s="1"/>
      <c r="AO270" s="1" t="s">
        <v>1655</v>
      </c>
      <c r="AP270" s="1" t="s">
        <v>1656</v>
      </c>
      <c r="AQ270" s="1" t="s">
        <v>1657</v>
      </c>
      <c r="AR270" s="1" t="s">
        <v>1658</v>
      </c>
    </row>
    <row r="271">
      <c r="A271" s="2">
        <f ca="1">DATE(2000,05,20)</f>
        <v>0</v>
      </c>
      <c r="B271" s="2">
        <f ca="1">DATE(2000,05,20)</f>
        <v>0</v>
      </c>
      <c r="C271" s="1" t="s">
        <v>1649</v>
      </c>
      <c r="D271" s="3">
        <v>2834</v>
      </c>
      <c r="E271" s="1" t="s">
        <v>1650</v>
      </c>
      <c r="F271" s="1" t="s">
        <v>1651</v>
      </c>
      <c r="G271" s="1" t="s">
        <v>765</v>
      </c>
      <c r="H271" s="4">
        <v>0.72399999999999998</v>
      </c>
      <c r="I271" s="4">
        <v>4.25</v>
      </c>
      <c r="J271" s="5">
        <v>17.5</v>
      </c>
      <c r="K271" s="8">
        <v>155</v>
      </c>
      <c r="L271" s="1" t="s">
        <v>58</v>
      </c>
      <c r="M271" s="1" t="s">
        <v>47</v>
      </c>
      <c r="N271" s="1"/>
      <c r="O271" s="1" t="s">
        <v>1652</v>
      </c>
      <c r="P271" s="1" t="s">
        <v>1659</v>
      </c>
      <c r="Q271" s="4">
        <v>0.84999999999999998</v>
      </c>
      <c r="R271" s="4">
        <v>0.84999999999999998</v>
      </c>
      <c r="S271" s="8">
        <v>2.5499999999999998</v>
      </c>
      <c r="T271" s="1" t="s">
        <v>60</v>
      </c>
      <c r="U271" s="1"/>
      <c r="V271" s="1"/>
      <c r="W271" s="1"/>
      <c r="X271" s="1"/>
      <c r="Y271" s="7">
        <v>920000</v>
      </c>
      <c r="Z271" s="7">
        <v>108000</v>
      </c>
      <c r="AA271" s="1"/>
      <c r="AB271" s="1"/>
      <c r="AC271" s="1"/>
      <c r="AD271" s="1"/>
      <c r="AE271" s="1" t="s">
        <v>51</v>
      </c>
      <c r="AF271" s="1" t="s">
        <v>51</v>
      </c>
      <c r="AG271" s="1" t="s">
        <v>51</v>
      </c>
      <c r="AH271" s="1"/>
      <c r="AI271" s="1"/>
      <c r="AJ271" s="3">
        <v>1</v>
      </c>
      <c r="AK271" s="1" t="s">
        <v>52</v>
      </c>
      <c r="AL271" s="3">
        <v>3</v>
      </c>
      <c r="AM271" s="1"/>
      <c r="AN271" s="1"/>
      <c r="AO271" s="1" t="s">
        <v>1660</v>
      </c>
      <c r="AP271" s="1" t="s">
        <v>765</v>
      </c>
      <c r="AQ271" s="1" t="s">
        <v>1661</v>
      </c>
      <c r="AR271" s="1" t="s">
        <v>1662</v>
      </c>
    </row>
    <row r="272">
      <c r="A272" s="2">
        <f ca="1">DATE(2000,03,27)</f>
        <v>0</v>
      </c>
      <c r="B272" s="2">
        <f ca="1">DATE(2000,05,22)</f>
        <v>0</v>
      </c>
      <c r="C272" s="1" t="s">
        <v>1663</v>
      </c>
      <c r="D272" s="3">
        <v>3674</v>
      </c>
      <c r="E272" s="1" t="s">
        <v>43</v>
      </c>
      <c r="F272" s="1" t="s">
        <v>1664</v>
      </c>
      <c r="G272" s="1" t="s">
        <v>239</v>
      </c>
      <c r="H272" s="4">
        <v>0.877</v>
      </c>
      <c r="I272" s="4">
        <v>6.7460000000000004</v>
      </c>
      <c r="J272" s="5">
        <v>125.09999999999999</v>
      </c>
      <c r="K272" s="4">
        <v>13</v>
      </c>
      <c r="L272" s="1" t="s">
        <v>46</v>
      </c>
      <c r="M272" s="1" t="s">
        <v>47</v>
      </c>
      <c r="N272" s="1" t="s">
        <v>1665</v>
      </c>
      <c r="O272" s="1" t="s">
        <v>48</v>
      </c>
      <c r="P272" s="1" t="s">
        <v>1666</v>
      </c>
      <c r="Q272" s="4">
        <v>1.3460000000000001</v>
      </c>
      <c r="R272" s="4">
        <v>1.3460000000000001</v>
      </c>
      <c r="S272" s="6">
        <v>4.0538499999999997</v>
      </c>
      <c r="T272" s="1" t="s">
        <v>50</v>
      </c>
      <c r="U272" s="1"/>
      <c r="V272" s="1"/>
      <c r="W272" s="1"/>
      <c r="X272" s="5">
        <v>500</v>
      </c>
      <c r="Y272" s="7">
        <v>9625000</v>
      </c>
      <c r="Z272" s="1"/>
      <c r="AA272" s="1"/>
      <c r="AB272" s="1"/>
      <c r="AC272" s="1"/>
      <c r="AD272" s="1"/>
      <c r="AE272" s="1" t="s">
        <v>51</v>
      </c>
      <c r="AF272" s="1" t="s">
        <v>51</v>
      </c>
      <c r="AG272" s="1" t="s">
        <v>47</v>
      </c>
      <c r="AH272" s="1"/>
      <c r="AI272" s="1"/>
      <c r="AJ272" s="3">
        <v>1</v>
      </c>
      <c r="AK272" s="1" t="s">
        <v>52</v>
      </c>
      <c r="AL272" s="3">
        <v>5</v>
      </c>
      <c r="AM272" s="8">
        <v>12</v>
      </c>
      <c r="AN272" s="1"/>
      <c r="AO272" s="1" t="s">
        <v>1667</v>
      </c>
      <c r="AP272" s="1" t="s">
        <v>239</v>
      </c>
      <c r="AQ272" s="1" t="s">
        <v>1668</v>
      </c>
      <c r="AR272" s="1" t="s">
        <v>1669</v>
      </c>
    </row>
    <row r="273">
      <c r="A273" s="2">
        <f ca="1">DATE(2000,03,27)</f>
        <v>0</v>
      </c>
      <c r="B273" s="2">
        <f ca="1">DATE(2000,05,22)</f>
        <v>0</v>
      </c>
      <c r="C273" s="1" t="s">
        <v>1663</v>
      </c>
      <c r="D273" s="3">
        <v>3674</v>
      </c>
      <c r="E273" s="1" t="s">
        <v>43</v>
      </c>
      <c r="F273" s="1" t="s">
        <v>1664</v>
      </c>
      <c r="G273" s="1" t="s">
        <v>667</v>
      </c>
      <c r="H273" s="4">
        <v>0.877</v>
      </c>
      <c r="I273" s="4">
        <v>6.7450000000000001</v>
      </c>
      <c r="J273" s="5">
        <v>37.399999999999999</v>
      </c>
      <c r="K273" s="8">
        <v>13</v>
      </c>
      <c r="L273" s="1" t="s">
        <v>58</v>
      </c>
      <c r="M273" s="1" t="s">
        <v>47</v>
      </c>
      <c r="N273" s="1"/>
      <c r="O273" s="1" t="s">
        <v>48</v>
      </c>
      <c r="P273" s="1" t="s">
        <v>1670</v>
      </c>
      <c r="Q273" s="4">
        <v>1.3460000000000001</v>
      </c>
      <c r="R273" s="4">
        <v>1.3460000000000001</v>
      </c>
      <c r="S273" s="6">
        <v>0.76922999999999997</v>
      </c>
      <c r="T273" s="1" t="s">
        <v>60</v>
      </c>
      <c r="U273" s="1"/>
      <c r="V273" s="1"/>
      <c r="W273" s="1"/>
      <c r="X273" s="1"/>
      <c r="Y273" s="7">
        <v>2875000</v>
      </c>
      <c r="Z273" s="1"/>
      <c r="AA273" s="1"/>
      <c r="AB273" s="1"/>
      <c r="AC273" s="1"/>
      <c r="AD273" s="1"/>
      <c r="AE273" s="1" t="s">
        <v>51</v>
      </c>
      <c r="AF273" s="1" t="s">
        <v>51</v>
      </c>
      <c r="AG273" s="1" t="s">
        <v>47</v>
      </c>
      <c r="AH273" s="1"/>
      <c r="AI273" s="1"/>
      <c r="AJ273" s="3">
        <v>1</v>
      </c>
      <c r="AK273" s="1" t="s">
        <v>52</v>
      </c>
      <c r="AL273" s="3">
        <v>1</v>
      </c>
      <c r="AM273" s="1"/>
      <c r="AN273" s="1"/>
      <c r="AO273" s="1" t="s">
        <v>1671</v>
      </c>
      <c r="AP273" s="1" t="s">
        <v>667</v>
      </c>
      <c r="AQ273" s="1" t="s">
        <v>667</v>
      </c>
      <c r="AR273" s="1" t="s">
        <v>1580</v>
      </c>
    </row>
    <row r="274">
      <c r="A274" s="2">
        <f ca="1">DATE(2000,02,18)</f>
        <v>0</v>
      </c>
      <c r="B274" s="2">
        <f ca="1">DATE(2000,05,23)</f>
        <v>0</v>
      </c>
      <c r="C274" s="1" t="s">
        <v>1672</v>
      </c>
      <c r="D274" s="3">
        <v>3674</v>
      </c>
      <c r="E274" s="1" t="s">
        <v>43</v>
      </c>
      <c r="F274" s="1" t="s">
        <v>1673</v>
      </c>
      <c r="G274" s="1" t="s">
        <v>239</v>
      </c>
      <c r="H274" s="4">
        <v>1.3300000000000001</v>
      </c>
      <c r="I274" s="4">
        <v>7</v>
      </c>
      <c r="J274" s="5">
        <v>55</v>
      </c>
      <c r="K274" s="4">
        <v>19</v>
      </c>
      <c r="L274" s="1" t="s">
        <v>46</v>
      </c>
      <c r="M274" s="1" t="s">
        <v>47</v>
      </c>
      <c r="N274" s="3">
        <v>152319109</v>
      </c>
      <c r="O274" s="1" t="s">
        <v>48</v>
      </c>
      <c r="P274" s="1" t="s">
        <v>1674</v>
      </c>
      <c r="Q274" s="4">
        <v>1.3680000000000001</v>
      </c>
      <c r="R274" s="4">
        <v>1.421</v>
      </c>
      <c r="S274" s="6">
        <v>4.2105300000000003</v>
      </c>
      <c r="T274" s="1" t="s">
        <v>50</v>
      </c>
      <c r="U274" s="1"/>
      <c r="V274" s="1"/>
      <c r="W274" s="1"/>
      <c r="X274" s="5">
        <v>82</v>
      </c>
      <c r="Y274" s="7">
        <v>2896000</v>
      </c>
      <c r="Z274" s="1"/>
      <c r="AA274" s="1"/>
      <c r="AB274" s="1"/>
      <c r="AC274" s="1"/>
      <c r="AD274" s="1"/>
      <c r="AE274" s="1" t="s">
        <v>51</v>
      </c>
      <c r="AF274" s="1" t="s">
        <v>51</v>
      </c>
      <c r="AG274" s="1" t="s">
        <v>47</v>
      </c>
      <c r="AH274" s="1"/>
      <c r="AI274" s="1"/>
      <c r="AJ274" s="3">
        <v>1</v>
      </c>
      <c r="AK274" s="1" t="s">
        <v>52</v>
      </c>
      <c r="AL274" s="3">
        <v>3</v>
      </c>
      <c r="AM274" s="8">
        <v>22.879999999999999</v>
      </c>
      <c r="AN274" s="1"/>
      <c r="AO274" s="1" t="s">
        <v>1675</v>
      </c>
      <c r="AP274" s="1" t="s">
        <v>239</v>
      </c>
      <c r="AQ274" s="1" t="s">
        <v>1676</v>
      </c>
      <c r="AR274" s="1" t="s">
        <v>1677</v>
      </c>
    </row>
    <row r="275">
      <c r="A275" s="2">
        <f ca="1">DATE(2000,02,18)</f>
        <v>0</v>
      </c>
      <c r="B275" s="2">
        <f ca="1">DATE(2000,05,23)</f>
        <v>0</v>
      </c>
      <c r="C275" s="1" t="s">
        <v>1672</v>
      </c>
      <c r="D275" s="3">
        <v>3674</v>
      </c>
      <c r="E275" s="1" t="s">
        <v>43</v>
      </c>
      <c r="F275" s="1" t="s">
        <v>1673</v>
      </c>
      <c r="G275" s="1" t="s">
        <v>667</v>
      </c>
      <c r="H275" s="4">
        <v>1.3300000000000001</v>
      </c>
      <c r="I275" s="4">
        <v>7</v>
      </c>
      <c r="J275" s="5">
        <v>9.5999999999999996</v>
      </c>
      <c r="K275" s="8">
        <v>19</v>
      </c>
      <c r="L275" s="1" t="s">
        <v>58</v>
      </c>
      <c r="M275" s="1" t="s">
        <v>47</v>
      </c>
      <c r="N275" s="3">
        <v>152319109</v>
      </c>
      <c r="O275" s="1" t="s">
        <v>48</v>
      </c>
      <c r="P275" s="1" t="s">
        <v>1578</v>
      </c>
      <c r="Q275" s="4">
        <v>1.3680000000000001</v>
      </c>
      <c r="R275" s="4">
        <v>1.421</v>
      </c>
      <c r="S275" s="6">
        <v>4.2105300000000003</v>
      </c>
      <c r="T275" s="1" t="s">
        <v>60</v>
      </c>
      <c r="U275" s="1"/>
      <c r="V275" s="1"/>
      <c r="W275" s="1"/>
      <c r="X275" s="1"/>
      <c r="Y275" s="7">
        <v>504000</v>
      </c>
      <c r="Z275" s="1"/>
      <c r="AA275" s="1"/>
      <c r="AB275" s="1"/>
      <c r="AC275" s="1"/>
      <c r="AD275" s="1"/>
      <c r="AE275" s="1" t="s">
        <v>51</v>
      </c>
      <c r="AF275" s="1" t="s">
        <v>51</v>
      </c>
      <c r="AG275" s="1" t="s">
        <v>47</v>
      </c>
      <c r="AH275" s="1"/>
      <c r="AI275" s="1"/>
      <c r="AJ275" s="3">
        <v>1</v>
      </c>
      <c r="AK275" s="1" t="s">
        <v>52</v>
      </c>
      <c r="AL275" s="3">
        <v>1</v>
      </c>
      <c r="AM275" s="1"/>
      <c r="AN275" s="1"/>
      <c r="AO275" s="1" t="s">
        <v>1579</v>
      </c>
      <c r="AP275" s="1" t="s">
        <v>667</v>
      </c>
      <c r="AQ275" s="1" t="s">
        <v>667</v>
      </c>
      <c r="AR275" s="1" t="s">
        <v>1580</v>
      </c>
    </row>
    <row r="276">
      <c r="A276" s="2">
        <f ca="1">DATE(2000,04,05)</f>
        <v>0</v>
      </c>
      <c r="B276" s="2">
        <f ca="1">DATE(2000,05,23)</f>
        <v>0</v>
      </c>
      <c r="C276" s="1" t="s">
        <v>1678</v>
      </c>
      <c r="D276" s="3">
        <v>7359</v>
      </c>
      <c r="E276" s="1" t="s">
        <v>43</v>
      </c>
      <c r="F276" s="1" t="s">
        <v>1679</v>
      </c>
      <c r="G276" s="1" t="s">
        <v>45</v>
      </c>
      <c r="H276" s="4">
        <v>1.4850000000000001</v>
      </c>
      <c r="I276" s="4">
        <v>6.75</v>
      </c>
      <c r="J276" s="5">
        <v>123.2</v>
      </c>
      <c r="K276" s="4">
        <v>22</v>
      </c>
      <c r="L276" s="1" t="s">
        <v>46</v>
      </c>
      <c r="M276" s="1" t="s">
        <v>47</v>
      </c>
      <c r="N276" s="3">
        <v>913431102</v>
      </c>
      <c r="O276" s="1" t="s">
        <v>108</v>
      </c>
      <c r="P276" s="1" t="s">
        <v>1680</v>
      </c>
      <c r="Q276" s="4">
        <v>1.3640000000000001</v>
      </c>
      <c r="R276" s="4">
        <v>1.341</v>
      </c>
      <c r="S276" s="6">
        <v>4.0454499999999998</v>
      </c>
      <c r="T276" s="1" t="s">
        <v>50</v>
      </c>
      <c r="U276" s="1"/>
      <c r="V276" s="1"/>
      <c r="W276" s="1"/>
      <c r="X276" s="5">
        <v>172.5</v>
      </c>
      <c r="Y276" s="7">
        <v>5600000</v>
      </c>
      <c r="Z276" s="1"/>
      <c r="AA276" s="1"/>
      <c r="AB276" s="1"/>
      <c r="AC276" s="1"/>
      <c r="AD276" s="1"/>
      <c r="AE276" s="1" t="s">
        <v>51</v>
      </c>
      <c r="AF276" s="1" t="s">
        <v>51</v>
      </c>
      <c r="AG276" s="1" t="s">
        <v>51</v>
      </c>
      <c r="AH276" s="1"/>
      <c r="AI276" s="1" t="s">
        <v>1681</v>
      </c>
      <c r="AJ276" s="3">
        <v>1</v>
      </c>
      <c r="AK276" s="1" t="s">
        <v>89</v>
      </c>
      <c r="AL276" s="3">
        <v>5</v>
      </c>
      <c r="AM276" s="8">
        <v>22.059999999999999</v>
      </c>
      <c r="AN276" s="1"/>
      <c r="AO276" s="1" t="s">
        <v>1682</v>
      </c>
      <c r="AP276" s="1" t="s">
        <v>1504</v>
      </c>
      <c r="AQ276" s="1" t="s">
        <v>1683</v>
      </c>
      <c r="AR276" s="1" t="s">
        <v>1684</v>
      </c>
    </row>
    <row r="277">
      <c r="A277" s="2">
        <f ca="1">DATE(2000,04,05)</f>
        <v>0</v>
      </c>
      <c r="B277" s="2">
        <f ca="1">DATE(2000,05,23)</f>
        <v>0</v>
      </c>
      <c r="C277" s="1" t="s">
        <v>1678</v>
      </c>
      <c r="D277" s="3">
        <v>7359</v>
      </c>
      <c r="E277" s="1" t="s">
        <v>43</v>
      </c>
      <c r="F277" s="1" t="s">
        <v>1679</v>
      </c>
      <c r="G277" s="1" t="s">
        <v>45</v>
      </c>
      <c r="H277" s="4">
        <v>1.4850000000000001</v>
      </c>
      <c r="I277" s="4">
        <v>6.75</v>
      </c>
      <c r="J277" s="5">
        <v>30.800000000000001</v>
      </c>
      <c r="K277" s="8">
        <v>22</v>
      </c>
      <c r="L277" s="1" t="s">
        <v>58</v>
      </c>
      <c r="M277" s="1" t="s">
        <v>47</v>
      </c>
      <c r="N277" s="3">
        <v>913431102</v>
      </c>
      <c r="O277" s="1" t="s">
        <v>108</v>
      </c>
      <c r="P277" s="1" t="s">
        <v>1685</v>
      </c>
      <c r="Q277" s="1" t="s">
        <v>145</v>
      </c>
      <c r="R277" s="1" t="s">
        <v>145</v>
      </c>
      <c r="S277" s="10">
        <v>4.0454999999999997</v>
      </c>
      <c r="T277" s="1" t="s">
        <v>60</v>
      </c>
      <c r="U277" s="1"/>
      <c r="V277" s="1"/>
      <c r="W277" s="1"/>
      <c r="X277" s="1"/>
      <c r="Y277" s="7">
        <v>1400000</v>
      </c>
      <c r="Z277" s="1"/>
      <c r="AA277" s="1"/>
      <c r="AB277" s="1"/>
      <c r="AC277" s="1"/>
      <c r="AD277" s="1"/>
      <c r="AE277" s="1" t="s">
        <v>51</v>
      </c>
      <c r="AF277" s="1" t="s">
        <v>51</v>
      </c>
      <c r="AG277" s="1" t="s">
        <v>51</v>
      </c>
      <c r="AH277" s="1"/>
      <c r="AI277" s="1" t="s">
        <v>1681</v>
      </c>
      <c r="AJ277" s="3">
        <v>1</v>
      </c>
      <c r="AK277" s="1" t="s">
        <v>89</v>
      </c>
      <c r="AL277" s="3">
        <v>3</v>
      </c>
      <c r="AM277" s="1"/>
      <c r="AN277" s="1"/>
      <c r="AO277" s="1" t="s">
        <v>1686</v>
      </c>
      <c r="AP277" s="1" t="s">
        <v>1687</v>
      </c>
      <c r="AQ277" s="1" t="s">
        <v>1688</v>
      </c>
      <c r="AR277" s="1" t="s">
        <v>1689</v>
      </c>
    </row>
    <row r="278">
      <c r="A278" s="2">
        <f ca="1">DATE(2000,03,10)</f>
        <v>0</v>
      </c>
      <c r="B278" s="2">
        <f ca="1">DATE(2000,05,24)</f>
        <v>0</v>
      </c>
      <c r="C278" s="1" t="s">
        <v>1690</v>
      </c>
      <c r="D278" s="3">
        <v>7373</v>
      </c>
      <c r="E278" s="1" t="s">
        <v>43</v>
      </c>
      <c r="F278" s="1" t="s">
        <v>1691</v>
      </c>
      <c r="G278" s="1" t="s">
        <v>160</v>
      </c>
      <c r="H278" s="4">
        <v>1.6100000000000001</v>
      </c>
      <c r="I278" s="4">
        <v>7</v>
      </c>
      <c r="J278" s="5">
        <v>100.90000000000001</v>
      </c>
      <c r="K278" s="4">
        <v>23</v>
      </c>
      <c r="L278" s="1" t="s">
        <v>46</v>
      </c>
      <c r="M278" s="1" t="s">
        <v>47</v>
      </c>
      <c r="N278" s="3">
        <v>835916107</v>
      </c>
      <c r="O278" s="1" t="s">
        <v>48</v>
      </c>
      <c r="P278" s="1" t="s">
        <v>1692</v>
      </c>
      <c r="Q278" s="4">
        <v>1.4350000000000001</v>
      </c>
      <c r="R278" s="4">
        <v>1.391</v>
      </c>
      <c r="S278" s="6">
        <v>4.1739100000000002</v>
      </c>
      <c r="T278" s="1" t="s">
        <v>50</v>
      </c>
      <c r="U278" s="1"/>
      <c r="V278" s="1"/>
      <c r="W278" s="1"/>
      <c r="X278" s="5">
        <v>115</v>
      </c>
      <c r="Y278" s="7">
        <v>4385500</v>
      </c>
      <c r="Z278" s="1"/>
      <c r="AA278" s="1"/>
      <c r="AB278" s="1"/>
      <c r="AC278" s="1"/>
      <c r="AD278" s="1"/>
      <c r="AE278" s="1" t="s">
        <v>51</v>
      </c>
      <c r="AF278" s="1" t="s">
        <v>51</v>
      </c>
      <c r="AG278" s="1" t="s">
        <v>47</v>
      </c>
      <c r="AH278" s="1"/>
      <c r="AI278" s="1"/>
      <c r="AJ278" s="3">
        <v>1</v>
      </c>
      <c r="AK278" s="1" t="s">
        <v>52</v>
      </c>
      <c r="AL278" s="3">
        <v>4</v>
      </c>
      <c r="AM278" s="8">
        <v>50.5</v>
      </c>
      <c r="AN278" s="1"/>
      <c r="AO278" s="1" t="s">
        <v>1693</v>
      </c>
      <c r="AP278" s="1" t="s">
        <v>160</v>
      </c>
      <c r="AQ278" s="1" t="s">
        <v>1694</v>
      </c>
      <c r="AR278" s="1" t="s">
        <v>1695</v>
      </c>
    </row>
    <row r="279">
      <c r="A279" s="2">
        <f ca="1">DATE(2000,03,10)</f>
        <v>0</v>
      </c>
      <c r="B279" s="2">
        <f ca="1">DATE(2000,05,24)</f>
        <v>0</v>
      </c>
      <c r="C279" s="1" t="s">
        <v>1690</v>
      </c>
      <c r="D279" s="3">
        <v>7373</v>
      </c>
      <c r="E279" s="1" t="s">
        <v>43</v>
      </c>
      <c r="F279" s="1" t="s">
        <v>1691</v>
      </c>
      <c r="G279" s="1" t="s">
        <v>160</v>
      </c>
      <c r="H279" s="4">
        <v>1.6100000000000001</v>
      </c>
      <c r="I279" s="4">
        <v>7</v>
      </c>
      <c r="J279" s="5">
        <v>14.1</v>
      </c>
      <c r="K279" s="8">
        <v>23</v>
      </c>
      <c r="L279" s="1" t="s">
        <v>58</v>
      </c>
      <c r="M279" s="1" t="s">
        <v>47</v>
      </c>
      <c r="N279" s="3">
        <v>835916107</v>
      </c>
      <c r="O279" s="1" t="s">
        <v>48</v>
      </c>
      <c r="P279" s="1" t="s">
        <v>1696</v>
      </c>
      <c r="Q279" s="4">
        <v>1.4350000000000001</v>
      </c>
      <c r="R279" s="4">
        <v>1.391</v>
      </c>
      <c r="S279" s="6">
        <v>4.1739100000000002</v>
      </c>
      <c r="T279" s="1" t="s">
        <v>60</v>
      </c>
      <c r="U279" s="1"/>
      <c r="V279" s="1"/>
      <c r="W279" s="1"/>
      <c r="X279" s="1"/>
      <c r="Y279" s="7">
        <v>614500</v>
      </c>
      <c r="Z279" s="1"/>
      <c r="AA279" s="1"/>
      <c r="AB279" s="1"/>
      <c r="AC279" s="1"/>
      <c r="AD279" s="1"/>
      <c r="AE279" s="1" t="s">
        <v>51</v>
      </c>
      <c r="AF279" s="1" t="s">
        <v>51</v>
      </c>
      <c r="AG279" s="1" t="s">
        <v>47</v>
      </c>
      <c r="AH279" s="1"/>
      <c r="AI279" s="1"/>
      <c r="AJ279" s="3">
        <v>1</v>
      </c>
      <c r="AK279" s="1" t="s">
        <v>52</v>
      </c>
      <c r="AL279" s="3">
        <v>1</v>
      </c>
      <c r="AM279" s="1"/>
      <c r="AN279" s="1"/>
      <c r="AO279" s="1" t="s">
        <v>1697</v>
      </c>
      <c r="AP279" s="1" t="s">
        <v>160</v>
      </c>
      <c r="AQ279" s="1" t="s">
        <v>160</v>
      </c>
      <c r="AR279" s="1" t="s">
        <v>187</v>
      </c>
    </row>
    <row r="280">
      <c r="A280" s="2">
        <f ca="1">DATE(2000,03,01)</f>
        <v>0</v>
      </c>
      <c r="B280" s="2">
        <f ca="1">DATE(2000,05,24)</f>
        <v>0</v>
      </c>
      <c r="C280" s="1" t="s">
        <v>1698</v>
      </c>
      <c r="D280" s="3">
        <v>3674</v>
      </c>
      <c r="E280" s="1" t="s">
        <v>43</v>
      </c>
      <c r="F280" s="1"/>
      <c r="G280" s="1" t="s">
        <v>96</v>
      </c>
      <c r="H280" s="4">
        <v>0.83999999999999997</v>
      </c>
      <c r="I280" s="8">
        <v>7</v>
      </c>
      <c r="J280" s="5">
        <v>48</v>
      </c>
      <c r="K280" s="4">
        <v>12</v>
      </c>
      <c r="L280" s="1" t="s">
        <v>46</v>
      </c>
      <c r="M280" s="1" t="s">
        <v>47</v>
      </c>
      <c r="N280" s="3">
        <v>854399102</v>
      </c>
      <c r="O280" s="1"/>
      <c r="P280" s="1" t="s">
        <v>1699</v>
      </c>
      <c r="Q280" s="4">
        <v>1.417</v>
      </c>
      <c r="R280" s="4">
        <v>1.417</v>
      </c>
      <c r="S280" s="6">
        <v>4.1666699999999999</v>
      </c>
      <c r="T280" s="1" t="s">
        <v>50</v>
      </c>
      <c r="U280" s="1"/>
      <c r="V280" s="1"/>
      <c r="W280" s="1"/>
      <c r="X280" s="5">
        <v>50</v>
      </c>
      <c r="Y280" s="7">
        <v>4000000</v>
      </c>
      <c r="Z280" s="1"/>
      <c r="AA280" s="1"/>
      <c r="AB280" s="1"/>
      <c r="AC280" s="1"/>
      <c r="AD280" s="1"/>
      <c r="AE280" s="1" t="s">
        <v>51</v>
      </c>
      <c r="AF280" s="1" t="s">
        <v>51</v>
      </c>
      <c r="AG280" s="1" t="s">
        <v>47</v>
      </c>
      <c r="AH280" s="1"/>
      <c r="AI280" s="1"/>
      <c r="AJ280" s="3">
        <v>1</v>
      </c>
      <c r="AK280" s="1" t="s">
        <v>52</v>
      </c>
      <c r="AL280" s="3">
        <v>4</v>
      </c>
      <c r="AM280" s="8">
        <v>15.380000000000001</v>
      </c>
      <c r="AN280" s="1"/>
      <c r="AO280" s="1" t="s">
        <v>1700</v>
      </c>
      <c r="AP280" s="1" t="s">
        <v>96</v>
      </c>
      <c r="AQ280" s="1" t="s">
        <v>1701</v>
      </c>
      <c r="AR280" s="1" t="s">
        <v>1702</v>
      </c>
    </row>
    <row r="281">
      <c r="A281" s="2">
        <f ca="1">DATE(2000,04,19)</f>
        <v>0</v>
      </c>
      <c r="B281" s="2">
        <f ca="1">DATE(2000,05,30)</f>
        <v>0</v>
      </c>
      <c r="C281" s="1" t="s">
        <v>1703</v>
      </c>
      <c r="D281" s="3">
        <v>4911</v>
      </c>
      <c r="E281" s="1" t="s">
        <v>43</v>
      </c>
      <c r="F281" s="1" t="s">
        <v>1704</v>
      </c>
      <c r="G281" s="1" t="s">
        <v>204</v>
      </c>
      <c r="H281" s="4">
        <v>0.90000000000000002</v>
      </c>
      <c r="I281" s="4">
        <v>6</v>
      </c>
      <c r="J281" s="5">
        <v>422.60000000000002</v>
      </c>
      <c r="K281" s="4">
        <v>15</v>
      </c>
      <c r="L281" s="1" t="s">
        <v>46</v>
      </c>
      <c r="M281" s="1" t="s">
        <v>47</v>
      </c>
      <c r="N281" s="3">
        <v>629377102</v>
      </c>
      <c r="O281" s="1" t="s">
        <v>108</v>
      </c>
      <c r="P281" s="1" t="s">
        <v>1705</v>
      </c>
      <c r="Q281" s="4">
        <v>1.2</v>
      </c>
      <c r="R281" s="4">
        <v>1.2</v>
      </c>
      <c r="S281" s="8">
        <v>3.6000000000000001</v>
      </c>
      <c r="T281" s="1" t="s">
        <v>50</v>
      </c>
      <c r="U281" s="1"/>
      <c r="V281" s="1"/>
      <c r="W281" s="1"/>
      <c r="X281" s="5">
        <v>600</v>
      </c>
      <c r="Y281" s="7">
        <v>28170000</v>
      </c>
      <c r="Z281" s="1"/>
      <c r="AA281" s="2">
        <f ca="1">DATE(2000,11,26)</f>
        <v>0</v>
      </c>
      <c r="AB281" s="4">
        <v>523.97799999999995</v>
      </c>
      <c r="AC281" s="3">
        <v>180</v>
      </c>
      <c r="AD281" s="8">
        <v>147604500</v>
      </c>
      <c r="AE281" s="1" t="s">
        <v>51</v>
      </c>
      <c r="AF281" s="1" t="s">
        <v>51</v>
      </c>
      <c r="AG281" s="1" t="s">
        <v>51</v>
      </c>
      <c r="AH281" s="1" t="s">
        <v>1706</v>
      </c>
      <c r="AI281" s="1" t="s">
        <v>1707</v>
      </c>
      <c r="AJ281" s="3">
        <v>1</v>
      </c>
      <c r="AK281" s="1" t="s">
        <v>52</v>
      </c>
      <c r="AL281" s="3">
        <v>8</v>
      </c>
      <c r="AM281" s="8">
        <v>16.629999999999999</v>
      </c>
      <c r="AN281" s="1"/>
      <c r="AO281" s="1" t="s">
        <v>1708</v>
      </c>
      <c r="AP281" s="1" t="s">
        <v>204</v>
      </c>
      <c r="AQ281" s="1" t="s">
        <v>1709</v>
      </c>
      <c r="AR281" s="1" t="s">
        <v>1710</v>
      </c>
    </row>
    <row r="282">
      <c r="A282" s="2">
        <f ca="1">DATE(2000,02,18)</f>
        <v>0</v>
      </c>
      <c r="B282" s="2">
        <f ca="1">DATE(2000,05,31)</f>
        <v>0</v>
      </c>
      <c r="C282" s="1" t="s">
        <v>1711</v>
      </c>
      <c r="D282" s="3">
        <v>2834</v>
      </c>
      <c r="E282" s="1" t="s">
        <v>43</v>
      </c>
      <c r="F282" s="1" t="s">
        <v>1712</v>
      </c>
      <c r="G282" s="1" t="s">
        <v>387</v>
      </c>
      <c r="H282" s="4">
        <v>0.56000000000000005</v>
      </c>
      <c r="I282" s="4">
        <v>7</v>
      </c>
      <c r="J282" s="5">
        <v>30.399999999999999</v>
      </c>
      <c r="K282" s="4">
        <v>8</v>
      </c>
      <c r="L282" s="1" t="s">
        <v>46</v>
      </c>
      <c r="M282" s="1" t="s">
        <v>47</v>
      </c>
      <c r="N282" s="1" t="s">
        <v>1713</v>
      </c>
      <c r="O282" s="1" t="s">
        <v>48</v>
      </c>
      <c r="P282" s="1" t="s">
        <v>1714</v>
      </c>
      <c r="Q282" s="4">
        <v>1.5</v>
      </c>
      <c r="R282" s="4">
        <v>1.75</v>
      </c>
      <c r="S282" s="8">
        <v>3.75</v>
      </c>
      <c r="T282" s="1" t="s">
        <v>50</v>
      </c>
      <c r="U282" s="8">
        <v>14</v>
      </c>
      <c r="V282" s="8">
        <v>12</v>
      </c>
      <c r="W282" s="7">
        <v>3800000</v>
      </c>
      <c r="X282" s="5">
        <v>49.399999999999999</v>
      </c>
      <c r="Y282" s="7">
        <v>3800000</v>
      </c>
      <c r="Z282" s="1"/>
      <c r="AA282" s="2">
        <f ca="1">DATE(2000,08,29)</f>
        <v>0</v>
      </c>
      <c r="AB282" s="4">
        <v>83.528999999999996</v>
      </c>
      <c r="AC282" s="3">
        <v>90</v>
      </c>
      <c r="AD282" s="8">
        <v>10307143</v>
      </c>
      <c r="AE282" s="1" t="s">
        <v>51</v>
      </c>
      <c r="AF282" s="1" t="s">
        <v>51</v>
      </c>
      <c r="AG282" s="1" t="s">
        <v>51</v>
      </c>
      <c r="AH282" s="1"/>
      <c r="AI282" s="1"/>
      <c r="AJ282" s="3">
        <v>1</v>
      </c>
      <c r="AK282" s="1" t="s">
        <v>52</v>
      </c>
      <c r="AL282" s="3">
        <v>3</v>
      </c>
      <c r="AM282" s="8">
        <v>8</v>
      </c>
      <c r="AN282" s="1"/>
      <c r="AO282" s="1" t="s">
        <v>1715</v>
      </c>
      <c r="AP282" s="1" t="s">
        <v>387</v>
      </c>
      <c r="AQ282" s="1" t="s">
        <v>1716</v>
      </c>
      <c r="AR282" s="1" t="s">
        <v>1717</v>
      </c>
    </row>
    <row r="283">
      <c r="A283" s="2">
        <f ca="1">DATE(2000,03,10)</f>
        <v>0</v>
      </c>
      <c r="B283" s="2">
        <f ca="1">DATE(2000,05,31)</f>
        <v>0</v>
      </c>
      <c r="C283" s="1" t="s">
        <v>1718</v>
      </c>
      <c r="D283" s="3">
        <v>3661</v>
      </c>
      <c r="E283" s="1" t="s">
        <v>43</v>
      </c>
      <c r="F283" s="1" t="s">
        <v>1719</v>
      </c>
      <c r="G283" s="1" t="s">
        <v>160</v>
      </c>
      <c r="H283" s="4">
        <v>1.75</v>
      </c>
      <c r="I283" s="4">
        <v>7</v>
      </c>
      <c r="J283" s="5">
        <v>176.09999999999999</v>
      </c>
      <c r="K283" s="4">
        <v>25</v>
      </c>
      <c r="L283" s="1" t="s">
        <v>46</v>
      </c>
      <c r="M283" s="1" t="s">
        <v>47</v>
      </c>
      <c r="N283" s="1" t="s">
        <v>1720</v>
      </c>
      <c r="O283" s="1" t="s">
        <v>48</v>
      </c>
      <c r="P283" s="1" t="s">
        <v>1721</v>
      </c>
      <c r="Q283" s="4">
        <v>1.3999999999999999</v>
      </c>
      <c r="R283" s="4">
        <v>1.3999999999999999</v>
      </c>
      <c r="S283" s="8">
        <v>4.2000000000000002</v>
      </c>
      <c r="T283" s="1" t="s">
        <v>50</v>
      </c>
      <c r="U283" s="1"/>
      <c r="V283" s="1"/>
      <c r="W283" s="1"/>
      <c r="X283" s="5">
        <v>115</v>
      </c>
      <c r="Y283" s="7">
        <v>7045000</v>
      </c>
      <c r="Z283" s="1"/>
      <c r="AA283" s="1"/>
      <c r="AB283" s="1"/>
      <c r="AC283" s="1"/>
      <c r="AD283" s="1"/>
      <c r="AE283" s="1" t="s">
        <v>51</v>
      </c>
      <c r="AF283" s="1" t="s">
        <v>51</v>
      </c>
      <c r="AG283" s="1" t="s">
        <v>47</v>
      </c>
      <c r="AH283" s="1"/>
      <c r="AI283" s="1"/>
      <c r="AJ283" s="3">
        <v>1</v>
      </c>
      <c r="AK283" s="1" t="s">
        <v>52</v>
      </c>
      <c r="AL283" s="3">
        <v>4</v>
      </c>
      <c r="AM283" s="8">
        <v>82.560000000000002</v>
      </c>
      <c r="AN283" s="1"/>
      <c r="AO283" s="1" t="s">
        <v>1722</v>
      </c>
      <c r="AP283" s="1" t="s">
        <v>160</v>
      </c>
      <c r="AQ283" s="1" t="s">
        <v>1723</v>
      </c>
      <c r="AR283" s="1" t="s">
        <v>1724</v>
      </c>
    </row>
    <row r="284">
      <c r="A284" s="2">
        <f ca="1">DATE(2000,03,10)</f>
        <v>0</v>
      </c>
      <c r="B284" s="2">
        <f ca="1">DATE(2000,05,31)</f>
        <v>0</v>
      </c>
      <c r="C284" s="1" t="s">
        <v>1718</v>
      </c>
      <c r="D284" s="3">
        <v>3661</v>
      </c>
      <c r="E284" s="1" t="s">
        <v>43</v>
      </c>
      <c r="F284" s="1" t="s">
        <v>1719</v>
      </c>
      <c r="G284" s="1" t="s">
        <v>1725</v>
      </c>
      <c r="H284" s="4">
        <v>1.75</v>
      </c>
      <c r="I284" s="4">
        <v>7</v>
      </c>
      <c r="J284" s="5">
        <v>20.800000000000001</v>
      </c>
      <c r="K284" s="8">
        <v>25</v>
      </c>
      <c r="L284" s="1" t="s">
        <v>58</v>
      </c>
      <c r="M284" s="1" t="s">
        <v>47</v>
      </c>
      <c r="N284" s="1" t="s">
        <v>1726</v>
      </c>
      <c r="O284" s="1" t="s">
        <v>48</v>
      </c>
      <c r="P284" s="1" t="s">
        <v>1727</v>
      </c>
      <c r="Q284" s="4">
        <v>1.3999999999999999</v>
      </c>
      <c r="R284" s="4">
        <v>1.3999999999999999</v>
      </c>
      <c r="S284" s="8">
        <v>4.2000000000000002</v>
      </c>
      <c r="T284" s="1" t="s">
        <v>60</v>
      </c>
      <c r="U284" s="8">
        <v>16</v>
      </c>
      <c r="V284" s="8">
        <v>14</v>
      </c>
      <c r="W284" s="1"/>
      <c r="X284" s="1"/>
      <c r="Y284" s="7">
        <v>830435</v>
      </c>
      <c r="Z284" s="1"/>
      <c r="AA284" s="1"/>
      <c r="AB284" s="1"/>
      <c r="AC284" s="1"/>
      <c r="AD284" s="1"/>
      <c r="AE284" s="1" t="s">
        <v>51</v>
      </c>
      <c r="AF284" s="1" t="s">
        <v>51</v>
      </c>
      <c r="AG284" s="1" t="s">
        <v>47</v>
      </c>
      <c r="AH284" s="1"/>
      <c r="AI284" s="1"/>
      <c r="AJ284" s="3">
        <v>1</v>
      </c>
      <c r="AK284" s="1" t="s">
        <v>52</v>
      </c>
      <c r="AL284" s="3">
        <v>1</v>
      </c>
      <c r="AM284" s="1"/>
      <c r="AN284" s="1"/>
      <c r="AO284" s="1" t="s">
        <v>1728</v>
      </c>
      <c r="AP284" s="1" t="s">
        <v>1725</v>
      </c>
      <c r="AQ284" s="1" t="s">
        <v>1725</v>
      </c>
      <c r="AR284" s="1" t="s">
        <v>1729</v>
      </c>
    </row>
    <row r="285">
      <c r="A285" s="2">
        <f ca="1">DATE(2000,02,03)</f>
        <v>0</v>
      </c>
      <c r="B285" s="2">
        <f ca="1">DATE(2000,06,01)</f>
        <v>0</v>
      </c>
      <c r="C285" s="1" t="s">
        <v>1730</v>
      </c>
      <c r="D285" s="3">
        <v>7372</v>
      </c>
      <c r="E285" s="1" t="s">
        <v>43</v>
      </c>
      <c r="F285" s="1" t="s">
        <v>1731</v>
      </c>
      <c r="G285" s="1" t="s">
        <v>387</v>
      </c>
      <c r="H285" s="4">
        <v>0.69999999999999996</v>
      </c>
      <c r="I285" s="8">
        <v>7</v>
      </c>
      <c r="J285" s="5">
        <v>40</v>
      </c>
      <c r="K285" s="4">
        <v>10</v>
      </c>
      <c r="L285" s="1" t="s">
        <v>46</v>
      </c>
      <c r="M285" s="1" t="s">
        <v>47</v>
      </c>
      <c r="N285" s="1" t="s">
        <v>1732</v>
      </c>
      <c r="O285" s="1" t="s">
        <v>48</v>
      </c>
      <c r="P285" s="1" t="s">
        <v>1733</v>
      </c>
      <c r="Q285" s="4">
        <v>1.3999999999999999</v>
      </c>
      <c r="R285" s="4">
        <v>1.8</v>
      </c>
      <c r="S285" s="8">
        <v>3.7999999999999998</v>
      </c>
      <c r="T285" s="1" t="s">
        <v>50</v>
      </c>
      <c r="U285" s="1"/>
      <c r="V285" s="1"/>
      <c r="W285" s="1"/>
      <c r="X285" s="5">
        <v>50</v>
      </c>
      <c r="Y285" s="7">
        <v>4000000</v>
      </c>
      <c r="Z285" s="1"/>
      <c r="AA285" s="2">
        <f ca="1">DATE(2000,11,28)</f>
        <v>0</v>
      </c>
      <c r="AB285" s="4">
        <v>83.977000000000004</v>
      </c>
      <c r="AC285" s="3">
        <v>180</v>
      </c>
      <c r="AD285" s="8">
        <v>20964062</v>
      </c>
      <c r="AE285" s="1" t="s">
        <v>51</v>
      </c>
      <c r="AF285" s="1" t="s">
        <v>51</v>
      </c>
      <c r="AG285" s="1" t="s">
        <v>47</v>
      </c>
      <c r="AH285" s="1"/>
      <c r="AI285" s="1"/>
      <c r="AJ285" s="3">
        <v>1</v>
      </c>
      <c r="AK285" s="1" t="s">
        <v>52</v>
      </c>
      <c r="AL285" s="3">
        <v>3</v>
      </c>
      <c r="AM285" s="8">
        <v>10.130000000000001</v>
      </c>
      <c r="AN285" s="1"/>
      <c r="AO285" s="1" t="s">
        <v>1734</v>
      </c>
      <c r="AP285" s="1" t="s">
        <v>387</v>
      </c>
      <c r="AQ285" s="1" t="s">
        <v>1735</v>
      </c>
      <c r="AR285" s="1" t="s">
        <v>1736</v>
      </c>
    </row>
    <row r="286">
      <c r="A286" s="2">
        <f ca="1">DATE(2000,05,08)</f>
        <v>0</v>
      </c>
      <c r="B286" s="2">
        <f ca="1">DATE(2000,06,01)</f>
        <v>0</v>
      </c>
      <c r="C286" s="1" t="s">
        <v>1737</v>
      </c>
      <c r="D286" s="3">
        <v>7812</v>
      </c>
      <c r="E286" s="1" t="s">
        <v>166</v>
      </c>
      <c r="F286" s="1" t="s">
        <v>1738</v>
      </c>
      <c r="G286" s="1" t="s">
        <v>411</v>
      </c>
      <c r="H286" s="4">
        <v>0.92400000000000004</v>
      </c>
      <c r="I286" s="4">
        <v>6</v>
      </c>
      <c r="J286" s="5">
        <v>38.5</v>
      </c>
      <c r="K286" s="4">
        <v>15.4</v>
      </c>
      <c r="L286" s="1" t="s">
        <v>1739</v>
      </c>
      <c r="M286" s="1" t="s">
        <v>47</v>
      </c>
      <c r="N286" s="1" t="s">
        <v>1740</v>
      </c>
      <c r="O286" s="1" t="s">
        <v>48</v>
      </c>
      <c r="P286" s="1" t="s">
        <v>1741</v>
      </c>
      <c r="Q286" s="4">
        <v>1.214</v>
      </c>
      <c r="R286" s="4">
        <v>1.214</v>
      </c>
      <c r="S286" s="6">
        <v>3.5714299999999999</v>
      </c>
      <c r="T286" s="1" t="s">
        <v>50</v>
      </c>
      <c r="U286" s="8">
        <v>20.5</v>
      </c>
      <c r="V286" s="8">
        <v>20.5</v>
      </c>
      <c r="W286" s="7">
        <v>3000000</v>
      </c>
      <c r="X286" s="5">
        <v>61.5</v>
      </c>
      <c r="Y286" s="7">
        <v>2434032</v>
      </c>
      <c r="Z286" s="7">
        <v>65968</v>
      </c>
      <c r="AA286" s="2">
        <f ca="1">DATE(2000,11,28)</f>
        <v>0</v>
      </c>
      <c r="AB286" s="1"/>
      <c r="AC286" s="3">
        <v>180</v>
      </c>
      <c r="AD286" s="1"/>
      <c r="AE286" s="1" t="s">
        <v>51</v>
      </c>
      <c r="AF286" s="1" t="s">
        <v>51</v>
      </c>
      <c r="AG286" s="1" t="s">
        <v>51</v>
      </c>
      <c r="AH286" s="1"/>
      <c r="AI286" s="1"/>
      <c r="AJ286" s="3">
        <v>1</v>
      </c>
      <c r="AK286" s="1" t="s">
        <v>52</v>
      </c>
      <c r="AL286" s="3">
        <v>3</v>
      </c>
      <c r="AM286" s="8">
        <v>15.380000000000001</v>
      </c>
      <c r="AN286" s="1"/>
      <c r="AO286" s="1" t="s">
        <v>1742</v>
      </c>
      <c r="AP286" s="1" t="s">
        <v>411</v>
      </c>
      <c r="AQ286" s="1" t="s">
        <v>1743</v>
      </c>
      <c r="AR286" s="1" t="s">
        <v>1741</v>
      </c>
    </row>
    <row r="287">
      <c r="A287" s="2">
        <f ca="1">DATE(2000,03,06)</f>
        <v>0</v>
      </c>
      <c r="B287" s="2">
        <f ca="1">DATE(2000,06,02)</f>
        <v>0</v>
      </c>
      <c r="C287" s="1" t="s">
        <v>1744</v>
      </c>
      <c r="D287" s="3">
        <v>7361</v>
      </c>
      <c r="E287" s="1" t="s">
        <v>43</v>
      </c>
      <c r="F287" s="1" t="s">
        <v>1745</v>
      </c>
      <c r="G287" s="1" t="s">
        <v>45</v>
      </c>
      <c r="H287" s="4">
        <v>0.69999999999999996</v>
      </c>
      <c r="I287" s="8">
        <v>7</v>
      </c>
      <c r="J287" s="5">
        <v>51</v>
      </c>
      <c r="K287" s="4">
        <v>10</v>
      </c>
      <c r="L287" s="1" t="s">
        <v>46</v>
      </c>
      <c r="M287" s="1" t="s">
        <v>47</v>
      </c>
      <c r="N287" s="3">
        <v>302284104</v>
      </c>
      <c r="O287" s="1" t="s">
        <v>48</v>
      </c>
      <c r="P287" s="1" t="s">
        <v>1746</v>
      </c>
      <c r="Q287" s="4">
        <v>1.3999999999999999</v>
      </c>
      <c r="R287" s="4">
        <v>1.6000000000000001</v>
      </c>
      <c r="S287" s="8">
        <v>4</v>
      </c>
      <c r="T287" s="1" t="s">
        <v>50</v>
      </c>
      <c r="U287" s="1"/>
      <c r="V287" s="1"/>
      <c r="W287" s="1"/>
      <c r="X287" s="5">
        <v>200</v>
      </c>
      <c r="Y287" s="7">
        <v>5100000</v>
      </c>
      <c r="Z287" s="1"/>
      <c r="AA287" s="1"/>
      <c r="AB287" s="1"/>
      <c r="AC287" s="1"/>
      <c r="AD287" s="1"/>
      <c r="AE287" s="1" t="s">
        <v>51</v>
      </c>
      <c r="AF287" s="1" t="s">
        <v>51</v>
      </c>
      <c r="AG287" s="1" t="s">
        <v>47</v>
      </c>
      <c r="AH287" s="1"/>
      <c r="AI287" s="1"/>
      <c r="AJ287" s="3">
        <v>1</v>
      </c>
      <c r="AK287" s="1" t="s">
        <v>52</v>
      </c>
      <c r="AL287" s="3">
        <v>4</v>
      </c>
      <c r="AM287" s="8">
        <v>10</v>
      </c>
      <c r="AN287" s="1"/>
      <c r="AO287" s="1" t="s">
        <v>1747</v>
      </c>
      <c r="AP287" s="1" t="s">
        <v>45</v>
      </c>
      <c r="AQ287" s="1" t="s">
        <v>1748</v>
      </c>
      <c r="AR287" s="1" t="s">
        <v>1749</v>
      </c>
    </row>
    <row r="288">
      <c r="A288" s="2">
        <f ca="1">DATE(2000,03,06)</f>
        <v>0</v>
      </c>
      <c r="B288" s="2">
        <f ca="1">DATE(2000,06,02)</f>
        <v>0</v>
      </c>
      <c r="C288" s="1" t="s">
        <v>1744</v>
      </c>
      <c r="D288" s="3">
        <v>7361</v>
      </c>
      <c r="E288" s="1" t="s">
        <v>43</v>
      </c>
      <c r="F288" s="1" t="s">
        <v>1745</v>
      </c>
      <c r="G288" s="1" t="s">
        <v>45</v>
      </c>
      <c r="H288" s="4">
        <v>0.69999999999999996</v>
      </c>
      <c r="I288" s="8">
        <v>7</v>
      </c>
      <c r="J288" s="5">
        <v>9</v>
      </c>
      <c r="K288" s="8">
        <v>10</v>
      </c>
      <c r="L288" s="1" t="s">
        <v>58</v>
      </c>
      <c r="M288" s="1" t="s">
        <v>47</v>
      </c>
      <c r="N288" s="3">
        <v>302284104</v>
      </c>
      <c r="O288" s="1" t="s">
        <v>48</v>
      </c>
      <c r="P288" s="1" t="s">
        <v>1750</v>
      </c>
      <c r="Q288" s="4">
        <v>1.3999999999999999</v>
      </c>
      <c r="R288" s="4">
        <v>1.6000000000000001</v>
      </c>
      <c r="S288" s="8">
        <v>4</v>
      </c>
      <c r="T288" s="1" t="s">
        <v>60</v>
      </c>
      <c r="U288" s="1"/>
      <c r="V288" s="1"/>
      <c r="W288" s="1"/>
      <c r="X288" s="1"/>
      <c r="Y288" s="7">
        <v>900000</v>
      </c>
      <c r="Z288" s="1"/>
      <c r="AA288" s="1"/>
      <c r="AB288" s="1"/>
      <c r="AC288" s="1"/>
      <c r="AD288" s="1"/>
      <c r="AE288" s="1" t="s">
        <v>51</v>
      </c>
      <c r="AF288" s="1" t="s">
        <v>51</v>
      </c>
      <c r="AG288" s="1" t="s">
        <v>47</v>
      </c>
      <c r="AH288" s="1"/>
      <c r="AI288" s="1"/>
      <c r="AJ288" s="3">
        <v>1</v>
      </c>
      <c r="AK288" s="1" t="s">
        <v>52</v>
      </c>
      <c r="AL288" s="3">
        <v>1</v>
      </c>
      <c r="AM288" s="1"/>
      <c r="AN288" s="1"/>
      <c r="AO288" s="1" t="s">
        <v>1751</v>
      </c>
      <c r="AP288" s="1" t="s">
        <v>45</v>
      </c>
      <c r="AQ288" s="1" t="s">
        <v>45</v>
      </c>
      <c r="AR288" s="1" t="s">
        <v>786</v>
      </c>
    </row>
    <row r="289">
      <c r="A289" s="2">
        <f ca="1">DATE(1999,12,22)</f>
        <v>0</v>
      </c>
      <c r="B289" s="2">
        <f ca="1">DATE(2000,06,06)</f>
        <v>0</v>
      </c>
      <c r="C289" s="1" t="s">
        <v>1752</v>
      </c>
      <c r="D289" s="3">
        <v>5812</v>
      </c>
      <c r="E289" s="1" t="s">
        <v>43</v>
      </c>
      <c r="F289" s="1"/>
      <c r="G289" s="1" t="s">
        <v>1753</v>
      </c>
      <c r="H289" s="4">
        <v>0.41299999999999998</v>
      </c>
      <c r="I289" s="4">
        <v>10</v>
      </c>
      <c r="J289" s="5">
        <v>4.0999999999999996</v>
      </c>
      <c r="K289" s="4">
        <v>4.125</v>
      </c>
      <c r="L289" s="1" t="s">
        <v>46</v>
      </c>
      <c r="M289" s="1" t="s">
        <v>47</v>
      </c>
      <c r="N289" s="3">
        <v>350551107</v>
      </c>
      <c r="O289" s="1"/>
      <c r="P289" s="1" t="s">
        <v>1754</v>
      </c>
      <c r="Q289" s="1" t="s">
        <v>145</v>
      </c>
      <c r="R289" s="1" t="s">
        <v>145</v>
      </c>
      <c r="S289" s="1"/>
      <c r="T289" s="1" t="s">
        <v>50</v>
      </c>
      <c r="U289" s="8">
        <v>4</v>
      </c>
      <c r="V289" s="8">
        <v>4</v>
      </c>
      <c r="W289" s="7">
        <v>1000000</v>
      </c>
      <c r="X289" s="5">
        <v>4</v>
      </c>
      <c r="Y289" s="7">
        <v>1000000</v>
      </c>
      <c r="Z289" s="1"/>
      <c r="AA289" s="2">
        <f ca="1">DATE(2000,12,04)</f>
        <v>0</v>
      </c>
      <c r="AB289" s="4">
        <v>73.558999999999998</v>
      </c>
      <c r="AC289" s="3">
        <v>180</v>
      </c>
      <c r="AD289" s="8">
        <v>2782000</v>
      </c>
      <c r="AE289" s="1" t="s">
        <v>51</v>
      </c>
      <c r="AF289" s="1" t="s">
        <v>47</v>
      </c>
      <c r="AG289" s="1" t="s">
        <v>51</v>
      </c>
      <c r="AH289" s="1"/>
      <c r="AI289" s="1"/>
      <c r="AJ289" s="3">
        <v>1</v>
      </c>
      <c r="AK289" s="1" t="s">
        <v>52</v>
      </c>
      <c r="AL289" s="3">
        <v>1</v>
      </c>
      <c r="AM289" s="8">
        <v>4.1299999999999999</v>
      </c>
      <c r="AN289" s="1"/>
      <c r="AO289" s="1" t="s">
        <v>1753</v>
      </c>
      <c r="AP289" s="1" t="s">
        <v>1753</v>
      </c>
      <c r="AQ289" s="1" t="s">
        <v>1753</v>
      </c>
      <c r="AR289" s="1" t="s">
        <v>1755</v>
      </c>
    </row>
    <row r="290">
      <c r="A290" s="2">
        <f ca="1">DATE(2000,03,10)</f>
        <v>0</v>
      </c>
      <c r="B290" s="2">
        <f ca="1">DATE(2000,06,07)</f>
        <v>0</v>
      </c>
      <c r="C290" s="1" t="s">
        <v>1756</v>
      </c>
      <c r="D290" s="3">
        <v>4812</v>
      </c>
      <c r="E290" s="1" t="s">
        <v>43</v>
      </c>
      <c r="F290" s="1" t="s">
        <v>1757</v>
      </c>
      <c r="G290" s="1" t="s">
        <v>151</v>
      </c>
      <c r="H290" s="4">
        <v>0.5</v>
      </c>
      <c r="I290" s="4">
        <v>6.25</v>
      </c>
      <c r="J290" s="5">
        <v>100</v>
      </c>
      <c r="K290" s="4">
        <v>8</v>
      </c>
      <c r="L290" s="1" t="s">
        <v>46</v>
      </c>
      <c r="M290" s="1" t="s">
        <v>47</v>
      </c>
      <c r="N290" s="3">
        <v>903474302</v>
      </c>
      <c r="O290" s="1" t="s">
        <v>48</v>
      </c>
      <c r="P290" s="1" t="s">
        <v>1758</v>
      </c>
      <c r="Q290" s="4">
        <v>1.25</v>
      </c>
      <c r="R290" s="4">
        <v>1.25</v>
      </c>
      <c r="S290" s="8">
        <v>3.75</v>
      </c>
      <c r="T290" s="1" t="s">
        <v>50</v>
      </c>
      <c r="U290" s="1"/>
      <c r="V290" s="1"/>
      <c r="W290" s="1"/>
      <c r="X290" s="5">
        <v>150</v>
      </c>
      <c r="Y290" s="7">
        <v>12500000</v>
      </c>
      <c r="Z290" s="1"/>
      <c r="AA290" s="2">
        <f ca="1">DATE(2000,12,04)</f>
        <v>0</v>
      </c>
      <c r="AB290" s="4">
        <v>80.084000000000003</v>
      </c>
      <c r="AC290" s="3">
        <v>180</v>
      </c>
      <c r="AD290" s="8">
        <v>50263604</v>
      </c>
      <c r="AE290" s="1" t="s">
        <v>51</v>
      </c>
      <c r="AF290" s="1" t="s">
        <v>51</v>
      </c>
      <c r="AG290" s="1" t="s">
        <v>47</v>
      </c>
      <c r="AH290" s="1"/>
      <c r="AI290" s="1"/>
      <c r="AJ290" s="3">
        <v>1</v>
      </c>
      <c r="AK290" s="1" t="s">
        <v>52</v>
      </c>
      <c r="AL290" s="3">
        <v>3</v>
      </c>
      <c r="AM290" s="8">
        <v>7.6900000000000004</v>
      </c>
      <c r="AN290" s="1"/>
      <c r="AO290" s="1" t="s">
        <v>1759</v>
      </c>
      <c r="AP290" s="1" t="s">
        <v>151</v>
      </c>
      <c r="AQ290" s="1" t="s">
        <v>1760</v>
      </c>
      <c r="AR290" s="1" t="s">
        <v>1761</v>
      </c>
    </row>
    <row r="291">
      <c r="A291" s="2">
        <f ca="1">DATE(2000,03,06)</f>
        <v>0</v>
      </c>
      <c r="B291" s="2">
        <f ca="1">DATE(2000,06,08)</f>
        <v>0</v>
      </c>
      <c r="C291" s="1" t="s">
        <v>1762</v>
      </c>
      <c r="D291" s="3">
        <v>8062</v>
      </c>
      <c r="E291" s="1" t="s">
        <v>43</v>
      </c>
      <c r="F291" s="1" t="s">
        <v>1763</v>
      </c>
      <c r="G291" s="1" t="s">
        <v>45</v>
      </c>
      <c r="H291" s="4">
        <v>0.78000000000000003</v>
      </c>
      <c r="I291" s="4">
        <v>6</v>
      </c>
      <c r="J291" s="5">
        <v>225.69999999999999</v>
      </c>
      <c r="K291" s="4">
        <v>13</v>
      </c>
      <c r="L291" s="1" t="s">
        <v>46</v>
      </c>
      <c r="M291" s="1" t="s">
        <v>47</v>
      </c>
      <c r="N291" s="3">
        <v>203668108</v>
      </c>
      <c r="O291" s="1" t="s">
        <v>108</v>
      </c>
      <c r="P291" s="1" t="s">
        <v>1764</v>
      </c>
      <c r="Q291" s="4">
        <v>1.2310000000000001</v>
      </c>
      <c r="R291" s="4">
        <v>1.385</v>
      </c>
      <c r="S291" s="6">
        <v>3.38462</v>
      </c>
      <c r="T291" s="1" t="s">
        <v>50</v>
      </c>
      <c r="U291" s="1"/>
      <c r="V291" s="1"/>
      <c r="W291" s="1"/>
      <c r="X291" s="5">
        <v>230</v>
      </c>
      <c r="Y291" s="7">
        <v>17361961</v>
      </c>
      <c r="Z291" s="1"/>
      <c r="AA291" s="1"/>
      <c r="AB291" s="1"/>
      <c r="AC291" s="1"/>
      <c r="AD291" s="1"/>
      <c r="AE291" s="1" t="s">
        <v>51</v>
      </c>
      <c r="AF291" s="1" t="s">
        <v>51</v>
      </c>
      <c r="AG291" s="1" t="s">
        <v>51</v>
      </c>
      <c r="AH291" s="1"/>
      <c r="AI291" s="1"/>
      <c r="AJ291" s="3">
        <v>1</v>
      </c>
      <c r="AK291" s="1" t="s">
        <v>52</v>
      </c>
      <c r="AL291" s="3">
        <v>6</v>
      </c>
      <c r="AM291" s="8">
        <v>13.69</v>
      </c>
      <c r="AN291" s="1"/>
      <c r="AO291" s="1" t="s">
        <v>1765</v>
      </c>
      <c r="AP291" s="1" t="s">
        <v>45</v>
      </c>
      <c r="AQ291" s="1" t="s">
        <v>1766</v>
      </c>
      <c r="AR291" s="1" t="s">
        <v>1767</v>
      </c>
    </row>
    <row r="292">
      <c r="A292" s="2">
        <f ca="1">DATE(2000,03,06)</f>
        <v>0</v>
      </c>
      <c r="B292" s="2">
        <f ca="1">DATE(2000,06,08)</f>
        <v>0</v>
      </c>
      <c r="C292" s="1" t="s">
        <v>1762</v>
      </c>
      <c r="D292" s="3">
        <v>8062</v>
      </c>
      <c r="E292" s="1" t="s">
        <v>43</v>
      </c>
      <c r="F292" s="1" t="s">
        <v>1763</v>
      </c>
      <c r="G292" s="1" t="s">
        <v>45</v>
      </c>
      <c r="H292" s="4">
        <v>0.78000000000000003</v>
      </c>
      <c r="I292" s="4">
        <v>6</v>
      </c>
      <c r="J292" s="5">
        <v>18</v>
      </c>
      <c r="K292" s="8">
        <v>13</v>
      </c>
      <c r="L292" s="1" t="s">
        <v>58</v>
      </c>
      <c r="M292" s="1" t="s">
        <v>47</v>
      </c>
      <c r="N292" s="3">
        <v>203668108</v>
      </c>
      <c r="O292" s="1" t="s">
        <v>108</v>
      </c>
      <c r="P292" s="1" t="s">
        <v>1768</v>
      </c>
      <c r="Q292" s="4">
        <v>1.2310000000000001</v>
      </c>
      <c r="R292" s="4">
        <v>1.385</v>
      </c>
      <c r="S292" s="6">
        <v>3.38462</v>
      </c>
      <c r="T292" s="1" t="s">
        <v>60</v>
      </c>
      <c r="U292" s="1"/>
      <c r="V292" s="1"/>
      <c r="W292" s="1"/>
      <c r="X292" s="1"/>
      <c r="Y292" s="7">
        <v>1388039</v>
      </c>
      <c r="Z292" s="1"/>
      <c r="AA292" s="1"/>
      <c r="AB292" s="1"/>
      <c r="AC292" s="1"/>
      <c r="AD292" s="1"/>
      <c r="AE292" s="1" t="s">
        <v>51</v>
      </c>
      <c r="AF292" s="1" t="s">
        <v>51</v>
      </c>
      <c r="AG292" s="1" t="s">
        <v>51</v>
      </c>
      <c r="AH292" s="1"/>
      <c r="AI292" s="1"/>
      <c r="AJ292" s="3">
        <v>1</v>
      </c>
      <c r="AK292" s="1" t="s">
        <v>52</v>
      </c>
      <c r="AL292" s="3">
        <v>1</v>
      </c>
      <c r="AM292" s="1"/>
      <c r="AN292" s="1"/>
      <c r="AO292" s="1" t="s">
        <v>1769</v>
      </c>
      <c r="AP292" s="1" t="s">
        <v>45</v>
      </c>
      <c r="AQ292" s="1" t="s">
        <v>45</v>
      </c>
      <c r="AR292" s="1" t="s">
        <v>786</v>
      </c>
    </row>
    <row r="293">
      <c r="A293" s="2">
        <f ca="1">DATE(1999,11,17)</f>
        <v>0</v>
      </c>
      <c r="B293" s="2">
        <f ca="1">DATE(2000,06,12)</f>
        <v>0</v>
      </c>
      <c r="C293" s="1" t="s">
        <v>1770</v>
      </c>
      <c r="D293" s="3">
        <v>7389</v>
      </c>
      <c r="E293" s="1" t="s">
        <v>43</v>
      </c>
      <c r="F293" s="1" t="s">
        <v>1771</v>
      </c>
      <c r="G293" s="1" t="s">
        <v>1772</v>
      </c>
      <c r="H293" s="4">
        <v>0.56000000000000005</v>
      </c>
      <c r="I293" s="4">
        <v>7</v>
      </c>
      <c r="J293" s="5">
        <v>10.4</v>
      </c>
      <c r="K293" s="4">
        <v>8</v>
      </c>
      <c r="L293" s="1" t="s">
        <v>46</v>
      </c>
      <c r="M293" s="1" t="s">
        <v>47</v>
      </c>
      <c r="N293" s="3">
        <v>874052103</v>
      </c>
      <c r="O293" s="1" t="s">
        <v>87</v>
      </c>
      <c r="P293" s="1" t="s">
        <v>1773</v>
      </c>
      <c r="Q293" s="1" t="s">
        <v>145</v>
      </c>
      <c r="R293" s="1" t="s">
        <v>145</v>
      </c>
      <c r="S293" s="8">
        <v>3.5</v>
      </c>
      <c r="T293" s="1" t="s">
        <v>50</v>
      </c>
      <c r="U293" s="8">
        <v>12</v>
      </c>
      <c r="V293" s="8">
        <v>10</v>
      </c>
      <c r="W293" s="7">
        <v>2000000</v>
      </c>
      <c r="X293" s="5">
        <v>22</v>
      </c>
      <c r="Y293" s="7">
        <v>1300000</v>
      </c>
      <c r="Z293" s="1"/>
      <c r="AA293" s="2">
        <f ca="1">DATE(2000,12,09)</f>
        <v>0</v>
      </c>
      <c r="AB293" s="4">
        <v>38.668999999999997</v>
      </c>
      <c r="AC293" s="3">
        <v>180</v>
      </c>
      <c r="AD293" s="8">
        <v>2822857</v>
      </c>
      <c r="AE293" s="1" t="s">
        <v>51</v>
      </c>
      <c r="AF293" s="1" t="s">
        <v>51</v>
      </c>
      <c r="AG293" s="1" t="s">
        <v>51</v>
      </c>
      <c r="AH293" s="1"/>
      <c r="AI293" s="1"/>
      <c r="AJ293" s="3">
        <v>1</v>
      </c>
      <c r="AK293" s="1" t="s">
        <v>52</v>
      </c>
      <c r="AL293" s="3">
        <v>1</v>
      </c>
      <c r="AM293" s="8">
        <v>8.5</v>
      </c>
      <c r="AN293" s="1"/>
      <c r="AO293" s="1" t="s">
        <v>1772</v>
      </c>
      <c r="AP293" s="1" t="s">
        <v>1772</v>
      </c>
      <c r="AQ293" s="1" t="s">
        <v>1772</v>
      </c>
      <c r="AR293" s="1" t="s">
        <v>1774</v>
      </c>
    </row>
    <row r="294">
      <c r="A294" s="2">
        <f ca="1">DATE(2000,03,22)</f>
        <v>0</v>
      </c>
      <c r="B294" s="2">
        <f ca="1">DATE(2000,06,13)</f>
        <v>0</v>
      </c>
      <c r="C294" s="1" t="s">
        <v>1775</v>
      </c>
      <c r="D294" s="3">
        <v>3842</v>
      </c>
      <c r="E294" s="1" t="s">
        <v>43</v>
      </c>
      <c r="F294" s="1" t="s">
        <v>1776</v>
      </c>
      <c r="G294" s="1" t="s">
        <v>813</v>
      </c>
      <c r="H294" s="4">
        <v>0.63</v>
      </c>
      <c r="I294" s="4">
        <v>7</v>
      </c>
      <c r="J294" s="5">
        <v>35.600000000000001</v>
      </c>
      <c r="K294" s="4">
        <v>9</v>
      </c>
      <c r="L294" s="1" t="s">
        <v>46</v>
      </c>
      <c r="M294" s="1" t="s">
        <v>47</v>
      </c>
      <c r="N294" s="1" t="s">
        <v>1777</v>
      </c>
      <c r="O294" s="1" t="s">
        <v>48</v>
      </c>
      <c r="P294" s="1" t="s">
        <v>1778</v>
      </c>
      <c r="Q294" s="4">
        <v>1.444</v>
      </c>
      <c r="R294" s="4">
        <v>1.667</v>
      </c>
      <c r="S294" s="6">
        <v>3.88889</v>
      </c>
      <c r="T294" s="1" t="s">
        <v>50</v>
      </c>
      <c r="U294" s="1"/>
      <c r="V294" s="1"/>
      <c r="W294" s="1"/>
      <c r="X294" s="5">
        <v>115</v>
      </c>
      <c r="Y294" s="7">
        <v>3950000</v>
      </c>
      <c r="Z294" s="1"/>
      <c r="AA294" s="1"/>
      <c r="AB294" s="1"/>
      <c r="AC294" s="1"/>
      <c r="AD294" s="1"/>
      <c r="AE294" s="1" t="s">
        <v>51</v>
      </c>
      <c r="AF294" s="1" t="s">
        <v>51</v>
      </c>
      <c r="AG294" s="1" t="s">
        <v>47</v>
      </c>
      <c r="AH294" s="1"/>
      <c r="AI294" s="1"/>
      <c r="AJ294" s="3">
        <v>1</v>
      </c>
      <c r="AK294" s="1" t="s">
        <v>52</v>
      </c>
      <c r="AL294" s="3">
        <v>5</v>
      </c>
      <c r="AM294" s="8">
        <v>9.0299999999999994</v>
      </c>
      <c r="AN294" s="1"/>
      <c r="AO294" s="1" t="s">
        <v>1779</v>
      </c>
      <c r="AP294" s="1" t="s">
        <v>813</v>
      </c>
      <c r="AQ294" s="1" t="s">
        <v>1780</v>
      </c>
      <c r="AR294" s="1" t="s">
        <v>1781</v>
      </c>
    </row>
    <row r="295">
      <c r="A295" s="2">
        <f ca="1">DATE(2000,03,22)</f>
        <v>0</v>
      </c>
      <c r="B295" s="2">
        <f ca="1">DATE(2000,06,13)</f>
        <v>0</v>
      </c>
      <c r="C295" s="1" t="s">
        <v>1775</v>
      </c>
      <c r="D295" s="3">
        <v>3842</v>
      </c>
      <c r="E295" s="1" t="s">
        <v>43</v>
      </c>
      <c r="F295" s="1" t="s">
        <v>1776</v>
      </c>
      <c r="G295" s="1" t="s">
        <v>813</v>
      </c>
      <c r="H295" s="4">
        <v>0.63</v>
      </c>
      <c r="I295" s="4">
        <v>7</v>
      </c>
      <c r="J295" s="5">
        <v>9.5</v>
      </c>
      <c r="K295" s="8">
        <v>9</v>
      </c>
      <c r="L295" s="1" t="s">
        <v>58</v>
      </c>
      <c r="M295" s="1" t="s">
        <v>47</v>
      </c>
      <c r="N295" s="1" t="s">
        <v>1777</v>
      </c>
      <c r="O295" s="1" t="s">
        <v>48</v>
      </c>
      <c r="P295" s="1" t="s">
        <v>1782</v>
      </c>
      <c r="Q295" s="4">
        <v>1.3999999999999999</v>
      </c>
      <c r="R295" s="4">
        <v>1.6699999999999999</v>
      </c>
      <c r="S295" s="8">
        <v>3.8900000000000001</v>
      </c>
      <c r="T295" s="1" t="s">
        <v>60</v>
      </c>
      <c r="U295" s="1"/>
      <c r="V295" s="1"/>
      <c r="W295" s="1"/>
      <c r="X295" s="1"/>
      <c r="Y295" s="7">
        <v>1050000</v>
      </c>
      <c r="Z295" s="1"/>
      <c r="AA295" s="1"/>
      <c r="AB295" s="1"/>
      <c r="AC295" s="1"/>
      <c r="AD295" s="1"/>
      <c r="AE295" s="1" t="s">
        <v>51</v>
      </c>
      <c r="AF295" s="1" t="s">
        <v>51</v>
      </c>
      <c r="AG295" s="1" t="s">
        <v>47</v>
      </c>
      <c r="AH295" s="1"/>
      <c r="AI295" s="1"/>
      <c r="AJ295" s="3">
        <v>1</v>
      </c>
      <c r="AK295" s="1" t="s">
        <v>52</v>
      </c>
      <c r="AL295" s="3">
        <v>1</v>
      </c>
      <c r="AM295" s="1"/>
      <c r="AN295" s="1"/>
      <c r="AO295" s="1" t="s">
        <v>1783</v>
      </c>
      <c r="AP295" s="1" t="s">
        <v>813</v>
      </c>
      <c r="AQ295" s="1" t="s">
        <v>813</v>
      </c>
      <c r="AR295" s="1" t="s">
        <v>1607</v>
      </c>
    </row>
    <row r="296">
      <c r="A296" s="2">
        <f ca="1">DATE(2000,03,17)</f>
        <v>0</v>
      </c>
      <c r="B296" s="2">
        <f ca="1">DATE(2000,06,14)</f>
        <v>0</v>
      </c>
      <c r="C296" s="1" t="s">
        <v>1784</v>
      </c>
      <c r="D296" s="3">
        <v>3679</v>
      </c>
      <c r="E296" s="1" t="s">
        <v>43</v>
      </c>
      <c r="F296" s="1" t="s">
        <v>1785</v>
      </c>
      <c r="G296" s="1" t="s">
        <v>342</v>
      </c>
      <c r="H296" s="4">
        <v>0.83999999999999997</v>
      </c>
      <c r="I296" s="8">
        <v>7</v>
      </c>
      <c r="J296" s="5">
        <v>39.600000000000001</v>
      </c>
      <c r="K296" s="4">
        <v>12</v>
      </c>
      <c r="L296" s="1" t="s">
        <v>46</v>
      </c>
      <c r="M296" s="1" t="s">
        <v>47</v>
      </c>
      <c r="N296" s="1" t="s">
        <v>1786</v>
      </c>
      <c r="O296" s="1" t="s">
        <v>48</v>
      </c>
      <c r="P296" s="1" t="s">
        <v>1787</v>
      </c>
      <c r="Q296" s="4">
        <v>1.417</v>
      </c>
      <c r="R296" s="4">
        <v>1.667</v>
      </c>
      <c r="S296" s="6">
        <v>3.9166699999999999</v>
      </c>
      <c r="T296" s="1" t="s">
        <v>50</v>
      </c>
      <c r="U296" s="1"/>
      <c r="V296" s="1"/>
      <c r="W296" s="1"/>
      <c r="X296" s="5">
        <v>45</v>
      </c>
      <c r="Y296" s="7">
        <v>3300000</v>
      </c>
      <c r="Z296" s="1"/>
      <c r="AA296" s="2">
        <f ca="1">DATE(2000,12,11)</f>
        <v>0</v>
      </c>
      <c r="AB296" s="4">
        <v>73.692999999999998</v>
      </c>
      <c r="AC296" s="3">
        <v>180</v>
      </c>
      <c r="AD296" s="8">
        <v>9244301</v>
      </c>
      <c r="AE296" s="1" t="s">
        <v>51</v>
      </c>
      <c r="AF296" s="1" t="s">
        <v>51</v>
      </c>
      <c r="AG296" s="1" t="s">
        <v>47</v>
      </c>
      <c r="AH296" s="1"/>
      <c r="AI296" s="1"/>
      <c r="AJ296" s="3">
        <v>1</v>
      </c>
      <c r="AK296" s="1" t="s">
        <v>52</v>
      </c>
      <c r="AL296" s="3">
        <v>3</v>
      </c>
      <c r="AM296" s="8">
        <v>15.19</v>
      </c>
      <c r="AN296" s="1"/>
      <c r="AO296" s="1" t="s">
        <v>1788</v>
      </c>
      <c r="AP296" s="1" t="s">
        <v>342</v>
      </c>
      <c r="AQ296" s="1" t="s">
        <v>1789</v>
      </c>
      <c r="AR296" s="1" t="s">
        <v>1790</v>
      </c>
    </row>
    <row r="297">
      <c r="A297" s="2">
        <f ca="1">DATE(2000,03,08)</f>
        <v>0</v>
      </c>
      <c r="B297" s="2">
        <f ca="1">DATE(2000,06,14)</f>
        <v>0</v>
      </c>
      <c r="C297" s="1" t="s">
        <v>1791</v>
      </c>
      <c r="D297" s="3">
        <v>1389</v>
      </c>
      <c r="E297" s="1" t="s">
        <v>43</v>
      </c>
      <c r="F297" s="1" t="s">
        <v>1792</v>
      </c>
      <c r="G297" s="1" t="s">
        <v>204</v>
      </c>
      <c r="H297" s="4">
        <v>1.085</v>
      </c>
      <c r="I297" s="8">
        <v>7</v>
      </c>
      <c r="J297" s="5">
        <v>86.799999999999997</v>
      </c>
      <c r="K297" s="4">
        <v>15.5</v>
      </c>
      <c r="L297" s="1" t="s">
        <v>46</v>
      </c>
      <c r="M297" s="1" t="s">
        <v>47</v>
      </c>
      <c r="N297" s="3">
        <v>687836106</v>
      </c>
      <c r="O297" s="1" t="s">
        <v>48</v>
      </c>
      <c r="P297" s="1" t="s">
        <v>1793</v>
      </c>
      <c r="Q297" s="4">
        <v>1.387</v>
      </c>
      <c r="R297" s="4">
        <v>1.419</v>
      </c>
      <c r="S297" s="6">
        <v>4.1935500000000001</v>
      </c>
      <c r="T297" s="1" t="s">
        <v>50</v>
      </c>
      <c r="U297" s="1"/>
      <c r="V297" s="1"/>
      <c r="W297" s="1"/>
      <c r="X297" s="5">
        <v>143.80000000000001</v>
      </c>
      <c r="Y297" s="7">
        <v>5600000</v>
      </c>
      <c r="Z297" s="1"/>
      <c r="AA297" s="2">
        <f ca="1">DATE(2000,12,11)</f>
        <v>0</v>
      </c>
      <c r="AB297" s="4">
        <v>100</v>
      </c>
      <c r="AC297" s="3">
        <v>180</v>
      </c>
      <c r="AD297" s="8">
        <v>14000000</v>
      </c>
      <c r="AE297" s="1" t="s">
        <v>51</v>
      </c>
      <c r="AF297" s="1" t="s">
        <v>51</v>
      </c>
      <c r="AG297" s="1" t="s">
        <v>51</v>
      </c>
      <c r="AH297" s="1" t="s">
        <v>1794</v>
      </c>
      <c r="AI297" s="1" t="s">
        <v>1795</v>
      </c>
      <c r="AJ297" s="3">
        <v>1</v>
      </c>
      <c r="AK297" s="1" t="s">
        <v>52</v>
      </c>
      <c r="AL297" s="3">
        <v>3</v>
      </c>
      <c r="AM297" s="8">
        <v>17.629999999999999</v>
      </c>
      <c r="AN297" s="1"/>
      <c r="AO297" s="1" t="s">
        <v>1796</v>
      </c>
      <c r="AP297" s="1" t="s">
        <v>204</v>
      </c>
      <c r="AQ297" s="1" t="s">
        <v>1797</v>
      </c>
      <c r="AR297" s="1" t="s">
        <v>1798</v>
      </c>
    </row>
    <row r="298">
      <c r="A298" s="2">
        <f ca="1">DATE(2000,03,28)</f>
        <v>0</v>
      </c>
      <c r="B298" s="2">
        <f ca="1">DATE(2000,06,14)</f>
        <v>0</v>
      </c>
      <c r="C298" s="1" t="s">
        <v>1799</v>
      </c>
      <c r="D298" s="3">
        <v>6021</v>
      </c>
      <c r="E298" s="1" t="s">
        <v>43</v>
      </c>
      <c r="F298" s="1" t="s">
        <v>1800</v>
      </c>
      <c r="G298" s="1" t="s">
        <v>1223</v>
      </c>
      <c r="H298" s="4">
        <v>0.56000000000000005</v>
      </c>
      <c r="I298" s="4">
        <v>7</v>
      </c>
      <c r="J298" s="5">
        <v>20</v>
      </c>
      <c r="K298" s="4">
        <v>8</v>
      </c>
      <c r="L298" s="1" t="s">
        <v>46</v>
      </c>
      <c r="M298" s="1" t="s">
        <v>47</v>
      </c>
      <c r="N298" s="3">
        <v>694552100</v>
      </c>
      <c r="O298" s="1" t="s">
        <v>48</v>
      </c>
      <c r="P298" s="1" t="s">
        <v>1801</v>
      </c>
      <c r="Q298" s="4">
        <v>1.5</v>
      </c>
      <c r="R298" s="4">
        <v>1.5</v>
      </c>
      <c r="S298" s="8">
        <v>4</v>
      </c>
      <c r="T298" s="1" t="s">
        <v>50</v>
      </c>
      <c r="U298" s="8">
        <v>15</v>
      </c>
      <c r="V298" s="8">
        <v>12.5</v>
      </c>
      <c r="W298" s="7">
        <v>3000000</v>
      </c>
      <c r="X298" s="5">
        <v>41.299999999999997</v>
      </c>
      <c r="Y298" s="7">
        <v>2500000</v>
      </c>
      <c r="Z298" s="1"/>
      <c r="AA298" s="2">
        <f ca="1">DATE(2000,12,11)</f>
        <v>0</v>
      </c>
      <c r="AB298" s="4">
        <v>1.379</v>
      </c>
      <c r="AC298" s="3">
        <v>180</v>
      </c>
      <c r="AD298" s="8">
        <v>523047</v>
      </c>
      <c r="AE298" s="1" t="s">
        <v>51</v>
      </c>
      <c r="AF298" s="1" t="s">
        <v>51</v>
      </c>
      <c r="AG298" s="1" t="s">
        <v>51</v>
      </c>
      <c r="AH298" s="1"/>
      <c r="AI298" s="1"/>
      <c r="AJ298" s="3">
        <v>1</v>
      </c>
      <c r="AK298" s="1" t="s">
        <v>52</v>
      </c>
      <c r="AL298" s="3">
        <v>5</v>
      </c>
      <c r="AM298" s="8">
        <v>8.1300000000000008</v>
      </c>
      <c r="AN298" s="1"/>
      <c r="AO298" s="1" t="s">
        <v>1802</v>
      </c>
      <c r="AP298" s="1" t="s">
        <v>1223</v>
      </c>
      <c r="AQ298" s="1" t="s">
        <v>1803</v>
      </c>
      <c r="AR298" s="1" t="s">
        <v>1804</v>
      </c>
    </row>
    <row r="299">
      <c r="A299" s="2">
        <f ca="1">DATE(2000,02,12)</f>
        <v>0</v>
      </c>
      <c r="B299" s="2">
        <f ca="1">DATE(2000,06,14)</f>
        <v>0</v>
      </c>
      <c r="C299" s="1" t="s">
        <v>1805</v>
      </c>
      <c r="D299" s="3">
        <v>7375</v>
      </c>
      <c r="E299" s="1" t="s">
        <v>1806</v>
      </c>
      <c r="F299" s="1" t="s">
        <v>1807</v>
      </c>
      <c r="G299" s="1" t="s">
        <v>1206</v>
      </c>
      <c r="H299" s="4">
        <v>0.83999999999999997</v>
      </c>
      <c r="I299" s="8">
        <v>7</v>
      </c>
      <c r="J299" s="5">
        <v>55.200000000000003</v>
      </c>
      <c r="K299" s="8">
        <v>12</v>
      </c>
      <c r="L299" s="1" t="s">
        <v>651</v>
      </c>
      <c r="M299" s="1" t="s">
        <v>47</v>
      </c>
      <c r="N299" s="3">
        <v>757479100</v>
      </c>
      <c r="O299" s="1" t="s">
        <v>48</v>
      </c>
      <c r="P299" s="1" t="s">
        <v>1808</v>
      </c>
      <c r="Q299" s="4">
        <v>1.3999999999999999</v>
      </c>
      <c r="R299" s="4">
        <v>1.3999999999999999</v>
      </c>
      <c r="S299" s="8">
        <v>4.2000000000000002</v>
      </c>
      <c r="T299" s="1" t="s">
        <v>60</v>
      </c>
      <c r="U299" s="1"/>
      <c r="V299" s="1"/>
      <c r="W299" s="1"/>
      <c r="X299" s="1"/>
      <c r="Y299" s="7">
        <v>4600000</v>
      </c>
      <c r="Z299" s="1"/>
      <c r="AA299" s="1"/>
      <c r="AB299" s="1"/>
      <c r="AC299" s="1"/>
      <c r="AD299" s="1"/>
      <c r="AE299" s="1" t="s">
        <v>47</v>
      </c>
      <c r="AF299" s="1" t="s">
        <v>51</v>
      </c>
      <c r="AG299" s="1" t="s">
        <v>51</v>
      </c>
      <c r="AH299" s="1"/>
      <c r="AI299" s="1"/>
      <c r="AJ299" s="3">
        <v>1</v>
      </c>
      <c r="AK299" s="1" t="s">
        <v>52</v>
      </c>
      <c r="AL299" s="3">
        <v>2</v>
      </c>
      <c r="AM299" s="1"/>
      <c r="AN299" s="1"/>
      <c r="AO299" s="1" t="s">
        <v>1809</v>
      </c>
      <c r="AP299" s="1" t="s">
        <v>1206</v>
      </c>
      <c r="AQ299" s="1" t="s">
        <v>1810</v>
      </c>
      <c r="AR299" s="1" t="s">
        <v>1811</v>
      </c>
    </row>
    <row r="300">
      <c r="A300" s="2">
        <f ca="1">DATE(1999,11,15)</f>
        <v>0</v>
      </c>
      <c r="B300" s="2">
        <f ca="1">DATE(2000,06,15)</f>
        <v>0</v>
      </c>
      <c r="C300" s="1" t="s">
        <v>1812</v>
      </c>
      <c r="D300" s="3">
        <v>7375</v>
      </c>
      <c r="E300" s="1" t="s">
        <v>43</v>
      </c>
      <c r="F300" s="1" t="s">
        <v>1813</v>
      </c>
      <c r="G300" s="1" t="s">
        <v>1814</v>
      </c>
      <c r="H300" s="4">
        <v>0.91000000000000003</v>
      </c>
      <c r="I300" s="4">
        <v>7</v>
      </c>
      <c r="J300" s="5">
        <v>16.399999999999999</v>
      </c>
      <c r="K300" s="4">
        <v>13</v>
      </c>
      <c r="L300" s="1" t="s">
        <v>46</v>
      </c>
      <c r="M300" s="1" t="s">
        <v>47</v>
      </c>
      <c r="N300" s="1" t="s">
        <v>1815</v>
      </c>
      <c r="O300" s="1" t="s">
        <v>48</v>
      </c>
      <c r="P300" s="1" t="s">
        <v>1816</v>
      </c>
      <c r="Q300" s="4">
        <v>1.385</v>
      </c>
      <c r="R300" s="4">
        <v>1.385</v>
      </c>
      <c r="S300" s="6">
        <v>4.2307699999999997</v>
      </c>
      <c r="T300" s="1" t="s">
        <v>50</v>
      </c>
      <c r="U300" s="8">
        <v>16</v>
      </c>
      <c r="V300" s="8">
        <v>14</v>
      </c>
      <c r="W300" s="7">
        <v>3333333</v>
      </c>
      <c r="X300" s="5">
        <v>50</v>
      </c>
      <c r="Y300" s="7">
        <v>1260000</v>
      </c>
      <c r="Z300" s="1"/>
      <c r="AA300" s="2">
        <f ca="1">DATE(2000,12,12)</f>
        <v>0</v>
      </c>
      <c r="AB300" s="4">
        <v>59.835000000000001</v>
      </c>
      <c r="AC300" s="3">
        <v>180</v>
      </c>
      <c r="AD300" s="8">
        <v>8648988</v>
      </c>
      <c r="AE300" s="1" t="s">
        <v>51</v>
      </c>
      <c r="AF300" s="1" t="s">
        <v>51</v>
      </c>
      <c r="AG300" s="1" t="s">
        <v>51</v>
      </c>
      <c r="AH300" s="1"/>
      <c r="AI300" s="1"/>
      <c r="AJ300" s="3">
        <v>1</v>
      </c>
      <c r="AK300" s="1" t="s">
        <v>52</v>
      </c>
      <c r="AL300" s="3">
        <v>1</v>
      </c>
      <c r="AM300" s="8">
        <v>7.3799999999999999</v>
      </c>
      <c r="AN300" s="1"/>
      <c r="AO300" s="1" t="s">
        <v>1817</v>
      </c>
      <c r="AP300" s="1" t="s">
        <v>1814</v>
      </c>
      <c r="AQ300" s="1" t="s">
        <v>1814</v>
      </c>
      <c r="AR300" s="1" t="s">
        <v>1818</v>
      </c>
    </row>
    <row r="301">
      <c r="A301" s="2">
        <f ca="1">DATE(2000,03,08)</f>
        <v>0</v>
      </c>
      <c r="B301" s="2">
        <f ca="1">DATE(2000,06,16)</f>
        <v>0</v>
      </c>
      <c r="C301" s="1" t="s">
        <v>1819</v>
      </c>
      <c r="D301" s="3">
        <v>2834</v>
      </c>
      <c r="E301" s="1" t="s">
        <v>43</v>
      </c>
      <c r="F301" s="1" t="s">
        <v>1820</v>
      </c>
      <c r="G301" s="1" t="s">
        <v>1821</v>
      </c>
      <c r="H301" s="4">
        <v>0.69999999999999996</v>
      </c>
      <c r="I301" s="8">
        <v>7</v>
      </c>
      <c r="J301" s="5">
        <v>45</v>
      </c>
      <c r="K301" s="4">
        <v>10</v>
      </c>
      <c r="L301" s="1" t="s">
        <v>46</v>
      </c>
      <c r="M301" s="1" t="s">
        <v>47</v>
      </c>
      <c r="N301" s="1" t="s">
        <v>1822</v>
      </c>
      <c r="O301" s="1" t="s">
        <v>48</v>
      </c>
      <c r="P301" s="1" t="s">
        <v>1823</v>
      </c>
      <c r="Q301" s="4">
        <v>1.3999999999999999</v>
      </c>
      <c r="R301" s="4">
        <v>1.6000000000000001</v>
      </c>
      <c r="S301" s="8">
        <v>4</v>
      </c>
      <c r="T301" s="1" t="s">
        <v>50</v>
      </c>
      <c r="U301" s="1"/>
      <c r="V301" s="1"/>
      <c r="W301" s="1"/>
      <c r="X301" s="5">
        <v>100</v>
      </c>
      <c r="Y301" s="7">
        <v>4500000</v>
      </c>
      <c r="Z301" s="1"/>
      <c r="AA301" s="2">
        <f ca="1">DATE(2000,12,13)</f>
        <v>0</v>
      </c>
      <c r="AB301" s="4">
        <v>63.518999999999998</v>
      </c>
      <c r="AC301" s="3">
        <v>180</v>
      </c>
      <c r="AD301" s="8">
        <v>13432269</v>
      </c>
      <c r="AE301" s="1" t="s">
        <v>51</v>
      </c>
      <c r="AF301" s="1" t="s">
        <v>51</v>
      </c>
      <c r="AG301" s="1" t="s">
        <v>47</v>
      </c>
      <c r="AH301" s="1"/>
      <c r="AI301" s="1"/>
      <c r="AJ301" s="3">
        <v>1</v>
      </c>
      <c r="AK301" s="1" t="s">
        <v>52</v>
      </c>
      <c r="AL301" s="3">
        <v>3</v>
      </c>
      <c r="AM301" s="8">
        <v>9.6899999999999995</v>
      </c>
      <c r="AN301" s="1"/>
      <c r="AO301" s="1" t="s">
        <v>1824</v>
      </c>
      <c r="AP301" s="1" t="s">
        <v>1821</v>
      </c>
      <c r="AQ301" s="1" t="s">
        <v>1825</v>
      </c>
      <c r="AR301" s="1" t="s">
        <v>1826</v>
      </c>
    </row>
    <row r="302">
      <c r="A302" s="2">
        <f ca="1">DATE(2000,03,31)</f>
        <v>0</v>
      </c>
      <c r="B302" s="2">
        <f ca="1">DATE(2000,06,20)</f>
        <v>0</v>
      </c>
      <c r="C302" s="1" t="s">
        <v>1827</v>
      </c>
      <c r="D302" s="3">
        <v>3571</v>
      </c>
      <c r="E302" s="1" t="s">
        <v>43</v>
      </c>
      <c r="F302" s="1" t="s">
        <v>1828</v>
      </c>
      <c r="G302" s="1" t="s">
        <v>239</v>
      </c>
      <c r="H302" s="4">
        <v>1.3500000000000001</v>
      </c>
      <c r="I302" s="4">
        <v>6.75</v>
      </c>
      <c r="J302" s="5">
        <v>154</v>
      </c>
      <c r="K302" s="4">
        <v>20</v>
      </c>
      <c r="L302" s="1" t="s">
        <v>46</v>
      </c>
      <c r="M302" s="1" t="s">
        <v>47</v>
      </c>
      <c r="N302" s="3">
        <v>410293104</v>
      </c>
      <c r="O302" s="1" t="s">
        <v>48</v>
      </c>
      <c r="P302" s="1" t="s">
        <v>1829</v>
      </c>
      <c r="Q302" s="4">
        <v>1.3500000000000001</v>
      </c>
      <c r="R302" s="4">
        <v>1.3500000000000001</v>
      </c>
      <c r="S302" s="8">
        <v>4.0499999999999998</v>
      </c>
      <c r="T302" s="1" t="s">
        <v>50</v>
      </c>
      <c r="U302" s="1"/>
      <c r="V302" s="1"/>
      <c r="W302" s="1"/>
      <c r="X302" s="5">
        <v>300</v>
      </c>
      <c r="Y302" s="7">
        <v>7700000</v>
      </c>
      <c r="Z302" s="1"/>
      <c r="AA302" s="1"/>
      <c r="AB302" s="1"/>
      <c r="AC302" s="1"/>
      <c r="AD302" s="1"/>
      <c r="AE302" s="1" t="s">
        <v>51</v>
      </c>
      <c r="AF302" s="1" t="s">
        <v>51</v>
      </c>
      <c r="AG302" s="1" t="s">
        <v>47</v>
      </c>
      <c r="AH302" s="1"/>
      <c r="AI302" s="1"/>
      <c r="AJ302" s="3">
        <v>1</v>
      </c>
      <c r="AK302" s="1" t="s">
        <v>52</v>
      </c>
      <c r="AL302" s="3">
        <v>4</v>
      </c>
      <c r="AM302" s="8">
        <v>26.940000000000001</v>
      </c>
      <c r="AN302" s="1"/>
      <c r="AO302" s="1" t="s">
        <v>1830</v>
      </c>
      <c r="AP302" s="1" t="s">
        <v>239</v>
      </c>
      <c r="AQ302" s="1" t="s">
        <v>1831</v>
      </c>
      <c r="AR302" s="1" t="s">
        <v>1832</v>
      </c>
    </row>
    <row r="303">
      <c r="A303" s="2">
        <f ca="1">DATE(2000,03,31)</f>
        <v>0</v>
      </c>
      <c r="B303" s="2">
        <f ca="1">DATE(2000,06,20)</f>
        <v>0</v>
      </c>
      <c r="C303" s="1" t="s">
        <v>1827</v>
      </c>
      <c r="D303" s="3">
        <v>3571</v>
      </c>
      <c r="E303" s="1" t="s">
        <v>43</v>
      </c>
      <c r="F303" s="1" t="s">
        <v>1828</v>
      </c>
      <c r="G303" s="1" t="s">
        <v>1833</v>
      </c>
      <c r="H303" s="4">
        <v>1.3500000000000001</v>
      </c>
      <c r="I303" s="4">
        <v>6.75</v>
      </c>
      <c r="J303" s="5">
        <v>46</v>
      </c>
      <c r="K303" s="8">
        <v>20</v>
      </c>
      <c r="L303" s="1" t="s">
        <v>58</v>
      </c>
      <c r="M303" s="1" t="s">
        <v>47</v>
      </c>
      <c r="N303" s="3">
        <v>410293104</v>
      </c>
      <c r="O303" s="1" t="s">
        <v>48</v>
      </c>
      <c r="P303" s="1" t="s">
        <v>1834</v>
      </c>
      <c r="Q303" s="4">
        <v>1.3500000000000001</v>
      </c>
      <c r="R303" s="4">
        <v>1.3500000000000001</v>
      </c>
      <c r="S303" s="8">
        <v>4.0499999999999998</v>
      </c>
      <c r="T303" s="1" t="s">
        <v>60</v>
      </c>
      <c r="U303" s="1"/>
      <c r="V303" s="1"/>
      <c r="W303" s="1"/>
      <c r="X303" s="1"/>
      <c r="Y303" s="7">
        <v>2300000</v>
      </c>
      <c r="Z303" s="1"/>
      <c r="AA303" s="1"/>
      <c r="AB303" s="1"/>
      <c r="AC303" s="1"/>
      <c r="AD303" s="1"/>
      <c r="AE303" s="1" t="s">
        <v>51</v>
      </c>
      <c r="AF303" s="1" t="s">
        <v>51</v>
      </c>
      <c r="AG303" s="1" t="s">
        <v>47</v>
      </c>
      <c r="AH303" s="1"/>
      <c r="AI303" s="1"/>
      <c r="AJ303" s="3">
        <v>1</v>
      </c>
      <c r="AK303" s="1" t="s">
        <v>52</v>
      </c>
      <c r="AL303" s="3">
        <v>1</v>
      </c>
      <c r="AM303" s="1"/>
      <c r="AN303" s="1"/>
      <c r="AO303" s="1" t="s">
        <v>1835</v>
      </c>
      <c r="AP303" s="1" t="s">
        <v>1833</v>
      </c>
      <c r="AQ303" s="1" t="s">
        <v>1833</v>
      </c>
      <c r="AR303" s="1" t="s">
        <v>1836</v>
      </c>
    </row>
    <row r="304">
      <c r="A304" s="2">
        <f ca="1">DATE(2000,04,07)</f>
        <v>0</v>
      </c>
      <c r="B304" s="2">
        <f ca="1">DATE(2000,06,21)</f>
        <v>0</v>
      </c>
      <c r="C304" s="1" t="s">
        <v>1837</v>
      </c>
      <c r="D304" s="3">
        <v>3826</v>
      </c>
      <c r="E304" s="1" t="s">
        <v>43</v>
      </c>
      <c r="F304" s="1" t="s">
        <v>1838</v>
      </c>
      <c r="G304" s="1" t="s">
        <v>1583</v>
      </c>
      <c r="H304" s="4">
        <v>0.41999999999999998</v>
      </c>
      <c r="I304" s="8">
        <v>7</v>
      </c>
      <c r="J304" s="5">
        <v>29.699999999999999</v>
      </c>
      <c r="K304" s="4">
        <v>6</v>
      </c>
      <c r="L304" s="1" t="s">
        <v>46</v>
      </c>
      <c r="M304" s="1" t="s">
        <v>47</v>
      </c>
      <c r="N304" s="1" t="s">
        <v>1839</v>
      </c>
      <c r="O304" s="1" t="s">
        <v>48</v>
      </c>
      <c r="P304" s="1" t="s">
        <v>1840</v>
      </c>
      <c r="Q304" s="4">
        <v>1.333</v>
      </c>
      <c r="R304" s="4">
        <v>1.5</v>
      </c>
      <c r="S304" s="6">
        <v>4.1666699999999999</v>
      </c>
      <c r="T304" s="1" t="s">
        <v>50</v>
      </c>
      <c r="U304" s="1"/>
      <c r="V304" s="1"/>
      <c r="W304" s="1"/>
      <c r="X304" s="5">
        <v>92</v>
      </c>
      <c r="Y304" s="7">
        <v>4955000</v>
      </c>
      <c r="Z304" s="1"/>
      <c r="AA304" s="1"/>
      <c r="AB304" s="1"/>
      <c r="AC304" s="1"/>
      <c r="AD304" s="1"/>
      <c r="AE304" s="1" t="s">
        <v>51</v>
      </c>
      <c r="AF304" s="1" t="s">
        <v>51</v>
      </c>
      <c r="AG304" s="1" t="s">
        <v>47</v>
      </c>
      <c r="AH304" s="1"/>
      <c r="AI304" s="1"/>
      <c r="AJ304" s="3">
        <v>1</v>
      </c>
      <c r="AK304" s="1" t="s">
        <v>52</v>
      </c>
      <c r="AL304" s="3">
        <v>3</v>
      </c>
      <c r="AM304" s="8">
        <v>9</v>
      </c>
      <c r="AN304" s="1"/>
      <c r="AO304" s="1" t="s">
        <v>1841</v>
      </c>
      <c r="AP304" s="1" t="s">
        <v>1583</v>
      </c>
      <c r="AQ304" s="1" t="s">
        <v>1842</v>
      </c>
      <c r="AR304" s="1" t="s">
        <v>1843</v>
      </c>
    </row>
    <row r="305">
      <c r="A305" s="2">
        <f ca="1">DATE(2000,04,07)</f>
        <v>0</v>
      </c>
      <c r="B305" s="2">
        <f ca="1">DATE(2000,06,21)</f>
        <v>0</v>
      </c>
      <c r="C305" s="1" t="s">
        <v>1837</v>
      </c>
      <c r="D305" s="3">
        <v>3826</v>
      </c>
      <c r="E305" s="1" t="s">
        <v>43</v>
      </c>
      <c r="F305" s="1" t="s">
        <v>1838</v>
      </c>
      <c r="G305" s="1" t="s">
        <v>1844</v>
      </c>
      <c r="H305" s="1" t="s">
        <v>57</v>
      </c>
      <c r="I305" s="1" t="s">
        <v>57</v>
      </c>
      <c r="J305" s="5">
        <v>0.20000000000000001</v>
      </c>
      <c r="K305" s="8">
        <v>6</v>
      </c>
      <c r="L305" s="1" t="s">
        <v>58</v>
      </c>
      <c r="M305" s="1" t="s">
        <v>47</v>
      </c>
      <c r="N305" s="1" t="s">
        <v>1839</v>
      </c>
      <c r="O305" s="1" t="s">
        <v>48</v>
      </c>
      <c r="P305" s="1" t="s">
        <v>1845</v>
      </c>
      <c r="Q305" s="1"/>
      <c r="R305" s="1"/>
      <c r="S305" s="1"/>
      <c r="T305" s="1" t="s">
        <v>60</v>
      </c>
      <c r="U305" s="1"/>
      <c r="V305" s="1"/>
      <c r="W305" s="1"/>
      <c r="X305" s="1"/>
      <c r="Y305" s="7">
        <v>39130</v>
      </c>
      <c r="Z305" s="1"/>
      <c r="AA305" s="1"/>
      <c r="AB305" s="1"/>
      <c r="AC305" s="1"/>
      <c r="AD305" s="1"/>
      <c r="AE305" s="1" t="s">
        <v>51</v>
      </c>
      <c r="AF305" s="1" t="s">
        <v>51</v>
      </c>
      <c r="AG305" s="1" t="s">
        <v>47</v>
      </c>
      <c r="AH305" s="1"/>
      <c r="AI305" s="1"/>
      <c r="AJ305" s="3">
        <v>1</v>
      </c>
      <c r="AK305" s="1" t="s">
        <v>52</v>
      </c>
      <c r="AL305" s="3">
        <v>1</v>
      </c>
      <c r="AM305" s="1"/>
      <c r="AN305" s="1"/>
      <c r="AO305" s="1" t="s">
        <v>1846</v>
      </c>
      <c r="AP305" s="1" t="s">
        <v>1844</v>
      </c>
      <c r="AQ305" s="1" t="s">
        <v>1844</v>
      </c>
      <c r="AR305" s="1" t="s">
        <v>1847</v>
      </c>
    </row>
    <row r="306">
      <c r="A306" s="2">
        <f ca="1">DATE(2000,03,03)</f>
        <v>0</v>
      </c>
      <c r="B306" s="2">
        <f ca="1">DATE(2000,06,22)</f>
        <v>0</v>
      </c>
      <c r="C306" s="1" t="s">
        <v>1848</v>
      </c>
      <c r="D306" s="3">
        <v>3669</v>
      </c>
      <c r="E306" s="1" t="s">
        <v>43</v>
      </c>
      <c r="F306" s="1" t="s">
        <v>1849</v>
      </c>
      <c r="G306" s="1" t="s">
        <v>239</v>
      </c>
      <c r="H306" s="4">
        <v>1.05</v>
      </c>
      <c r="I306" s="4">
        <v>7</v>
      </c>
      <c r="J306" s="5">
        <v>44.100000000000001</v>
      </c>
      <c r="K306" s="4">
        <v>15</v>
      </c>
      <c r="L306" s="1" t="s">
        <v>46</v>
      </c>
      <c r="M306" s="1" t="s">
        <v>47</v>
      </c>
      <c r="N306" s="1" t="s">
        <v>1850</v>
      </c>
      <c r="O306" s="1" t="s">
        <v>48</v>
      </c>
      <c r="P306" s="1" t="s">
        <v>1851</v>
      </c>
      <c r="Q306" s="4">
        <v>1.3999999999999999</v>
      </c>
      <c r="R306" s="4">
        <v>1.3999999999999999</v>
      </c>
      <c r="S306" s="8">
        <v>4.2000000000000002</v>
      </c>
      <c r="T306" s="1" t="s">
        <v>50</v>
      </c>
      <c r="U306" s="1"/>
      <c r="V306" s="1"/>
      <c r="W306" s="1"/>
      <c r="X306" s="5">
        <v>64.400000000000006</v>
      </c>
      <c r="Y306" s="7">
        <v>2942000</v>
      </c>
      <c r="Z306" s="1"/>
      <c r="AA306" s="1"/>
      <c r="AB306" s="1"/>
      <c r="AC306" s="1"/>
      <c r="AD306" s="1"/>
      <c r="AE306" s="1" t="s">
        <v>51</v>
      </c>
      <c r="AF306" s="1" t="s">
        <v>51</v>
      </c>
      <c r="AG306" s="1" t="s">
        <v>47</v>
      </c>
      <c r="AH306" s="1"/>
      <c r="AI306" s="1"/>
      <c r="AJ306" s="3">
        <v>1</v>
      </c>
      <c r="AK306" s="1" t="s">
        <v>52</v>
      </c>
      <c r="AL306" s="3">
        <v>3</v>
      </c>
      <c r="AM306" s="8">
        <v>47.880000000000003</v>
      </c>
      <c r="AN306" s="1"/>
      <c r="AO306" s="1" t="s">
        <v>1852</v>
      </c>
      <c r="AP306" s="1" t="s">
        <v>239</v>
      </c>
      <c r="AQ306" s="1" t="s">
        <v>1853</v>
      </c>
      <c r="AR306" s="1" t="s">
        <v>1854</v>
      </c>
    </row>
    <row r="307">
      <c r="A307" s="2">
        <f ca="1">DATE(2000,03,03)</f>
        <v>0</v>
      </c>
      <c r="B307" s="2">
        <f ca="1">DATE(2000,06,22)</f>
        <v>0</v>
      </c>
      <c r="C307" s="1" t="s">
        <v>1848</v>
      </c>
      <c r="D307" s="3">
        <v>3669</v>
      </c>
      <c r="E307" s="1" t="s">
        <v>43</v>
      </c>
      <c r="F307" s="1" t="s">
        <v>1849</v>
      </c>
      <c r="G307" s="1" t="s">
        <v>179</v>
      </c>
      <c r="H307" s="4">
        <v>1.05</v>
      </c>
      <c r="I307" s="4">
        <v>7</v>
      </c>
      <c r="J307" s="5">
        <v>13.800000000000001</v>
      </c>
      <c r="K307" s="8">
        <v>15</v>
      </c>
      <c r="L307" s="1" t="s">
        <v>58</v>
      </c>
      <c r="M307" s="1" t="s">
        <v>47</v>
      </c>
      <c r="N307" s="1"/>
      <c r="O307" s="1" t="s">
        <v>48</v>
      </c>
      <c r="P307" s="1" t="s">
        <v>1855</v>
      </c>
      <c r="Q307" s="4">
        <v>1.3999999999999999</v>
      </c>
      <c r="R307" s="4">
        <v>1.3999999999999999</v>
      </c>
      <c r="S307" s="8">
        <v>4.2000000000000002</v>
      </c>
      <c r="T307" s="1" t="s">
        <v>60</v>
      </c>
      <c r="U307" s="1"/>
      <c r="V307" s="1"/>
      <c r="W307" s="1"/>
      <c r="X307" s="1"/>
      <c r="Y307" s="7">
        <v>920000</v>
      </c>
      <c r="Z307" s="1"/>
      <c r="AA307" s="1"/>
      <c r="AB307" s="1"/>
      <c r="AC307" s="1"/>
      <c r="AD307" s="1"/>
      <c r="AE307" s="1" t="s">
        <v>51</v>
      </c>
      <c r="AF307" s="1" t="s">
        <v>51</v>
      </c>
      <c r="AG307" s="1" t="s">
        <v>47</v>
      </c>
      <c r="AH307" s="1"/>
      <c r="AI307" s="1"/>
      <c r="AJ307" s="3">
        <v>1</v>
      </c>
      <c r="AK307" s="1" t="s">
        <v>52</v>
      </c>
      <c r="AL307" s="3">
        <v>2</v>
      </c>
      <c r="AM307" s="1"/>
      <c r="AN307" s="1"/>
      <c r="AO307" s="1" t="s">
        <v>1856</v>
      </c>
      <c r="AP307" s="1" t="s">
        <v>179</v>
      </c>
      <c r="AQ307" s="1" t="s">
        <v>1857</v>
      </c>
      <c r="AR307" s="1" t="s">
        <v>1858</v>
      </c>
    </row>
    <row r="308">
      <c r="A308" s="2">
        <f ca="1">DATE(2000,02,04)</f>
        <v>0</v>
      </c>
      <c r="B308" s="2">
        <f ca="1">DATE(2000,06,22)</f>
        <v>0</v>
      </c>
      <c r="C308" s="1" t="s">
        <v>1859</v>
      </c>
      <c r="D308" s="3">
        <v>3679</v>
      </c>
      <c r="E308" s="1" t="s">
        <v>43</v>
      </c>
      <c r="F308" s="1" t="s">
        <v>1860</v>
      </c>
      <c r="G308" s="1" t="s">
        <v>151</v>
      </c>
      <c r="H308" s="4">
        <v>1.1200000000000001</v>
      </c>
      <c r="I308" s="4">
        <v>7</v>
      </c>
      <c r="J308" s="5">
        <v>176</v>
      </c>
      <c r="K308" s="4">
        <v>16</v>
      </c>
      <c r="L308" s="1" t="s">
        <v>46</v>
      </c>
      <c r="M308" s="1" t="s">
        <v>47</v>
      </c>
      <c r="N308" s="3">
        <v>565005105</v>
      </c>
      <c r="O308" s="1" t="s">
        <v>108</v>
      </c>
      <c r="P308" s="1" t="s">
        <v>1861</v>
      </c>
      <c r="Q308" s="4">
        <v>1.4379999999999999</v>
      </c>
      <c r="R308" s="4">
        <v>1.375</v>
      </c>
      <c r="S308" s="10">
        <v>4.1875</v>
      </c>
      <c r="T308" s="1" t="s">
        <v>50</v>
      </c>
      <c r="U308" s="1"/>
      <c r="V308" s="1"/>
      <c r="W308" s="1"/>
      <c r="X308" s="5">
        <v>150</v>
      </c>
      <c r="Y308" s="7">
        <v>11000000</v>
      </c>
      <c r="Z308" s="1"/>
      <c r="AA308" s="2">
        <f ca="1">DATE(2000,12,20)</f>
        <v>0</v>
      </c>
      <c r="AB308" s="4">
        <v>63.296999999999997</v>
      </c>
      <c r="AC308" s="3">
        <v>180</v>
      </c>
      <c r="AD308" s="8">
        <v>19588897</v>
      </c>
      <c r="AE308" s="1" t="s">
        <v>51</v>
      </c>
      <c r="AF308" s="1" t="s">
        <v>51</v>
      </c>
      <c r="AG308" s="1" t="s">
        <v>51</v>
      </c>
      <c r="AH308" s="1"/>
      <c r="AI308" s="1" t="s">
        <v>1862</v>
      </c>
      <c r="AJ308" s="3">
        <v>1</v>
      </c>
      <c r="AK308" s="1" t="s">
        <v>52</v>
      </c>
      <c r="AL308" s="3">
        <v>5</v>
      </c>
      <c r="AM308" s="8">
        <v>21.25</v>
      </c>
      <c r="AN308" s="1"/>
      <c r="AO308" s="1" t="s">
        <v>1863</v>
      </c>
      <c r="AP308" s="1" t="s">
        <v>151</v>
      </c>
      <c r="AQ308" s="1" t="s">
        <v>1864</v>
      </c>
      <c r="AR308" s="1" t="s">
        <v>1865</v>
      </c>
    </row>
    <row r="309">
      <c r="A309" s="2">
        <f ca="1">DATE(2000,02,14)</f>
        <v>0</v>
      </c>
      <c r="B309" s="2">
        <f ca="1">DATE(2000,06,22)</f>
        <v>0</v>
      </c>
      <c r="C309" s="1" t="s">
        <v>1866</v>
      </c>
      <c r="D309" s="3">
        <v>7372</v>
      </c>
      <c r="E309" s="1" t="s">
        <v>43</v>
      </c>
      <c r="F309" s="1" t="s">
        <v>1867</v>
      </c>
      <c r="G309" s="1" t="s">
        <v>813</v>
      </c>
      <c r="H309" s="4">
        <v>0.48999999999999999</v>
      </c>
      <c r="I309" s="8">
        <v>7</v>
      </c>
      <c r="J309" s="5">
        <v>28</v>
      </c>
      <c r="K309" s="4">
        <v>7</v>
      </c>
      <c r="L309" s="1" t="s">
        <v>1057</v>
      </c>
      <c r="M309" s="1" t="s">
        <v>47</v>
      </c>
      <c r="N309" s="1" t="s">
        <v>1868</v>
      </c>
      <c r="O309" s="1" t="s">
        <v>48</v>
      </c>
      <c r="P309" s="1" t="s">
        <v>1869</v>
      </c>
      <c r="Q309" s="4">
        <v>1.4290000000000001</v>
      </c>
      <c r="R309" s="4">
        <v>1.714</v>
      </c>
      <c r="S309" s="6">
        <v>3.8571399999999998</v>
      </c>
      <c r="T309" s="1" t="s">
        <v>50</v>
      </c>
      <c r="U309" s="1"/>
      <c r="V309" s="1"/>
      <c r="W309" s="1"/>
      <c r="X309" s="5">
        <v>50</v>
      </c>
      <c r="Y309" s="7">
        <v>4000000</v>
      </c>
      <c r="Z309" s="1"/>
      <c r="AA309" s="2">
        <f ca="1">DATE(2000,12,19)</f>
        <v>0</v>
      </c>
      <c r="AB309" s="4">
        <v>82.632000000000005</v>
      </c>
      <c r="AC309" s="3">
        <v>180</v>
      </c>
      <c r="AD309" s="8">
        <v>20641200</v>
      </c>
      <c r="AE309" s="1" t="s">
        <v>51</v>
      </c>
      <c r="AF309" s="1" t="s">
        <v>51</v>
      </c>
      <c r="AG309" s="1" t="s">
        <v>47</v>
      </c>
      <c r="AH309" s="1"/>
      <c r="AI309" s="1"/>
      <c r="AJ309" s="3">
        <v>1</v>
      </c>
      <c r="AK309" s="1" t="s">
        <v>52</v>
      </c>
      <c r="AL309" s="3">
        <v>4</v>
      </c>
      <c r="AM309" s="8">
        <v>7</v>
      </c>
      <c r="AN309" s="1"/>
      <c r="AO309" s="1" t="s">
        <v>1870</v>
      </c>
      <c r="AP309" s="1" t="s">
        <v>813</v>
      </c>
      <c r="AQ309" s="1" t="s">
        <v>1871</v>
      </c>
      <c r="AR309" s="1" t="s">
        <v>1872</v>
      </c>
    </row>
    <row r="310">
      <c r="A310" s="2">
        <f ca="1">DATE(2000,04,25)</f>
        <v>0</v>
      </c>
      <c r="B310" s="2">
        <f ca="1">DATE(2000,06,23)</f>
        <v>0</v>
      </c>
      <c r="C310" s="1" t="s">
        <v>1873</v>
      </c>
      <c r="D310" s="3">
        <v>8731</v>
      </c>
      <c r="E310" s="1" t="s">
        <v>43</v>
      </c>
      <c r="F310" s="1" t="s">
        <v>1874</v>
      </c>
      <c r="G310" s="1" t="s">
        <v>151</v>
      </c>
      <c r="H310" s="4">
        <v>1.1200000000000001</v>
      </c>
      <c r="I310" s="4">
        <v>7</v>
      </c>
      <c r="J310" s="5">
        <v>224</v>
      </c>
      <c r="K310" s="4">
        <v>16</v>
      </c>
      <c r="L310" s="1" t="s">
        <v>46</v>
      </c>
      <c r="M310" s="1" t="s">
        <v>47</v>
      </c>
      <c r="N310" s="3">
        <v>159864107</v>
      </c>
      <c r="O310" s="1" t="s">
        <v>108</v>
      </c>
      <c r="P310" s="1" t="s">
        <v>1875</v>
      </c>
      <c r="Q310" s="4">
        <v>1.4379999999999999</v>
      </c>
      <c r="R310" s="4">
        <v>1.375</v>
      </c>
      <c r="S310" s="10">
        <v>4.1875</v>
      </c>
      <c r="T310" s="1" t="s">
        <v>50</v>
      </c>
      <c r="U310" s="1"/>
      <c r="V310" s="1"/>
      <c r="W310" s="1"/>
      <c r="X310" s="5">
        <v>230</v>
      </c>
      <c r="Y310" s="7">
        <v>14000000</v>
      </c>
      <c r="Z310" s="1"/>
      <c r="AA310" s="2">
        <f ca="1">DATE(2000,12,20)</f>
        <v>0</v>
      </c>
      <c r="AB310" s="4">
        <v>58.604999999999997</v>
      </c>
      <c r="AC310" s="3">
        <v>180</v>
      </c>
      <c r="AD310" s="8">
        <v>19820369</v>
      </c>
      <c r="AE310" s="1" t="s">
        <v>51</v>
      </c>
      <c r="AF310" s="1" t="s">
        <v>51</v>
      </c>
      <c r="AG310" s="1" t="s">
        <v>47</v>
      </c>
      <c r="AH310" s="1"/>
      <c r="AI310" s="1"/>
      <c r="AJ310" s="3">
        <v>1</v>
      </c>
      <c r="AK310" s="1" t="s">
        <v>89</v>
      </c>
      <c r="AL310" s="3">
        <v>6</v>
      </c>
      <c r="AM310" s="8">
        <v>22</v>
      </c>
      <c r="AN310" s="1"/>
      <c r="AO310" s="1" t="s">
        <v>1876</v>
      </c>
      <c r="AP310" s="1" t="s">
        <v>1877</v>
      </c>
      <c r="AQ310" s="1" t="s">
        <v>1878</v>
      </c>
      <c r="AR310" s="1" t="s">
        <v>1879</v>
      </c>
    </row>
    <row r="311">
      <c r="A311" s="2">
        <f ca="1">DATE(2000,02,02)</f>
        <v>0</v>
      </c>
      <c r="B311" s="2">
        <f ca="1">DATE(2000,06,23)</f>
        <v>0</v>
      </c>
      <c r="C311" s="1" t="s">
        <v>1880</v>
      </c>
      <c r="D311" s="3">
        <v>3695</v>
      </c>
      <c r="E311" s="1" t="s">
        <v>43</v>
      </c>
      <c r="F311" s="1" t="s">
        <v>1881</v>
      </c>
      <c r="G311" s="1" t="s">
        <v>1882</v>
      </c>
      <c r="H311" s="4">
        <v>0.48999999999999999</v>
      </c>
      <c r="I311" s="8">
        <v>7</v>
      </c>
      <c r="J311" s="5">
        <v>17.5</v>
      </c>
      <c r="K311" s="4">
        <v>7</v>
      </c>
      <c r="L311" s="1" t="s">
        <v>46</v>
      </c>
      <c r="M311" s="1" t="s">
        <v>47</v>
      </c>
      <c r="N311" s="1" t="s">
        <v>1883</v>
      </c>
      <c r="O311" s="1" t="s">
        <v>48</v>
      </c>
      <c r="P311" s="1" t="s">
        <v>1884</v>
      </c>
      <c r="Q311" s="4">
        <v>1.4290000000000001</v>
      </c>
      <c r="R311" s="4">
        <v>1.857</v>
      </c>
      <c r="S311" s="6">
        <v>3.7142900000000001</v>
      </c>
      <c r="T311" s="1" t="s">
        <v>50</v>
      </c>
      <c r="U311" s="1"/>
      <c r="V311" s="1"/>
      <c r="W311" s="1"/>
      <c r="X311" s="5">
        <v>51.799999999999997</v>
      </c>
      <c r="Y311" s="7">
        <v>2500000</v>
      </c>
      <c r="Z311" s="1"/>
      <c r="AA311" s="2">
        <f ca="1">DATE(2000,12,20)</f>
        <v>0</v>
      </c>
      <c r="AB311" s="4">
        <v>79.245000000000005</v>
      </c>
      <c r="AC311" s="3">
        <v>180</v>
      </c>
      <c r="AD311" s="8">
        <v>9606955</v>
      </c>
      <c r="AE311" s="1" t="s">
        <v>51</v>
      </c>
      <c r="AF311" s="1" t="s">
        <v>51</v>
      </c>
      <c r="AG311" s="1" t="s">
        <v>51</v>
      </c>
      <c r="AH311" s="1"/>
      <c r="AI311" s="1"/>
      <c r="AJ311" s="3">
        <v>2</v>
      </c>
      <c r="AK311" s="1" t="s">
        <v>89</v>
      </c>
      <c r="AL311" s="3">
        <v>3</v>
      </c>
      <c r="AM311" s="8">
        <v>7.7199999999999998</v>
      </c>
      <c r="AN311" s="1"/>
      <c r="AO311" s="1" t="s">
        <v>1885</v>
      </c>
      <c r="AP311" s="1" t="s">
        <v>1886</v>
      </c>
      <c r="AQ311" s="1" t="s">
        <v>1887</v>
      </c>
      <c r="AR311" s="1" t="s">
        <v>1888</v>
      </c>
    </row>
    <row r="312">
      <c r="A312" s="2">
        <f ca="1">DATE(2000,02,16)</f>
        <v>0</v>
      </c>
      <c r="B312" s="2">
        <f ca="1">DATE(2000,06,26)</f>
        <v>0</v>
      </c>
      <c r="C312" s="1" t="s">
        <v>1889</v>
      </c>
      <c r="D312" s="3">
        <v>7372</v>
      </c>
      <c r="E312" s="1" t="s">
        <v>43</v>
      </c>
      <c r="F312" s="1" t="s">
        <v>1890</v>
      </c>
      <c r="G312" s="1" t="s">
        <v>106</v>
      </c>
      <c r="H312" s="4">
        <v>0.69999999999999996</v>
      </c>
      <c r="I312" s="8">
        <v>7</v>
      </c>
      <c r="J312" s="5">
        <v>42.299999999999997</v>
      </c>
      <c r="K312" s="4">
        <v>10</v>
      </c>
      <c r="L312" s="1" t="s">
        <v>46</v>
      </c>
      <c r="M312" s="1" t="s">
        <v>47</v>
      </c>
      <c r="N312" s="1" t="s">
        <v>1891</v>
      </c>
      <c r="O312" s="1" t="s">
        <v>48</v>
      </c>
      <c r="P312" s="1" t="s">
        <v>1892</v>
      </c>
      <c r="Q312" s="4">
        <v>1.3999999999999999</v>
      </c>
      <c r="R312" s="4">
        <v>1.3999999999999999</v>
      </c>
      <c r="S312" s="8">
        <v>4.2000000000000002</v>
      </c>
      <c r="T312" s="1" t="s">
        <v>50</v>
      </c>
      <c r="U312" s="1"/>
      <c r="V312" s="1"/>
      <c r="W312" s="1"/>
      <c r="X312" s="5">
        <v>100</v>
      </c>
      <c r="Y312" s="7">
        <v>4225000</v>
      </c>
      <c r="Z312" s="1"/>
      <c r="AA312" s="1"/>
      <c r="AB312" s="1"/>
      <c r="AC312" s="1"/>
      <c r="AD312" s="1"/>
      <c r="AE312" s="1" t="s">
        <v>51</v>
      </c>
      <c r="AF312" s="1" t="s">
        <v>51</v>
      </c>
      <c r="AG312" s="1" t="s">
        <v>47</v>
      </c>
      <c r="AH312" s="1"/>
      <c r="AI312" s="1"/>
      <c r="AJ312" s="3">
        <v>1</v>
      </c>
      <c r="AK312" s="1" t="s">
        <v>52</v>
      </c>
      <c r="AL312" s="3">
        <v>3</v>
      </c>
      <c r="AM312" s="8">
        <v>17.629999999999999</v>
      </c>
      <c r="AN312" s="1"/>
      <c r="AO312" s="1" t="s">
        <v>1893</v>
      </c>
      <c r="AP312" s="1" t="s">
        <v>106</v>
      </c>
      <c r="AQ312" s="1" t="s">
        <v>1894</v>
      </c>
      <c r="AR312" s="1" t="s">
        <v>1895</v>
      </c>
    </row>
    <row r="313">
      <c r="A313" s="2">
        <f ca="1">DATE(2000,02,16)</f>
        <v>0</v>
      </c>
      <c r="B313" s="2">
        <f ca="1">DATE(2000,06,26)</f>
        <v>0</v>
      </c>
      <c r="C313" s="1" t="s">
        <v>1889</v>
      </c>
      <c r="D313" s="3">
        <v>7372</v>
      </c>
      <c r="E313" s="1" t="s">
        <v>43</v>
      </c>
      <c r="F313" s="1" t="s">
        <v>1890</v>
      </c>
      <c r="G313" s="1" t="s">
        <v>106</v>
      </c>
      <c r="H313" s="4">
        <v>0.69999999999999996</v>
      </c>
      <c r="I313" s="8">
        <v>7</v>
      </c>
      <c r="J313" s="5">
        <v>7.7999999999999998</v>
      </c>
      <c r="K313" s="8">
        <v>10</v>
      </c>
      <c r="L313" s="1" t="s">
        <v>58</v>
      </c>
      <c r="M313" s="1" t="s">
        <v>47</v>
      </c>
      <c r="N313" s="1"/>
      <c r="O313" s="1" t="s">
        <v>48</v>
      </c>
      <c r="P313" s="1" t="s">
        <v>1896</v>
      </c>
      <c r="Q313" s="1" t="s">
        <v>145</v>
      </c>
      <c r="R313" s="1" t="s">
        <v>145</v>
      </c>
      <c r="S313" s="1"/>
      <c r="T313" s="1" t="s">
        <v>60</v>
      </c>
      <c r="U313" s="1"/>
      <c r="V313" s="1"/>
      <c r="W313" s="1"/>
      <c r="X313" s="1"/>
      <c r="Y313" s="7">
        <v>775000</v>
      </c>
      <c r="Z313" s="1"/>
      <c r="AA313" s="1"/>
      <c r="AB313" s="1"/>
      <c r="AC313" s="1"/>
      <c r="AD313" s="1"/>
      <c r="AE313" s="1" t="s">
        <v>51</v>
      </c>
      <c r="AF313" s="1" t="s">
        <v>51</v>
      </c>
      <c r="AG313" s="1" t="s">
        <v>47</v>
      </c>
      <c r="AH313" s="1"/>
      <c r="AI313" s="1"/>
      <c r="AJ313" s="3">
        <v>1</v>
      </c>
      <c r="AK313" s="1" t="s">
        <v>52</v>
      </c>
      <c r="AL313" s="3">
        <v>1</v>
      </c>
      <c r="AM313" s="1"/>
      <c r="AN313" s="1"/>
      <c r="AO313" s="1" t="s">
        <v>1897</v>
      </c>
      <c r="AP313" s="1" t="s">
        <v>106</v>
      </c>
      <c r="AQ313" s="1" t="s">
        <v>106</v>
      </c>
      <c r="AR313" s="1" t="s">
        <v>214</v>
      </c>
    </row>
    <row r="314">
      <c r="A314" s="2">
        <f ca="1">DATE(2000,04,04)</f>
        <v>0</v>
      </c>
      <c r="B314" s="2">
        <f ca="1">DATE(2000,06,26)</f>
        <v>0</v>
      </c>
      <c r="C314" s="1" t="s">
        <v>1898</v>
      </c>
      <c r="D314" s="3">
        <v>7374</v>
      </c>
      <c r="E314" s="1" t="s">
        <v>43</v>
      </c>
      <c r="F314" s="1" t="s">
        <v>1899</v>
      </c>
      <c r="G314" s="1" t="s">
        <v>813</v>
      </c>
      <c r="H314" s="4">
        <v>0.91000000000000003</v>
      </c>
      <c r="I314" s="4">
        <v>7</v>
      </c>
      <c r="J314" s="5">
        <v>57.799999999999997</v>
      </c>
      <c r="K314" s="4">
        <v>13</v>
      </c>
      <c r="L314" s="1" t="s">
        <v>46</v>
      </c>
      <c r="M314" s="1" t="s">
        <v>47</v>
      </c>
      <c r="N314" s="1" t="s">
        <v>1900</v>
      </c>
      <c r="O314" s="1" t="s">
        <v>48</v>
      </c>
      <c r="P314" s="1" t="s">
        <v>1901</v>
      </c>
      <c r="Q314" s="4">
        <v>1.462</v>
      </c>
      <c r="R314" s="4">
        <v>1.538</v>
      </c>
      <c r="S314" s="8">
        <v>4</v>
      </c>
      <c r="T314" s="1" t="s">
        <v>50</v>
      </c>
      <c r="U314" s="1"/>
      <c r="V314" s="1"/>
      <c r="W314" s="1"/>
      <c r="X314" s="5">
        <v>115</v>
      </c>
      <c r="Y314" s="7">
        <v>4444000</v>
      </c>
      <c r="Z314" s="1"/>
      <c r="AA314" s="1"/>
      <c r="AB314" s="1"/>
      <c r="AC314" s="1"/>
      <c r="AD314" s="1"/>
      <c r="AE314" s="1" t="s">
        <v>51</v>
      </c>
      <c r="AF314" s="1" t="s">
        <v>51</v>
      </c>
      <c r="AG314" s="1" t="s">
        <v>51</v>
      </c>
      <c r="AH314" s="1" t="s">
        <v>1902</v>
      </c>
      <c r="AI314" s="1" t="s">
        <v>1903</v>
      </c>
      <c r="AJ314" s="3">
        <v>1</v>
      </c>
      <c r="AK314" s="1" t="s">
        <v>89</v>
      </c>
      <c r="AL314" s="3">
        <v>4</v>
      </c>
      <c r="AM314" s="8">
        <v>13</v>
      </c>
      <c r="AN314" s="1"/>
      <c r="AO314" s="1" t="s">
        <v>1904</v>
      </c>
      <c r="AP314" s="1" t="s">
        <v>1905</v>
      </c>
      <c r="AQ314" s="1" t="s">
        <v>1906</v>
      </c>
      <c r="AR314" s="1" t="s">
        <v>1907</v>
      </c>
    </row>
    <row r="315">
      <c r="A315" s="2">
        <f ca="1">DATE(2000,04,04)</f>
        <v>0</v>
      </c>
      <c r="B315" s="2">
        <f ca="1">DATE(2000,06,26)</f>
        <v>0</v>
      </c>
      <c r="C315" s="1" t="s">
        <v>1898</v>
      </c>
      <c r="D315" s="3">
        <v>7374</v>
      </c>
      <c r="E315" s="1" t="s">
        <v>43</v>
      </c>
      <c r="F315" s="1" t="s">
        <v>1899</v>
      </c>
      <c r="G315" s="1" t="s">
        <v>813</v>
      </c>
      <c r="H315" s="4">
        <v>0.91000000000000003</v>
      </c>
      <c r="I315" s="4">
        <v>7</v>
      </c>
      <c r="J315" s="5">
        <v>13.699999999999999</v>
      </c>
      <c r="K315" s="8">
        <v>13</v>
      </c>
      <c r="L315" s="1" t="s">
        <v>58</v>
      </c>
      <c r="M315" s="1" t="s">
        <v>47</v>
      </c>
      <c r="N315" s="1" t="s">
        <v>1908</v>
      </c>
      <c r="O315" s="1" t="s">
        <v>48</v>
      </c>
      <c r="P315" s="1" t="s">
        <v>1909</v>
      </c>
      <c r="Q315" s="4">
        <v>1.4610000000000001</v>
      </c>
      <c r="R315" s="4">
        <v>1.538</v>
      </c>
      <c r="S315" s="8">
        <v>4</v>
      </c>
      <c r="T315" s="1" t="s">
        <v>60</v>
      </c>
      <c r="U315" s="1"/>
      <c r="V315" s="1"/>
      <c r="W315" s="1"/>
      <c r="X315" s="1"/>
      <c r="Y315" s="7">
        <v>1056000</v>
      </c>
      <c r="Z315" s="1"/>
      <c r="AA315" s="1"/>
      <c r="AB315" s="1"/>
      <c r="AC315" s="1"/>
      <c r="AD315" s="1"/>
      <c r="AE315" s="1" t="s">
        <v>51</v>
      </c>
      <c r="AF315" s="1" t="s">
        <v>51</v>
      </c>
      <c r="AG315" s="1" t="s">
        <v>51</v>
      </c>
      <c r="AH315" s="1" t="s">
        <v>1902</v>
      </c>
      <c r="AI315" s="1" t="s">
        <v>1903</v>
      </c>
      <c r="AJ315" s="3">
        <v>1</v>
      </c>
      <c r="AK315" s="1" t="s">
        <v>1209</v>
      </c>
      <c r="AL315" s="3">
        <v>4</v>
      </c>
      <c r="AM315" s="1"/>
      <c r="AN315" s="1"/>
      <c r="AO315" s="1" t="s">
        <v>1910</v>
      </c>
      <c r="AP315" s="1" t="s">
        <v>1911</v>
      </c>
      <c r="AQ315" s="1" t="s">
        <v>1912</v>
      </c>
      <c r="AR315" s="1" t="s">
        <v>1913</v>
      </c>
    </row>
    <row r="316">
      <c r="A316" s="2">
        <f ca="1">DATE(2000,04,14)</f>
        <v>0</v>
      </c>
      <c r="B316" s="2">
        <f ca="1">DATE(2000,06,26)</f>
        <v>0</v>
      </c>
      <c r="C316" s="1" t="s">
        <v>1914</v>
      </c>
      <c r="D316" s="3">
        <v>3674</v>
      </c>
      <c r="E316" s="1" t="s">
        <v>43</v>
      </c>
      <c r="F316" s="1" t="s">
        <v>1915</v>
      </c>
      <c r="G316" s="1" t="s">
        <v>813</v>
      </c>
      <c r="H316" s="4">
        <v>1.47</v>
      </c>
      <c r="I316" s="8">
        <v>7</v>
      </c>
      <c r="J316" s="5">
        <v>143.09999999999999</v>
      </c>
      <c r="K316" s="4">
        <v>21</v>
      </c>
      <c r="L316" s="1" t="s">
        <v>46</v>
      </c>
      <c r="M316" s="1" t="s">
        <v>47</v>
      </c>
      <c r="N316" s="3">
        <v>863100103</v>
      </c>
      <c r="O316" s="1" t="s">
        <v>48</v>
      </c>
      <c r="P316" s="1" t="s">
        <v>1916</v>
      </c>
      <c r="Q316" s="4">
        <v>1.381</v>
      </c>
      <c r="R316" s="4">
        <v>1.381</v>
      </c>
      <c r="S316" s="10">
        <v>4.2381000000000002</v>
      </c>
      <c r="T316" s="1" t="s">
        <v>50</v>
      </c>
      <c r="U316" s="1"/>
      <c r="V316" s="1"/>
      <c r="W316" s="1"/>
      <c r="X316" s="5">
        <v>184</v>
      </c>
      <c r="Y316" s="7">
        <v>6816250</v>
      </c>
      <c r="Z316" s="1"/>
      <c r="AA316" s="1"/>
      <c r="AB316" s="1"/>
      <c r="AC316" s="1"/>
      <c r="AD316" s="1"/>
      <c r="AE316" s="1" t="s">
        <v>51</v>
      </c>
      <c r="AF316" s="1" t="s">
        <v>51</v>
      </c>
      <c r="AG316" s="1" t="s">
        <v>51</v>
      </c>
      <c r="AH316" s="1" t="s">
        <v>1917</v>
      </c>
      <c r="AI316" s="1" t="s">
        <v>1918</v>
      </c>
      <c r="AJ316" s="3">
        <v>1</v>
      </c>
      <c r="AK316" s="1" t="s">
        <v>52</v>
      </c>
      <c r="AL316" s="3">
        <v>6</v>
      </c>
      <c r="AM316" s="8">
        <v>34.130000000000003</v>
      </c>
      <c r="AN316" s="1"/>
      <c r="AO316" s="1" t="s">
        <v>1919</v>
      </c>
      <c r="AP316" s="1" t="s">
        <v>813</v>
      </c>
      <c r="AQ316" s="1" t="s">
        <v>1920</v>
      </c>
      <c r="AR316" s="1" t="s">
        <v>1921</v>
      </c>
    </row>
    <row r="317">
      <c r="A317" s="2">
        <f ca="1">DATE(2000,04,14)</f>
        <v>0</v>
      </c>
      <c r="B317" s="2">
        <f ca="1">DATE(2000,06,26)</f>
        <v>0</v>
      </c>
      <c r="C317" s="1" t="s">
        <v>1914</v>
      </c>
      <c r="D317" s="3">
        <v>3674</v>
      </c>
      <c r="E317" s="1" t="s">
        <v>43</v>
      </c>
      <c r="F317" s="1" t="s">
        <v>1915</v>
      </c>
      <c r="G317" s="1" t="s">
        <v>813</v>
      </c>
      <c r="H317" s="4">
        <v>1.47</v>
      </c>
      <c r="I317" s="8">
        <v>7</v>
      </c>
      <c r="J317" s="5">
        <v>40.600000000000001</v>
      </c>
      <c r="K317" s="8">
        <v>21</v>
      </c>
      <c r="L317" s="1" t="s">
        <v>58</v>
      </c>
      <c r="M317" s="1" t="s">
        <v>47</v>
      </c>
      <c r="N317" s="3">
        <v>863100103</v>
      </c>
      <c r="O317" s="1" t="s">
        <v>48</v>
      </c>
      <c r="P317" s="1" t="s">
        <v>1922</v>
      </c>
      <c r="Q317" s="4">
        <v>1.381</v>
      </c>
      <c r="R317" s="4">
        <v>1.381</v>
      </c>
      <c r="S317" s="4">
        <v>4.2380000000000004</v>
      </c>
      <c r="T317" s="1" t="s">
        <v>60</v>
      </c>
      <c r="U317" s="1"/>
      <c r="V317" s="1"/>
      <c r="W317" s="1"/>
      <c r="X317" s="1"/>
      <c r="Y317" s="7">
        <v>1933750</v>
      </c>
      <c r="Z317" s="1"/>
      <c r="AA317" s="1"/>
      <c r="AB317" s="1"/>
      <c r="AC317" s="1"/>
      <c r="AD317" s="1"/>
      <c r="AE317" s="1" t="s">
        <v>51</v>
      </c>
      <c r="AF317" s="1" t="s">
        <v>51</v>
      </c>
      <c r="AG317" s="1" t="s">
        <v>51</v>
      </c>
      <c r="AH317" s="1" t="s">
        <v>1917</v>
      </c>
      <c r="AI317" s="1" t="s">
        <v>1918</v>
      </c>
      <c r="AJ317" s="3">
        <v>1</v>
      </c>
      <c r="AK317" s="1" t="s">
        <v>110</v>
      </c>
      <c r="AL317" s="3">
        <v>3</v>
      </c>
      <c r="AM317" s="1"/>
      <c r="AN317" s="1"/>
      <c r="AO317" s="1" t="s">
        <v>1923</v>
      </c>
      <c r="AP317" s="1" t="s">
        <v>1924</v>
      </c>
      <c r="AQ317" s="1" t="s">
        <v>1925</v>
      </c>
      <c r="AR317" s="1" t="s">
        <v>1926</v>
      </c>
    </row>
    <row r="318">
      <c r="A318" s="2">
        <f ca="1">DATE(2000,03,23)</f>
        <v>0</v>
      </c>
      <c r="B318" s="2">
        <f ca="1">DATE(2000,06,26)</f>
        <v>0</v>
      </c>
      <c r="C318" s="1" t="s">
        <v>1927</v>
      </c>
      <c r="D318" s="3">
        <v>3674</v>
      </c>
      <c r="E318" s="1" t="s">
        <v>43</v>
      </c>
      <c r="F318" s="1" t="s">
        <v>1928</v>
      </c>
      <c r="G318" s="1" t="s">
        <v>160</v>
      </c>
      <c r="H318" s="4">
        <v>1.05</v>
      </c>
      <c r="I318" s="4">
        <v>7</v>
      </c>
      <c r="J318" s="5">
        <v>80.400000000000006</v>
      </c>
      <c r="K318" s="4">
        <v>15</v>
      </c>
      <c r="L318" s="1" t="s">
        <v>46</v>
      </c>
      <c r="M318" s="1" t="s">
        <v>47</v>
      </c>
      <c r="N318" s="1" t="s">
        <v>1929</v>
      </c>
      <c r="O318" s="1" t="s">
        <v>48</v>
      </c>
      <c r="P318" s="1" t="s">
        <v>1930</v>
      </c>
      <c r="Q318" s="4">
        <v>1.3999999999999999</v>
      </c>
      <c r="R318" s="4">
        <v>1.3999999999999999</v>
      </c>
      <c r="S318" s="8">
        <v>4.2000000000000002</v>
      </c>
      <c r="T318" s="1" t="s">
        <v>50</v>
      </c>
      <c r="U318" s="1"/>
      <c r="V318" s="1"/>
      <c r="W318" s="1"/>
      <c r="X318" s="5">
        <v>75</v>
      </c>
      <c r="Y318" s="7">
        <v>5358000</v>
      </c>
      <c r="Z318" s="1"/>
      <c r="AA318" s="1"/>
      <c r="AB318" s="1"/>
      <c r="AC318" s="1"/>
      <c r="AD318" s="1"/>
      <c r="AE318" s="1" t="s">
        <v>51</v>
      </c>
      <c r="AF318" s="1" t="s">
        <v>51</v>
      </c>
      <c r="AG318" s="1" t="s">
        <v>47</v>
      </c>
      <c r="AH318" s="1"/>
      <c r="AI318" s="1"/>
      <c r="AJ318" s="3">
        <v>1</v>
      </c>
      <c r="AK318" s="1" t="s">
        <v>52</v>
      </c>
      <c r="AL318" s="3">
        <v>3</v>
      </c>
      <c r="AM318" s="8">
        <v>56.630000000000003</v>
      </c>
      <c r="AN318" s="1"/>
      <c r="AO318" s="1" t="s">
        <v>1931</v>
      </c>
      <c r="AP318" s="1" t="s">
        <v>160</v>
      </c>
      <c r="AQ318" s="1" t="s">
        <v>1932</v>
      </c>
      <c r="AR318" s="1" t="s">
        <v>1933</v>
      </c>
    </row>
    <row r="319">
      <c r="A319" s="2">
        <f ca="1">DATE(2000,03,23)</f>
        <v>0</v>
      </c>
      <c r="B319" s="2">
        <f ca="1">DATE(2000,06,26)</f>
        <v>0</v>
      </c>
      <c r="C319" s="1" t="s">
        <v>1927</v>
      </c>
      <c r="D319" s="3">
        <v>3674</v>
      </c>
      <c r="E319" s="1" t="s">
        <v>43</v>
      </c>
      <c r="F319" s="1" t="s">
        <v>1928</v>
      </c>
      <c r="G319" s="1" t="s">
        <v>1725</v>
      </c>
      <c r="H319" s="4">
        <v>1.05</v>
      </c>
      <c r="I319" s="4">
        <v>7</v>
      </c>
      <c r="J319" s="5">
        <v>9.5999999999999996</v>
      </c>
      <c r="K319" s="8">
        <v>15</v>
      </c>
      <c r="L319" s="1" t="s">
        <v>58</v>
      </c>
      <c r="M319" s="1" t="s">
        <v>47</v>
      </c>
      <c r="N319" s="1" t="s">
        <v>1929</v>
      </c>
      <c r="O319" s="1" t="s">
        <v>48</v>
      </c>
      <c r="P319" s="1" t="s">
        <v>1934</v>
      </c>
      <c r="Q319" s="4">
        <v>1.3999999999999999</v>
      </c>
      <c r="R319" s="4">
        <v>1.3999999999999999</v>
      </c>
      <c r="S319" s="1"/>
      <c r="T319" s="1" t="s">
        <v>60</v>
      </c>
      <c r="U319" s="1"/>
      <c r="V319" s="1"/>
      <c r="W319" s="1"/>
      <c r="X319" s="1"/>
      <c r="Y319" s="7">
        <v>642000</v>
      </c>
      <c r="Z319" s="1"/>
      <c r="AA319" s="1"/>
      <c r="AB319" s="1"/>
      <c r="AC319" s="1"/>
      <c r="AD319" s="1"/>
      <c r="AE319" s="1" t="s">
        <v>51</v>
      </c>
      <c r="AF319" s="1" t="s">
        <v>51</v>
      </c>
      <c r="AG319" s="1" t="s">
        <v>47</v>
      </c>
      <c r="AH319" s="1"/>
      <c r="AI319" s="1"/>
      <c r="AJ319" s="3">
        <v>1</v>
      </c>
      <c r="AK319" s="1" t="s">
        <v>52</v>
      </c>
      <c r="AL319" s="3">
        <v>1</v>
      </c>
      <c r="AM319" s="1"/>
      <c r="AN319" s="1"/>
      <c r="AO319" s="1" t="s">
        <v>1935</v>
      </c>
      <c r="AP319" s="1" t="s">
        <v>1725</v>
      </c>
      <c r="AQ319" s="1" t="s">
        <v>1725</v>
      </c>
      <c r="AR319" s="1" t="s">
        <v>1729</v>
      </c>
    </row>
    <row r="320">
      <c r="A320" s="2">
        <f ca="1">DATE(1999,06,09)</f>
        <v>0</v>
      </c>
      <c r="B320" s="2">
        <f ca="1">DATE(2000,06,27)</f>
        <v>0</v>
      </c>
      <c r="C320" s="1" t="s">
        <v>1936</v>
      </c>
      <c r="D320" s="3">
        <v>7389</v>
      </c>
      <c r="E320" s="1" t="s">
        <v>43</v>
      </c>
      <c r="F320" s="1" t="s">
        <v>1937</v>
      </c>
      <c r="G320" s="1" t="s">
        <v>393</v>
      </c>
      <c r="H320" s="4">
        <v>0.59999999999999998</v>
      </c>
      <c r="I320" s="4">
        <v>12</v>
      </c>
      <c r="J320" s="5">
        <v>12.5</v>
      </c>
      <c r="K320" s="4">
        <v>5</v>
      </c>
      <c r="L320" s="1" t="s">
        <v>46</v>
      </c>
      <c r="M320" s="1" t="s">
        <v>47</v>
      </c>
      <c r="N320" s="3">
        <v>123335101</v>
      </c>
      <c r="O320" s="1" t="s">
        <v>48</v>
      </c>
      <c r="P320" s="1" t="s">
        <v>1938</v>
      </c>
      <c r="Q320" s="4">
        <v>2</v>
      </c>
      <c r="R320" s="4">
        <v>5</v>
      </c>
      <c r="S320" s="8">
        <v>5</v>
      </c>
      <c r="T320" s="1" t="s">
        <v>50</v>
      </c>
      <c r="U320" s="8">
        <v>5</v>
      </c>
      <c r="V320" s="8">
        <v>5</v>
      </c>
      <c r="W320" s="7">
        <v>2000000</v>
      </c>
      <c r="X320" s="5">
        <v>10</v>
      </c>
      <c r="Y320" s="7">
        <v>2500000</v>
      </c>
      <c r="Z320" s="1"/>
      <c r="AA320" s="1"/>
      <c r="AB320" s="1"/>
      <c r="AC320" s="1"/>
      <c r="AD320" s="1"/>
      <c r="AE320" s="1" t="s">
        <v>51</v>
      </c>
      <c r="AF320" s="1" t="s">
        <v>51</v>
      </c>
      <c r="AG320" s="1" t="s">
        <v>51</v>
      </c>
      <c r="AH320" s="1"/>
      <c r="AI320" s="1"/>
      <c r="AJ320" s="3">
        <v>1</v>
      </c>
      <c r="AK320" s="1" t="s">
        <v>52</v>
      </c>
      <c r="AL320" s="3">
        <v>1</v>
      </c>
      <c r="AM320" s="8">
        <v>4.6299999999999999</v>
      </c>
      <c r="AN320" s="1"/>
      <c r="AO320" s="1" t="s">
        <v>393</v>
      </c>
      <c r="AP320" s="1" t="s">
        <v>393</v>
      </c>
      <c r="AQ320" s="1" t="s">
        <v>393</v>
      </c>
      <c r="AR320" s="1" t="s">
        <v>1938</v>
      </c>
    </row>
    <row r="321">
      <c r="A321" s="2">
        <f ca="1">DATE(2000,04,07)</f>
        <v>0</v>
      </c>
      <c r="B321" s="2">
        <f ca="1">DATE(2000,06,27)</f>
        <v>0</v>
      </c>
      <c r="C321" s="1" t="s">
        <v>1939</v>
      </c>
      <c r="D321" s="3">
        <v>7373</v>
      </c>
      <c r="E321" s="1" t="s">
        <v>43</v>
      </c>
      <c r="F321" s="1" t="s">
        <v>1940</v>
      </c>
      <c r="G321" s="1" t="s">
        <v>1941</v>
      </c>
      <c r="H321" s="4">
        <v>0.434</v>
      </c>
      <c r="I321" s="4">
        <v>3.9449999999999998</v>
      </c>
      <c r="J321" s="9">
        <v>1471.5</v>
      </c>
      <c r="K321" s="4">
        <v>11</v>
      </c>
      <c r="L321" s="1" t="s">
        <v>152</v>
      </c>
      <c r="M321" s="1" t="s">
        <v>47</v>
      </c>
      <c r="N321" s="1" t="s">
        <v>1942</v>
      </c>
      <c r="O321" s="1" t="s">
        <v>48</v>
      </c>
      <c r="P321" s="1" t="s">
        <v>1943</v>
      </c>
      <c r="Q321" s="4">
        <v>0.79100000000000004</v>
      </c>
      <c r="R321" s="4">
        <v>0.79100000000000004</v>
      </c>
      <c r="S321" s="6">
        <v>2.3636400000000002</v>
      </c>
      <c r="T321" s="1" t="s">
        <v>50</v>
      </c>
      <c r="U321" s="1"/>
      <c r="V321" s="1"/>
      <c r="W321" s="1"/>
      <c r="X321" s="5">
        <v>10</v>
      </c>
      <c r="Y321" s="7">
        <v>133773000</v>
      </c>
      <c r="Z321" s="1"/>
      <c r="AA321" s="1"/>
      <c r="AB321" s="1"/>
      <c r="AC321" s="1"/>
      <c r="AD321" s="1"/>
      <c r="AE321" s="1" t="s">
        <v>51</v>
      </c>
      <c r="AF321" s="1" t="s">
        <v>51</v>
      </c>
      <c r="AG321" s="1" t="s">
        <v>51</v>
      </c>
      <c r="AH321" s="1"/>
      <c r="AI321" s="1" t="s">
        <v>1944</v>
      </c>
      <c r="AJ321" s="3">
        <v>2</v>
      </c>
      <c r="AK321" s="1" t="s">
        <v>89</v>
      </c>
      <c r="AL321" s="3">
        <v>11</v>
      </c>
      <c r="AM321" s="8">
        <v>9.4100000000000001</v>
      </c>
      <c r="AN321" s="1"/>
      <c r="AO321" s="1" t="s">
        <v>1945</v>
      </c>
      <c r="AP321" s="1" t="s">
        <v>1946</v>
      </c>
      <c r="AQ321" s="1" t="s">
        <v>1947</v>
      </c>
      <c r="AR321" s="1" t="s">
        <v>1948</v>
      </c>
    </row>
    <row r="322">
      <c r="A322" s="2">
        <f ca="1">DATE(2000,05,20)</f>
        <v>0</v>
      </c>
      <c r="B322" s="2">
        <f ca="1">DATE(2000,06,27)</f>
        <v>0</v>
      </c>
      <c r="C322" s="1" t="s">
        <v>1939</v>
      </c>
      <c r="D322" s="3">
        <v>7373</v>
      </c>
      <c r="E322" s="1" t="s">
        <v>43</v>
      </c>
      <c r="F322" s="1" t="s">
        <v>1940</v>
      </c>
      <c r="G322" s="1" t="s">
        <v>1949</v>
      </c>
      <c r="H322" s="4">
        <v>0.434</v>
      </c>
      <c r="I322" s="4">
        <v>3.9449999999999998</v>
      </c>
      <c r="J322" s="5">
        <v>441.5</v>
      </c>
      <c r="K322" s="8">
        <v>11</v>
      </c>
      <c r="L322" s="1" t="s">
        <v>58</v>
      </c>
      <c r="M322" s="1" t="s">
        <v>47</v>
      </c>
      <c r="N322" s="1"/>
      <c r="O322" s="1" t="s">
        <v>48</v>
      </c>
      <c r="P322" s="1" t="s">
        <v>1950</v>
      </c>
      <c r="Q322" s="1" t="s">
        <v>145</v>
      </c>
      <c r="R322" s="1" t="s">
        <v>145</v>
      </c>
      <c r="S322" s="1"/>
      <c r="T322" s="1" t="s">
        <v>60</v>
      </c>
      <c r="U322" s="1"/>
      <c r="V322" s="1"/>
      <c r="W322" s="1"/>
      <c r="X322" s="1"/>
      <c r="Y322" s="7">
        <v>40140000</v>
      </c>
      <c r="Z322" s="1"/>
      <c r="AA322" s="1"/>
      <c r="AB322" s="1"/>
      <c r="AC322" s="1"/>
      <c r="AD322" s="1"/>
      <c r="AE322" s="1" t="s">
        <v>51</v>
      </c>
      <c r="AF322" s="1" t="s">
        <v>51</v>
      </c>
      <c r="AG322" s="1" t="s">
        <v>51</v>
      </c>
      <c r="AH322" s="1"/>
      <c r="AI322" s="1" t="s">
        <v>1944</v>
      </c>
      <c r="AJ322" s="3">
        <v>2</v>
      </c>
      <c r="AK322" s="1" t="s">
        <v>89</v>
      </c>
      <c r="AL322" s="3">
        <v>2</v>
      </c>
      <c r="AM322" s="1"/>
      <c r="AN322" s="1"/>
      <c r="AO322" s="1" t="s">
        <v>1951</v>
      </c>
      <c r="AP322" s="1" t="s">
        <v>1952</v>
      </c>
      <c r="AQ322" s="1" t="s">
        <v>1953</v>
      </c>
      <c r="AR322" s="1" t="s">
        <v>1954</v>
      </c>
    </row>
    <row r="323">
      <c r="A323" s="2">
        <f ca="1">DATE(2000,06,27)</f>
        <v>0</v>
      </c>
      <c r="B323" s="2">
        <f ca="1">DATE(2000,06,27)</f>
        <v>0</v>
      </c>
      <c r="C323" s="1" t="s">
        <v>1955</v>
      </c>
      <c r="D323" s="3">
        <v>6311</v>
      </c>
      <c r="E323" s="1" t="s">
        <v>1956</v>
      </c>
      <c r="F323" s="1" t="s">
        <v>1957</v>
      </c>
      <c r="G323" s="1" t="s">
        <v>106</v>
      </c>
      <c r="H323" s="4">
        <v>0.48499999999999999</v>
      </c>
      <c r="I323" s="4">
        <v>3.4900000000000002</v>
      </c>
      <c r="J323" s="5">
        <v>208.59999999999999</v>
      </c>
      <c r="K323" s="8">
        <v>9.2400000000000002</v>
      </c>
      <c r="L323" s="1" t="s">
        <v>58</v>
      </c>
      <c r="M323" s="1" t="s">
        <v>47</v>
      </c>
      <c r="N323" s="1"/>
      <c r="O323" s="1" t="s">
        <v>1958</v>
      </c>
      <c r="P323" s="1" t="s">
        <v>1959</v>
      </c>
      <c r="Q323" s="4">
        <v>0.69999999999999996</v>
      </c>
      <c r="R323" s="4">
        <v>0.52000000000000002</v>
      </c>
      <c r="S323" s="6">
        <v>2.2700200000000001</v>
      </c>
      <c r="T323" s="1" t="s">
        <v>60</v>
      </c>
      <c r="U323" s="1"/>
      <c r="V323" s="1"/>
      <c r="W323" s="1"/>
      <c r="X323" s="1"/>
      <c r="Y323" s="7">
        <v>15000000</v>
      </c>
      <c r="Z323" s="1"/>
      <c r="AA323" s="1"/>
      <c r="AB323" s="1"/>
      <c r="AC323" s="1"/>
      <c r="AD323" s="1"/>
      <c r="AE323" s="1" t="s">
        <v>51</v>
      </c>
      <c r="AF323" s="1" t="s">
        <v>51</v>
      </c>
      <c r="AG323" s="1" t="s">
        <v>51</v>
      </c>
      <c r="AH323" s="1"/>
      <c r="AI323" s="1"/>
      <c r="AJ323" s="3">
        <v>1</v>
      </c>
      <c r="AK323" s="1" t="s">
        <v>52</v>
      </c>
      <c r="AL323" s="3">
        <v>4</v>
      </c>
      <c r="AM323" s="1"/>
      <c r="AN323" s="1"/>
      <c r="AO323" s="1" t="s">
        <v>1960</v>
      </c>
      <c r="AP323" s="1" t="s">
        <v>106</v>
      </c>
      <c r="AQ323" s="1" t="s">
        <v>1961</v>
      </c>
      <c r="AR323" s="1" t="s">
        <v>1962</v>
      </c>
    </row>
    <row r="324">
      <c r="A324" s="2">
        <f ca="1">DATE(2000,03,22)</f>
        <v>0</v>
      </c>
      <c r="B324" s="2">
        <f ca="1">DATE(2000,06,28)</f>
        <v>0</v>
      </c>
      <c r="C324" s="1" t="s">
        <v>1963</v>
      </c>
      <c r="D324" s="3">
        <v>3511</v>
      </c>
      <c r="E324" s="1" t="s">
        <v>43</v>
      </c>
      <c r="F324" s="1" t="s">
        <v>1964</v>
      </c>
      <c r="G324" s="1" t="s">
        <v>160</v>
      </c>
      <c r="H324" s="4">
        <v>1.1200000000000001</v>
      </c>
      <c r="I324" s="4">
        <v>7</v>
      </c>
      <c r="J324" s="5">
        <v>129.5</v>
      </c>
      <c r="K324" s="4">
        <v>16</v>
      </c>
      <c r="L324" s="1" t="s">
        <v>46</v>
      </c>
      <c r="M324" s="1" t="s">
        <v>47</v>
      </c>
      <c r="N324" s="1" t="s">
        <v>1965</v>
      </c>
      <c r="O324" s="1" t="s">
        <v>48</v>
      </c>
      <c r="P324" s="1" t="s">
        <v>1966</v>
      </c>
      <c r="Q324" s="4">
        <v>1.4379999999999999</v>
      </c>
      <c r="R324" s="4">
        <v>1.4379999999999999</v>
      </c>
      <c r="S324" s="4">
        <v>4.125</v>
      </c>
      <c r="T324" s="1" t="s">
        <v>50</v>
      </c>
      <c r="U324" s="1"/>
      <c r="V324" s="1"/>
      <c r="W324" s="1"/>
      <c r="X324" s="5">
        <v>115</v>
      </c>
      <c r="Y324" s="7">
        <v>8090909</v>
      </c>
      <c r="Z324" s="1"/>
      <c r="AA324" s="1"/>
      <c r="AB324" s="1"/>
      <c r="AC324" s="1"/>
      <c r="AD324" s="1"/>
      <c r="AE324" s="1" t="s">
        <v>51</v>
      </c>
      <c r="AF324" s="1" t="s">
        <v>51</v>
      </c>
      <c r="AG324" s="1" t="s">
        <v>47</v>
      </c>
      <c r="AH324" s="1"/>
      <c r="AI324" s="1"/>
      <c r="AJ324" s="3">
        <v>1</v>
      </c>
      <c r="AK324" s="1" t="s">
        <v>52</v>
      </c>
      <c r="AL324" s="3">
        <v>3</v>
      </c>
      <c r="AM324" s="8">
        <v>47.979999999999997</v>
      </c>
      <c r="AN324" s="1"/>
      <c r="AO324" s="1" t="s">
        <v>1967</v>
      </c>
      <c r="AP324" s="1" t="s">
        <v>160</v>
      </c>
      <c r="AQ324" s="1" t="s">
        <v>1968</v>
      </c>
      <c r="AR324" s="1" t="s">
        <v>1969</v>
      </c>
    </row>
    <row r="325">
      <c r="A325" s="2">
        <f ca="1">DATE(2000,03,22)</f>
        <v>0</v>
      </c>
      <c r="B325" s="2">
        <f ca="1">DATE(2000,06,28)</f>
        <v>0</v>
      </c>
      <c r="C325" s="1" t="s">
        <v>1963</v>
      </c>
      <c r="D325" s="3">
        <v>3511</v>
      </c>
      <c r="E325" s="1" t="s">
        <v>43</v>
      </c>
      <c r="F325" s="1" t="s">
        <v>1964</v>
      </c>
      <c r="G325" s="1" t="s">
        <v>1725</v>
      </c>
      <c r="H325" s="4">
        <v>1.1200000000000001</v>
      </c>
      <c r="I325" s="4">
        <v>7</v>
      </c>
      <c r="J325" s="5">
        <v>13.9</v>
      </c>
      <c r="K325" s="8">
        <v>16</v>
      </c>
      <c r="L325" s="1" t="s">
        <v>58</v>
      </c>
      <c r="M325" s="1" t="s">
        <v>47</v>
      </c>
      <c r="N325" s="1" t="s">
        <v>1965</v>
      </c>
      <c r="O325" s="1" t="s">
        <v>48</v>
      </c>
      <c r="P325" s="1" t="s">
        <v>1970</v>
      </c>
      <c r="Q325" s="4">
        <v>1.4379999999999999</v>
      </c>
      <c r="R325" s="4">
        <v>1.4379999999999999</v>
      </c>
      <c r="S325" s="4">
        <v>4.125</v>
      </c>
      <c r="T325" s="1" t="s">
        <v>60</v>
      </c>
      <c r="U325" s="1"/>
      <c r="V325" s="1"/>
      <c r="W325" s="1"/>
      <c r="X325" s="1"/>
      <c r="Y325" s="7">
        <v>869565</v>
      </c>
      <c r="Z325" s="1"/>
      <c r="AA325" s="1"/>
      <c r="AB325" s="1"/>
      <c r="AC325" s="1"/>
      <c r="AD325" s="1"/>
      <c r="AE325" s="1" t="s">
        <v>51</v>
      </c>
      <c r="AF325" s="1" t="s">
        <v>51</v>
      </c>
      <c r="AG325" s="1" t="s">
        <v>47</v>
      </c>
      <c r="AH325" s="1"/>
      <c r="AI325" s="1"/>
      <c r="AJ325" s="3">
        <v>1</v>
      </c>
      <c r="AK325" s="1" t="s">
        <v>52</v>
      </c>
      <c r="AL325" s="3">
        <v>1</v>
      </c>
      <c r="AM325" s="1"/>
      <c r="AN325" s="1"/>
      <c r="AO325" s="1" t="s">
        <v>1971</v>
      </c>
      <c r="AP325" s="1" t="s">
        <v>1725</v>
      </c>
      <c r="AQ325" s="1" t="s">
        <v>1725</v>
      </c>
      <c r="AR325" s="1" t="s">
        <v>1729</v>
      </c>
    </row>
    <row r="326">
      <c r="A326" s="2">
        <f ca="1">DATE(2000,03,14)</f>
        <v>0</v>
      </c>
      <c r="B326" s="2">
        <f ca="1">DATE(2000,06,28)</f>
        <v>0</v>
      </c>
      <c r="C326" s="1" t="s">
        <v>1972</v>
      </c>
      <c r="D326" s="3">
        <v>7372</v>
      </c>
      <c r="E326" s="1" t="s">
        <v>43</v>
      </c>
      <c r="F326" s="1" t="s">
        <v>1973</v>
      </c>
      <c r="G326" s="1" t="s">
        <v>96</v>
      </c>
      <c r="H326" s="4">
        <v>0.83999999999999997</v>
      </c>
      <c r="I326" s="8">
        <v>7</v>
      </c>
      <c r="J326" s="5">
        <v>35</v>
      </c>
      <c r="K326" s="4">
        <v>12</v>
      </c>
      <c r="L326" s="1" t="s">
        <v>46</v>
      </c>
      <c r="M326" s="1" t="s">
        <v>47</v>
      </c>
      <c r="N326" s="3">
        <v>141726109</v>
      </c>
      <c r="O326" s="1" t="s">
        <v>48</v>
      </c>
      <c r="P326" s="1" t="s">
        <v>1974</v>
      </c>
      <c r="Q326" s="4">
        <v>1.417</v>
      </c>
      <c r="R326" s="4">
        <v>1.417</v>
      </c>
      <c r="S326" s="6">
        <v>4.1666699999999999</v>
      </c>
      <c r="T326" s="1" t="s">
        <v>50</v>
      </c>
      <c r="U326" s="1"/>
      <c r="V326" s="1"/>
      <c r="W326" s="1"/>
      <c r="X326" s="5">
        <v>86.299999999999997</v>
      </c>
      <c r="Y326" s="7">
        <v>2920000</v>
      </c>
      <c r="Z326" s="1"/>
      <c r="AA326" s="1"/>
      <c r="AB326" s="1"/>
      <c r="AC326" s="1"/>
      <c r="AD326" s="1"/>
      <c r="AE326" s="1" t="s">
        <v>51</v>
      </c>
      <c r="AF326" s="1" t="s">
        <v>51</v>
      </c>
      <c r="AG326" s="1" t="s">
        <v>47</v>
      </c>
      <c r="AH326" s="1"/>
      <c r="AI326" s="1"/>
      <c r="AJ326" s="3">
        <v>1</v>
      </c>
      <c r="AK326" s="1" t="s">
        <v>52</v>
      </c>
      <c r="AL326" s="3">
        <v>3</v>
      </c>
      <c r="AM326" s="8">
        <v>10.02</v>
      </c>
      <c r="AN326" s="1"/>
      <c r="AO326" s="1" t="s">
        <v>1975</v>
      </c>
      <c r="AP326" s="1" t="s">
        <v>96</v>
      </c>
      <c r="AQ326" s="1" t="s">
        <v>1976</v>
      </c>
      <c r="AR326" s="1" t="s">
        <v>1977</v>
      </c>
    </row>
    <row r="327">
      <c r="A327" s="2">
        <f ca="1">DATE(2000,03,14)</f>
        <v>0</v>
      </c>
      <c r="B327" s="2">
        <f ca="1">DATE(2000,06,28)</f>
        <v>0</v>
      </c>
      <c r="C327" s="1" t="s">
        <v>1972</v>
      </c>
      <c r="D327" s="3">
        <v>7372</v>
      </c>
      <c r="E327" s="1" t="s">
        <v>43</v>
      </c>
      <c r="F327" s="1" t="s">
        <v>1973</v>
      </c>
      <c r="G327" s="1" t="s">
        <v>765</v>
      </c>
      <c r="H327" s="4">
        <v>0.83999999999999997</v>
      </c>
      <c r="I327" s="8">
        <v>7</v>
      </c>
      <c r="J327" s="5">
        <v>13</v>
      </c>
      <c r="K327" s="8">
        <v>12</v>
      </c>
      <c r="L327" s="1" t="s">
        <v>58</v>
      </c>
      <c r="M327" s="1" t="s">
        <v>47</v>
      </c>
      <c r="N327" s="1"/>
      <c r="O327" s="1" t="s">
        <v>48</v>
      </c>
      <c r="P327" s="1" t="s">
        <v>1978</v>
      </c>
      <c r="Q327" s="4">
        <v>1.417</v>
      </c>
      <c r="R327" s="4">
        <v>1.417</v>
      </c>
      <c r="S327" s="6">
        <v>4.1665799999999997</v>
      </c>
      <c r="T327" s="1" t="s">
        <v>60</v>
      </c>
      <c r="U327" s="1"/>
      <c r="V327" s="1"/>
      <c r="W327" s="1"/>
      <c r="X327" s="1"/>
      <c r="Y327" s="7">
        <v>1080000</v>
      </c>
      <c r="Z327" s="1"/>
      <c r="AA327" s="1"/>
      <c r="AB327" s="1"/>
      <c r="AC327" s="1"/>
      <c r="AD327" s="1"/>
      <c r="AE327" s="1" t="s">
        <v>51</v>
      </c>
      <c r="AF327" s="1" t="s">
        <v>51</v>
      </c>
      <c r="AG327" s="1" t="s">
        <v>47</v>
      </c>
      <c r="AH327" s="1"/>
      <c r="AI327" s="1"/>
      <c r="AJ327" s="3">
        <v>1</v>
      </c>
      <c r="AK327" s="1" t="s">
        <v>52</v>
      </c>
      <c r="AL327" s="3">
        <v>1</v>
      </c>
      <c r="AM327" s="1"/>
      <c r="AN327" s="1"/>
      <c r="AO327" s="1" t="s">
        <v>1979</v>
      </c>
      <c r="AP327" s="1" t="s">
        <v>765</v>
      </c>
      <c r="AQ327" s="1" t="s">
        <v>765</v>
      </c>
      <c r="AR327" s="1" t="s">
        <v>768</v>
      </c>
    </row>
    <row r="328">
      <c r="A328" s="2">
        <f ca="1">DATE(2000,02,07)</f>
        <v>0</v>
      </c>
      <c r="B328" s="2">
        <f ca="1">DATE(2000,06,28)</f>
        <v>0</v>
      </c>
      <c r="C328" s="1" t="s">
        <v>1980</v>
      </c>
      <c r="D328" s="3">
        <v>7372</v>
      </c>
      <c r="E328" s="1" t="s">
        <v>43</v>
      </c>
      <c r="F328" s="1" t="s">
        <v>1981</v>
      </c>
      <c r="G328" s="1" t="s">
        <v>168</v>
      </c>
      <c r="H328" s="4">
        <v>0.77000000000000002</v>
      </c>
      <c r="I328" s="4">
        <v>7</v>
      </c>
      <c r="J328" s="5">
        <v>38.5</v>
      </c>
      <c r="K328" s="4">
        <v>11</v>
      </c>
      <c r="L328" s="1" t="s">
        <v>46</v>
      </c>
      <c r="M328" s="1" t="s">
        <v>47</v>
      </c>
      <c r="N328" s="1" t="s">
        <v>1982</v>
      </c>
      <c r="O328" s="1" t="s">
        <v>48</v>
      </c>
      <c r="P328" s="1" t="s">
        <v>1983</v>
      </c>
      <c r="Q328" s="4">
        <v>1.3999999999999999</v>
      </c>
      <c r="R328" s="4">
        <v>1.3999999999999999</v>
      </c>
      <c r="S328" s="8">
        <v>4.2000000000000002</v>
      </c>
      <c r="T328" s="1" t="s">
        <v>50</v>
      </c>
      <c r="U328" s="1"/>
      <c r="V328" s="1"/>
      <c r="W328" s="1"/>
      <c r="X328" s="5">
        <v>63.299999999999997</v>
      </c>
      <c r="Y328" s="7">
        <v>3500000</v>
      </c>
      <c r="Z328" s="1"/>
      <c r="AA328" s="1"/>
      <c r="AB328" s="1"/>
      <c r="AC328" s="1"/>
      <c r="AD328" s="1"/>
      <c r="AE328" s="1" t="s">
        <v>51</v>
      </c>
      <c r="AF328" s="1" t="s">
        <v>51</v>
      </c>
      <c r="AG328" s="1" t="s">
        <v>47</v>
      </c>
      <c r="AH328" s="1"/>
      <c r="AI328" s="1"/>
      <c r="AJ328" s="3">
        <v>1</v>
      </c>
      <c r="AK328" s="1" t="s">
        <v>52</v>
      </c>
      <c r="AL328" s="3">
        <v>3</v>
      </c>
      <c r="AM328" s="8">
        <v>16.879999999999999</v>
      </c>
      <c r="AN328" s="1"/>
      <c r="AO328" s="1" t="s">
        <v>1984</v>
      </c>
      <c r="AP328" s="1" t="s">
        <v>168</v>
      </c>
      <c r="AQ328" s="1" t="s">
        <v>1985</v>
      </c>
      <c r="AR328" s="1" t="s">
        <v>1986</v>
      </c>
    </row>
    <row r="329">
      <c r="A329" s="2">
        <f ca="1">DATE(2000,06,08)</f>
        <v>0</v>
      </c>
      <c r="B329" s="2">
        <f ca="1">DATE(2000,06,28)</f>
        <v>0</v>
      </c>
      <c r="C329" s="1" t="s">
        <v>1987</v>
      </c>
      <c r="D329" s="3">
        <v>3671</v>
      </c>
      <c r="E329" s="1" t="s">
        <v>43</v>
      </c>
      <c r="F329" s="1" t="s">
        <v>1988</v>
      </c>
      <c r="G329" s="1" t="s">
        <v>1056</v>
      </c>
      <c r="H329" s="4">
        <v>0.77000000000000002</v>
      </c>
      <c r="I329" s="4">
        <v>7</v>
      </c>
      <c r="J329" s="5">
        <v>55</v>
      </c>
      <c r="K329" s="4">
        <v>11</v>
      </c>
      <c r="L329" s="1" t="s">
        <v>1057</v>
      </c>
      <c r="M329" s="1" t="s">
        <v>47</v>
      </c>
      <c r="N329" s="1" t="s">
        <v>1989</v>
      </c>
      <c r="O329" s="1" t="s">
        <v>48</v>
      </c>
      <c r="P329" s="1" t="s">
        <v>1990</v>
      </c>
      <c r="Q329" s="4">
        <v>1.409</v>
      </c>
      <c r="R329" s="4">
        <v>2.0449999999999999</v>
      </c>
      <c r="S329" s="6">
        <v>3.5454500000000002</v>
      </c>
      <c r="T329" s="1" t="s">
        <v>50</v>
      </c>
      <c r="U329" s="8">
        <v>12</v>
      </c>
      <c r="V329" s="8">
        <v>10</v>
      </c>
      <c r="W329" s="7">
        <v>5000000</v>
      </c>
      <c r="X329" s="5">
        <v>55</v>
      </c>
      <c r="Y329" s="7">
        <v>5000000</v>
      </c>
      <c r="Z329" s="1"/>
      <c r="AA329" s="2">
        <f ca="1">DATE(2000,12,25)</f>
        <v>0</v>
      </c>
      <c r="AB329" s="4">
        <v>74.852000000000004</v>
      </c>
      <c r="AC329" s="3">
        <v>180</v>
      </c>
      <c r="AD329" s="8">
        <v>14882474</v>
      </c>
      <c r="AE329" s="1" t="s">
        <v>51</v>
      </c>
      <c r="AF329" s="1" t="s">
        <v>51</v>
      </c>
      <c r="AG329" s="1" t="s">
        <v>47</v>
      </c>
      <c r="AH329" s="1"/>
      <c r="AI329" s="1"/>
      <c r="AJ329" s="3">
        <v>1</v>
      </c>
      <c r="AK329" s="1" t="s">
        <v>52</v>
      </c>
      <c r="AL329" s="3">
        <v>3</v>
      </c>
      <c r="AM329" s="8">
        <v>8.9399999999999995</v>
      </c>
      <c r="AN329" s="1"/>
      <c r="AO329" s="1" t="s">
        <v>1991</v>
      </c>
      <c r="AP329" s="1" t="s">
        <v>1056</v>
      </c>
      <c r="AQ329" s="1" t="s">
        <v>1061</v>
      </c>
      <c r="AR329" s="1" t="s">
        <v>1062</v>
      </c>
    </row>
    <row r="330">
      <c r="A330" s="2">
        <f ca="1">DATE(2000,06,09)</f>
        <v>0</v>
      </c>
      <c r="B330" s="2">
        <f ca="1">DATE(2000,06,29)</f>
        <v>0</v>
      </c>
      <c r="C330" s="1" t="s">
        <v>1992</v>
      </c>
      <c r="D330" s="3">
        <v>3825</v>
      </c>
      <c r="E330" s="1" t="s">
        <v>166</v>
      </c>
      <c r="F330" s="1" t="s">
        <v>1993</v>
      </c>
      <c r="G330" s="1" t="s">
        <v>482</v>
      </c>
      <c r="H330" s="4">
        <v>1.8200000000000001</v>
      </c>
      <c r="I330" s="4">
        <v>7</v>
      </c>
      <c r="J330" s="5">
        <v>182</v>
      </c>
      <c r="K330" s="8">
        <v>26</v>
      </c>
      <c r="L330" s="1" t="s">
        <v>58</v>
      </c>
      <c r="M330" s="1" t="s">
        <v>47</v>
      </c>
      <c r="N330" s="3">
        <v>302043104</v>
      </c>
      <c r="O330" s="1" t="s">
        <v>48</v>
      </c>
      <c r="P330" s="1" t="s">
        <v>1994</v>
      </c>
      <c r="Q330" s="4">
        <v>1.423</v>
      </c>
      <c r="R330" s="4">
        <v>1.3460000000000001</v>
      </c>
      <c r="S330" s="6">
        <v>4.2306900000000001</v>
      </c>
      <c r="T330" s="1" t="s">
        <v>60</v>
      </c>
      <c r="U330" s="8">
        <v>22</v>
      </c>
      <c r="V330" s="8">
        <v>20</v>
      </c>
      <c r="W330" s="7">
        <v>6000000</v>
      </c>
      <c r="X330" s="5">
        <v>126</v>
      </c>
      <c r="Y330" s="7">
        <v>7000000</v>
      </c>
      <c r="Z330" s="1"/>
      <c r="AA330" s="1"/>
      <c r="AB330" s="1"/>
      <c r="AC330" s="1"/>
      <c r="AD330" s="1"/>
      <c r="AE330" s="1" t="s">
        <v>51</v>
      </c>
      <c r="AF330" s="1" t="s">
        <v>51</v>
      </c>
      <c r="AG330" s="1" t="s">
        <v>51</v>
      </c>
      <c r="AH330" s="1"/>
      <c r="AI330" s="1"/>
      <c r="AJ330" s="3">
        <v>1</v>
      </c>
      <c r="AK330" s="1" t="s">
        <v>52</v>
      </c>
      <c r="AL330" s="3">
        <v>1</v>
      </c>
      <c r="AM330" s="1"/>
      <c r="AN330" s="1"/>
      <c r="AO330" s="1" t="s">
        <v>1995</v>
      </c>
      <c r="AP330" s="1" t="s">
        <v>482</v>
      </c>
      <c r="AQ330" s="1" t="s">
        <v>482</v>
      </c>
      <c r="AR330" s="1" t="s">
        <v>1996</v>
      </c>
    </row>
    <row r="331">
      <c r="A331" s="2">
        <f ca="1">DATE(2000,05,24)</f>
        <v>0</v>
      </c>
      <c r="B331" s="2">
        <f ca="1">DATE(2000,06,29)</f>
        <v>0</v>
      </c>
      <c r="C331" s="1" t="s">
        <v>1997</v>
      </c>
      <c r="D331" s="3">
        <v>4812</v>
      </c>
      <c r="E331" s="1" t="s">
        <v>1998</v>
      </c>
      <c r="F331" s="1" t="s">
        <v>1999</v>
      </c>
      <c r="G331" s="1" t="s">
        <v>2000</v>
      </c>
      <c r="H331" s="4">
        <v>1.02</v>
      </c>
      <c r="I331" s="4">
        <v>4.7439999999999998</v>
      </c>
      <c r="J331" s="5">
        <v>136.69999999999999</v>
      </c>
      <c r="K331" s="4">
        <v>21.5</v>
      </c>
      <c r="L331" s="1" t="s">
        <v>651</v>
      </c>
      <c r="M331" s="1" t="s">
        <v>47</v>
      </c>
      <c r="N331" s="1"/>
      <c r="O331" s="1" t="s">
        <v>108</v>
      </c>
      <c r="P331" s="1" t="s">
        <v>2001</v>
      </c>
      <c r="Q331" s="1" t="s">
        <v>145</v>
      </c>
      <c r="R331" s="1" t="s">
        <v>145</v>
      </c>
      <c r="S331" s="1"/>
      <c r="T331" s="1" t="s">
        <v>50</v>
      </c>
      <c r="U331" s="8">
        <v>23.75</v>
      </c>
      <c r="V331" s="8">
        <v>21.43</v>
      </c>
      <c r="W331" s="7">
        <v>15010612</v>
      </c>
      <c r="X331" s="5">
        <v>339.10000000000002</v>
      </c>
      <c r="Y331" s="7">
        <v>6358000</v>
      </c>
      <c r="Z331" s="1"/>
      <c r="AA331" s="1"/>
      <c r="AB331" s="1"/>
      <c r="AC331" s="1"/>
      <c r="AD331" s="1"/>
      <c r="AE331" s="1" t="s">
        <v>47</v>
      </c>
      <c r="AF331" s="1" t="s">
        <v>51</v>
      </c>
      <c r="AG331" s="1" t="s">
        <v>51</v>
      </c>
      <c r="AH331" s="1"/>
      <c r="AI331" s="1"/>
      <c r="AJ331" s="3">
        <v>2</v>
      </c>
      <c r="AK331" s="1" t="s">
        <v>89</v>
      </c>
      <c r="AL331" s="3">
        <v>6</v>
      </c>
      <c r="AM331" s="8">
        <v>22.379999999999999</v>
      </c>
      <c r="AN331" s="1"/>
      <c r="AO331" s="1" t="s">
        <v>2002</v>
      </c>
      <c r="AP331" s="1" t="s">
        <v>2003</v>
      </c>
      <c r="AQ331" s="1" t="s">
        <v>2004</v>
      </c>
      <c r="AR331" s="1" t="s">
        <v>2005</v>
      </c>
    </row>
    <row r="332">
      <c r="A332" s="2">
        <f ca="1">DATE(2000,05,24)</f>
        <v>0</v>
      </c>
      <c r="B332" s="2">
        <f ca="1">DATE(2000,06,29)</f>
        <v>0</v>
      </c>
      <c r="C332" s="1" t="s">
        <v>1997</v>
      </c>
      <c r="D332" s="3">
        <v>4812</v>
      </c>
      <c r="E332" s="1" t="s">
        <v>1998</v>
      </c>
      <c r="F332" s="1" t="s">
        <v>1999</v>
      </c>
      <c r="G332" s="1" t="s">
        <v>2000</v>
      </c>
      <c r="H332" s="1" t="s">
        <v>57</v>
      </c>
      <c r="I332" s="1" t="s">
        <v>57</v>
      </c>
      <c r="J332" s="5">
        <v>186</v>
      </c>
      <c r="K332" s="8">
        <v>21.5</v>
      </c>
      <c r="L332" s="1" t="s">
        <v>651</v>
      </c>
      <c r="M332" s="1" t="s">
        <v>47</v>
      </c>
      <c r="N332" s="1"/>
      <c r="O332" s="1" t="s">
        <v>108</v>
      </c>
      <c r="P332" s="1" t="s">
        <v>2006</v>
      </c>
      <c r="Q332" s="1"/>
      <c r="R332" s="1"/>
      <c r="S332" s="1"/>
      <c r="T332" s="1" t="s">
        <v>60</v>
      </c>
      <c r="U332" s="8">
        <v>23.75</v>
      </c>
      <c r="V332" s="8">
        <v>21.43</v>
      </c>
      <c r="W332" s="1"/>
      <c r="X332" s="1"/>
      <c r="Y332" s="7">
        <v>8652612</v>
      </c>
      <c r="Z332" s="1"/>
      <c r="AA332" s="1"/>
      <c r="AB332" s="1"/>
      <c r="AC332" s="1"/>
      <c r="AD332" s="1"/>
      <c r="AE332" s="1" t="s">
        <v>47</v>
      </c>
      <c r="AF332" s="1" t="s">
        <v>51</v>
      </c>
      <c r="AG332" s="1" t="s">
        <v>51</v>
      </c>
      <c r="AH332" s="1"/>
      <c r="AI332" s="1"/>
      <c r="AJ332" s="3">
        <v>2</v>
      </c>
      <c r="AK332" s="1" t="s">
        <v>89</v>
      </c>
      <c r="AL332" s="3">
        <v>6</v>
      </c>
      <c r="AM332" s="1"/>
      <c r="AN332" s="1"/>
      <c r="AO332" s="1" t="s">
        <v>2007</v>
      </c>
      <c r="AP332" s="1" t="s">
        <v>2003</v>
      </c>
      <c r="AQ332" s="1" t="s">
        <v>2008</v>
      </c>
      <c r="AR332" s="1" t="s">
        <v>2009</v>
      </c>
    </row>
    <row r="333">
      <c r="A333" s="2">
        <f ca="1">DATE(2000,02,11)</f>
        <v>0</v>
      </c>
      <c r="B333" s="2">
        <f ca="1">DATE(2000,06,29)</f>
        <v>0</v>
      </c>
      <c r="C333" s="1" t="s">
        <v>2010</v>
      </c>
      <c r="D333" s="3">
        <v>3577</v>
      </c>
      <c r="E333" s="1" t="s">
        <v>43</v>
      </c>
      <c r="F333" s="1" t="s">
        <v>2011</v>
      </c>
      <c r="G333" s="1" t="s">
        <v>765</v>
      </c>
      <c r="H333" s="4">
        <v>0.83999999999999997</v>
      </c>
      <c r="I333" s="8">
        <v>7</v>
      </c>
      <c r="J333" s="5">
        <v>12.6</v>
      </c>
      <c r="K333" s="8">
        <v>12</v>
      </c>
      <c r="L333" s="1" t="s">
        <v>58</v>
      </c>
      <c r="M333" s="1" t="s">
        <v>47</v>
      </c>
      <c r="N333" s="1" t="s">
        <v>2012</v>
      </c>
      <c r="O333" s="1" t="s">
        <v>48</v>
      </c>
      <c r="P333" s="1" t="s">
        <v>2013</v>
      </c>
      <c r="Q333" s="4">
        <v>1.2330000000000001</v>
      </c>
      <c r="R333" s="4">
        <v>1.567</v>
      </c>
      <c r="S333" s="8">
        <v>4.2000000000000002</v>
      </c>
      <c r="T333" s="1" t="s">
        <v>60</v>
      </c>
      <c r="U333" s="1"/>
      <c r="V333" s="1"/>
      <c r="W333" s="1"/>
      <c r="X333" s="1"/>
      <c r="Y333" s="7">
        <v>1050000</v>
      </c>
      <c r="Z333" s="1"/>
      <c r="AA333" s="1"/>
      <c r="AB333" s="1"/>
      <c r="AC333" s="1"/>
      <c r="AD333" s="1"/>
      <c r="AE333" s="1" t="s">
        <v>51</v>
      </c>
      <c r="AF333" s="1" t="s">
        <v>51</v>
      </c>
      <c r="AG333" s="1" t="s">
        <v>47</v>
      </c>
      <c r="AH333" s="1"/>
      <c r="AI333" s="1"/>
      <c r="AJ333" s="3">
        <v>1</v>
      </c>
      <c r="AK333" s="1" t="s">
        <v>52</v>
      </c>
      <c r="AL333" s="3">
        <v>1</v>
      </c>
      <c r="AM333" s="1"/>
      <c r="AN333" s="1"/>
      <c r="AO333" s="1" t="s">
        <v>2014</v>
      </c>
      <c r="AP333" s="1" t="s">
        <v>765</v>
      </c>
      <c r="AQ333" s="1" t="s">
        <v>765</v>
      </c>
      <c r="AR333" s="1" t="s">
        <v>768</v>
      </c>
    </row>
    <row r="334">
      <c r="A334" s="2">
        <f ca="1">DATE(2000,06,29)</f>
        <v>0</v>
      </c>
      <c r="B334" s="2">
        <f ca="1">DATE(2000,06,29)</f>
        <v>0</v>
      </c>
      <c r="C334" s="1" t="s">
        <v>2015</v>
      </c>
      <c r="D334" s="3">
        <v>7375</v>
      </c>
      <c r="E334" s="1" t="s">
        <v>744</v>
      </c>
      <c r="F334" s="1" t="s">
        <v>2016</v>
      </c>
      <c r="G334" s="1" t="s">
        <v>45</v>
      </c>
      <c r="H334" s="1" t="s">
        <v>57</v>
      </c>
      <c r="I334" s="1" t="s">
        <v>57</v>
      </c>
      <c r="J334" s="5">
        <v>0.69999999999999996</v>
      </c>
      <c r="K334" s="8">
        <v>15.5</v>
      </c>
      <c r="L334" s="1" t="s">
        <v>1207</v>
      </c>
      <c r="M334" s="1" t="s">
        <v>47</v>
      </c>
      <c r="N334" s="1" t="s">
        <v>2017</v>
      </c>
      <c r="O334" s="1" t="s">
        <v>48</v>
      </c>
      <c r="P334" s="1" t="s">
        <v>2018</v>
      </c>
      <c r="Q334" s="1"/>
      <c r="R334" s="1"/>
      <c r="S334" s="1"/>
      <c r="T334" s="1" t="s">
        <v>60</v>
      </c>
      <c r="U334" s="1"/>
      <c r="V334" s="1"/>
      <c r="W334" s="1"/>
      <c r="X334" s="1"/>
      <c r="Y334" s="7">
        <v>45000</v>
      </c>
      <c r="Z334" s="1"/>
      <c r="AA334" s="1"/>
      <c r="AB334" s="1"/>
      <c r="AC334" s="1"/>
      <c r="AD334" s="1"/>
      <c r="AE334" s="1" t="s">
        <v>47</v>
      </c>
      <c r="AF334" s="1" t="s">
        <v>51</v>
      </c>
      <c r="AG334" s="1" t="s">
        <v>47</v>
      </c>
      <c r="AH334" s="1"/>
      <c r="AI334" s="1"/>
      <c r="AJ334" s="3">
        <v>1</v>
      </c>
      <c r="AK334" s="1" t="s">
        <v>52</v>
      </c>
      <c r="AL334" s="3">
        <v>1</v>
      </c>
      <c r="AM334" s="1"/>
      <c r="AN334" s="1"/>
      <c r="AO334" s="1" t="s">
        <v>2019</v>
      </c>
      <c r="AP334" s="1" t="s">
        <v>45</v>
      </c>
      <c r="AQ334" s="1" t="s">
        <v>45</v>
      </c>
      <c r="AR334" s="1" t="s">
        <v>786</v>
      </c>
    </row>
    <row r="335">
      <c r="A335" s="2">
        <f ca="1">DATE(2000,03,01)</f>
        <v>0</v>
      </c>
      <c r="B335" s="2">
        <f ca="1">DATE(2000,06,29)</f>
        <v>0</v>
      </c>
      <c r="C335" s="1" t="s">
        <v>2020</v>
      </c>
      <c r="D335" s="3">
        <v>3572</v>
      </c>
      <c r="E335" s="1" t="s">
        <v>43</v>
      </c>
      <c r="F335" s="1" t="s">
        <v>2021</v>
      </c>
      <c r="G335" s="1" t="s">
        <v>160</v>
      </c>
      <c r="H335" s="4">
        <v>1.8899999999999999</v>
      </c>
      <c r="I335" s="8">
        <v>7</v>
      </c>
      <c r="J335" s="5">
        <v>243</v>
      </c>
      <c r="K335" s="4">
        <v>27</v>
      </c>
      <c r="L335" s="1" t="s">
        <v>46</v>
      </c>
      <c r="M335" s="1" t="s">
        <v>47</v>
      </c>
      <c r="N335" s="1" t="s">
        <v>2022</v>
      </c>
      <c r="O335" s="1" t="s">
        <v>48</v>
      </c>
      <c r="P335" s="1" t="s">
        <v>2023</v>
      </c>
      <c r="Q335" s="4">
        <v>1.407</v>
      </c>
      <c r="R335" s="4">
        <v>1.407</v>
      </c>
      <c r="S335" s="6">
        <v>4.1851900000000004</v>
      </c>
      <c r="T335" s="1" t="s">
        <v>50</v>
      </c>
      <c r="U335" s="1"/>
      <c r="V335" s="1"/>
      <c r="W335" s="1"/>
      <c r="X335" s="5">
        <v>270</v>
      </c>
      <c r="Y335" s="7">
        <v>9000000</v>
      </c>
      <c r="Z335" s="1"/>
      <c r="AA335" s="1"/>
      <c r="AB335" s="1"/>
      <c r="AC335" s="1"/>
      <c r="AD335" s="1"/>
      <c r="AE335" s="1" t="s">
        <v>51</v>
      </c>
      <c r="AF335" s="1" t="s">
        <v>51</v>
      </c>
      <c r="AG335" s="1" t="s">
        <v>47</v>
      </c>
      <c r="AH335" s="1"/>
      <c r="AI335" s="1"/>
      <c r="AJ335" s="3">
        <v>1</v>
      </c>
      <c r="AK335" s="1" t="s">
        <v>52</v>
      </c>
      <c r="AL335" s="3">
        <v>4</v>
      </c>
      <c r="AM335" s="8">
        <v>90.25</v>
      </c>
      <c r="AN335" s="1"/>
      <c r="AO335" s="1" t="s">
        <v>2024</v>
      </c>
      <c r="AP335" s="1" t="s">
        <v>160</v>
      </c>
      <c r="AQ335" s="1" t="s">
        <v>2025</v>
      </c>
      <c r="AR335" s="1" t="s">
        <v>2026</v>
      </c>
    </row>
    <row r="336">
      <c r="A336" s="2">
        <f ca="1">DATE(2000,05,22)</f>
        <v>0</v>
      </c>
      <c r="B336" s="2">
        <f ca="1">DATE(2000,06,29)</f>
        <v>0</v>
      </c>
      <c r="C336" s="1" t="s">
        <v>2027</v>
      </c>
      <c r="D336" s="3">
        <v>7372</v>
      </c>
      <c r="E336" s="1" t="s">
        <v>934</v>
      </c>
      <c r="F336" s="1" t="s">
        <v>2028</v>
      </c>
      <c r="G336" s="1" t="s">
        <v>482</v>
      </c>
      <c r="H336" s="1" t="s">
        <v>57</v>
      </c>
      <c r="I336" s="1" t="s">
        <v>57</v>
      </c>
      <c r="J336" s="5">
        <v>68</v>
      </c>
      <c r="K336" s="8">
        <v>16</v>
      </c>
      <c r="L336" s="1" t="s">
        <v>58</v>
      </c>
      <c r="M336" s="1" t="s">
        <v>47</v>
      </c>
      <c r="N336" s="1"/>
      <c r="O336" s="1" t="s">
        <v>48</v>
      </c>
      <c r="P336" s="1" t="s">
        <v>2029</v>
      </c>
      <c r="Q336" s="1"/>
      <c r="R336" s="1"/>
      <c r="S336" s="1"/>
      <c r="T336" s="1" t="s">
        <v>60</v>
      </c>
      <c r="U336" s="8">
        <v>16</v>
      </c>
      <c r="V336" s="8">
        <v>14</v>
      </c>
      <c r="W336" s="7">
        <v>4250000</v>
      </c>
      <c r="X336" s="5">
        <v>63.799999999999997</v>
      </c>
      <c r="Y336" s="7">
        <v>4250000</v>
      </c>
      <c r="Z336" s="1"/>
      <c r="AA336" s="1"/>
      <c r="AB336" s="1"/>
      <c r="AC336" s="1"/>
      <c r="AD336" s="1"/>
      <c r="AE336" s="1" t="s">
        <v>51</v>
      </c>
      <c r="AF336" s="1" t="s">
        <v>51</v>
      </c>
      <c r="AG336" s="1" t="s">
        <v>51</v>
      </c>
      <c r="AH336" s="1"/>
      <c r="AI336" s="1"/>
      <c r="AJ336" s="3">
        <v>1</v>
      </c>
      <c r="AK336" s="1" t="s">
        <v>89</v>
      </c>
      <c r="AL336" s="3">
        <v>2</v>
      </c>
      <c r="AM336" s="1"/>
      <c r="AN336" s="1"/>
      <c r="AO336" s="1" t="s">
        <v>2030</v>
      </c>
      <c r="AP336" s="1" t="s">
        <v>2031</v>
      </c>
      <c r="AQ336" s="1" t="s">
        <v>2032</v>
      </c>
      <c r="AR336" s="1" t="s">
        <v>2033</v>
      </c>
    </row>
    <row r="337">
      <c r="A337" s="2">
        <f ca="1">DATE(2000,02,11)</f>
        <v>0</v>
      </c>
      <c r="B337" s="2">
        <f ca="1">DATE(2000,06,30)</f>
        <v>0</v>
      </c>
      <c r="C337" s="1" t="s">
        <v>2010</v>
      </c>
      <c r="D337" s="3">
        <v>3577</v>
      </c>
      <c r="E337" s="1" t="s">
        <v>43</v>
      </c>
      <c r="F337" s="1" t="s">
        <v>2011</v>
      </c>
      <c r="G337" s="1" t="s">
        <v>96</v>
      </c>
      <c r="H337" s="4">
        <v>0.83999999999999997</v>
      </c>
      <c r="I337" s="8">
        <v>7</v>
      </c>
      <c r="J337" s="5">
        <v>35.399999999999999</v>
      </c>
      <c r="K337" s="4">
        <v>12</v>
      </c>
      <c r="L337" s="1" t="s">
        <v>46</v>
      </c>
      <c r="M337" s="1" t="s">
        <v>47</v>
      </c>
      <c r="N337" s="1" t="s">
        <v>2012</v>
      </c>
      <c r="O337" s="1" t="s">
        <v>48</v>
      </c>
      <c r="P337" s="1" t="s">
        <v>2034</v>
      </c>
      <c r="Q337" s="4">
        <v>1.2330000000000001</v>
      </c>
      <c r="R337" s="4">
        <v>1.567</v>
      </c>
      <c r="S337" s="8">
        <v>4.2000000000000002</v>
      </c>
      <c r="T337" s="1" t="s">
        <v>50</v>
      </c>
      <c r="U337" s="1"/>
      <c r="V337" s="1"/>
      <c r="W337" s="1"/>
      <c r="X337" s="5">
        <v>70</v>
      </c>
      <c r="Y337" s="7">
        <v>2950000</v>
      </c>
      <c r="Z337" s="1"/>
      <c r="AA337" s="1"/>
      <c r="AB337" s="1"/>
      <c r="AC337" s="1"/>
      <c r="AD337" s="1"/>
      <c r="AE337" s="1" t="s">
        <v>51</v>
      </c>
      <c r="AF337" s="1" t="s">
        <v>51</v>
      </c>
      <c r="AG337" s="1" t="s">
        <v>47</v>
      </c>
      <c r="AH337" s="1"/>
      <c r="AI337" s="1"/>
      <c r="AJ337" s="3">
        <v>1</v>
      </c>
      <c r="AK337" s="1" t="s">
        <v>52</v>
      </c>
      <c r="AL337" s="3">
        <v>2</v>
      </c>
      <c r="AM337" s="8">
        <v>13</v>
      </c>
      <c r="AN337" s="1"/>
      <c r="AO337" s="1" t="s">
        <v>2035</v>
      </c>
      <c r="AP337" s="1" t="s">
        <v>96</v>
      </c>
      <c r="AQ337" s="1" t="s">
        <v>2036</v>
      </c>
      <c r="AR337" s="1" t="s">
        <v>2037</v>
      </c>
    </row>
    <row r="338">
      <c r="A338" s="2">
        <f ca="1">DATE(2000,05,04)</f>
        <v>0</v>
      </c>
      <c r="B338" s="2">
        <f ca="1">DATE(2000,07,10)</f>
        <v>0</v>
      </c>
      <c r="C338" s="1" t="s">
        <v>2038</v>
      </c>
      <c r="D338" s="3">
        <v>3559</v>
      </c>
      <c r="E338" s="1" t="s">
        <v>43</v>
      </c>
      <c r="F338" s="1" t="s">
        <v>2039</v>
      </c>
      <c r="G338" s="1" t="s">
        <v>160</v>
      </c>
      <c r="H338" s="4">
        <v>1.3200000000000001</v>
      </c>
      <c r="I338" s="4">
        <v>6</v>
      </c>
      <c r="J338" s="5">
        <v>275.30000000000001</v>
      </c>
      <c r="K338" s="4">
        <v>22</v>
      </c>
      <c r="L338" s="1" t="s">
        <v>46</v>
      </c>
      <c r="M338" s="1" t="s">
        <v>47</v>
      </c>
      <c r="N338" s="1" t="s">
        <v>2040</v>
      </c>
      <c r="O338" s="1" t="s">
        <v>48</v>
      </c>
      <c r="P338" s="1" t="s">
        <v>2041</v>
      </c>
      <c r="Q338" s="4">
        <v>1.1819999999999999</v>
      </c>
      <c r="R338" s="4">
        <v>1.1819999999999999</v>
      </c>
      <c r="S338" s="6">
        <v>3.6363599999999998</v>
      </c>
      <c r="T338" s="1" t="s">
        <v>50</v>
      </c>
      <c r="U338" s="1"/>
      <c r="V338" s="1"/>
      <c r="W338" s="1"/>
      <c r="X338" s="5">
        <v>500</v>
      </c>
      <c r="Y338" s="7">
        <v>12512500</v>
      </c>
      <c r="Z338" s="1"/>
      <c r="AA338" s="1"/>
      <c r="AB338" s="1"/>
      <c r="AC338" s="1"/>
      <c r="AD338" s="1"/>
      <c r="AE338" s="1" t="s">
        <v>51</v>
      </c>
      <c r="AF338" s="1" t="s">
        <v>51</v>
      </c>
      <c r="AG338" s="1" t="s">
        <v>51</v>
      </c>
      <c r="AH338" s="1" t="s">
        <v>2042</v>
      </c>
      <c r="AI338" s="1" t="s">
        <v>2043</v>
      </c>
      <c r="AJ338" s="3">
        <v>1</v>
      </c>
      <c r="AK338" s="1" t="s">
        <v>89</v>
      </c>
      <c r="AL338" s="3">
        <v>4</v>
      </c>
      <c r="AM338" s="8">
        <v>23.940000000000001</v>
      </c>
      <c r="AN338" s="1"/>
      <c r="AO338" s="1" t="s">
        <v>2044</v>
      </c>
      <c r="AP338" s="1" t="s">
        <v>736</v>
      </c>
      <c r="AQ338" s="1" t="s">
        <v>2045</v>
      </c>
      <c r="AR338" s="1" t="s">
        <v>2046</v>
      </c>
    </row>
    <row r="339">
      <c r="A339" s="2">
        <f ca="1">DATE(2000,05,04)</f>
        <v>0</v>
      </c>
      <c r="B339" s="2">
        <f ca="1">DATE(2000,07,10)</f>
        <v>0</v>
      </c>
      <c r="C339" s="1" t="s">
        <v>2038</v>
      </c>
      <c r="D339" s="3">
        <v>3559</v>
      </c>
      <c r="E339" s="1" t="s">
        <v>43</v>
      </c>
      <c r="F339" s="1" t="s">
        <v>2039</v>
      </c>
      <c r="G339" s="1" t="s">
        <v>160</v>
      </c>
      <c r="H339" s="4">
        <v>1.3200000000000001</v>
      </c>
      <c r="I339" s="4">
        <v>6</v>
      </c>
      <c r="J339" s="5">
        <v>59.799999999999997</v>
      </c>
      <c r="K339" s="8">
        <v>22</v>
      </c>
      <c r="L339" s="1" t="s">
        <v>58</v>
      </c>
      <c r="M339" s="1" t="s">
        <v>47</v>
      </c>
      <c r="N339" s="1" t="s">
        <v>2040</v>
      </c>
      <c r="O339" s="1" t="s">
        <v>48</v>
      </c>
      <c r="P339" s="1" t="s">
        <v>2047</v>
      </c>
      <c r="Q339" s="4">
        <v>1.1799999999999999</v>
      </c>
      <c r="R339" s="4">
        <v>1.1799999999999999</v>
      </c>
      <c r="S339" s="8">
        <v>3.6400000000000001</v>
      </c>
      <c r="T339" s="1" t="s">
        <v>60</v>
      </c>
      <c r="U339" s="1"/>
      <c r="V339" s="1"/>
      <c r="W339" s="1"/>
      <c r="X339" s="1"/>
      <c r="Y339" s="7">
        <v>2715909</v>
      </c>
      <c r="Z339" s="1"/>
      <c r="AA339" s="1"/>
      <c r="AB339" s="1"/>
      <c r="AC339" s="1"/>
      <c r="AD339" s="1"/>
      <c r="AE339" s="1" t="s">
        <v>51</v>
      </c>
      <c r="AF339" s="1" t="s">
        <v>51</v>
      </c>
      <c r="AG339" s="1" t="s">
        <v>51</v>
      </c>
      <c r="AH339" s="1" t="s">
        <v>2042</v>
      </c>
      <c r="AI339" s="1" t="s">
        <v>2043</v>
      </c>
      <c r="AJ339" s="3">
        <v>1</v>
      </c>
      <c r="AK339" s="1" t="s">
        <v>110</v>
      </c>
      <c r="AL339" s="3">
        <v>3</v>
      </c>
      <c r="AM339" s="1"/>
      <c r="AN339" s="1"/>
      <c r="AO339" s="1" t="s">
        <v>2048</v>
      </c>
      <c r="AP339" s="1" t="s">
        <v>2049</v>
      </c>
      <c r="AQ339" s="1" t="s">
        <v>2050</v>
      </c>
      <c r="AR339" s="1" t="s">
        <v>2051</v>
      </c>
    </row>
    <row r="340">
      <c r="A340" s="2">
        <f ca="1">DATE(2000,03,31)</f>
        <v>0</v>
      </c>
      <c r="B340" s="2">
        <f ca="1">DATE(2000,07,10)</f>
        <v>0</v>
      </c>
      <c r="C340" s="1" t="s">
        <v>2052</v>
      </c>
      <c r="D340" s="3">
        <v>3089</v>
      </c>
      <c r="E340" s="1" t="s">
        <v>43</v>
      </c>
      <c r="F340" s="1" t="s">
        <v>2053</v>
      </c>
      <c r="G340" s="1" t="s">
        <v>45</v>
      </c>
      <c r="H340" s="4">
        <v>0.77000000000000002</v>
      </c>
      <c r="I340" s="4">
        <v>7</v>
      </c>
      <c r="J340" s="5">
        <v>123.59999999999999</v>
      </c>
      <c r="K340" s="4">
        <v>11</v>
      </c>
      <c r="L340" s="1" t="s">
        <v>46</v>
      </c>
      <c r="M340" s="1" t="s">
        <v>47</v>
      </c>
      <c r="N340" s="1" t="s">
        <v>2054</v>
      </c>
      <c r="O340" s="1" t="s">
        <v>48</v>
      </c>
      <c r="P340" s="1" t="s">
        <v>2055</v>
      </c>
      <c r="Q340" s="4">
        <v>1.4550000000000001</v>
      </c>
      <c r="R340" s="4">
        <v>1.4550000000000001</v>
      </c>
      <c r="S340" s="6">
        <v>4.09091</v>
      </c>
      <c r="T340" s="1" t="s">
        <v>50</v>
      </c>
      <c r="U340" s="8">
        <v>17</v>
      </c>
      <c r="V340" s="8">
        <v>15</v>
      </c>
      <c r="W340" s="7">
        <v>13000000</v>
      </c>
      <c r="X340" s="5">
        <v>208</v>
      </c>
      <c r="Y340" s="7">
        <v>7436098</v>
      </c>
      <c r="Z340" s="7">
        <v>3804515</v>
      </c>
      <c r="AA340" s="1"/>
      <c r="AB340" s="1"/>
      <c r="AC340" s="1"/>
      <c r="AD340" s="1"/>
      <c r="AE340" s="1" t="s">
        <v>51</v>
      </c>
      <c r="AF340" s="1" t="s">
        <v>51</v>
      </c>
      <c r="AG340" s="1" t="s">
        <v>51</v>
      </c>
      <c r="AH340" s="1"/>
      <c r="AI340" s="1"/>
      <c r="AJ340" s="3">
        <v>1</v>
      </c>
      <c r="AK340" s="1" t="s">
        <v>52</v>
      </c>
      <c r="AL340" s="3">
        <v>4</v>
      </c>
      <c r="AM340" s="8">
        <v>11.19</v>
      </c>
      <c r="AN340" s="1"/>
      <c r="AO340" s="1" t="s">
        <v>2056</v>
      </c>
      <c r="AP340" s="1" t="s">
        <v>45</v>
      </c>
      <c r="AQ340" s="1" t="s">
        <v>2057</v>
      </c>
      <c r="AR340" s="1" t="s">
        <v>2058</v>
      </c>
    </row>
    <row r="341">
      <c r="A341" s="2">
        <f ca="1">DATE(2000,03,31)</f>
        <v>0</v>
      </c>
      <c r="B341" s="2">
        <f ca="1">DATE(2000,07,10)</f>
        <v>0</v>
      </c>
      <c r="C341" s="1" t="s">
        <v>2052</v>
      </c>
      <c r="D341" s="3">
        <v>3089</v>
      </c>
      <c r="E341" s="1" t="s">
        <v>43</v>
      </c>
      <c r="F341" s="1" t="s">
        <v>2053</v>
      </c>
      <c r="G341" s="1" t="s">
        <v>482</v>
      </c>
      <c r="H341" s="4">
        <v>0.77000000000000002</v>
      </c>
      <c r="I341" s="4">
        <v>7</v>
      </c>
      <c r="J341" s="5">
        <v>19.399999999999999</v>
      </c>
      <c r="K341" s="8">
        <v>11</v>
      </c>
      <c r="L341" s="1" t="s">
        <v>58</v>
      </c>
      <c r="M341" s="1" t="s">
        <v>47</v>
      </c>
      <c r="N341" s="1" t="s">
        <v>2054</v>
      </c>
      <c r="O341" s="1" t="s">
        <v>48</v>
      </c>
      <c r="P341" s="1" t="s">
        <v>2059</v>
      </c>
      <c r="Q341" s="1" t="s">
        <v>145</v>
      </c>
      <c r="R341" s="1" t="s">
        <v>145</v>
      </c>
      <c r="S341" s="1"/>
      <c r="T341" s="1" t="s">
        <v>60</v>
      </c>
      <c r="U341" s="8">
        <v>17</v>
      </c>
      <c r="V341" s="8">
        <v>15</v>
      </c>
      <c r="W341" s="1"/>
      <c r="X341" s="1"/>
      <c r="Y341" s="7">
        <v>1012089</v>
      </c>
      <c r="Z341" s="7">
        <v>747298</v>
      </c>
      <c r="AA341" s="1"/>
      <c r="AB341" s="1"/>
      <c r="AC341" s="1"/>
      <c r="AD341" s="1"/>
      <c r="AE341" s="1" t="s">
        <v>51</v>
      </c>
      <c r="AF341" s="1" t="s">
        <v>51</v>
      </c>
      <c r="AG341" s="1" t="s">
        <v>51</v>
      </c>
      <c r="AH341" s="1"/>
      <c r="AI341" s="1"/>
      <c r="AJ341" s="3">
        <v>1</v>
      </c>
      <c r="AK341" s="1" t="s">
        <v>52</v>
      </c>
      <c r="AL341" s="3">
        <v>1</v>
      </c>
      <c r="AM341" s="1"/>
      <c r="AN341" s="1"/>
      <c r="AO341" s="1" t="s">
        <v>2060</v>
      </c>
      <c r="AP341" s="1" t="s">
        <v>482</v>
      </c>
      <c r="AQ341" s="1" t="s">
        <v>482</v>
      </c>
      <c r="AR341" s="1" t="s">
        <v>1996</v>
      </c>
    </row>
    <row r="342">
      <c r="A342" s="2">
        <f ca="1">DATE(2000,06,14)</f>
        <v>0</v>
      </c>
      <c r="B342" s="2">
        <f ca="1">DATE(2000,07,10)</f>
        <v>0</v>
      </c>
      <c r="C342" s="1" t="s">
        <v>2061</v>
      </c>
      <c r="D342" s="3">
        <v>4812</v>
      </c>
      <c r="E342" s="1" t="s">
        <v>2062</v>
      </c>
      <c r="F342" s="1" t="s">
        <v>2063</v>
      </c>
      <c r="G342" s="1" t="s">
        <v>2064</v>
      </c>
      <c r="H342" s="4">
        <v>0.39600000000000002</v>
      </c>
      <c r="I342" s="4">
        <v>2.25</v>
      </c>
      <c r="J342" s="9">
        <v>1470</v>
      </c>
      <c r="K342" s="8">
        <v>17.600000000000001</v>
      </c>
      <c r="L342" s="1" t="s">
        <v>651</v>
      </c>
      <c r="M342" s="1" t="s">
        <v>47</v>
      </c>
      <c r="N342" s="3">
        <v>900111105</v>
      </c>
      <c r="O342" s="1" t="s">
        <v>2065</v>
      </c>
      <c r="P342" s="1" t="s">
        <v>2066</v>
      </c>
      <c r="Q342" s="1" t="s">
        <v>145</v>
      </c>
      <c r="R342" s="1" t="s">
        <v>145</v>
      </c>
      <c r="S342" s="1"/>
      <c r="T342" s="1" t="s">
        <v>60</v>
      </c>
      <c r="U342" s="1"/>
      <c r="V342" s="1"/>
      <c r="W342" s="1"/>
      <c r="X342" s="9">
        <v>1280</v>
      </c>
      <c r="Y342" s="1"/>
      <c r="Z342" s="7">
        <v>83520000</v>
      </c>
      <c r="AA342" s="1"/>
      <c r="AB342" s="1" t="s">
        <v>2067</v>
      </c>
      <c r="AC342" s="1" t="s">
        <v>2068</v>
      </c>
      <c r="AD342" s="1" t="s">
        <v>2067</v>
      </c>
      <c r="AE342" s="1" t="s">
        <v>47</v>
      </c>
      <c r="AF342" s="1" t="s">
        <v>51</v>
      </c>
      <c r="AG342" s="1" t="s">
        <v>47</v>
      </c>
      <c r="AH342" s="1"/>
      <c r="AI342" s="1"/>
      <c r="AJ342" s="3">
        <v>2</v>
      </c>
      <c r="AK342" s="1" t="s">
        <v>89</v>
      </c>
      <c r="AL342" s="3">
        <v>6</v>
      </c>
      <c r="AM342" s="1"/>
      <c r="AN342" s="1"/>
      <c r="AO342" s="1" t="s">
        <v>2069</v>
      </c>
      <c r="AP342" s="1" t="s">
        <v>2070</v>
      </c>
      <c r="AQ342" s="1" t="s">
        <v>2071</v>
      </c>
      <c r="AR342" s="1" t="s">
        <v>2072</v>
      </c>
    </row>
    <row r="343">
      <c r="A343" s="2">
        <f ca="1">DATE(1999,12,15)</f>
        <v>0</v>
      </c>
      <c r="B343" s="2">
        <f ca="1">DATE(2000,07,11)</f>
        <v>0</v>
      </c>
      <c r="C343" s="1" t="s">
        <v>2073</v>
      </c>
      <c r="D343" s="3">
        <v>7375</v>
      </c>
      <c r="E343" s="1" t="s">
        <v>43</v>
      </c>
      <c r="F343" s="1" t="s">
        <v>2074</v>
      </c>
      <c r="G343" s="1" t="s">
        <v>122</v>
      </c>
      <c r="H343" s="4">
        <v>0.63</v>
      </c>
      <c r="I343" s="4">
        <v>7</v>
      </c>
      <c r="J343" s="5">
        <v>128.59999999999999</v>
      </c>
      <c r="K343" s="4">
        <v>9</v>
      </c>
      <c r="L343" s="1" t="s">
        <v>152</v>
      </c>
      <c r="M343" s="1" t="s">
        <v>47</v>
      </c>
      <c r="N343" s="3">
        <v>255404105</v>
      </c>
      <c r="O343" s="1" t="s">
        <v>48</v>
      </c>
      <c r="P343" s="1" t="s">
        <v>2075</v>
      </c>
      <c r="Q343" s="4">
        <v>1.5560000000000001</v>
      </c>
      <c r="R343" s="4">
        <v>1.222</v>
      </c>
      <c r="S343" s="6">
        <v>4.2222200000000001</v>
      </c>
      <c r="T343" s="1" t="s">
        <v>50</v>
      </c>
      <c r="U343" s="1"/>
      <c r="V343" s="1"/>
      <c r="W343" s="1"/>
      <c r="X343" s="5">
        <v>250</v>
      </c>
      <c r="Y343" s="7">
        <v>14285000</v>
      </c>
      <c r="Z343" s="1"/>
      <c r="AA343" s="2">
        <f ca="1">DATE(2001,01,07)</f>
        <v>0</v>
      </c>
      <c r="AB343" s="4">
        <v>89.606999999999999</v>
      </c>
      <c r="AC343" s="3">
        <v>180</v>
      </c>
      <c r="AD343" s="8">
        <v>123162453</v>
      </c>
      <c r="AE343" s="1" t="s">
        <v>51</v>
      </c>
      <c r="AF343" s="1" t="s">
        <v>51</v>
      </c>
      <c r="AG343" s="1" t="s">
        <v>47</v>
      </c>
      <c r="AH343" s="1"/>
      <c r="AI343" s="1"/>
      <c r="AJ343" s="3">
        <v>1</v>
      </c>
      <c r="AK343" s="1" t="s">
        <v>52</v>
      </c>
      <c r="AL343" s="3">
        <v>5</v>
      </c>
      <c r="AM343" s="8">
        <v>8.7799999999999994</v>
      </c>
      <c r="AN343" s="1"/>
      <c r="AO343" s="1" t="s">
        <v>2076</v>
      </c>
      <c r="AP343" s="1" t="s">
        <v>122</v>
      </c>
      <c r="AQ343" s="1" t="s">
        <v>2077</v>
      </c>
      <c r="AR343" s="1" t="s">
        <v>2078</v>
      </c>
    </row>
    <row r="344">
      <c r="A344" s="1"/>
      <c r="B344" s="2">
        <f ca="1">DATE(2000,07,12)</f>
        <v>0</v>
      </c>
      <c r="C344" s="1" t="s">
        <v>2079</v>
      </c>
      <c r="D344" s="3">
        <v>7375</v>
      </c>
      <c r="E344" s="1" t="s">
        <v>744</v>
      </c>
      <c r="F344" s="1" t="s">
        <v>2080</v>
      </c>
      <c r="G344" s="1" t="s">
        <v>2081</v>
      </c>
      <c r="H344" s="4">
        <v>0.91000000000000003</v>
      </c>
      <c r="I344" s="4">
        <v>7</v>
      </c>
      <c r="J344" s="5">
        <v>29.899999999999999</v>
      </c>
      <c r="K344" s="4">
        <v>13</v>
      </c>
      <c r="L344" s="1" t="s">
        <v>58</v>
      </c>
      <c r="M344" s="1" t="s">
        <v>47</v>
      </c>
      <c r="N344" s="1" t="s">
        <v>2082</v>
      </c>
      <c r="O344" s="1" t="s">
        <v>48</v>
      </c>
      <c r="P344" s="1" t="s">
        <v>2083</v>
      </c>
      <c r="Q344" s="4">
        <v>1.3999999999999999</v>
      </c>
      <c r="R344" s="4">
        <v>1.3999999999999999</v>
      </c>
      <c r="S344" s="8">
        <v>4.2000000000000002</v>
      </c>
      <c r="T344" s="1" t="s">
        <v>50</v>
      </c>
      <c r="U344" s="1"/>
      <c r="V344" s="1"/>
      <c r="W344" s="1"/>
      <c r="X344" s="1"/>
      <c r="Y344" s="7">
        <v>2300000</v>
      </c>
      <c r="Z344" s="1"/>
      <c r="AA344" s="1"/>
      <c r="AB344" s="1"/>
      <c r="AC344" s="1"/>
      <c r="AD344" s="1"/>
      <c r="AE344" s="1" t="s">
        <v>51</v>
      </c>
      <c r="AF344" s="1" t="s">
        <v>51</v>
      </c>
      <c r="AG344" s="1" t="s">
        <v>47</v>
      </c>
      <c r="AH344" s="1"/>
      <c r="AI344" s="1"/>
      <c r="AJ344" s="3">
        <v>1</v>
      </c>
      <c r="AK344" s="1" t="s">
        <v>52</v>
      </c>
      <c r="AL344" s="3">
        <v>2</v>
      </c>
      <c r="AM344" s="8">
        <v>13</v>
      </c>
      <c r="AN344" s="1"/>
      <c r="AO344" s="1" t="s">
        <v>2084</v>
      </c>
      <c r="AP344" s="1" t="s">
        <v>2081</v>
      </c>
      <c r="AQ344" s="1" t="s">
        <v>2085</v>
      </c>
      <c r="AR344" s="1" t="s">
        <v>2086</v>
      </c>
    </row>
    <row r="345">
      <c r="A345" s="2">
        <f ca="1">DATE(2000,06,29)</f>
        <v>0</v>
      </c>
      <c r="B345" s="2">
        <f ca="1">DATE(2000,07,12)</f>
        <v>0</v>
      </c>
      <c r="C345" s="1" t="s">
        <v>2079</v>
      </c>
      <c r="D345" s="3">
        <v>7375</v>
      </c>
      <c r="E345" s="1" t="s">
        <v>744</v>
      </c>
      <c r="F345" s="1" t="s">
        <v>2080</v>
      </c>
      <c r="G345" s="1" t="s">
        <v>2081</v>
      </c>
      <c r="H345" s="4">
        <v>0.91000000000000003</v>
      </c>
      <c r="I345" s="4">
        <v>7</v>
      </c>
      <c r="J345" s="5">
        <v>29.899999999999999</v>
      </c>
      <c r="K345" s="8">
        <v>13</v>
      </c>
      <c r="L345" s="1" t="s">
        <v>58</v>
      </c>
      <c r="M345" s="1" t="s">
        <v>47</v>
      </c>
      <c r="N345" s="1" t="s">
        <v>2082</v>
      </c>
      <c r="O345" s="1" t="s">
        <v>48</v>
      </c>
      <c r="P345" s="1" t="s">
        <v>2083</v>
      </c>
      <c r="Q345" s="4">
        <v>1.3999999999999999</v>
      </c>
      <c r="R345" s="4">
        <v>1.3999999999999999</v>
      </c>
      <c r="S345" s="8">
        <v>4.2000000000000002</v>
      </c>
      <c r="T345" s="1" t="s">
        <v>60</v>
      </c>
      <c r="U345" s="1"/>
      <c r="V345" s="1"/>
      <c r="W345" s="1"/>
      <c r="X345" s="1"/>
      <c r="Y345" s="7">
        <v>2300000</v>
      </c>
      <c r="Z345" s="1"/>
      <c r="AA345" s="1"/>
      <c r="AB345" s="1"/>
      <c r="AC345" s="1"/>
      <c r="AD345" s="1"/>
      <c r="AE345" s="1" t="s">
        <v>51</v>
      </c>
      <c r="AF345" s="1" t="s">
        <v>51</v>
      </c>
      <c r="AG345" s="1" t="s">
        <v>47</v>
      </c>
      <c r="AH345" s="1"/>
      <c r="AI345" s="1"/>
      <c r="AJ345" s="3">
        <v>1</v>
      </c>
      <c r="AK345" s="1" t="s">
        <v>52</v>
      </c>
      <c r="AL345" s="3">
        <v>1</v>
      </c>
      <c r="AM345" s="1"/>
      <c r="AN345" s="1"/>
      <c r="AO345" s="1" t="s">
        <v>2087</v>
      </c>
      <c r="AP345" s="1" t="s">
        <v>2081</v>
      </c>
      <c r="AQ345" s="1" t="s">
        <v>2081</v>
      </c>
      <c r="AR345" s="1" t="s">
        <v>2088</v>
      </c>
    </row>
    <row r="346">
      <c r="A346" s="2">
        <f ca="1">DATE(2000,03,09)</f>
        <v>0</v>
      </c>
      <c r="B346" s="2">
        <f ca="1">DATE(2000,07,12)</f>
        <v>0</v>
      </c>
      <c r="C346" s="1" t="s">
        <v>2089</v>
      </c>
      <c r="D346" s="3">
        <v>4812</v>
      </c>
      <c r="E346" s="1" t="s">
        <v>43</v>
      </c>
      <c r="F346" s="1" t="s">
        <v>2090</v>
      </c>
      <c r="G346" s="1" t="s">
        <v>387</v>
      </c>
      <c r="H346" s="4">
        <v>1.05</v>
      </c>
      <c r="I346" s="4">
        <v>7</v>
      </c>
      <c r="J346" s="5">
        <v>60</v>
      </c>
      <c r="K346" s="4">
        <v>15</v>
      </c>
      <c r="L346" s="1" t="s">
        <v>46</v>
      </c>
      <c r="M346" s="1" t="s">
        <v>47</v>
      </c>
      <c r="N346" s="1" t="s">
        <v>2091</v>
      </c>
      <c r="O346" s="1" t="s">
        <v>77</v>
      </c>
      <c r="P346" s="1" t="s">
        <v>2092</v>
      </c>
      <c r="Q346" s="4">
        <v>1.3999999999999999</v>
      </c>
      <c r="R346" s="4">
        <v>1.3999999999999999</v>
      </c>
      <c r="S346" s="8">
        <v>4.2000000000000002</v>
      </c>
      <c r="T346" s="1" t="s">
        <v>50</v>
      </c>
      <c r="U346" s="1"/>
      <c r="V346" s="1"/>
      <c r="W346" s="1"/>
      <c r="X346" s="5">
        <v>57.5</v>
      </c>
      <c r="Y346" s="7">
        <v>3817428</v>
      </c>
      <c r="Z346" s="7">
        <v>182572</v>
      </c>
      <c r="AA346" s="2">
        <f ca="1">DATE(2001,01,08)</f>
        <v>0</v>
      </c>
      <c r="AB346" s="4">
        <v>90.894999999999996</v>
      </c>
      <c r="AC346" s="3">
        <v>180</v>
      </c>
      <c r="AD346" s="8">
        <v>45080153</v>
      </c>
      <c r="AE346" s="1" t="s">
        <v>51</v>
      </c>
      <c r="AF346" s="1" t="s">
        <v>51</v>
      </c>
      <c r="AG346" s="1" t="s">
        <v>51</v>
      </c>
      <c r="AH346" s="1"/>
      <c r="AI346" s="1"/>
      <c r="AJ346" s="3">
        <v>1</v>
      </c>
      <c r="AK346" s="1" t="s">
        <v>52</v>
      </c>
      <c r="AL346" s="3">
        <v>3</v>
      </c>
      <c r="AM346" s="8">
        <v>40.310000000000002</v>
      </c>
      <c r="AN346" s="1"/>
      <c r="AO346" s="1" t="s">
        <v>2093</v>
      </c>
      <c r="AP346" s="1" t="s">
        <v>387</v>
      </c>
      <c r="AQ346" s="1" t="s">
        <v>2094</v>
      </c>
      <c r="AR346" s="1" t="s">
        <v>2095</v>
      </c>
    </row>
    <row r="347">
      <c r="A347" s="2">
        <f ca="1">DATE(2000,03,01)</f>
        <v>0</v>
      </c>
      <c r="B347" s="2">
        <f ca="1">DATE(2000,07,12)</f>
        <v>0</v>
      </c>
      <c r="C347" s="1" t="s">
        <v>2096</v>
      </c>
      <c r="D347" s="3">
        <v>3663</v>
      </c>
      <c r="E347" s="1" t="s">
        <v>43</v>
      </c>
      <c r="F347" s="1" t="s">
        <v>2097</v>
      </c>
      <c r="G347" s="1" t="s">
        <v>239</v>
      </c>
      <c r="H347" s="4">
        <v>1.05</v>
      </c>
      <c r="I347" s="4">
        <v>7</v>
      </c>
      <c r="J347" s="5">
        <v>82.5</v>
      </c>
      <c r="K347" s="4">
        <v>15</v>
      </c>
      <c r="L347" s="1" t="s">
        <v>46</v>
      </c>
      <c r="M347" s="1" t="s">
        <v>47</v>
      </c>
      <c r="N347" s="3">
        <v>896775103</v>
      </c>
      <c r="O347" s="1" t="s">
        <v>48</v>
      </c>
      <c r="P347" s="1" t="s">
        <v>2098</v>
      </c>
      <c r="Q347" s="4">
        <v>1.3999999999999999</v>
      </c>
      <c r="R347" s="4">
        <v>1.3999999999999999</v>
      </c>
      <c r="S347" s="8">
        <v>4.2000000000000002</v>
      </c>
      <c r="T347" s="1" t="s">
        <v>50</v>
      </c>
      <c r="U347" s="1"/>
      <c r="V347" s="1"/>
      <c r="W347" s="1"/>
      <c r="X347" s="5">
        <v>75</v>
      </c>
      <c r="Y347" s="7">
        <v>5500000</v>
      </c>
      <c r="Z347" s="1"/>
      <c r="AA347" s="1"/>
      <c r="AB347" s="1"/>
      <c r="AC347" s="1"/>
      <c r="AD347" s="1"/>
      <c r="AE347" s="1" t="s">
        <v>51</v>
      </c>
      <c r="AF347" s="1" t="s">
        <v>51</v>
      </c>
      <c r="AG347" s="1" t="s">
        <v>47</v>
      </c>
      <c r="AH347" s="1"/>
      <c r="AI347" s="1"/>
      <c r="AJ347" s="3">
        <v>1</v>
      </c>
      <c r="AK347" s="1" t="s">
        <v>52</v>
      </c>
      <c r="AL347" s="3">
        <v>3</v>
      </c>
      <c r="AM347" s="8">
        <v>38.439999999999998</v>
      </c>
      <c r="AN347" s="1"/>
      <c r="AO347" s="1" t="s">
        <v>2099</v>
      </c>
      <c r="AP347" s="1" t="s">
        <v>239</v>
      </c>
      <c r="AQ347" s="1" t="s">
        <v>2100</v>
      </c>
      <c r="AR347" s="1" t="s">
        <v>2101</v>
      </c>
    </row>
    <row r="348">
      <c r="A348" s="2">
        <f ca="1">DATE(2000,03,13)</f>
        <v>0</v>
      </c>
      <c r="B348" s="2">
        <f ca="1">DATE(2000,07,13)</f>
        <v>0</v>
      </c>
      <c r="C348" s="1" t="s">
        <v>2102</v>
      </c>
      <c r="D348" s="3">
        <v>7372</v>
      </c>
      <c r="E348" s="1" t="s">
        <v>43</v>
      </c>
      <c r="F348" s="1" t="s">
        <v>2103</v>
      </c>
      <c r="G348" s="1" t="s">
        <v>122</v>
      </c>
      <c r="H348" s="4">
        <v>0.63</v>
      </c>
      <c r="I348" s="4">
        <v>7</v>
      </c>
      <c r="J348" s="5">
        <v>67.5</v>
      </c>
      <c r="K348" s="4">
        <v>9</v>
      </c>
      <c r="L348" s="1" t="s">
        <v>46</v>
      </c>
      <c r="M348" s="1" t="s">
        <v>47</v>
      </c>
      <c r="N348" s="1" t="s">
        <v>2104</v>
      </c>
      <c r="O348" s="1" t="s">
        <v>48</v>
      </c>
      <c r="P348" s="1" t="s">
        <v>2105</v>
      </c>
      <c r="Q348" s="4">
        <v>1.444</v>
      </c>
      <c r="R348" s="4">
        <v>1.333</v>
      </c>
      <c r="S348" s="6">
        <v>4.2222200000000001</v>
      </c>
      <c r="T348" s="1" t="s">
        <v>50</v>
      </c>
      <c r="U348" s="8">
        <v>11</v>
      </c>
      <c r="V348" s="8">
        <v>9</v>
      </c>
      <c r="W348" s="1"/>
      <c r="X348" s="5">
        <v>86.299999999999997</v>
      </c>
      <c r="Y348" s="7">
        <v>7500000</v>
      </c>
      <c r="Z348" s="1"/>
      <c r="AA348" s="2">
        <f ca="1">DATE(2001,01,09)</f>
        <v>0</v>
      </c>
      <c r="AB348" s="4">
        <v>52.305999999999997</v>
      </c>
      <c r="AC348" s="3">
        <v>180</v>
      </c>
      <c r="AD348" s="8">
        <v>16104195</v>
      </c>
      <c r="AE348" s="1" t="s">
        <v>51</v>
      </c>
      <c r="AF348" s="1" t="s">
        <v>51</v>
      </c>
      <c r="AG348" s="1" t="s">
        <v>47</v>
      </c>
      <c r="AH348" s="1"/>
      <c r="AI348" s="1"/>
      <c r="AJ348" s="3">
        <v>1</v>
      </c>
      <c r="AK348" s="1" t="s">
        <v>52</v>
      </c>
      <c r="AL348" s="3">
        <v>3</v>
      </c>
      <c r="AM348" s="8">
        <v>12.48</v>
      </c>
      <c r="AN348" s="1"/>
      <c r="AO348" s="1" t="s">
        <v>2106</v>
      </c>
      <c r="AP348" s="1" t="s">
        <v>122</v>
      </c>
      <c r="AQ348" s="1" t="s">
        <v>2107</v>
      </c>
      <c r="AR348" s="1" t="s">
        <v>2108</v>
      </c>
    </row>
    <row r="349">
      <c r="A349" s="2">
        <f ca="1">DATE(2000,04,07)</f>
        <v>0</v>
      </c>
      <c r="B349" s="2">
        <f ca="1">DATE(2000,07,13)</f>
        <v>0</v>
      </c>
      <c r="C349" s="1" t="s">
        <v>2109</v>
      </c>
      <c r="D349" s="3">
        <v>7372</v>
      </c>
      <c r="E349" s="1" t="s">
        <v>43</v>
      </c>
      <c r="F349" s="1" t="s">
        <v>2110</v>
      </c>
      <c r="G349" s="1" t="s">
        <v>151</v>
      </c>
      <c r="H349" s="4">
        <v>1.19</v>
      </c>
      <c r="I349" s="8">
        <v>7</v>
      </c>
      <c r="J349" s="5">
        <v>99.5</v>
      </c>
      <c r="K349" s="4">
        <v>17</v>
      </c>
      <c r="L349" s="1" t="s">
        <v>46</v>
      </c>
      <c r="M349" s="1" t="s">
        <v>47</v>
      </c>
      <c r="N349" s="1" t="s">
        <v>2111</v>
      </c>
      <c r="O349" s="1" t="s">
        <v>48</v>
      </c>
      <c r="P349" s="1" t="s">
        <v>2112</v>
      </c>
      <c r="Q349" s="4">
        <v>1.4119999999999999</v>
      </c>
      <c r="R349" s="4">
        <v>1.4119999999999999</v>
      </c>
      <c r="S349" s="6">
        <v>4.1764700000000001</v>
      </c>
      <c r="T349" s="1" t="s">
        <v>50</v>
      </c>
      <c r="U349" s="1"/>
      <c r="V349" s="1"/>
      <c r="W349" s="1"/>
      <c r="X349" s="5">
        <v>86.299999999999997</v>
      </c>
      <c r="Y349" s="7">
        <v>5850000</v>
      </c>
      <c r="Z349" s="1"/>
      <c r="AA349" s="1"/>
      <c r="AB349" s="1"/>
      <c r="AC349" s="1"/>
      <c r="AD349" s="1"/>
      <c r="AE349" s="1" t="s">
        <v>51</v>
      </c>
      <c r="AF349" s="1" t="s">
        <v>51</v>
      </c>
      <c r="AG349" s="1" t="s">
        <v>47</v>
      </c>
      <c r="AH349" s="1"/>
      <c r="AI349" s="1"/>
      <c r="AJ349" s="3">
        <v>1</v>
      </c>
      <c r="AK349" s="1" t="s">
        <v>52</v>
      </c>
      <c r="AL349" s="3">
        <v>4</v>
      </c>
      <c r="AM349" s="8">
        <v>29</v>
      </c>
      <c r="AN349" s="1"/>
      <c r="AO349" s="1" t="s">
        <v>2113</v>
      </c>
      <c r="AP349" s="1" t="s">
        <v>151</v>
      </c>
      <c r="AQ349" s="1" t="s">
        <v>2114</v>
      </c>
      <c r="AR349" s="1" t="s">
        <v>2115</v>
      </c>
    </row>
    <row r="350">
      <c r="A350" s="2">
        <f ca="1">DATE(2000,04,07)</f>
        <v>0</v>
      </c>
      <c r="B350" s="2">
        <f ca="1">DATE(2000,07,13)</f>
        <v>0</v>
      </c>
      <c r="C350" s="1" t="s">
        <v>2109</v>
      </c>
      <c r="D350" s="3">
        <v>7372</v>
      </c>
      <c r="E350" s="1" t="s">
        <v>43</v>
      </c>
      <c r="F350" s="1" t="s">
        <v>2110</v>
      </c>
      <c r="G350" s="1" t="s">
        <v>151</v>
      </c>
      <c r="H350" s="4">
        <v>1.19</v>
      </c>
      <c r="I350" s="8">
        <v>7</v>
      </c>
      <c r="J350" s="5">
        <v>11.1</v>
      </c>
      <c r="K350" s="8">
        <v>17</v>
      </c>
      <c r="L350" s="1" t="s">
        <v>58</v>
      </c>
      <c r="M350" s="1" t="s">
        <v>47</v>
      </c>
      <c r="N350" s="1"/>
      <c r="O350" s="1" t="s">
        <v>48</v>
      </c>
      <c r="P350" s="1" t="s">
        <v>2116</v>
      </c>
      <c r="Q350" s="1" t="s">
        <v>145</v>
      </c>
      <c r="R350" s="1" t="s">
        <v>145</v>
      </c>
      <c r="S350" s="1"/>
      <c r="T350" s="1" t="s">
        <v>60</v>
      </c>
      <c r="U350" s="1"/>
      <c r="V350" s="1"/>
      <c r="W350" s="1"/>
      <c r="X350" s="1"/>
      <c r="Y350" s="7">
        <v>650000</v>
      </c>
      <c r="Z350" s="1"/>
      <c r="AA350" s="1"/>
      <c r="AB350" s="1"/>
      <c r="AC350" s="1"/>
      <c r="AD350" s="1"/>
      <c r="AE350" s="1" t="s">
        <v>51</v>
      </c>
      <c r="AF350" s="1" t="s">
        <v>51</v>
      </c>
      <c r="AG350" s="1" t="s">
        <v>47</v>
      </c>
      <c r="AH350" s="1"/>
      <c r="AI350" s="1"/>
      <c r="AJ350" s="3">
        <v>1</v>
      </c>
      <c r="AK350" s="1" t="s">
        <v>52</v>
      </c>
      <c r="AL350" s="3">
        <v>1</v>
      </c>
      <c r="AM350" s="1"/>
      <c r="AN350" s="1"/>
      <c r="AO350" s="1" t="s">
        <v>2117</v>
      </c>
      <c r="AP350" s="1" t="s">
        <v>151</v>
      </c>
      <c r="AQ350" s="1" t="s">
        <v>151</v>
      </c>
      <c r="AR350" s="1" t="s">
        <v>2118</v>
      </c>
    </row>
    <row r="351">
      <c r="A351" s="2">
        <f ca="1">DATE(2000,03,13)</f>
        <v>0</v>
      </c>
      <c r="B351" s="2">
        <f ca="1">DATE(2000,07,13)</f>
        <v>0</v>
      </c>
      <c r="C351" s="1" t="s">
        <v>2119</v>
      </c>
      <c r="D351" s="3">
        <v>2834</v>
      </c>
      <c r="E351" s="1" t="s">
        <v>43</v>
      </c>
      <c r="F351" s="1" t="s">
        <v>2120</v>
      </c>
      <c r="G351" s="1" t="s">
        <v>789</v>
      </c>
      <c r="H351" s="4">
        <v>0.83999999999999997</v>
      </c>
      <c r="I351" s="8">
        <v>7</v>
      </c>
      <c r="J351" s="5">
        <v>60</v>
      </c>
      <c r="K351" s="4">
        <v>12</v>
      </c>
      <c r="L351" s="1" t="s">
        <v>46</v>
      </c>
      <c r="M351" s="1" t="s">
        <v>47</v>
      </c>
      <c r="N351" s="1" t="s">
        <v>2121</v>
      </c>
      <c r="O351" s="1" t="s">
        <v>48</v>
      </c>
      <c r="P351" s="1" t="s">
        <v>2122</v>
      </c>
      <c r="Q351" s="4">
        <v>1.417</v>
      </c>
      <c r="R351" s="4">
        <v>1.417</v>
      </c>
      <c r="S351" s="6">
        <v>4.1666699999999999</v>
      </c>
      <c r="T351" s="1" t="s">
        <v>50</v>
      </c>
      <c r="U351" s="1"/>
      <c r="V351" s="1"/>
      <c r="W351" s="1"/>
      <c r="X351" s="5">
        <v>75</v>
      </c>
      <c r="Y351" s="7">
        <v>5000000</v>
      </c>
      <c r="Z351" s="1"/>
      <c r="AA351" s="2">
        <f ca="1">DATE(2001,01,09)</f>
        <v>0</v>
      </c>
      <c r="AB351" s="4">
        <v>81.182000000000002</v>
      </c>
      <c r="AC351" s="3">
        <v>180</v>
      </c>
      <c r="AD351" s="8">
        <v>20967091</v>
      </c>
      <c r="AE351" s="1" t="s">
        <v>51</v>
      </c>
      <c r="AF351" s="1" t="s">
        <v>51</v>
      </c>
      <c r="AG351" s="1" t="s">
        <v>47</v>
      </c>
      <c r="AH351" s="1"/>
      <c r="AI351" s="1"/>
      <c r="AJ351" s="3">
        <v>1</v>
      </c>
      <c r="AK351" s="1" t="s">
        <v>52</v>
      </c>
      <c r="AL351" s="3">
        <v>3</v>
      </c>
      <c r="AM351" s="8">
        <v>21.879999999999999</v>
      </c>
      <c r="AN351" s="1"/>
      <c r="AO351" s="1" t="s">
        <v>2123</v>
      </c>
      <c r="AP351" s="1" t="s">
        <v>789</v>
      </c>
      <c r="AQ351" s="1" t="s">
        <v>2124</v>
      </c>
      <c r="AR351" s="1" t="s">
        <v>2125</v>
      </c>
    </row>
    <row r="352">
      <c r="A352" s="2">
        <f ca="1">DATE(2000,03,08)</f>
        <v>0</v>
      </c>
      <c r="B352" s="2">
        <f ca="1">DATE(2000,07,14)</f>
        <v>0</v>
      </c>
      <c r="C352" s="1" t="s">
        <v>2126</v>
      </c>
      <c r="D352" s="3">
        <v>3674</v>
      </c>
      <c r="E352" s="1" t="s">
        <v>43</v>
      </c>
      <c r="F352" s="1" t="s">
        <v>2127</v>
      </c>
      <c r="G352" s="1" t="s">
        <v>122</v>
      </c>
      <c r="H352" s="4">
        <v>0.91000000000000003</v>
      </c>
      <c r="I352" s="4">
        <v>7</v>
      </c>
      <c r="J352" s="5">
        <v>65</v>
      </c>
      <c r="K352" s="4">
        <v>13</v>
      </c>
      <c r="L352" s="1" t="s">
        <v>46</v>
      </c>
      <c r="M352" s="1" t="s">
        <v>47</v>
      </c>
      <c r="N352" s="3">
        <v>682128103</v>
      </c>
      <c r="O352" s="1" t="s">
        <v>48</v>
      </c>
      <c r="P352" s="1" t="s">
        <v>2128</v>
      </c>
      <c r="Q352" s="4">
        <v>1.462</v>
      </c>
      <c r="R352" s="4">
        <v>1.3080000000000001</v>
      </c>
      <c r="S352" s="6">
        <v>4.2307699999999997</v>
      </c>
      <c r="T352" s="1" t="s">
        <v>50</v>
      </c>
      <c r="U352" s="1"/>
      <c r="V352" s="1"/>
      <c r="W352" s="1"/>
      <c r="X352" s="5">
        <v>63.299999999999997</v>
      </c>
      <c r="Y352" s="7">
        <v>5000000</v>
      </c>
      <c r="Z352" s="1"/>
      <c r="AA352" s="2">
        <f ca="1">DATE(2001,01,10)</f>
        <v>0</v>
      </c>
      <c r="AB352" s="4">
        <v>100</v>
      </c>
      <c r="AC352" s="3">
        <v>180</v>
      </c>
      <c r="AD352" s="8">
        <v>21190551</v>
      </c>
      <c r="AE352" s="1" t="s">
        <v>51</v>
      </c>
      <c r="AF352" s="1" t="s">
        <v>51</v>
      </c>
      <c r="AG352" s="1" t="s">
        <v>51</v>
      </c>
      <c r="AH352" s="1"/>
      <c r="AI352" s="1"/>
      <c r="AJ352" s="3">
        <v>1</v>
      </c>
      <c r="AK352" s="1" t="s">
        <v>52</v>
      </c>
      <c r="AL352" s="3">
        <v>3</v>
      </c>
      <c r="AM352" s="8">
        <v>34</v>
      </c>
      <c r="AN352" s="1"/>
      <c r="AO352" s="1" t="s">
        <v>2129</v>
      </c>
      <c r="AP352" s="1" t="s">
        <v>122</v>
      </c>
      <c r="AQ352" s="1" t="s">
        <v>1044</v>
      </c>
      <c r="AR352" s="1" t="s">
        <v>1045</v>
      </c>
    </row>
    <row r="353">
      <c r="A353" s="2">
        <f ca="1">DATE(2000,02,18)</f>
        <v>0</v>
      </c>
      <c r="B353" s="2">
        <f ca="1">DATE(2000,07,18)</f>
        <v>0</v>
      </c>
      <c r="C353" s="1" t="s">
        <v>2130</v>
      </c>
      <c r="D353" s="3">
        <v>7372</v>
      </c>
      <c r="E353" s="1" t="s">
        <v>43</v>
      </c>
      <c r="F353" s="1" t="s">
        <v>2131</v>
      </c>
      <c r="G353" s="1" t="s">
        <v>239</v>
      </c>
      <c r="H353" s="4">
        <v>0.97999999999999998</v>
      </c>
      <c r="I353" s="8">
        <v>7</v>
      </c>
      <c r="J353" s="5">
        <v>43.100000000000001</v>
      </c>
      <c r="K353" s="4">
        <v>14</v>
      </c>
      <c r="L353" s="1" t="s">
        <v>46</v>
      </c>
      <c r="M353" s="1" t="s">
        <v>47</v>
      </c>
      <c r="N353" s="3">
        <v>868587106</v>
      </c>
      <c r="O353" s="1" t="s">
        <v>48</v>
      </c>
      <c r="P353" s="1" t="s">
        <v>2132</v>
      </c>
      <c r="Q353" s="4">
        <v>1.4290000000000001</v>
      </c>
      <c r="R353" s="4">
        <v>1.4290000000000001</v>
      </c>
      <c r="S353" s="6">
        <v>4.1428599999999998</v>
      </c>
      <c r="T353" s="1" t="s">
        <v>50</v>
      </c>
      <c r="U353" s="1"/>
      <c r="V353" s="1"/>
      <c r="W353" s="1"/>
      <c r="X353" s="5">
        <v>62.100000000000001</v>
      </c>
      <c r="Y353" s="7">
        <v>3077000</v>
      </c>
      <c r="Z353" s="1"/>
      <c r="AA353" s="1"/>
      <c r="AB353" s="1"/>
      <c r="AC353" s="1"/>
      <c r="AD353" s="1"/>
      <c r="AE353" s="1" t="s">
        <v>51</v>
      </c>
      <c r="AF353" s="1" t="s">
        <v>51</v>
      </c>
      <c r="AG353" s="1" t="s">
        <v>47</v>
      </c>
      <c r="AH353" s="1"/>
      <c r="AI353" s="1"/>
      <c r="AJ353" s="3">
        <v>1</v>
      </c>
      <c r="AK353" s="1" t="s">
        <v>52</v>
      </c>
      <c r="AL353" s="3">
        <v>4</v>
      </c>
      <c r="AM353" s="8">
        <v>32.630000000000003</v>
      </c>
      <c r="AN353" s="1"/>
      <c r="AO353" s="1" t="s">
        <v>2133</v>
      </c>
      <c r="AP353" s="1" t="s">
        <v>239</v>
      </c>
      <c r="AQ353" s="1" t="s">
        <v>2134</v>
      </c>
      <c r="AR353" s="1" t="s">
        <v>2135</v>
      </c>
    </row>
    <row r="354">
      <c r="A354" s="2">
        <f ca="1">DATE(2000,02,18)</f>
        <v>0</v>
      </c>
      <c r="B354" s="2">
        <f ca="1">DATE(2000,07,18)</f>
        <v>0</v>
      </c>
      <c r="C354" s="1" t="s">
        <v>2130</v>
      </c>
      <c r="D354" s="3">
        <v>7372</v>
      </c>
      <c r="E354" s="1" t="s">
        <v>43</v>
      </c>
      <c r="F354" s="1" t="s">
        <v>2131</v>
      </c>
      <c r="G354" s="1" t="s">
        <v>179</v>
      </c>
      <c r="H354" s="4">
        <v>0.97999999999999998</v>
      </c>
      <c r="I354" s="8">
        <v>7</v>
      </c>
      <c r="J354" s="5">
        <v>16.399999999999999</v>
      </c>
      <c r="K354" s="8">
        <v>14</v>
      </c>
      <c r="L354" s="1" t="s">
        <v>58</v>
      </c>
      <c r="M354" s="1" t="s">
        <v>47</v>
      </c>
      <c r="N354" s="1"/>
      <c r="O354" s="1" t="s">
        <v>48</v>
      </c>
      <c r="P354" s="1" t="s">
        <v>2136</v>
      </c>
      <c r="Q354" s="4">
        <v>1.4290000000000001</v>
      </c>
      <c r="R354" s="4">
        <v>1.4290000000000001</v>
      </c>
      <c r="S354" s="6">
        <v>4.1429299999999998</v>
      </c>
      <c r="T354" s="1" t="s">
        <v>60</v>
      </c>
      <c r="U354" s="1"/>
      <c r="V354" s="1"/>
      <c r="W354" s="1"/>
      <c r="X354" s="1"/>
      <c r="Y354" s="7">
        <v>1173000</v>
      </c>
      <c r="Z354" s="1"/>
      <c r="AA354" s="1"/>
      <c r="AB354" s="1"/>
      <c r="AC354" s="1"/>
      <c r="AD354" s="1"/>
      <c r="AE354" s="1" t="s">
        <v>51</v>
      </c>
      <c r="AF354" s="1" t="s">
        <v>51</v>
      </c>
      <c r="AG354" s="1" t="s">
        <v>47</v>
      </c>
      <c r="AH354" s="1"/>
      <c r="AI354" s="1"/>
      <c r="AJ354" s="3">
        <v>1</v>
      </c>
      <c r="AK354" s="1" t="s">
        <v>52</v>
      </c>
      <c r="AL354" s="3">
        <v>4</v>
      </c>
      <c r="AM354" s="1"/>
      <c r="AN354" s="1"/>
      <c r="AO354" s="1" t="s">
        <v>2137</v>
      </c>
      <c r="AP354" s="1" t="s">
        <v>179</v>
      </c>
      <c r="AQ354" s="1" t="s">
        <v>2138</v>
      </c>
      <c r="AR354" s="1" t="s">
        <v>2139</v>
      </c>
    </row>
    <row r="355">
      <c r="A355" s="2">
        <f ca="1">DATE(2000,03,10)</f>
        <v>0</v>
      </c>
      <c r="B355" s="2">
        <f ca="1">DATE(2000,07,18)</f>
        <v>0</v>
      </c>
      <c r="C355" s="1" t="s">
        <v>2140</v>
      </c>
      <c r="D355" s="3">
        <v>2836</v>
      </c>
      <c r="E355" s="1" t="s">
        <v>43</v>
      </c>
      <c r="F355" s="1" t="s">
        <v>2141</v>
      </c>
      <c r="G355" s="1" t="s">
        <v>387</v>
      </c>
      <c r="H355" s="4">
        <v>1.05</v>
      </c>
      <c r="I355" s="4">
        <v>7</v>
      </c>
      <c r="J355" s="5">
        <v>67.200000000000003</v>
      </c>
      <c r="K355" s="4">
        <v>15</v>
      </c>
      <c r="L355" s="1" t="s">
        <v>46</v>
      </c>
      <c r="M355" s="1" t="s">
        <v>47</v>
      </c>
      <c r="N355" s="1" t="s">
        <v>2142</v>
      </c>
      <c r="O355" s="1" t="s">
        <v>77</v>
      </c>
      <c r="P355" s="1" t="s">
        <v>2143</v>
      </c>
      <c r="Q355" s="4">
        <v>1.3999999999999999</v>
      </c>
      <c r="R355" s="4">
        <v>1.3999999999999999</v>
      </c>
      <c r="S355" s="8">
        <v>4.2000000000000002</v>
      </c>
      <c r="T355" s="1" t="s">
        <v>50</v>
      </c>
      <c r="U355" s="8">
        <v>14</v>
      </c>
      <c r="V355" s="8">
        <v>12</v>
      </c>
      <c r="W355" s="7">
        <v>4000000</v>
      </c>
      <c r="X355" s="5">
        <v>52</v>
      </c>
      <c r="Y355" s="7">
        <v>4480000</v>
      </c>
      <c r="Z355" s="1"/>
      <c r="AA355" s="2">
        <f ca="1">DATE(2001,01,14)</f>
        <v>0</v>
      </c>
      <c r="AB355" s="4">
        <v>63.707000000000001</v>
      </c>
      <c r="AC355" s="3">
        <v>180</v>
      </c>
      <c r="AD355" s="8">
        <v>11343000</v>
      </c>
      <c r="AE355" s="1" t="s">
        <v>51</v>
      </c>
      <c r="AF355" s="1" t="s">
        <v>51</v>
      </c>
      <c r="AG355" s="1" t="s">
        <v>47</v>
      </c>
      <c r="AH355" s="1"/>
      <c r="AI355" s="1"/>
      <c r="AJ355" s="3">
        <v>1</v>
      </c>
      <c r="AK355" s="1" t="s">
        <v>52</v>
      </c>
      <c r="AL355" s="3">
        <v>3</v>
      </c>
      <c r="AM355" s="8">
        <v>24</v>
      </c>
      <c r="AN355" s="1"/>
      <c r="AO355" s="1" t="s">
        <v>2144</v>
      </c>
      <c r="AP355" s="1" t="s">
        <v>387</v>
      </c>
      <c r="AQ355" s="1" t="s">
        <v>2145</v>
      </c>
      <c r="AR355" s="1" t="s">
        <v>2143</v>
      </c>
    </row>
    <row r="356">
      <c r="A356" s="2">
        <f ca="1">DATE(2000,04,11)</f>
        <v>0</v>
      </c>
      <c r="B356" s="2">
        <f ca="1">DATE(2000,07,19)</f>
        <v>0</v>
      </c>
      <c r="C356" s="1" t="s">
        <v>2146</v>
      </c>
      <c r="D356" s="3">
        <v>3663</v>
      </c>
      <c r="E356" s="1" t="s">
        <v>43</v>
      </c>
      <c r="F356" s="1" t="s">
        <v>2147</v>
      </c>
      <c r="G356" s="1" t="s">
        <v>239</v>
      </c>
      <c r="H356" s="4">
        <v>1.05</v>
      </c>
      <c r="I356" s="4">
        <v>7</v>
      </c>
      <c r="J356" s="5">
        <v>82.5</v>
      </c>
      <c r="K356" s="4">
        <v>15</v>
      </c>
      <c r="L356" s="1" t="s">
        <v>46</v>
      </c>
      <c r="M356" s="1" t="s">
        <v>47</v>
      </c>
      <c r="N356" s="1" t="s">
        <v>2148</v>
      </c>
      <c r="O356" s="1" t="s">
        <v>67</v>
      </c>
      <c r="P356" s="1" t="s">
        <v>2149</v>
      </c>
      <c r="Q356" s="4">
        <v>1.3999999999999999</v>
      </c>
      <c r="R356" s="4">
        <v>1.3999999999999999</v>
      </c>
      <c r="S356" s="8">
        <v>4.2000000000000002</v>
      </c>
      <c r="T356" s="1" t="s">
        <v>50</v>
      </c>
      <c r="U356" s="1"/>
      <c r="V356" s="1"/>
      <c r="W356" s="1"/>
      <c r="X356" s="5">
        <v>65</v>
      </c>
      <c r="Y356" s="7">
        <v>5500000</v>
      </c>
      <c r="Z356" s="1"/>
      <c r="AA356" s="1"/>
      <c r="AB356" s="1"/>
      <c r="AC356" s="1"/>
      <c r="AD356" s="1"/>
      <c r="AE356" s="1" t="s">
        <v>51</v>
      </c>
      <c r="AF356" s="1" t="s">
        <v>51</v>
      </c>
      <c r="AG356" s="1" t="s">
        <v>47</v>
      </c>
      <c r="AH356" s="1"/>
      <c r="AI356" s="1"/>
      <c r="AJ356" s="3">
        <v>1</v>
      </c>
      <c r="AK356" s="1" t="s">
        <v>52</v>
      </c>
      <c r="AL356" s="3">
        <v>4</v>
      </c>
      <c r="AM356" s="8">
        <v>31.949999999999999</v>
      </c>
      <c r="AN356" s="1"/>
      <c r="AO356" s="1" t="s">
        <v>2150</v>
      </c>
      <c r="AP356" s="1" t="s">
        <v>239</v>
      </c>
      <c r="AQ356" s="1" t="s">
        <v>2151</v>
      </c>
      <c r="AR356" s="1" t="s">
        <v>2152</v>
      </c>
    </row>
    <row r="357">
      <c r="A357" s="2">
        <f ca="1">DATE(2000,04,27)</f>
        <v>0</v>
      </c>
      <c r="B357" s="2">
        <f ca="1">DATE(2000,07,19)</f>
        <v>0</v>
      </c>
      <c r="C357" s="1" t="s">
        <v>2153</v>
      </c>
      <c r="D357" s="3">
        <v>8731</v>
      </c>
      <c r="E357" s="1" t="s">
        <v>43</v>
      </c>
      <c r="F357" s="1" t="s">
        <v>2154</v>
      </c>
      <c r="G357" s="1" t="s">
        <v>1583</v>
      </c>
      <c r="H357" s="4">
        <v>1.05</v>
      </c>
      <c r="I357" s="4">
        <v>7</v>
      </c>
      <c r="J357" s="5">
        <v>59.700000000000003</v>
      </c>
      <c r="K357" s="4">
        <v>15</v>
      </c>
      <c r="L357" s="1" t="s">
        <v>46</v>
      </c>
      <c r="M357" s="1" t="s">
        <v>47</v>
      </c>
      <c r="N357" s="1" t="s">
        <v>2155</v>
      </c>
      <c r="O357" s="1" t="s">
        <v>48</v>
      </c>
      <c r="P357" s="1" t="s">
        <v>2156</v>
      </c>
      <c r="Q357" s="4">
        <v>1.3999999999999999</v>
      </c>
      <c r="R357" s="4">
        <v>1.3999999999999999</v>
      </c>
      <c r="S357" s="8">
        <v>4.2000000000000002</v>
      </c>
      <c r="T357" s="1" t="s">
        <v>50</v>
      </c>
      <c r="U357" s="1"/>
      <c r="V357" s="1"/>
      <c r="W357" s="1"/>
      <c r="X357" s="1"/>
      <c r="Y357" s="7">
        <v>3981500</v>
      </c>
      <c r="Z357" s="1"/>
      <c r="AA357" s="2">
        <f ca="1">DATE(2001,01,15)</f>
        <v>0</v>
      </c>
      <c r="AB357" s="4">
        <v>72.826999999999998</v>
      </c>
      <c r="AC357" s="3">
        <v>180</v>
      </c>
      <c r="AD357" s="8">
        <v>12377213</v>
      </c>
      <c r="AE357" s="1" t="s">
        <v>51</v>
      </c>
      <c r="AF357" s="1" t="s">
        <v>51</v>
      </c>
      <c r="AG357" s="1" t="s">
        <v>47</v>
      </c>
      <c r="AH357" s="1"/>
      <c r="AI357" s="1"/>
      <c r="AJ357" s="3">
        <v>1</v>
      </c>
      <c r="AK357" s="1" t="s">
        <v>52</v>
      </c>
      <c r="AL357" s="3">
        <v>3</v>
      </c>
      <c r="AM357" s="8">
        <v>22.879999999999999</v>
      </c>
      <c r="AN357" s="1"/>
      <c r="AO357" s="1" t="s">
        <v>2157</v>
      </c>
      <c r="AP357" s="1" t="s">
        <v>1583</v>
      </c>
      <c r="AQ357" s="1" t="s">
        <v>2158</v>
      </c>
      <c r="AR357" s="1" t="s">
        <v>2159</v>
      </c>
    </row>
    <row r="358">
      <c r="A358" s="2">
        <f ca="1">DATE(2000,04,27)</f>
        <v>0</v>
      </c>
      <c r="B358" s="2">
        <f ca="1">DATE(2000,07,19)</f>
        <v>0</v>
      </c>
      <c r="C358" s="1" t="s">
        <v>2153</v>
      </c>
      <c r="D358" s="3">
        <v>8731</v>
      </c>
      <c r="E358" s="1" t="s">
        <v>43</v>
      </c>
      <c r="F358" s="1" t="s">
        <v>2154</v>
      </c>
      <c r="G358" s="1" t="s">
        <v>1583</v>
      </c>
      <c r="H358" s="4">
        <v>1.05</v>
      </c>
      <c r="I358" s="4">
        <v>7</v>
      </c>
      <c r="J358" s="5">
        <v>9.3000000000000007</v>
      </c>
      <c r="K358" s="8">
        <v>15</v>
      </c>
      <c r="L358" s="1" t="s">
        <v>46</v>
      </c>
      <c r="M358" s="1" t="s">
        <v>47</v>
      </c>
      <c r="N358" s="1" t="s">
        <v>2155</v>
      </c>
      <c r="O358" s="1" t="s">
        <v>48</v>
      </c>
      <c r="P358" s="1" t="s">
        <v>2160</v>
      </c>
      <c r="Q358" s="4">
        <v>1.3999999999999999</v>
      </c>
      <c r="R358" s="4">
        <v>1.3999999999999999</v>
      </c>
      <c r="S358" s="8">
        <v>4.2000000000000002</v>
      </c>
      <c r="T358" s="1" t="s">
        <v>60</v>
      </c>
      <c r="U358" s="1"/>
      <c r="V358" s="1"/>
      <c r="W358" s="1"/>
      <c r="X358" s="5">
        <v>86.299999999999997</v>
      </c>
      <c r="Y358" s="7">
        <v>618500</v>
      </c>
      <c r="Z358" s="1"/>
      <c r="AA358" s="1"/>
      <c r="AB358" s="1"/>
      <c r="AC358" s="3">
        <v>180</v>
      </c>
      <c r="AD358" s="8">
        <v>12377213</v>
      </c>
      <c r="AE358" s="1" t="s">
        <v>51</v>
      </c>
      <c r="AF358" s="1" t="s">
        <v>51</v>
      </c>
      <c r="AG358" s="1" t="s">
        <v>47</v>
      </c>
      <c r="AH358" s="1"/>
      <c r="AI358" s="1"/>
      <c r="AJ358" s="3">
        <v>1</v>
      </c>
      <c r="AK358" s="1" t="s">
        <v>52</v>
      </c>
      <c r="AL358" s="3">
        <v>1</v>
      </c>
      <c r="AM358" s="1"/>
      <c r="AN358" s="1"/>
      <c r="AO358" s="1" t="s">
        <v>2161</v>
      </c>
      <c r="AP358" s="1" t="s">
        <v>1583</v>
      </c>
      <c r="AQ358" s="1" t="s">
        <v>1583</v>
      </c>
      <c r="AR358" s="1" t="s">
        <v>1591</v>
      </c>
    </row>
    <row r="359">
      <c r="A359" s="2">
        <f ca="1">DATE(1999,07,30)</f>
        <v>0</v>
      </c>
      <c r="B359" s="2">
        <f ca="1">DATE(2000,07,19)</f>
        <v>0</v>
      </c>
      <c r="C359" s="1" t="s">
        <v>2162</v>
      </c>
      <c r="D359" s="3">
        <v>3841</v>
      </c>
      <c r="E359" s="1" t="s">
        <v>43</v>
      </c>
      <c r="F359" s="1" t="s">
        <v>2163</v>
      </c>
      <c r="G359" s="1" t="s">
        <v>204</v>
      </c>
      <c r="H359" s="4">
        <v>0.83999999999999997</v>
      </c>
      <c r="I359" s="8">
        <v>7</v>
      </c>
      <c r="J359" s="5">
        <v>42</v>
      </c>
      <c r="K359" s="4">
        <v>12</v>
      </c>
      <c r="L359" s="1" t="s">
        <v>46</v>
      </c>
      <c r="M359" s="1" t="s">
        <v>47</v>
      </c>
      <c r="N359" s="1" t="s">
        <v>2164</v>
      </c>
      <c r="O359" s="1" t="s">
        <v>48</v>
      </c>
      <c r="P359" s="1" t="s">
        <v>2165</v>
      </c>
      <c r="Q359" s="4">
        <v>1.417</v>
      </c>
      <c r="R359" s="4">
        <v>1.417</v>
      </c>
      <c r="S359" s="6">
        <v>4.1666699999999999</v>
      </c>
      <c r="T359" s="1" t="s">
        <v>50</v>
      </c>
      <c r="U359" s="1"/>
      <c r="V359" s="1"/>
      <c r="W359" s="1"/>
      <c r="X359" s="5">
        <v>40</v>
      </c>
      <c r="Y359" s="7">
        <v>3500000</v>
      </c>
      <c r="Z359" s="1"/>
      <c r="AA359" s="2">
        <f ca="1">DATE(2001,01,15)</f>
        <v>0</v>
      </c>
      <c r="AB359" s="4">
        <v>69.016000000000005</v>
      </c>
      <c r="AC359" s="3">
        <v>180</v>
      </c>
      <c r="AD359" s="8">
        <v>8665118</v>
      </c>
      <c r="AE359" s="1" t="s">
        <v>51</v>
      </c>
      <c r="AF359" s="1" t="s">
        <v>51</v>
      </c>
      <c r="AG359" s="1" t="s">
        <v>47</v>
      </c>
      <c r="AH359" s="1"/>
      <c r="AI359" s="1"/>
      <c r="AJ359" s="3">
        <v>1</v>
      </c>
      <c r="AK359" s="1" t="s">
        <v>52</v>
      </c>
      <c r="AL359" s="3">
        <v>3</v>
      </c>
      <c r="AM359" s="8">
        <v>16.190000000000001</v>
      </c>
      <c r="AN359" s="1"/>
      <c r="AO359" s="1" t="s">
        <v>2166</v>
      </c>
      <c r="AP359" s="1" t="s">
        <v>204</v>
      </c>
      <c r="AQ359" s="1" t="s">
        <v>2167</v>
      </c>
      <c r="AR359" s="1" t="s">
        <v>2168</v>
      </c>
    </row>
    <row r="360">
      <c r="A360" s="2">
        <f ca="1">DATE(2000,04,21)</f>
        <v>0</v>
      </c>
      <c r="B360" s="2">
        <f ca="1">DATE(2000,07,20)</f>
        <v>0</v>
      </c>
      <c r="C360" s="1" t="s">
        <v>2169</v>
      </c>
      <c r="D360" s="3">
        <v>7372</v>
      </c>
      <c r="E360" s="1" t="s">
        <v>43</v>
      </c>
      <c r="F360" s="1" t="s">
        <v>2170</v>
      </c>
      <c r="G360" s="1" t="s">
        <v>160</v>
      </c>
      <c r="H360" s="4">
        <v>0.97999999999999998</v>
      </c>
      <c r="I360" s="8">
        <v>7</v>
      </c>
      <c r="J360" s="5">
        <v>119</v>
      </c>
      <c r="K360" s="4">
        <v>14</v>
      </c>
      <c r="L360" s="1" t="s">
        <v>46</v>
      </c>
      <c r="M360" s="1" t="s">
        <v>47</v>
      </c>
      <c r="N360" s="3">
        <v>218875102</v>
      </c>
      <c r="O360" s="1" t="s">
        <v>48</v>
      </c>
      <c r="P360" s="1" t="s">
        <v>2171</v>
      </c>
      <c r="Q360" s="4">
        <v>1.4290000000000001</v>
      </c>
      <c r="R360" s="4">
        <v>1.357</v>
      </c>
      <c r="S360" s="6">
        <v>4.2142900000000001</v>
      </c>
      <c r="T360" s="1" t="s">
        <v>50</v>
      </c>
      <c r="U360" s="1"/>
      <c r="V360" s="1"/>
      <c r="W360" s="1"/>
      <c r="X360" s="5">
        <v>50</v>
      </c>
      <c r="Y360" s="7">
        <v>8500000</v>
      </c>
      <c r="Z360" s="1"/>
      <c r="AA360" s="1"/>
      <c r="AB360" s="1"/>
      <c r="AC360" s="1"/>
      <c r="AD360" s="1"/>
      <c r="AE360" s="1" t="s">
        <v>51</v>
      </c>
      <c r="AF360" s="1" t="s">
        <v>51</v>
      </c>
      <c r="AG360" s="1" t="s">
        <v>47</v>
      </c>
      <c r="AH360" s="1"/>
      <c r="AI360" s="1"/>
      <c r="AJ360" s="3">
        <v>1</v>
      </c>
      <c r="AK360" s="1" t="s">
        <v>52</v>
      </c>
      <c r="AL360" s="3">
        <v>4</v>
      </c>
      <c r="AM360" s="8">
        <v>19.690000000000001</v>
      </c>
      <c r="AN360" s="1"/>
      <c r="AO360" s="1" t="s">
        <v>2172</v>
      </c>
      <c r="AP360" s="1" t="s">
        <v>160</v>
      </c>
      <c r="AQ360" s="1" t="s">
        <v>2173</v>
      </c>
      <c r="AR360" s="1" t="s">
        <v>2174</v>
      </c>
    </row>
    <row r="361">
      <c r="A361" s="2">
        <f ca="1">DATE(2000,04,21)</f>
        <v>0</v>
      </c>
      <c r="B361" s="2">
        <f ca="1">DATE(2000,07,20)</f>
        <v>0</v>
      </c>
      <c r="C361" s="1" t="s">
        <v>2169</v>
      </c>
      <c r="D361" s="3">
        <v>7372</v>
      </c>
      <c r="E361" s="1" t="s">
        <v>43</v>
      </c>
      <c r="F361" s="1" t="s">
        <v>2170</v>
      </c>
      <c r="G361" s="1" t="s">
        <v>160</v>
      </c>
      <c r="H361" s="4">
        <v>0.97999999999999998</v>
      </c>
      <c r="I361" s="8">
        <v>7</v>
      </c>
      <c r="J361" s="5">
        <v>21</v>
      </c>
      <c r="K361" s="8">
        <v>14</v>
      </c>
      <c r="L361" s="1" t="s">
        <v>58</v>
      </c>
      <c r="M361" s="1" t="s">
        <v>47</v>
      </c>
      <c r="N361" s="3">
        <v>218875102</v>
      </c>
      <c r="O361" s="1" t="s">
        <v>48</v>
      </c>
      <c r="P361" s="1" t="s">
        <v>2175</v>
      </c>
      <c r="Q361" s="4">
        <v>1.4290000000000001</v>
      </c>
      <c r="R361" s="4">
        <v>1.357</v>
      </c>
      <c r="S361" s="6">
        <v>4.2142900000000001</v>
      </c>
      <c r="T361" s="1" t="s">
        <v>60</v>
      </c>
      <c r="U361" s="1"/>
      <c r="V361" s="1"/>
      <c r="W361" s="1"/>
      <c r="X361" s="1"/>
      <c r="Y361" s="7">
        <v>1500000</v>
      </c>
      <c r="Z361" s="1"/>
      <c r="AA361" s="1"/>
      <c r="AB361" s="1"/>
      <c r="AC361" s="1"/>
      <c r="AD361" s="1"/>
      <c r="AE361" s="1" t="s">
        <v>51</v>
      </c>
      <c r="AF361" s="1" t="s">
        <v>51</v>
      </c>
      <c r="AG361" s="1" t="s">
        <v>47</v>
      </c>
      <c r="AH361" s="1"/>
      <c r="AI361" s="1"/>
      <c r="AJ361" s="3">
        <v>1</v>
      </c>
      <c r="AK361" s="1" t="s">
        <v>52</v>
      </c>
      <c r="AL361" s="3">
        <v>1</v>
      </c>
      <c r="AM361" s="1"/>
      <c r="AN361" s="1"/>
      <c r="AO361" s="1" t="s">
        <v>2176</v>
      </c>
      <c r="AP361" s="1" t="s">
        <v>160</v>
      </c>
      <c r="AQ361" s="1" t="s">
        <v>160</v>
      </c>
      <c r="AR361" s="1" t="s">
        <v>187</v>
      </c>
    </row>
    <row r="362">
      <c r="A362" s="2">
        <f ca="1">DATE(2000,06,30)</f>
        <v>0</v>
      </c>
      <c r="B362" s="2">
        <f ca="1">DATE(2000,07,20)</f>
        <v>0</v>
      </c>
      <c r="C362" s="1" t="s">
        <v>2177</v>
      </c>
      <c r="D362" s="3">
        <v>3721</v>
      </c>
      <c r="E362" s="1" t="s">
        <v>1445</v>
      </c>
      <c r="F362" s="1" t="s">
        <v>2178</v>
      </c>
      <c r="G362" s="1" t="s">
        <v>2179</v>
      </c>
      <c r="H362" s="4">
        <v>0.64800000000000002</v>
      </c>
      <c r="I362" s="4">
        <v>3.5</v>
      </c>
      <c r="J362" s="5">
        <v>26.600000000000001</v>
      </c>
      <c r="K362" s="4">
        <v>18.5</v>
      </c>
      <c r="L362" s="1" t="s">
        <v>651</v>
      </c>
      <c r="M362" s="1" t="s">
        <v>47</v>
      </c>
      <c r="N362" s="1" t="s">
        <v>2180</v>
      </c>
      <c r="O362" s="1" t="s">
        <v>108</v>
      </c>
      <c r="P362" s="1" t="s">
        <v>2181</v>
      </c>
      <c r="Q362" s="4">
        <v>0.69999999999999996</v>
      </c>
      <c r="R362" s="4">
        <v>0.69999999999999996</v>
      </c>
      <c r="S362" s="8">
        <v>2.1000000000000001</v>
      </c>
      <c r="T362" s="1" t="s">
        <v>50</v>
      </c>
      <c r="U362" s="8">
        <v>20.57</v>
      </c>
      <c r="V362" s="8">
        <v>20.57</v>
      </c>
      <c r="W362" s="7">
        <v>15120000</v>
      </c>
      <c r="X362" s="5">
        <v>311</v>
      </c>
      <c r="Y362" s="7">
        <v>904208</v>
      </c>
      <c r="Z362" s="7">
        <v>534305</v>
      </c>
      <c r="AA362" s="1"/>
      <c r="AB362" s="1"/>
      <c r="AC362" s="1"/>
      <c r="AD362" s="1"/>
      <c r="AE362" s="1" t="s">
        <v>47</v>
      </c>
      <c r="AF362" s="1" t="s">
        <v>51</v>
      </c>
      <c r="AG362" s="1" t="s">
        <v>51</v>
      </c>
      <c r="AH362" s="1"/>
      <c r="AI362" s="1"/>
      <c r="AJ362" s="3">
        <v>3</v>
      </c>
      <c r="AK362" s="1" t="s">
        <v>110</v>
      </c>
      <c r="AL362" s="3">
        <v>3</v>
      </c>
      <c r="AM362" s="8">
        <v>21.559999999999999</v>
      </c>
      <c r="AN362" s="1"/>
      <c r="AO362" s="1" t="s">
        <v>2182</v>
      </c>
      <c r="AP362" s="1" t="s">
        <v>2183</v>
      </c>
      <c r="AQ362" s="1" t="s">
        <v>2184</v>
      </c>
      <c r="AR362" s="1" t="s">
        <v>2185</v>
      </c>
    </row>
    <row r="363">
      <c r="A363" s="2">
        <f ca="1">DATE(2000,03,24)</f>
        <v>0</v>
      </c>
      <c r="B363" s="2">
        <f ca="1">DATE(2000,07,20)</f>
        <v>0</v>
      </c>
      <c r="C363" s="1" t="s">
        <v>2186</v>
      </c>
      <c r="D363" s="3">
        <v>3672</v>
      </c>
      <c r="E363" s="1" t="s">
        <v>166</v>
      </c>
      <c r="F363" s="1" t="s">
        <v>2187</v>
      </c>
      <c r="G363" s="1" t="s">
        <v>2188</v>
      </c>
      <c r="H363" s="4">
        <v>1.1200000000000001</v>
      </c>
      <c r="I363" s="4">
        <v>7</v>
      </c>
      <c r="J363" s="5">
        <v>83.099999999999994</v>
      </c>
      <c r="K363" s="4">
        <v>16</v>
      </c>
      <c r="L363" s="1" t="s">
        <v>46</v>
      </c>
      <c r="M363" s="1" t="s">
        <v>47</v>
      </c>
      <c r="N363" s="3">
        <v>832682108</v>
      </c>
      <c r="O363" s="1" t="s">
        <v>48</v>
      </c>
      <c r="P363" s="1" t="s">
        <v>2189</v>
      </c>
      <c r="Q363" s="4">
        <v>1.3999999999999999</v>
      </c>
      <c r="R363" s="4">
        <v>1.3999999999999999</v>
      </c>
      <c r="S363" s="8">
        <v>4.2000000000000002</v>
      </c>
      <c r="T363" s="1" t="s">
        <v>50</v>
      </c>
      <c r="U363" s="8">
        <v>14</v>
      </c>
      <c r="V363" s="8">
        <v>12</v>
      </c>
      <c r="W363" s="7">
        <v>9625000</v>
      </c>
      <c r="X363" s="5">
        <v>125.09999999999999</v>
      </c>
      <c r="Y363" s="7">
        <v>5195000</v>
      </c>
      <c r="Z363" s="1"/>
      <c r="AA363" s="1"/>
      <c r="AB363" s="1"/>
      <c r="AC363" s="1"/>
      <c r="AD363" s="1"/>
      <c r="AE363" s="1" t="s">
        <v>51</v>
      </c>
      <c r="AF363" s="1" t="s">
        <v>51</v>
      </c>
      <c r="AG363" s="1" t="s">
        <v>51</v>
      </c>
      <c r="AH363" s="1"/>
      <c r="AI363" s="1"/>
      <c r="AJ363" s="3">
        <v>2</v>
      </c>
      <c r="AK363" s="1" t="s">
        <v>89</v>
      </c>
      <c r="AL363" s="3">
        <v>4</v>
      </c>
      <c r="AM363" s="8">
        <v>25.379999999999999</v>
      </c>
      <c r="AN363" s="1"/>
      <c r="AO363" s="1" t="s">
        <v>2190</v>
      </c>
      <c r="AP363" s="1" t="s">
        <v>2191</v>
      </c>
      <c r="AQ363" s="1" t="s">
        <v>2192</v>
      </c>
      <c r="AR363" s="1" t="s">
        <v>2193</v>
      </c>
    </row>
    <row r="364">
      <c r="A364" s="2">
        <f ca="1">DATE(2000,03,24)</f>
        <v>0</v>
      </c>
      <c r="B364" s="2">
        <f ca="1">DATE(2000,07,20)</f>
        <v>0</v>
      </c>
      <c r="C364" s="1" t="s">
        <v>2186</v>
      </c>
      <c r="D364" s="3">
        <v>3672</v>
      </c>
      <c r="E364" s="1" t="s">
        <v>166</v>
      </c>
      <c r="F364" s="1" t="s">
        <v>2187</v>
      </c>
      <c r="G364" s="1" t="s">
        <v>2188</v>
      </c>
      <c r="H364" s="4">
        <v>1.1200000000000001</v>
      </c>
      <c r="I364" s="4">
        <v>7</v>
      </c>
      <c r="J364" s="5">
        <v>22.899999999999999</v>
      </c>
      <c r="K364" s="8">
        <v>16</v>
      </c>
      <c r="L364" s="1" t="s">
        <v>58</v>
      </c>
      <c r="M364" s="1" t="s">
        <v>47</v>
      </c>
      <c r="N364" s="3">
        <v>832682108</v>
      </c>
      <c r="O364" s="1" t="s">
        <v>48</v>
      </c>
      <c r="P364" s="1" t="s">
        <v>2194</v>
      </c>
      <c r="Q364" s="4">
        <v>1.4379999999999999</v>
      </c>
      <c r="R364" s="4">
        <v>1.4379999999999999</v>
      </c>
      <c r="S364" s="4">
        <v>4.125</v>
      </c>
      <c r="T364" s="1" t="s">
        <v>60</v>
      </c>
      <c r="U364" s="8">
        <v>14</v>
      </c>
      <c r="V364" s="8">
        <v>12</v>
      </c>
      <c r="W364" s="1"/>
      <c r="X364" s="1"/>
      <c r="Y364" s="7">
        <v>1430000</v>
      </c>
      <c r="Z364" s="1"/>
      <c r="AA364" s="1"/>
      <c r="AB364" s="1"/>
      <c r="AC364" s="1"/>
      <c r="AD364" s="1"/>
      <c r="AE364" s="1" t="s">
        <v>51</v>
      </c>
      <c r="AF364" s="1" t="s">
        <v>51</v>
      </c>
      <c r="AG364" s="1" t="s">
        <v>51</v>
      </c>
      <c r="AH364" s="1"/>
      <c r="AI364" s="1"/>
      <c r="AJ364" s="3">
        <v>2</v>
      </c>
      <c r="AK364" s="1" t="s">
        <v>89</v>
      </c>
      <c r="AL364" s="3">
        <v>2</v>
      </c>
      <c r="AM364" s="1"/>
      <c r="AN364" s="1"/>
      <c r="AO364" s="1" t="s">
        <v>2195</v>
      </c>
      <c r="AP364" s="1" t="s">
        <v>2191</v>
      </c>
      <c r="AQ364" s="1" t="s">
        <v>2196</v>
      </c>
      <c r="AR364" s="1" t="s">
        <v>2197</v>
      </c>
    </row>
    <row r="365">
      <c r="A365" s="2">
        <f ca="1">DATE(2000,04,13)</f>
        <v>0</v>
      </c>
      <c r="B365" s="2">
        <f ca="1">DATE(2000,07,20)</f>
        <v>0</v>
      </c>
      <c r="C365" s="1" t="s">
        <v>2198</v>
      </c>
      <c r="D365" s="3">
        <v>7372</v>
      </c>
      <c r="E365" s="1" t="s">
        <v>43</v>
      </c>
      <c r="F365" s="1" t="s">
        <v>2199</v>
      </c>
      <c r="G365" s="1" t="s">
        <v>2200</v>
      </c>
      <c r="H365" s="4">
        <v>1.1200000000000001</v>
      </c>
      <c r="I365" s="4">
        <v>7</v>
      </c>
      <c r="J365" s="5">
        <v>52</v>
      </c>
      <c r="K365" s="4">
        <v>16</v>
      </c>
      <c r="L365" s="1" t="s">
        <v>46</v>
      </c>
      <c r="M365" s="1" t="s">
        <v>47</v>
      </c>
      <c r="N365" s="3">
        <v>874090103</v>
      </c>
      <c r="O365" s="1" t="s">
        <v>48</v>
      </c>
      <c r="P365" s="1" t="s">
        <v>2201</v>
      </c>
      <c r="Q365" s="4">
        <v>1.4379999999999999</v>
      </c>
      <c r="R365" s="4">
        <v>1.375</v>
      </c>
      <c r="S365" s="10">
        <v>4.1875</v>
      </c>
      <c r="T365" s="1" t="s">
        <v>50</v>
      </c>
      <c r="U365" s="1"/>
      <c r="V365" s="1"/>
      <c r="W365" s="1"/>
      <c r="X365" s="5">
        <v>69</v>
      </c>
      <c r="Y365" s="7">
        <v>3250000</v>
      </c>
      <c r="Z365" s="1"/>
      <c r="AA365" s="1"/>
      <c r="AB365" s="1"/>
      <c r="AC365" s="1"/>
      <c r="AD365" s="1"/>
      <c r="AE365" s="1" t="s">
        <v>51</v>
      </c>
      <c r="AF365" s="1" t="s">
        <v>51</v>
      </c>
      <c r="AG365" s="1" t="s">
        <v>47</v>
      </c>
      <c r="AH365" s="1"/>
      <c r="AI365" s="1"/>
      <c r="AJ365" s="3">
        <v>4</v>
      </c>
      <c r="AK365" s="1" t="s">
        <v>1209</v>
      </c>
      <c r="AL365" s="3">
        <v>4</v>
      </c>
      <c r="AM365" s="8">
        <v>22.75</v>
      </c>
      <c r="AN365" s="1"/>
      <c r="AO365" s="1" t="s">
        <v>2202</v>
      </c>
      <c r="AP365" s="1" t="s">
        <v>2203</v>
      </c>
      <c r="AQ365" s="1" t="s">
        <v>2204</v>
      </c>
      <c r="AR365" s="1" t="s">
        <v>2205</v>
      </c>
    </row>
    <row r="366">
      <c r="A366" s="2">
        <f ca="1">DATE(2000,04,13)</f>
        <v>0</v>
      </c>
      <c r="B366" s="2">
        <f ca="1">DATE(2000,07,20)</f>
        <v>0</v>
      </c>
      <c r="C366" s="1" t="s">
        <v>2198</v>
      </c>
      <c r="D366" s="3">
        <v>7372</v>
      </c>
      <c r="E366" s="1" t="s">
        <v>43</v>
      </c>
      <c r="F366" s="1" t="s">
        <v>2199</v>
      </c>
      <c r="G366" s="1" t="s">
        <v>813</v>
      </c>
      <c r="H366" s="4">
        <v>1.1200000000000001</v>
      </c>
      <c r="I366" s="4">
        <v>7</v>
      </c>
      <c r="J366" s="5">
        <v>15.199999999999999</v>
      </c>
      <c r="K366" s="8">
        <v>16</v>
      </c>
      <c r="L366" s="1" t="s">
        <v>58</v>
      </c>
      <c r="M366" s="1" t="s">
        <v>47</v>
      </c>
      <c r="N366" s="3">
        <v>874090103</v>
      </c>
      <c r="O366" s="1" t="s">
        <v>48</v>
      </c>
      <c r="P366" s="1" t="s">
        <v>1605</v>
      </c>
      <c r="Q366" s="4">
        <v>1.4379999999999999</v>
      </c>
      <c r="R366" s="4">
        <v>1.375</v>
      </c>
      <c r="S366" s="10">
        <v>4.1875</v>
      </c>
      <c r="T366" s="1" t="s">
        <v>60</v>
      </c>
      <c r="U366" s="1"/>
      <c r="V366" s="1"/>
      <c r="W366" s="1"/>
      <c r="X366" s="1"/>
      <c r="Y366" s="7">
        <v>950000</v>
      </c>
      <c r="Z366" s="1"/>
      <c r="AA366" s="1"/>
      <c r="AB366" s="1"/>
      <c r="AC366" s="1"/>
      <c r="AD366" s="1"/>
      <c r="AE366" s="1" t="s">
        <v>51</v>
      </c>
      <c r="AF366" s="1" t="s">
        <v>51</v>
      </c>
      <c r="AG366" s="1" t="s">
        <v>47</v>
      </c>
      <c r="AH366" s="1"/>
      <c r="AI366" s="1"/>
      <c r="AJ366" s="3">
        <v>1</v>
      </c>
      <c r="AK366" s="1" t="s">
        <v>52</v>
      </c>
      <c r="AL366" s="3">
        <v>1</v>
      </c>
      <c r="AM366" s="1"/>
      <c r="AN366" s="1"/>
      <c r="AO366" s="1" t="s">
        <v>1606</v>
      </c>
      <c r="AP366" s="1" t="s">
        <v>813</v>
      </c>
      <c r="AQ366" s="1" t="s">
        <v>813</v>
      </c>
      <c r="AR366" s="1" t="s">
        <v>1607</v>
      </c>
    </row>
    <row r="367">
      <c r="A367" s="2">
        <f ca="1">DATE(2000,03,29)</f>
        <v>0</v>
      </c>
      <c r="B367" s="2">
        <f ca="1">DATE(2000,07,21)</f>
        <v>0</v>
      </c>
      <c r="C367" s="1" t="s">
        <v>2206</v>
      </c>
      <c r="D367" s="3">
        <v>2835</v>
      </c>
      <c r="E367" s="1" t="s">
        <v>43</v>
      </c>
      <c r="F367" s="1" t="s">
        <v>2207</v>
      </c>
      <c r="G367" s="1" t="s">
        <v>239</v>
      </c>
      <c r="H367" s="4">
        <v>0.97999999999999998</v>
      </c>
      <c r="I367" s="8">
        <v>7</v>
      </c>
      <c r="J367" s="5">
        <v>51.5</v>
      </c>
      <c r="K367" s="4">
        <v>14</v>
      </c>
      <c r="L367" s="1" t="s">
        <v>46</v>
      </c>
      <c r="M367" s="1" t="s">
        <v>47</v>
      </c>
      <c r="N367" s="3">
        <v>922196100</v>
      </c>
      <c r="O367" s="1" t="s">
        <v>48</v>
      </c>
      <c r="P367" s="1" t="s">
        <v>2208</v>
      </c>
      <c r="Q367" s="4">
        <v>1.4290000000000001</v>
      </c>
      <c r="R367" s="4">
        <v>1.4290000000000001</v>
      </c>
      <c r="S367" s="6">
        <v>4.1428599999999998</v>
      </c>
      <c r="T367" s="1" t="s">
        <v>50</v>
      </c>
      <c r="U367" s="1"/>
      <c r="V367" s="1"/>
      <c r="W367" s="1"/>
      <c r="X367" s="1"/>
      <c r="Y367" s="7">
        <v>3677500</v>
      </c>
      <c r="Z367" s="1"/>
      <c r="AA367" s="1"/>
      <c r="AB367" s="1"/>
      <c r="AC367" s="1"/>
      <c r="AD367" s="1"/>
      <c r="AE367" s="1" t="s">
        <v>51</v>
      </c>
      <c r="AF367" s="1" t="s">
        <v>51</v>
      </c>
      <c r="AG367" s="1" t="s">
        <v>47</v>
      </c>
      <c r="AH367" s="1"/>
      <c r="AI367" s="1"/>
      <c r="AJ367" s="3">
        <v>1</v>
      </c>
      <c r="AK367" s="1" t="s">
        <v>52</v>
      </c>
      <c r="AL367" s="3">
        <v>3</v>
      </c>
      <c r="AM367" s="8">
        <v>24.5</v>
      </c>
      <c r="AN367" s="1"/>
      <c r="AO367" s="1" t="s">
        <v>2209</v>
      </c>
      <c r="AP367" s="1" t="s">
        <v>239</v>
      </c>
      <c r="AQ367" s="1" t="s">
        <v>2210</v>
      </c>
      <c r="AR367" s="1" t="s">
        <v>2211</v>
      </c>
    </row>
    <row r="368">
      <c r="A368" s="2">
        <f ca="1">DATE(2000,03,29)</f>
        <v>0</v>
      </c>
      <c r="B368" s="2">
        <f ca="1">DATE(2000,07,21)</f>
        <v>0</v>
      </c>
      <c r="C368" s="1" t="s">
        <v>2206</v>
      </c>
      <c r="D368" s="3">
        <v>2835</v>
      </c>
      <c r="E368" s="1" t="s">
        <v>43</v>
      </c>
      <c r="F368" s="1" t="s">
        <v>2207</v>
      </c>
      <c r="G368" s="1" t="s">
        <v>179</v>
      </c>
      <c r="H368" s="4">
        <v>0.97999999999999998</v>
      </c>
      <c r="I368" s="8">
        <v>7</v>
      </c>
      <c r="J368" s="5">
        <v>18.5</v>
      </c>
      <c r="K368" s="8">
        <v>14</v>
      </c>
      <c r="L368" s="1" t="s">
        <v>58</v>
      </c>
      <c r="M368" s="1" t="s">
        <v>47</v>
      </c>
      <c r="N368" s="3">
        <v>922196100</v>
      </c>
      <c r="O368" s="1" t="s">
        <v>48</v>
      </c>
      <c r="P368" s="1" t="s">
        <v>2212</v>
      </c>
      <c r="Q368" s="4">
        <v>1.4290000000000001</v>
      </c>
      <c r="R368" s="4">
        <v>1.4290000000000001</v>
      </c>
      <c r="S368" s="6">
        <v>4.1429299999999998</v>
      </c>
      <c r="T368" s="1" t="s">
        <v>60</v>
      </c>
      <c r="U368" s="1"/>
      <c r="V368" s="1"/>
      <c r="W368" s="1"/>
      <c r="X368" s="5">
        <v>100</v>
      </c>
      <c r="Y368" s="7">
        <v>1322500</v>
      </c>
      <c r="Z368" s="1"/>
      <c r="AA368" s="1"/>
      <c r="AB368" s="1"/>
      <c r="AC368" s="1"/>
      <c r="AD368" s="1"/>
      <c r="AE368" s="1" t="s">
        <v>51</v>
      </c>
      <c r="AF368" s="1" t="s">
        <v>51</v>
      </c>
      <c r="AG368" s="1" t="s">
        <v>47</v>
      </c>
      <c r="AH368" s="1"/>
      <c r="AI368" s="1"/>
      <c r="AJ368" s="3">
        <v>1</v>
      </c>
      <c r="AK368" s="1" t="s">
        <v>52</v>
      </c>
      <c r="AL368" s="3">
        <v>2</v>
      </c>
      <c r="AM368" s="1"/>
      <c r="AN368" s="1"/>
      <c r="AO368" s="1" t="s">
        <v>2213</v>
      </c>
      <c r="AP368" s="1" t="s">
        <v>179</v>
      </c>
      <c r="AQ368" s="1" t="s">
        <v>2214</v>
      </c>
      <c r="AR368" s="1" t="s">
        <v>2215</v>
      </c>
    </row>
    <row r="369">
      <c r="A369" s="2">
        <f ca="1">DATE(2000,05,02)</f>
        <v>0</v>
      </c>
      <c r="B369" s="2">
        <f ca="1">DATE(2000,07,24)</f>
        <v>0</v>
      </c>
      <c r="C369" s="1" t="s">
        <v>2216</v>
      </c>
      <c r="D369" s="3">
        <v>7372</v>
      </c>
      <c r="E369" s="1" t="s">
        <v>43</v>
      </c>
      <c r="F369" s="1" t="s">
        <v>2217</v>
      </c>
      <c r="G369" s="1" t="s">
        <v>160</v>
      </c>
      <c r="H369" s="4">
        <v>1.3999999999999999</v>
      </c>
      <c r="I369" s="8">
        <v>7</v>
      </c>
      <c r="J369" s="5">
        <v>128.30000000000001</v>
      </c>
      <c r="K369" s="4">
        <v>20</v>
      </c>
      <c r="L369" s="1" t="s">
        <v>46</v>
      </c>
      <c r="M369" s="1" t="s">
        <v>47</v>
      </c>
      <c r="N369" s="1" t="s">
        <v>2218</v>
      </c>
      <c r="O369" s="1" t="s">
        <v>48</v>
      </c>
      <c r="P369" s="1" t="s">
        <v>2219</v>
      </c>
      <c r="Q369" s="4">
        <v>1.3999999999999999</v>
      </c>
      <c r="R369" s="4">
        <v>1.3999999999999999</v>
      </c>
      <c r="S369" s="8">
        <v>4.2000000000000002</v>
      </c>
      <c r="T369" s="1" t="s">
        <v>50</v>
      </c>
      <c r="U369" s="1"/>
      <c r="V369" s="1"/>
      <c r="W369" s="1"/>
      <c r="X369" s="5">
        <v>75</v>
      </c>
      <c r="Y369" s="7">
        <v>6415000</v>
      </c>
      <c r="Z369" s="1"/>
      <c r="AA369" s="1"/>
      <c r="AB369" s="1"/>
      <c r="AC369" s="1"/>
      <c r="AD369" s="1"/>
      <c r="AE369" s="1" t="s">
        <v>51</v>
      </c>
      <c r="AF369" s="1" t="s">
        <v>51</v>
      </c>
      <c r="AG369" s="1" t="s">
        <v>47</v>
      </c>
      <c r="AH369" s="1"/>
      <c r="AI369" s="1"/>
      <c r="AJ369" s="3">
        <v>1</v>
      </c>
      <c r="AK369" s="1" t="s">
        <v>52</v>
      </c>
      <c r="AL369" s="3">
        <v>4</v>
      </c>
      <c r="AM369" s="8">
        <v>54.780000000000001</v>
      </c>
      <c r="AN369" s="1"/>
      <c r="AO369" s="1" t="s">
        <v>2220</v>
      </c>
      <c r="AP369" s="1" t="s">
        <v>160</v>
      </c>
      <c r="AQ369" s="1" t="s">
        <v>701</v>
      </c>
      <c r="AR369" s="1" t="s">
        <v>702</v>
      </c>
    </row>
    <row r="370">
      <c r="A370" s="2">
        <f ca="1">DATE(2000,07,01)</f>
        <v>0</v>
      </c>
      <c r="B370" s="2">
        <f ca="1">DATE(2000,07,24)</f>
        <v>0</v>
      </c>
      <c r="C370" s="1" t="s">
        <v>2216</v>
      </c>
      <c r="D370" s="3">
        <v>7372</v>
      </c>
      <c r="E370" s="1" t="s">
        <v>43</v>
      </c>
      <c r="F370" s="1" t="s">
        <v>2217</v>
      </c>
      <c r="G370" s="1" t="s">
        <v>160</v>
      </c>
      <c r="H370" s="4">
        <v>1.3999999999999999</v>
      </c>
      <c r="I370" s="8">
        <v>7</v>
      </c>
      <c r="J370" s="5">
        <v>18.899999999999999</v>
      </c>
      <c r="K370" s="8">
        <v>20</v>
      </c>
      <c r="L370" s="1" t="s">
        <v>58</v>
      </c>
      <c r="M370" s="1" t="s">
        <v>47</v>
      </c>
      <c r="N370" s="1" t="s">
        <v>2218</v>
      </c>
      <c r="O370" s="1" t="s">
        <v>48</v>
      </c>
      <c r="P370" s="1" t="s">
        <v>2221</v>
      </c>
      <c r="Q370" s="4">
        <v>1.3999999999999999</v>
      </c>
      <c r="R370" s="4">
        <v>1.3999999999999999</v>
      </c>
      <c r="S370" s="8">
        <v>4.2000000000000002</v>
      </c>
      <c r="T370" s="1" t="s">
        <v>60</v>
      </c>
      <c r="U370" s="1"/>
      <c r="V370" s="1"/>
      <c r="W370" s="1"/>
      <c r="X370" s="1"/>
      <c r="Y370" s="7">
        <v>943478</v>
      </c>
      <c r="Z370" s="1"/>
      <c r="AA370" s="1"/>
      <c r="AB370" s="1"/>
      <c r="AC370" s="1"/>
      <c r="AD370" s="1"/>
      <c r="AE370" s="1" t="s">
        <v>51</v>
      </c>
      <c r="AF370" s="1" t="s">
        <v>51</v>
      </c>
      <c r="AG370" s="1" t="s">
        <v>47</v>
      </c>
      <c r="AH370" s="1"/>
      <c r="AI370" s="1"/>
      <c r="AJ370" s="3">
        <v>1</v>
      </c>
      <c r="AK370" s="1" t="s">
        <v>52</v>
      </c>
      <c r="AL370" s="3">
        <v>1</v>
      </c>
      <c r="AM370" s="1"/>
      <c r="AN370" s="1"/>
      <c r="AO370" s="1" t="s">
        <v>2222</v>
      </c>
      <c r="AP370" s="1" t="s">
        <v>160</v>
      </c>
      <c r="AQ370" s="1" t="s">
        <v>160</v>
      </c>
      <c r="AR370" s="1" t="s">
        <v>187</v>
      </c>
    </row>
    <row r="371">
      <c r="A371" s="2">
        <f ca="1">DATE(2000,02,18)</f>
        <v>0</v>
      </c>
      <c r="B371" s="2">
        <f ca="1">DATE(2000,07,24)</f>
        <v>0</v>
      </c>
      <c r="C371" s="1" t="s">
        <v>2223</v>
      </c>
      <c r="D371" s="3">
        <v>4899</v>
      </c>
      <c r="E371" s="1" t="s">
        <v>43</v>
      </c>
      <c r="F371" s="1" t="s">
        <v>2224</v>
      </c>
      <c r="G371" s="1" t="s">
        <v>204</v>
      </c>
      <c r="H371" s="4">
        <v>0.56000000000000005</v>
      </c>
      <c r="I371" s="4">
        <v>7</v>
      </c>
      <c r="J371" s="5">
        <v>56</v>
      </c>
      <c r="K371" s="4">
        <v>8</v>
      </c>
      <c r="L371" s="1" t="s">
        <v>46</v>
      </c>
      <c r="M371" s="1" t="s">
        <v>47</v>
      </c>
      <c r="N371" s="1" t="s">
        <v>2225</v>
      </c>
      <c r="O371" s="1" t="s">
        <v>48</v>
      </c>
      <c r="P371" s="1" t="s">
        <v>2226</v>
      </c>
      <c r="Q371" s="4">
        <v>1.375</v>
      </c>
      <c r="R371" s="4">
        <v>1.5</v>
      </c>
      <c r="S371" s="4">
        <v>4.125</v>
      </c>
      <c r="T371" s="1" t="s">
        <v>50</v>
      </c>
      <c r="U371" s="1"/>
      <c r="V371" s="1"/>
      <c r="W371" s="1"/>
      <c r="X371" s="5">
        <v>115</v>
      </c>
      <c r="Y371" s="7">
        <v>7000000</v>
      </c>
      <c r="Z371" s="1"/>
      <c r="AA371" s="2">
        <f ca="1">DATE(2001,01,20)</f>
        <v>0</v>
      </c>
      <c r="AB371" s="4">
        <v>84.394999999999996</v>
      </c>
      <c r="AC371" s="3">
        <v>180</v>
      </c>
      <c r="AD371" s="8">
        <v>39441690</v>
      </c>
      <c r="AE371" s="1" t="s">
        <v>51</v>
      </c>
      <c r="AF371" s="1" t="s">
        <v>51</v>
      </c>
      <c r="AG371" s="1" t="s">
        <v>47</v>
      </c>
      <c r="AH371" s="1"/>
      <c r="AI371" s="1"/>
      <c r="AJ371" s="3">
        <v>1</v>
      </c>
      <c r="AK371" s="1" t="s">
        <v>52</v>
      </c>
      <c r="AL371" s="3">
        <v>4</v>
      </c>
      <c r="AM371" s="1"/>
      <c r="AN371" s="1"/>
      <c r="AO371" s="1" t="s">
        <v>2227</v>
      </c>
      <c r="AP371" s="1" t="s">
        <v>204</v>
      </c>
      <c r="AQ371" s="1" t="s">
        <v>2228</v>
      </c>
      <c r="AR371" s="1" t="s">
        <v>2229</v>
      </c>
    </row>
    <row r="372">
      <c r="A372" s="2">
        <f ca="1">DATE(2000,06,23)</f>
        <v>0</v>
      </c>
      <c r="B372" s="2">
        <f ca="1">DATE(2000,07,25)</f>
        <v>0</v>
      </c>
      <c r="C372" s="1" t="s">
        <v>2230</v>
      </c>
      <c r="D372" s="3">
        <v>8731</v>
      </c>
      <c r="E372" s="1" t="s">
        <v>1956</v>
      </c>
      <c r="F372" s="1" t="s">
        <v>2231</v>
      </c>
      <c r="G372" s="1" t="s">
        <v>75</v>
      </c>
      <c r="H372" s="4">
        <v>0.97999999999999998</v>
      </c>
      <c r="I372" s="8">
        <v>7</v>
      </c>
      <c r="J372" s="5">
        <v>84</v>
      </c>
      <c r="K372" s="4">
        <v>14</v>
      </c>
      <c r="L372" s="1" t="s">
        <v>651</v>
      </c>
      <c r="M372" s="1" t="s">
        <v>47</v>
      </c>
      <c r="N372" s="1" t="s">
        <v>2232</v>
      </c>
      <c r="O372" s="1" t="s">
        <v>48</v>
      </c>
      <c r="P372" s="1" t="s">
        <v>2233</v>
      </c>
      <c r="Q372" s="4">
        <v>1.4290000000000001</v>
      </c>
      <c r="R372" s="4">
        <v>1.4290000000000001</v>
      </c>
      <c r="S372" s="6">
        <v>4.1428599999999998</v>
      </c>
      <c r="T372" s="1" t="s">
        <v>50</v>
      </c>
      <c r="U372" s="8">
        <v>14</v>
      </c>
      <c r="V372" s="8">
        <v>12</v>
      </c>
      <c r="W372" s="7">
        <v>6000000</v>
      </c>
      <c r="X372" s="5">
        <v>78</v>
      </c>
      <c r="Y372" s="7">
        <v>6000000</v>
      </c>
      <c r="Z372" s="1"/>
      <c r="AA372" s="2">
        <f ca="1">DATE(2001,01,21)</f>
        <v>0</v>
      </c>
      <c r="AB372" s="4">
        <v>74.292000000000002</v>
      </c>
      <c r="AC372" s="3">
        <v>180</v>
      </c>
      <c r="AD372" s="8">
        <v>24031567</v>
      </c>
      <c r="AE372" s="1" t="s">
        <v>47</v>
      </c>
      <c r="AF372" s="1" t="s">
        <v>51</v>
      </c>
      <c r="AG372" s="1" t="s">
        <v>51</v>
      </c>
      <c r="AH372" s="1"/>
      <c r="AI372" s="1"/>
      <c r="AJ372" s="3">
        <v>1</v>
      </c>
      <c r="AK372" s="1" t="s">
        <v>52</v>
      </c>
      <c r="AL372" s="3">
        <v>2</v>
      </c>
      <c r="AM372" s="8">
        <v>20</v>
      </c>
      <c r="AN372" s="1"/>
      <c r="AO372" s="1" t="s">
        <v>2234</v>
      </c>
      <c r="AP372" s="1" t="s">
        <v>75</v>
      </c>
      <c r="AQ372" s="1" t="s">
        <v>2235</v>
      </c>
      <c r="AR372" s="1" t="s">
        <v>2236</v>
      </c>
    </row>
    <row r="373">
      <c r="A373" s="2">
        <f ca="1">DATE(2000,03,15)</f>
        <v>0</v>
      </c>
      <c r="B373" s="2">
        <f ca="1">DATE(2000,07,25)</f>
        <v>0</v>
      </c>
      <c r="C373" s="1" t="s">
        <v>2237</v>
      </c>
      <c r="D373" s="3">
        <v>7389</v>
      </c>
      <c r="E373" s="1" t="s">
        <v>43</v>
      </c>
      <c r="F373" s="1" t="s">
        <v>2238</v>
      </c>
      <c r="G373" s="1" t="s">
        <v>411</v>
      </c>
      <c r="H373" s="4">
        <v>0.83999999999999997</v>
      </c>
      <c r="I373" s="8">
        <v>7</v>
      </c>
      <c r="J373" s="5">
        <v>60</v>
      </c>
      <c r="K373" s="4">
        <v>12</v>
      </c>
      <c r="L373" s="1" t="s">
        <v>46</v>
      </c>
      <c r="M373" s="1" t="s">
        <v>47</v>
      </c>
      <c r="N373" s="3">
        <v>458726106</v>
      </c>
      <c r="O373" s="1" t="s">
        <v>48</v>
      </c>
      <c r="P373" s="1" t="s">
        <v>2239</v>
      </c>
      <c r="Q373" s="4">
        <v>1.417</v>
      </c>
      <c r="R373" s="4">
        <v>1.417</v>
      </c>
      <c r="S373" s="6">
        <v>4.1666699999999999</v>
      </c>
      <c r="T373" s="1" t="s">
        <v>50</v>
      </c>
      <c r="U373" s="1"/>
      <c r="V373" s="1"/>
      <c r="W373" s="1"/>
      <c r="X373" s="5">
        <v>115</v>
      </c>
      <c r="Y373" s="7">
        <v>5000000</v>
      </c>
      <c r="Z373" s="1"/>
      <c r="AA373" s="2">
        <f ca="1">DATE(2001,01,21)</f>
        <v>0</v>
      </c>
      <c r="AB373" s="4">
        <v>87.893000000000001</v>
      </c>
      <c r="AC373" s="3">
        <v>180</v>
      </c>
      <c r="AD373" s="8">
        <v>41000000</v>
      </c>
      <c r="AE373" s="1" t="s">
        <v>51</v>
      </c>
      <c r="AF373" s="1" t="s">
        <v>51</v>
      </c>
      <c r="AG373" s="1" t="s">
        <v>47</v>
      </c>
      <c r="AH373" s="1"/>
      <c r="AI373" s="1"/>
      <c r="AJ373" s="3">
        <v>1</v>
      </c>
      <c r="AK373" s="1" t="s">
        <v>89</v>
      </c>
      <c r="AL373" s="3">
        <v>3</v>
      </c>
      <c r="AM373" s="8">
        <v>8.9399999999999995</v>
      </c>
      <c r="AN373" s="1"/>
      <c r="AO373" s="1" t="s">
        <v>2240</v>
      </c>
      <c r="AP373" s="1" t="s">
        <v>2241</v>
      </c>
      <c r="AQ373" s="1" t="s">
        <v>2242</v>
      </c>
      <c r="AR373" s="1" t="s">
        <v>2243</v>
      </c>
    </row>
    <row r="374">
      <c r="A374" s="2">
        <f ca="1">DATE(2000,05,12)</f>
        <v>0</v>
      </c>
      <c r="B374" s="2">
        <f ca="1">DATE(2000,07,26)</f>
        <v>0</v>
      </c>
      <c r="C374" s="1" t="s">
        <v>2244</v>
      </c>
      <c r="D374" s="3">
        <v>2836</v>
      </c>
      <c r="E374" s="1" t="s">
        <v>43</v>
      </c>
      <c r="F374" s="1" t="s">
        <v>2245</v>
      </c>
      <c r="G374" s="1" t="s">
        <v>1056</v>
      </c>
      <c r="H374" s="4">
        <v>1.3300000000000001</v>
      </c>
      <c r="I374" s="4">
        <v>7</v>
      </c>
      <c r="J374" s="5">
        <v>88.400000000000006</v>
      </c>
      <c r="K374" s="4">
        <v>19</v>
      </c>
      <c r="L374" s="1" t="s">
        <v>46</v>
      </c>
      <c r="M374" s="1" t="s">
        <v>47</v>
      </c>
      <c r="N374" s="1" t="s">
        <v>2246</v>
      </c>
      <c r="O374" s="1" t="s">
        <v>48</v>
      </c>
      <c r="P374" s="1" t="s">
        <v>2247</v>
      </c>
      <c r="Q374" s="4">
        <v>1.421</v>
      </c>
      <c r="R374" s="4">
        <v>1.3680000000000001</v>
      </c>
      <c r="S374" s="6">
        <v>4.2105300000000003</v>
      </c>
      <c r="T374" s="1" t="s">
        <v>50</v>
      </c>
      <c r="U374" s="1"/>
      <c r="V374" s="1"/>
      <c r="W374" s="1"/>
      <c r="X374" s="5">
        <v>85</v>
      </c>
      <c r="Y374" s="7">
        <v>4650000</v>
      </c>
      <c r="Z374" s="1"/>
      <c r="AA374" s="2">
        <f ca="1">DATE(2001,01,22)</f>
        <v>0</v>
      </c>
      <c r="AB374" s="4">
        <v>15.304</v>
      </c>
      <c r="AC374" s="3">
        <v>180</v>
      </c>
      <c r="AD374" s="8">
        <v>3382382</v>
      </c>
      <c r="AE374" s="1" t="s">
        <v>51</v>
      </c>
      <c r="AF374" s="1" t="s">
        <v>51</v>
      </c>
      <c r="AG374" s="1" t="s">
        <v>47</v>
      </c>
      <c r="AH374" s="1"/>
      <c r="AI374" s="1"/>
      <c r="AJ374" s="3">
        <v>1</v>
      </c>
      <c r="AK374" s="1" t="s">
        <v>52</v>
      </c>
      <c r="AL374" s="3">
        <v>3</v>
      </c>
      <c r="AM374" s="8">
        <v>30.879999999999999</v>
      </c>
      <c r="AN374" s="1"/>
      <c r="AO374" s="1" t="s">
        <v>2248</v>
      </c>
      <c r="AP374" s="1" t="s">
        <v>1056</v>
      </c>
      <c r="AQ374" s="1" t="s">
        <v>2249</v>
      </c>
      <c r="AR374" s="1" t="s">
        <v>2250</v>
      </c>
    </row>
    <row r="375">
      <c r="A375" s="2">
        <f ca="1">DATE(2000,02,11)</f>
        <v>0</v>
      </c>
      <c r="B375" s="2">
        <f ca="1">DATE(2000,07,26)</f>
        <v>0</v>
      </c>
      <c r="C375" s="1" t="s">
        <v>2251</v>
      </c>
      <c r="D375" s="3">
        <v>7389</v>
      </c>
      <c r="E375" s="1" t="s">
        <v>43</v>
      </c>
      <c r="F375" s="1" t="s">
        <v>2252</v>
      </c>
      <c r="G375" s="1" t="s">
        <v>106</v>
      </c>
      <c r="H375" s="4">
        <v>0.83999999999999997</v>
      </c>
      <c r="I375" s="8">
        <v>7</v>
      </c>
      <c r="J375" s="5">
        <v>40.600000000000001</v>
      </c>
      <c r="K375" s="4">
        <v>12</v>
      </c>
      <c r="L375" s="1" t="s">
        <v>46</v>
      </c>
      <c r="M375" s="1" t="s">
        <v>47</v>
      </c>
      <c r="N375" s="1" t="s">
        <v>2253</v>
      </c>
      <c r="O375" s="1" t="s">
        <v>48</v>
      </c>
      <c r="P375" s="1" t="s">
        <v>2254</v>
      </c>
      <c r="Q375" s="4">
        <v>1.417</v>
      </c>
      <c r="R375" s="4">
        <v>1.417</v>
      </c>
      <c r="S375" s="6">
        <v>4.1666699999999999</v>
      </c>
      <c r="T375" s="1" t="s">
        <v>50</v>
      </c>
      <c r="U375" s="1"/>
      <c r="V375" s="1"/>
      <c r="W375" s="1"/>
      <c r="X375" s="5">
        <v>58</v>
      </c>
      <c r="Y375" s="7">
        <v>3385000</v>
      </c>
      <c r="Z375" s="1"/>
      <c r="AA375" s="1"/>
      <c r="AB375" s="1"/>
      <c r="AC375" s="1"/>
      <c r="AD375" s="1"/>
      <c r="AE375" s="1" t="s">
        <v>51</v>
      </c>
      <c r="AF375" s="1" t="s">
        <v>51</v>
      </c>
      <c r="AG375" s="1" t="s">
        <v>47</v>
      </c>
      <c r="AH375" s="1"/>
      <c r="AI375" s="1"/>
      <c r="AJ375" s="3">
        <v>1</v>
      </c>
      <c r="AK375" s="1" t="s">
        <v>52</v>
      </c>
      <c r="AL375" s="3">
        <v>4</v>
      </c>
      <c r="AM375" s="8">
        <v>13</v>
      </c>
      <c r="AN375" s="1"/>
      <c r="AO375" s="1" t="s">
        <v>2255</v>
      </c>
      <c r="AP375" s="1" t="s">
        <v>106</v>
      </c>
      <c r="AQ375" s="1" t="s">
        <v>2256</v>
      </c>
      <c r="AR375" s="1" t="s">
        <v>2257</v>
      </c>
    </row>
    <row r="376">
      <c r="A376" s="2">
        <f ca="1">DATE(2000,02,11)</f>
        <v>0</v>
      </c>
      <c r="B376" s="2">
        <f ca="1">DATE(2000,07,26)</f>
        <v>0</v>
      </c>
      <c r="C376" s="1" t="s">
        <v>2251</v>
      </c>
      <c r="D376" s="3">
        <v>7389</v>
      </c>
      <c r="E376" s="1" t="s">
        <v>43</v>
      </c>
      <c r="F376" s="1" t="s">
        <v>2252</v>
      </c>
      <c r="G376" s="1" t="s">
        <v>106</v>
      </c>
      <c r="H376" s="4">
        <v>0.83999999999999997</v>
      </c>
      <c r="I376" s="8">
        <v>7</v>
      </c>
      <c r="J376" s="5">
        <v>7.4000000000000004</v>
      </c>
      <c r="K376" s="8">
        <v>12</v>
      </c>
      <c r="L376" s="1" t="s">
        <v>58</v>
      </c>
      <c r="M376" s="1" t="s">
        <v>47</v>
      </c>
      <c r="N376" s="1" t="s">
        <v>2253</v>
      </c>
      <c r="O376" s="1" t="s">
        <v>48</v>
      </c>
      <c r="P376" s="1" t="s">
        <v>2258</v>
      </c>
      <c r="Q376" s="1" t="s">
        <v>145</v>
      </c>
      <c r="R376" s="1" t="s">
        <v>145</v>
      </c>
      <c r="S376" s="1"/>
      <c r="T376" s="1" t="s">
        <v>60</v>
      </c>
      <c r="U376" s="1"/>
      <c r="V376" s="1"/>
      <c r="W376" s="1"/>
      <c r="X376" s="1"/>
      <c r="Y376" s="7">
        <v>615000</v>
      </c>
      <c r="Z376" s="1"/>
      <c r="AA376" s="1"/>
      <c r="AB376" s="1"/>
      <c r="AC376" s="1"/>
      <c r="AD376" s="1"/>
      <c r="AE376" s="1" t="s">
        <v>51</v>
      </c>
      <c r="AF376" s="1" t="s">
        <v>51</v>
      </c>
      <c r="AG376" s="1" t="s">
        <v>47</v>
      </c>
      <c r="AH376" s="1"/>
      <c r="AI376" s="1"/>
      <c r="AJ376" s="3">
        <v>1</v>
      </c>
      <c r="AK376" s="1" t="s">
        <v>52</v>
      </c>
      <c r="AL376" s="3">
        <v>1</v>
      </c>
      <c r="AM376" s="1"/>
      <c r="AN376" s="1"/>
      <c r="AO376" s="1" t="s">
        <v>2259</v>
      </c>
      <c r="AP376" s="1" t="s">
        <v>106</v>
      </c>
      <c r="AQ376" s="1" t="s">
        <v>106</v>
      </c>
      <c r="AR376" s="1" t="s">
        <v>214</v>
      </c>
    </row>
    <row r="377">
      <c r="A377" s="2">
        <f ca="1">DATE(2000,05,03)</f>
        <v>0</v>
      </c>
      <c r="B377" s="2">
        <f ca="1">DATE(2000,07,26)</f>
        <v>0</v>
      </c>
      <c r="C377" s="1" t="s">
        <v>2260</v>
      </c>
      <c r="D377" s="3">
        <v>3845</v>
      </c>
      <c r="E377" s="1" t="s">
        <v>43</v>
      </c>
      <c r="F377" s="1" t="s">
        <v>2261</v>
      </c>
      <c r="G377" s="1" t="s">
        <v>204</v>
      </c>
      <c r="H377" s="4">
        <v>0.83999999999999997</v>
      </c>
      <c r="I377" s="8">
        <v>7</v>
      </c>
      <c r="J377" s="5">
        <v>43.200000000000003</v>
      </c>
      <c r="K377" s="4">
        <v>12</v>
      </c>
      <c r="L377" s="1" t="s">
        <v>46</v>
      </c>
      <c r="M377" s="1" t="s">
        <v>47</v>
      </c>
      <c r="N377" s="1" t="s">
        <v>2262</v>
      </c>
      <c r="O377" s="1" t="s">
        <v>48</v>
      </c>
      <c r="P377" s="1" t="s">
        <v>2263</v>
      </c>
      <c r="Q377" s="4">
        <v>1.417</v>
      </c>
      <c r="R377" s="4">
        <v>1.417</v>
      </c>
      <c r="S377" s="6">
        <v>4.1666699999999999</v>
      </c>
      <c r="T377" s="1" t="s">
        <v>50</v>
      </c>
      <c r="U377" s="1"/>
      <c r="V377" s="1"/>
      <c r="W377" s="1"/>
      <c r="X377" s="5">
        <v>50.799999999999997</v>
      </c>
      <c r="Y377" s="7">
        <v>3600000</v>
      </c>
      <c r="Z377" s="1"/>
      <c r="AA377" s="2">
        <f ca="1">DATE(2001,01,22)</f>
        <v>0</v>
      </c>
      <c r="AB377" s="4">
        <v>73.796999999999997</v>
      </c>
      <c r="AC377" s="3">
        <v>180</v>
      </c>
      <c r="AD377" s="8">
        <v>10138948</v>
      </c>
      <c r="AE377" s="1" t="s">
        <v>51</v>
      </c>
      <c r="AF377" s="1" t="s">
        <v>51</v>
      </c>
      <c r="AG377" s="1" t="s">
        <v>47</v>
      </c>
      <c r="AH377" s="1"/>
      <c r="AI377" s="1"/>
      <c r="AJ377" s="3">
        <v>1</v>
      </c>
      <c r="AK377" s="1" t="s">
        <v>89</v>
      </c>
      <c r="AL377" s="3">
        <v>2</v>
      </c>
      <c r="AM377" s="8">
        <v>14.380000000000001</v>
      </c>
      <c r="AN377" s="1"/>
      <c r="AO377" s="1" t="s">
        <v>2264</v>
      </c>
      <c r="AP377" s="1" t="s">
        <v>2265</v>
      </c>
      <c r="AQ377" s="1" t="s">
        <v>2266</v>
      </c>
      <c r="AR377" s="1" t="s">
        <v>2267</v>
      </c>
    </row>
    <row r="378">
      <c r="A378" s="2">
        <f ca="1">DATE(2000,03,10)</f>
        <v>0</v>
      </c>
      <c r="B378" s="2">
        <f ca="1">DATE(2000,07,26)</f>
        <v>0</v>
      </c>
      <c r="C378" s="1" t="s">
        <v>2268</v>
      </c>
      <c r="D378" s="3">
        <v>4899</v>
      </c>
      <c r="E378" s="1" t="s">
        <v>517</v>
      </c>
      <c r="F378" s="1" t="s">
        <v>2269</v>
      </c>
      <c r="G378" s="1" t="s">
        <v>130</v>
      </c>
      <c r="H378" s="4">
        <v>1.6000000000000001</v>
      </c>
      <c r="I378" s="4">
        <v>5</v>
      </c>
      <c r="J378" s="9">
        <v>1684.2000000000001</v>
      </c>
      <c r="K378" s="4">
        <v>32</v>
      </c>
      <c r="L378" s="1" t="s">
        <v>46</v>
      </c>
      <c r="M378" s="1" t="s">
        <v>47</v>
      </c>
      <c r="N378" s="1" t="s">
        <v>2270</v>
      </c>
      <c r="O378" s="1" t="s">
        <v>108</v>
      </c>
      <c r="P378" s="1" t="s">
        <v>2271</v>
      </c>
      <c r="Q378" s="4">
        <v>1</v>
      </c>
      <c r="R378" s="4">
        <v>1</v>
      </c>
      <c r="S378" s="8">
        <v>3</v>
      </c>
      <c r="T378" s="1" t="s">
        <v>50</v>
      </c>
      <c r="U378" s="1"/>
      <c r="V378" s="1"/>
      <c r="W378" s="1"/>
      <c r="X378" s="9">
        <v>1000</v>
      </c>
      <c r="Y378" s="7">
        <v>52632435</v>
      </c>
      <c r="Z378" s="1"/>
      <c r="AA378" s="1"/>
      <c r="AB378" s="1"/>
      <c r="AC378" s="1"/>
      <c r="AD378" s="1"/>
      <c r="AE378" s="1" t="s">
        <v>51</v>
      </c>
      <c r="AF378" s="1" t="s">
        <v>51</v>
      </c>
      <c r="AG378" s="1" t="s">
        <v>51</v>
      </c>
      <c r="AH378" s="1"/>
      <c r="AI378" s="1"/>
      <c r="AJ378" s="3">
        <v>2</v>
      </c>
      <c r="AK378" s="1" t="s">
        <v>110</v>
      </c>
      <c r="AL378" s="3">
        <v>13</v>
      </c>
      <c r="AM378" s="8">
        <v>36</v>
      </c>
      <c r="AN378" s="1"/>
      <c r="AO378" s="1" t="s">
        <v>2272</v>
      </c>
      <c r="AP378" s="1" t="s">
        <v>2273</v>
      </c>
      <c r="AQ378" s="1" t="s">
        <v>2274</v>
      </c>
      <c r="AR378" s="1" t="s">
        <v>2275</v>
      </c>
    </row>
    <row r="379">
      <c r="A379" s="2">
        <f ca="1">DATE(2000,03,10)</f>
        <v>0</v>
      </c>
      <c r="B379" s="2">
        <f ca="1">DATE(2000,07,26)</f>
        <v>0</v>
      </c>
      <c r="C379" s="1" t="s">
        <v>2268</v>
      </c>
      <c r="D379" s="3">
        <v>4899</v>
      </c>
      <c r="E379" s="1" t="s">
        <v>517</v>
      </c>
      <c r="F379" s="1" t="s">
        <v>2269</v>
      </c>
      <c r="G379" s="1" t="s">
        <v>130</v>
      </c>
      <c r="H379" s="4">
        <v>1.6000000000000001</v>
      </c>
      <c r="I379" s="4">
        <v>5</v>
      </c>
      <c r="J379" s="5">
        <v>271.89999999999998</v>
      </c>
      <c r="K379" s="8">
        <v>32</v>
      </c>
      <c r="L379" s="1" t="s">
        <v>58</v>
      </c>
      <c r="M379" s="1" t="s">
        <v>47</v>
      </c>
      <c r="N379" s="1" t="s">
        <v>2270</v>
      </c>
      <c r="O379" s="1" t="s">
        <v>108</v>
      </c>
      <c r="P379" s="1" t="s">
        <v>2276</v>
      </c>
      <c r="Q379" s="4">
        <v>1</v>
      </c>
      <c r="R379" s="4">
        <v>1</v>
      </c>
      <c r="S379" s="8">
        <v>3</v>
      </c>
      <c r="T379" s="1" t="s">
        <v>60</v>
      </c>
      <c r="U379" s="1"/>
      <c r="V379" s="1"/>
      <c r="W379" s="1"/>
      <c r="X379" s="1"/>
      <c r="Y379" s="7">
        <v>8498000</v>
      </c>
      <c r="Z379" s="1"/>
      <c r="AA379" s="1"/>
      <c r="AB379" s="1"/>
      <c r="AC379" s="1"/>
      <c r="AD379" s="1"/>
      <c r="AE379" s="1" t="s">
        <v>51</v>
      </c>
      <c r="AF379" s="1" t="s">
        <v>51</v>
      </c>
      <c r="AG379" s="1" t="s">
        <v>51</v>
      </c>
      <c r="AH379" s="1"/>
      <c r="AI379" s="1"/>
      <c r="AJ379" s="3">
        <v>2</v>
      </c>
      <c r="AK379" s="1" t="s">
        <v>110</v>
      </c>
      <c r="AL379" s="3">
        <v>3</v>
      </c>
      <c r="AM379" s="1"/>
      <c r="AN379" s="1"/>
      <c r="AO379" s="1" t="s">
        <v>2277</v>
      </c>
      <c r="AP379" s="1" t="s">
        <v>2273</v>
      </c>
      <c r="AQ379" s="1" t="s">
        <v>2278</v>
      </c>
      <c r="AR379" s="1" t="s">
        <v>2279</v>
      </c>
    </row>
    <row r="380">
      <c r="A380" s="2">
        <f ca="1">DATE(2000,05,18)</f>
        <v>0</v>
      </c>
      <c r="B380" s="2">
        <f ca="1">DATE(2000,07,27)</f>
        <v>0</v>
      </c>
      <c r="C380" s="1" t="s">
        <v>2280</v>
      </c>
      <c r="D380" s="3">
        <v>3577</v>
      </c>
      <c r="E380" s="1" t="s">
        <v>43</v>
      </c>
      <c r="F380" s="1" t="s">
        <v>2281</v>
      </c>
      <c r="G380" s="1" t="s">
        <v>106</v>
      </c>
      <c r="H380" s="4">
        <v>2.1699999999999999</v>
      </c>
      <c r="I380" s="8">
        <v>7</v>
      </c>
      <c r="J380" s="5">
        <v>182.90000000000001</v>
      </c>
      <c r="K380" s="4">
        <v>31</v>
      </c>
      <c r="L380" s="1" t="s">
        <v>46</v>
      </c>
      <c r="M380" s="1" t="s">
        <v>47</v>
      </c>
      <c r="N380" s="1" t="s">
        <v>2282</v>
      </c>
      <c r="O380" s="1" t="s">
        <v>48</v>
      </c>
      <c r="P380" s="1" t="s">
        <v>2283</v>
      </c>
      <c r="Q380" s="4">
        <v>1.387</v>
      </c>
      <c r="R380" s="4">
        <v>1.387</v>
      </c>
      <c r="S380" s="6">
        <v>4.2258100000000001</v>
      </c>
      <c r="T380" s="1" t="s">
        <v>50</v>
      </c>
      <c r="U380" s="1"/>
      <c r="V380" s="1"/>
      <c r="W380" s="1"/>
      <c r="X380" s="5">
        <v>115</v>
      </c>
      <c r="Y380" s="7">
        <v>5900000</v>
      </c>
      <c r="Z380" s="1"/>
      <c r="AA380" s="1"/>
      <c r="AB380" s="1"/>
      <c r="AC380" s="1"/>
      <c r="AD380" s="1"/>
      <c r="AE380" s="1" t="s">
        <v>51</v>
      </c>
      <c r="AF380" s="1" t="s">
        <v>51</v>
      </c>
      <c r="AG380" s="1" t="s">
        <v>47</v>
      </c>
      <c r="AH380" s="1"/>
      <c r="AI380" s="1"/>
      <c r="AJ380" s="3">
        <v>1</v>
      </c>
      <c r="AK380" s="1" t="s">
        <v>52</v>
      </c>
      <c r="AL380" s="3">
        <v>4</v>
      </c>
      <c r="AM380" s="8">
        <v>96.75</v>
      </c>
      <c r="AN380" s="1"/>
      <c r="AO380" s="1" t="s">
        <v>2284</v>
      </c>
      <c r="AP380" s="1" t="s">
        <v>106</v>
      </c>
      <c r="AQ380" s="1" t="s">
        <v>2285</v>
      </c>
      <c r="AR380" s="1" t="s">
        <v>2286</v>
      </c>
    </row>
    <row r="381">
      <c r="A381" s="2">
        <f ca="1">DATE(2000,05,18)</f>
        <v>0</v>
      </c>
      <c r="B381" s="2">
        <f ca="1">DATE(2000,07,27)</f>
        <v>0</v>
      </c>
      <c r="C381" s="1" t="s">
        <v>2280</v>
      </c>
      <c r="D381" s="3">
        <v>3577</v>
      </c>
      <c r="E381" s="1" t="s">
        <v>43</v>
      </c>
      <c r="F381" s="1" t="s">
        <v>2281</v>
      </c>
      <c r="G381" s="1" t="s">
        <v>106</v>
      </c>
      <c r="H381" s="4">
        <v>2.1699999999999999</v>
      </c>
      <c r="I381" s="8">
        <v>7</v>
      </c>
      <c r="J381" s="5">
        <v>34.100000000000001</v>
      </c>
      <c r="K381" s="8">
        <v>31</v>
      </c>
      <c r="L381" s="1" t="s">
        <v>58</v>
      </c>
      <c r="M381" s="1" t="s">
        <v>47</v>
      </c>
      <c r="N381" s="1" t="s">
        <v>2282</v>
      </c>
      <c r="O381" s="1" t="s">
        <v>48</v>
      </c>
      <c r="P381" s="1" t="s">
        <v>2287</v>
      </c>
      <c r="Q381" s="1" t="s">
        <v>145</v>
      </c>
      <c r="R381" s="1" t="s">
        <v>145</v>
      </c>
      <c r="S381" s="1"/>
      <c r="T381" s="1" t="s">
        <v>60</v>
      </c>
      <c r="U381" s="1"/>
      <c r="V381" s="1"/>
      <c r="W381" s="1"/>
      <c r="X381" s="1"/>
      <c r="Y381" s="7">
        <v>1100000</v>
      </c>
      <c r="Z381" s="1"/>
      <c r="AA381" s="1"/>
      <c r="AB381" s="1"/>
      <c r="AC381" s="1"/>
      <c r="AD381" s="1"/>
      <c r="AE381" s="1" t="s">
        <v>51</v>
      </c>
      <c r="AF381" s="1" t="s">
        <v>51</v>
      </c>
      <c r="AG381" s="1" t="s">
        <v>47</v>
      </c>
      <c r="AH381" s="1"/>
      <c r="AI381" s="1"/>
      <c r="AJ381" s="3">
        <v>1</v>
      </c>
      <c r="AK381" s="1" t="s">
        <v>52</v>
      </c>
      <c r="AL381" s="3">
        <v>1</v>
      </c>
      <c r="AM381" s="1"/>
      <c r="AN381" s="1"/>
      <c r="AO381" s="1" t="s">
        <v>2288</v>
      </c>
      <c r="AP381" s="1" t="s">
        <v>106</v>
      </c>
      <c r="AQ381" s="1" t="s">
        <v>106</v>
      </c>
      <c r="AR381" s="1" t="s">
        <v>214</v>
      </c>
    </row>
    <row r="382">
      <c r="A382" s="2">
        <f ca="1">DATE(2000,05,04)</f>
        <v>0</v>
      </c>
      <c r="B382" s="2">
        <f ca="1">DATE(2000,07,27)</f>
        <v>0</v>
      </c>
      <c r="C382" s="1" t="s">
        <v>2289</v>
      </c>
      <c r="D382" s="3">
        <v>3661</v>
      </c>
      <c r="E382" s="1" t="s">
        <v>43</v>
      </c>
      <c r="F382" s="1" t="s">
        <v>2290</v>
      </c>
      <c r="G382" s="1" t="s">
        <v>239</v>
      </c>
      <c r="H382" s="4">
        <v>2.52</v>
      </c>
      <c r="I382" s="4">
        <v>7</v>
      </c>
      <c r="J382" s="9">
        <v>1138.5</v>
      </c>
      <c r="K382" s="4">
        <v>36</v>
      </c>
      <c r="L382" s="1" t="s">
        <v>46</v>
      </c>
      <c r="M382" s="1" t="s">
        <v>47</v>
      </c>
      <c r="N382" s="3">
        <v>221009103</v>
      </c>
      <c r="O382" s="1" t="s">
        <v>48</v>
      </c>
      <c r="P382" s="1" t="s">
        <v>2291</v>
      </c>
      <c r="Q382" s="4">
        <v>1.389</v>
      </c>
      <c r="R382" s="4">
        <v>1.389</v>
      </c>
      <c r="S382" s="6">
        <v>4.2222200000000001</v>
      </c>
      <c r="T382" s="1" t="s">
        <v>50</v>
      </c>
      <c r="U382" s="1"/>
      <c r="V382" s="1"/>
      <c r="W382" s="1"/>
      <c r="X382" s="5">
        <v>400</v>
      </c>
      <c r="Y382" s="7">
        <v>31625000</v>
      </c>
      <c r="Z382" s="1"/>
      <c r="AA382" s="1"/>
      <c r="AB382" s="1"/>
      <c r="AC382" s="1"/>
      <c r="AD382" s="1"/>
      <c r="AE382" s="1" t="s">
        <v>51</v>
      </c>
      <c r="AF382" s="1" t="s">
        <v>51</v>
      </c>
      <c r="AG382" s="1" t="s">
        <v>51</v>
      </c>
      <c r="AH382" s="1"/>
      <c r="AI382" s="1"/>
      <c r="AJ382" s="3">
        <v>1</v>
      </c>
      <c r="AK382" s="1" t="s">
        <v>52</v>
      </c>
      <c r="AL382" s="3">
        <v>6</v>
      </c>
      <c r="AM382" s="8">
        <v>84.719999999999999</v>
      </c>
      <c r="AN382" s="1"/>
      <c r="AO382" s="1" t="s">
        <v>2292</v>
      </c>
      <c r="AP382" s="1" t="s">
        <v>239</v>
      </c>
      <c r="AQ382" s="1" t="s">
        <v>2293</v>
      </c>
      <c r="AR382" s="1" t="s">
        <v>2294</v>
      </c>
    </row>
    <row r="383">
      <c r="A383" s="2">
        <f ca="1">DATE(2000,05,09)</f>
        <v>0</v>
      </c>
      <c r="B383" s="2">
        <f ca="1">DATE(2000,07,27)</f>
        <v>0</v>
      </c>
      <c r="C383" s="1" t="s">
        <v>2295</v>
      </c>
      <c r="D383" s="3">
        <v>2834</v>
      </c>
      <c r="E383" s="1" t="s">
        <v>43</v>
      </c>
      <c r="F383" s="1" t="s">
        <v>2296</v>
      </c>
      <c r="G383" s="1" t="s">
        <v>387</v>
      </c>
      <c r="H383" s="4">
        <v>1.26</v>
      </c>
      <c r="I383" s="4">
        <v>7</v>
      </c>
      <c r="J383" s="5">
        <v>90</v>
      </c>
      <c r="K383" s="4">
        <v>18</v>
      </c>
      <c r="L383" s="1" t="s">
        <v>46</v>
      </c>
      <c r="M383" s="1" t="s">
        <v>47</v>
      </c>
      <c r="N383" s="3">
        <v>254675101</v>
      </c>
      <c r="O383" s="1" t="s">
        <v>48</v>
      </c>
      <c r="P383" s="1" t="s">
        <v>2297</v>
      </c>
      <c r="Q383" s="4">
        <v>1.444</v>
      </c>
      <c r="R383" s="4">
        <v>1.389</v>
      </c>
      <c r="S383" s="6">
        <v>4.1666699999999999</v>
      </c>
      <c r="T383" s="1" t="s">
        <v>50</v>
      </c>
      <c r="U383" s="8">
        <v>17</v>
      </c>
      <c r="V383" s="8">
        <v>15</v>
      </c>
      <c r="W383" s="1"/>
      <c r="X383" s="5">
        <v>115</v>
      </c>
      <c r="Y383" s="7">
        <v>5000000</v>
      </c>
      <c r="Z383" s="1"/>
      <c r="AA383" s="2">
        <f ca="1">DATE(2001,01,23)</f>
        <v>0</v>
      </c>
      <c r="AB383" s="4">
        <v>37.728000000000002</v>
      </c>
      <c r="AC383" s="3">
        <v>180</v>
      </c>
      <c r="AD383" s="8">
        <v>8465000</v>
      </c>
      <c r="AE383" s="1" t="s">
        <v>51</v>
      </c>
      <c r="AF383" s="1" t="s">
        <v>51</v>
      </c>
      <c r="AG383" s="1" t="s">
        <v>47</v>
      </c>
      <c r="AH383" s="1"/>
      <c r="AI383" s="1"/>
      <c r="AJ383" s="3">
        <v>1</v>
      </c>
      <c r="AK383" s="1" t="s">
        <v>89</v>
      </c>
      <c r="AL383" s="3">
        <v>3</v>
      </c>
      <c r="AM383" s="8">
        <v>19.75</v>
      </c>
      <c r="AN383" s="1"/>
      <c r="AO383" s="1" t="s">
        <v>2298</v>
      </c>
      <c r="AP383" s="1" t="s">
        <v>2299</v>
      </c>
      <c r="AQ383" s="1" t="s">
        <v>2300</v>
      </c>
      <c r="AR383" s="1" t="s">
        <v>2301</v>
      </c>
    </row>
    <row r="384">
      <c r="A384" s="2">
        <f ca="1">DATE(2000,05,08)</f>
        <v>0</v>
      </c>
      <c r="B384" s="2">
        <f ca="1">DATE(2000,07,27)</f>
        <v>0</v>
      </c>
      <c r="C384" s="1" t="s">
        <v>2302</v>
      </c>
      <c r="D384" s="3">
        <v>2836</v>
      </c>
      <c r="E384" s="1" t="s">
        <v>43</v>
      </c>
      <c r="F384" s="1" t="s">
        <v>2303</v>
      </c>
      <c r="G384" s="1" t="s">
        <v>45</v>
      </c>
      <c r="H384" s="4">
        <v>1.26</v>
      </c>
      <c r="I384" s="4">
        <v>7</v>
      </c>
      <c r="J384" s="5">
        <v>107.59999999999999</v>
      </c>
      <c r="K384" s="4">
        <v>18</v>
      </c>
      <c r="L384" s="1" t="s">
        <v>46</v>
      </c>
      <c r="M384" s="1" t="s">
        <v>47</v>
      </c>
      <c r="N384" s="3">
        <v>368709101</v>
      </c>
      <c r="O384" s="1" t="s">
        <v>48</v>
      </c>
      <c r="P384" s="1" t="s">
        <v>2304</v>
      </c>
      <c r="Q384" s="4">
        <v>1.444</v>
      </c>
      <c r="R384" s="4">
        <v>1.389</v>
      </c>
      <c r="S384" s="6">
        <v>4.1666699999999999</v>
      </c>
      <c r="T384" s="1" t="s">
        <v>50</v>
      </c>
      <c r="U384" s="1"/>
      <c r="V384" s="1"/>
      <c r="W384" s="1"/>
      <c r="X384" s="5">
        <v>150</v>
      </c>
      <c r="Y384" s="7">
        <v>5975650</v>
      </c>
      <c r="Z384" s="1"/>
      <c r="AA384" s="1"/>
      <c r="AB384" s="1"/>
      <c r="AC384" s="1"/>
      <c r="AD384" s="1"/>
      <c r="AE384" s="1" t="s">
        <v>51</v>
      </c>
      <c r="AF384" s="1" t="s">
        <v>51</v>
      </c>
      <c r="AG384" s="1" t="s">
        <v>51</v>
      </c>
      <c r="AH384" s="1"/>
      <c r="AI384" s="1"/>
      <c r="AJ384" s="3">
        <v>1</v>
      </c>
      <c r="AK384" s="1" t="s">
        <v>52</v>
      </c>
      <c r="AL384" s="3">
        <v>4</v>
      </c>
      <c r="AM384" s="8">
        <v>21.629999999999999</v>
      </c>
      <c r="AN384" s="1"/>
      <c r="AO384" s="1" t="s">
        <v>2305</v>
      </c>
      <c r="AP384" s="1" t="s">
        <v>45</v>
      </c>
      <c r="AQ384" s="1" t="s">
        <v>2306</v>
      </c>
      <c r="AR384" s="1" t="s">
        <v>2307</v>
      </c>
    </row>
    <row r="385">
      <c r="A385" s="2">
        <f ca="1">DATE(2000,05,08)</f>
        <v>0</v>
      </c>
      <c r="B385" s="2">
        <f ca="1">DATE(2000,07,27)</f>
        <v>0</v>
      </c>
      <c r="C385" s="1" t="s">
        <v>2302</v>
      </c>
      <c r="D385" s="3">
        <v>2836</v>
      </c>
      <c r="E385" s="1" t="s">
        <v>43</v>
      </c>
      <c r="F385" s="1" t="s">
        <v>2303</v>
      </c>
      <c r="G385" s="1" t="s">
        <v>45</v>
      </c>
      <c r="H385" s="4">
        <v>1.26</v>
      </c>
      <c r="I385" s="4">
        <v>7</v>
      </c>
      <c r="J385" s="5">
        <v>18.399999999999999</v>
      </c>
      <c r="K385" s="8">
        <v>18</v>
      </c>
      <c r="L385" s="1" t="s">
        <v>58</v>
      </c>
      <c r="M385" s="1" t="s">
        <v>47</v>
      </c>
      <c r="N385" s="3">
        <v>368709101</v>
      </c>
      <c r="O385" s="1" t="s">
        <v>48</v>
      </c>
      <c r="P385" s="1" t="s">
        <v>2308</v>
      </c>
      <c r="Q385" s="4">
        <v>1.444</v>
      </c>
      <c r="R385" s="4">
        <v>1.389</v>
      </c>
      <c r="S385" s="6">
        <v>4.1667199999999998</v>
      </c>
      <c r="T385" s="1" t="s">
        <v>60</v>
      </c>
      <c r="U385" s="1"/>
      <c r="V385" s="1"/>
      <c r="W385" s="1"/>
      <c r="X385" s="1"/>
      <c r="Y385" s="7">
        <v>1024350</v>
      </c>
      <c r="Z385" s="1"/>
      <c r="AA385" s="1"/>
      <c r="AB385" s="1"/>
      <c r="AC385" s="1"/>
      <c r="AD385" s="1"/>
      <c r="AE385" s="1" t="s">
        <v>51</v>
      </c>
      <c r="AF385" s="1" t="s">
        <v>51</v>
      </c>
      <c r="AG385" s="1" t="s">
        <v>51</v>
      </c>
      <c r="AH385" s="1"/>
      <c r="AI385" s="1"/>
      <c r="AJ385" s="3">
        <v>1</v>
      </c>
      <c r="AK385" s="1" t="s">
        <v>52</v>
      </c>
      <c r="AL385" s="3">
        <v>1</v>
      </c>
      <c r="AM385" s="1"/>
      <c r="AN385" s="1"/>
      <c r="AO385" s="1" t="s">
        <v>2309</v>
      </c>
      <c r="AP385" s="1" t="s">
        <v>45</v>
      </c>
      <c r="AQ385" s="1" t="s">
        <v>45</v>
      </c>
      <c r="AR385" s="1" t="s">
        <v>786</v>
      </c>
    </row>
    <row r="386">
      <c r="A386" s="2">
        <f ca="1">DATE(2000,04,03)</f>
        <v>0</v>
      </c>
      <c r="B386" s="2">
        <f ca="1">DATE(2000,07,27)</f>
        <v>0</v>
      </c>
      <c r="C386" s="1" t="s">
        <v>2310</v>
      </c>
      <c r="D386" s="3">
        <v>3826</v>
      </c>
      <c r="E386" s="1" t="s">
        <v>43</v>
      </c>
      <c r="F386" s="1" t="s">
        <v>2311</v>
      </c>
      <c r="G386" s="1" t="s">
        <v>160</v>
      </c>
      <c r="H386" s="4">
        <v>1.1200000000000001</v>
      </c>
      <c r="I386" s="4">
        <v>7</v>
      </c>
      <c r="J386" s="5">
        <v>80.299999999999997</v>
      </c>
      <c r="K386" s="4">
        <v>16</v>
      </c>
      <c r="L386" s="1" t="s">
        <v>46</v>
      </c>
      <c r="M386" s="1" t="s">
        <v>47</v>
      </c>
      <c r="N386" s="3">
        <v>452327109</v>
      </c>
      <c r="O386" s="1" t="s">
        <v>48</v>
      </c>
      <c r="P386" s="1" t="s">
        <v>2312</v>
      </c>
      <c r="Q386" s="4">
        <v>1.4379999999999999</v>
      </c>
      <c r="R386" s="4">
        <v>1.375</v>
      </c>
      <c r="S386" s="10">
        <v>4.1875</v>
      </c>
      <c r="T386" s="1" t="s">
        <v>50</v>
      </c>
      <c r="U386" s="1"/>
      <c r="V386" s="1"/>
      <c r="W386" s="1"/>
      <c r="X386" s="5">
        <v>100</v>
      </c>
      <c r="Y386" s="7">
        <v>5020000</v>
      </c>
      <c r="Z386" s="1"/>
      <c r="AA386" s="1"/>
      <c r="AB386" s="1"/>
      <c r="AC386" s="1"/>
      <c r="AD386" s="1"/>
      <c r="AE386" s="1" t="s">
        <v>51</v>
      </c>
      <c r="AF386" s="1" t="s">
        <v>51</v>
      </c>
      <c r="AG386" s="1" t="s">
        <v>47</v>
      </c>
      <c r="AH386" s="1"/>
      <c r="AI386" s="1"/>
      <c r="AJ386" s="3">
        <v>1</v>
      </c>
      <c r="AK386" s="1" t="s">
        <v>52</v>
      </c>
      <c r="AL386" s="3">
        <v>3</v>
      </c>
      <c r="AM386" s="8">
        <v>39.170000000000002</v>
      </c>
      <c r="AN386" s="1"/>
      <c r="AO386" s="1" t="s">
        <v>2313</v>
      </c>
      <c r="AP386" s="1" t="s">
        <v>160</v>
      </c>
      <c r="AQ386" s="1" t="s">
        <v>2314</v>
      </c>
      <c r="AR386" s="1" t="s">
        <v>2315</v>
      </c>
    </row>
    <row r="387">
      <c r="A387" s="2">
        <f ca="1">DATE(2000,04,03)</f>
        <v>0</v>
      </c>
      <c r="B387" s="2">
        <f ca="1">DATE(2000,07,27)</f>
        <v>0</v>
      </c>
      <c r="C387" s="1" t="s">
        <v>2310</v>
      </c>
      <c r="D387" s="3">
        <v>3826</v>
      </c>
      <c r="E387" s="1" t="s">
        <v>43</v>
      </c>
      <c r="F387" s="1" t="s">
        <v>2311</v>
      </c>
      <c r="G387" s="1" t="s">
        <v>160</v>
      </c>
      <c r="H387" s="4">
        <v>1.1200000000000001</v>
      </c>
      <c r="I387" s="4">
        <v>7</v>
      </c>
      <c r="J387" s="5">
        <v>13.6</v>
      </c>
      <c r="K387" s="8">
        <v>16</v>
      </c>
      <c r="L387" s="1" t="s">
        <v>58</v>
      </c>
      <c r="M387" s="1" t="s">
        <v>47</v>
      </c>
      <c r="N387" s="3">
        <v>452327109</v>
      </c>
      <c r="O387" s="1" t="s">
        <v>48</v>
      </c>
      <c r="P387" s="1" t="s">
        <v>2316</v>
      </c>
      <c r="Q387" s="4">
        <v>1.4379999999999999</v>
      </c>
      <c r="R387" s="4">
        <v>1.375</v>
      </c>
      <c r="S387" s="10">
        <v>4.1875</v>
      </c>
      <c r="T387" s="1" t="s">
        <v>60</v>
      </c>
      <c r="U387" s="1"/>
      <c r="V387" s="1"/>
      <c r="W387" s="1"/>
      <c r="X387" s="1"/>
      <c r="Y387" s="7">
        <v>852174</v>
      </c>
      <c r="Z387" s="1"/>
      <c r="AA387" s="1"/>
      <c r="AB387" s="1"/>
      <c r="AC387" s="1"/>
      <c r="AD387" s="1"/>
      <c r="AE387" s="1" t="s">
        <v>51</v>
      </c>
      <c r="AF387" s="1" t="s">
        <v>51</v>
      </c>
      <c r="AG387" s="1" t="s">
        <v>47</v>
      </c>
      <c r="AH387" s="1"/>
      <c r="AI387" s="1"/>
      <c r="AJ387" s="3">
        <v>1</v>
      </c>
      <c r="AK387" s="1" t="s">
        <v>52</v>
      </c>
      <c r="AL387" s="3">
        <v>1</v>
      </c>
      <c r="AM387" s="1"/>
      <c r="AN387" s="1"/>
      <c r="AO387" s="1" t="s">
        <v>2317</v>
      </c>
      <c r="AP387" s="1" t="s">
        <v>160</v>
      </c>
      <c r="AQ387" s="1" t="s">
        <v>160</v>
      </c>
      <c r="AR387" s="1" t="s">
        <v>187</v>
      </c>
    </row>
    <row r="388">
      <c r="A388" s="2">
        <f ca="1">DATE(2000,02,18)</f>
        <v>0</v>
      </c>
      <c r="B388" s="2">
        <f ca="1">DATE(2000,07,27)</f>
        <v>0</v>
      </c>
      <c r="C388" s="1" t="s">
        <v>2318</v>
      </c>
      <c r="D388" s="3">
        <v>7373</v>
      </c>
      <c r="E388" s="1" t="s">
        <v>43</v>
      </c>
      <c r="F388" s="1" t="s">
        <v>2319</v>
      </c>
      <c r="G388" s="1" t="s">
        <v>168</v>
      </c>
      <c r="H388" s="4">
        <v>1.05</v>
      </c>
      <c r="I388" s="4">
        <v>7</v>
      </c>
      <c r="J388" s="5">
        <v>90</v>
      </c>
      <c r="K388" s="8">
        <v>15</v>
      </c>
      <c r="L388" s="1" t="s">
        <v>46</v>
      </c>
      <c r="M388" s="1" t="s">
        <v>47</v>
      </c>
      <c r="N388" s="1" t="s">
        <v>2320</v>
      </c>
      <c r="O388" s="1" t="s">
        <v>48</v>
      </c>
      <c r="P388" s="1" t="s">
        <v>2321</v>
      </c>
      <c r="Q388" s="4">
        <v>1.3999999999999999</v>
      </c>
      <c r="R388" s="4">
        <v>1.3999999999999999</v>
      </c>
      <c r="S388" s="8">
        <v>4.2000000000000002</v>
      </c>
      <c r="T388" s="1" t="s">
        <v>60</v>
      </c>
      <c r="U388" s="1"/>
      <c r="V388" s="1"/>
      <c r="W388" s="1"/>
      <c r="X388" s="5">
        <v>86.299999999999997</v>
      </c>
      <c r="Y388" s="7">
        <v>6000000</v>
      </c>
      <c r="Z388" s="1"/>
      <c r="AA388" s="1"/>
      <c r="AB388" s="1"/>
      <c r="AC388" s="1"/>
      <c r="AD388" s="1"/>
      <c r="AE388" s="1" t="s">
        <v>51</v>
      </c>
      <c r="AF388" s="1" t="s">
        <v>51</v>
      </c>
      <c r="AG388" s="1" t="s">
        <v>47</v>
      </c>
      <c r="AH388" s="1"/>
      <c r="AI388" s="1"/>
      <c r="AJ388" s="3">
        <v>1</v>
      </c>
      <c r="AK388" s="1" t="s">
        <v>52</v>
      </c>
      <c r="AL388" s="3">
        <v>1</v>
      </c>
      <c r="AM388" s="1"/>
      <c r="AN388" s="1"/>
      <c r="AO388" s="1" t="s">
        <v>2322</v>
      </c>
      <c r="AP388" s="1" t="s">
        <v>168</v>
      </c>
      <c r="AQ388" s="1" t="s">
        <v>168</v>
      </c>
      <c r="AR388" s="1" t="s">
        <v>172</v>
      </c>
    </row>
    <row r="389">
      <c r="A389" s="2">
        <f ca="1">DATE(2000,05,15)</f>
        <v>0</v>
      </c>
      <c r="B389" s="2">
        <f ca="1">DATE(2000,07,27)</f>
        <v>0</v>
      </c>
      <c r="C389" s="1" t="s">
        <v>2323</v>
      </c>
      <c r="D389" s="3">
        <v>7375</v>
      </c>
      <c r="E389" s="1" t="s">
        <v>43</v>
      </c>
      <c r="F389" s="1" t="s">
        <v>2324</v>
      </c>
      <c r="G389" s="1" t="s">
        <v>2325</v>
      </c>
      <c r="H389" s="4">
        <v>0.69999999999999996</v>
      </c>
      <c r="I389" s="8">
        <v>7</v>
      </c>
      <c r="J389" s="5">
        <v>27.300000000000001</v>
      </c>
      <c r="K389" s="4">
        <v>10</v>
      </c>
      <c r="L389" s="1" t="s">
        <v>46</v>
      </c>
      <c r="M389" s="1" t="s">
        <v>47</v>
      </c>
      <c r="N389" s="1" t="s">
        <v>2326</v>
      </c>
      <c r="O389" s="1" t="s">
        <v>48</v>
      </c>
      <c r="P389" s="1" t="s">
        <v>2327</v>
      </c>
      <c r="Q389" s="4">
        <v>1.3999999999999999</v>
      </c>
      <c r="R389" s="4">
        <v>1.6000000000000001</v>
      </c>
      <c r="S389" s="8">
        <v>4</v>
      </c>
      <c r="T389" s="1" t="s">
        <v>50</v>
      </c>
      <c r="U389" s="1"/>
      <c r="V389" s="1"/>
      <c r="W389" s="1"/>
      <c r="X389" s="5">
        <v>60</v>
      </c>
      <c r="Y389" s="7">
        <v>2730400</v>
      </c>
      <c r="Z389" s="1"/>
      <c r="AA389" s="1"/>
      <c r="AB389" s="1"/>
      <c r="AC389" s="1"/>
      <c r="AD389" s="1"/>
      <c r="AE389" s="1" t="s">
        <v>51</v>
      </c>
      <c r="AF389" s="1" t="s">
        <v>51</v>
      </c>
      <c r="AG389" s="1" t="s">
        <v>51</v>
      </c>
      <c r="AH389" s="1"/>
      <c r="AI389" s="1"/>
      <c r="AJ389" s="3">
        <v>2</v>
      </c>
      <c r="AK389" s="1" t="s">
        <v>89</v>
      </c>
      <c r="AL389" s="3">
        <v>4</v>
      </c>
      <c r="AM389" s="8">
        <v>11.880000000000001</v>
      </c>
      <c r="AN389" s="1"/>
      <c r="AO389" s="1" t="s">
        <v>2328</v>
      </c>
      <c r="AP389" s="1" t="s">
        <v>2329</v>
      </c>
      <c r="AQ389" s="1" t="s">
        <v>2330</v>
      </c>
      <c r="AR389" s="1" t="s">
        <v>2331</v>
      </c>
    </row>
    <row r="390">
      <c r="A390" s="2">
        <f ca="1">DATE(2000,05,15)</f>
        <v>0</v>
      </c>
      <c r="B390" s="2">
        <f ca="1">DATE(2000,07,27)</f>
        <v>0</v>
      </c>
      <c r="C390" s="1" t="s">
        <v>2323</v>
      </c>
      <c r="D390" s="3">
        <v>7375</v>
      </c>
      <c r="E390" s="1" t="s">
        <v>43</v>
      </c>
      <c r="F390" s="1" t="s">
        <v>2324</v>
      </c>
      <c r="G390" s="1" t="s">
        <v>2325</v>
      </c>
      <c r="H390" s="4">
        <v>0.69999999999999996</v>
      </c>
      <c r="I390" s="8">
        <v>7</v>
      </c>
      <c r="J390" s="5">
        <v>12.699999999999999</v>
      </c>
      <c r="K390" s="8">
        <v>10</v>
      </c>
      <c r="L390" s="1" t="s">
        <v>58</v>
      </c>
      <c r="M390" s="1" t="s">
        <v>47</v>
      </c>
      <c r="N390" s="1" t="s">
        <v>2326</v>
      </c>
      <c r="O390" s="1" t="s">
        <v>48</v>
      </c>
      <c r="P390" s="1" t="s">
        <v>2332</v>
      </c>
      <c r="Q390" s="4">
        <v>1.3999999999999999</v>
      </c>
      <c r="R390" s="4">
        <v>1.6000000000000001</v>
      </c>
      <c r="S390" s="8">
        <v>4</v>
      </c>
      <c r="T390" s="1" t="s">
        <v>60</v>
      </c>
      <c r="U390" s="1"/>
      <c r="V390" s="1"/>
      <c r="W390" s="1"/>
      <c r="X390" s="1"/>
      <c r="Y390" s="7">
        <v>1269600</v>
      </c>
      <c r="Z390" s="1"/>
      <c r="AA390" s="1"/>
      <c r="AB390" s="1"/>
      <c r="AC390" s="1"/>
      <c r="AD390" s="1"/>
      <c r="AE390" s="1" t="s">
        <v>51</v>
      </c>
      <c r="AF390" s="1" t="s">
        <v>51</v>
      </c>
      <c r="AG390" s="1" t="s">
        <v>51</v>
      </c>
      <c r="AH390" s="1"/>
      <c r="AI390" s="1"/>
      <c r="AJ390" s="3">
        <v>2</v>
      </c>
      <c r="AK390" s="1" t="s">
        <v>89</v>
      </c>
      <c r="AL390" s="3">
        <v>2</v>
      </c>
      <c r="AM390" s="1"/>
      <c r="AN390" s="1"/>
      <c r="AO390" s="1" t="s">
        <v>2333</v>
      </c>
      <c r="AP390" s="1" t="s">
        <v>2329</v>
      </c>
      <c r="AQ390" s="1" t="s">
        <v>2334</v>
      </c>
      <c r="AR390" s="1" t="s">
        <v>2335</v>
      </c>
    </row>
    <row r="391">
      <c r="A391" s="2">
        <f ca="1">DATE(2000,03,31)</f>
        <v>0</v>
      </c>
      <c r="B391" s="2">
        <f ca="1">DATE(2000,07,27)</f>
        <v>0</v>
      </c>
      <c r="C391" s="1" t="s">
        <v>2336</v>
      </c>
      <c r="D391" s="3">
        <v>7389</v>
      </c>
      <c r="E391" s="1" t="s">
        <v>43</v>
      </c>
      <c r="F391" s="1" t="s">
        <v>2337</v>
      </c>
      <c r="G391" s="1" t="s">
        <v>160</v>
      </c>
      <c r="H391" s="4">
        <v>0.97999999999999998</v>
      </c>
      <c r="I391" s="8">
        <v>7</v>
      </c>
      <c r="J391" s="5">
        <v>45.5</v>
      </c>
      <c r="K391" s="4">
        <v>14</v>
      </c>
      <c r="L391" s="1" t="s">
        <v>46</v>
      </c>
      <c r="M391" s="1" t="s">
        <v>47</v>
      </c>
      <c r="N391" s="1" t="s">
        <v>2338</v>
      </c>
      <c r="O391" s="1" t="s">
        <v>48</v>
      </c>
      <c r="P391" s="1" t="s">
        <v>2339</v>
      </c>
      <c r="Q391" s="4">
        <v>1.4290000000000001</v>
      </c>
      <c r="R391" s="4">
        <v>1.643</v>
      </c>
      <c r="S391" s="6">
        <v>3.9285700000000001</v>
      </c>
      <c r="T391" s="1" t="s">
        <v>50</v>
      </c>
      <c r="U391" s="1"/>
      <c r="V391" s="1"/>
      <c r="W391" s="1"/>
      <c r="X391" s="5">
        <v>86.299999999999997</v>
      </c>
      <c r="Y391" s="7">
        <v>3250000</v>
      </c>
      <c r="Z391" s="1"/>
      <c r="AA391" s="1"/>
      <c r="AB391" s="1"/>
      <c r="AC391" s="1"/>
      <c r="AD391" s="1"/>
      <c r="AE391" s="1" t="s">
        <v>51</v>
      </c>
      <c r="AF391" s="1" t="s">
        <v>51</v>
      </c>
      <c r="AG391" s="1" t="s">
        <v>47</v>
      </c>
      <c r="AH391" s="1"/>
      <c r="AI391" s="1"/>
      <c r="AJ391" s="3">
        <v>1</v>
      </c>
      <c r="AK391" s="1" t="s">
        <v>89</v>
      </c>
      <c r="AL391" s="3">
        <v>4</v>
      </c>
      <c r="AM391" s="8">
        <v>33.060000000000002</v>
      </c>
      <c r="AN391" s="1"/>
      <c r="AO391" s="1" t="s">
        <v>2340</v>
      </c>
      <c r="AP391" s="1" t="s">
        <v>2341</v>
      </c>
      <c r="AQ391" s="1" t="s">
        <v>2342</v>
      </c>
      <c r="AR391" s="1" t="s">
        <v>2343</v>
      </c>
    </row>
    <row r="392">
      <c r="A392" s="2">
        <f ca="1">DATE(2000,03,31)</f>
        <v>0</v>
      </c>
      <c r="B392" s="2">
        <f ca="1">DATE(2000,07,27)</f>
        <v>0</v>
      </c>
      <c r="C392" s="1" t="s">
        <v>2336</v>
      </c>
      <c r="D392" s="3">
        <v>7389</v>
      </c>
      <c r="E392" s="1" t="s">
        <v>43</v>
      </c>
      <c r="F392" s="1" t="s">
        <v>2337</v>
      </c>
      <c r="G392" s="1" t="s">
        <v>160</v>
      </c>
      <c r="H392" s="4">
        <v>0.97999999999999998</v>
      </c>
      <c r="I392" s="8">
        <v>7</v>
      </c>
      <c r="J392" s="5">
        <v>3.5</v>
      </c>
      <c r="K392" s="8">
        <v>14</v>
      </c>
      <c r="L392" s="1" t="s">
        <v>58</v>
      </c>
      <c r="M392" s="1" t="s">
        <v>47</v>
      </c>
      <c r="N392" s="1" t="s">
        <v>2338</v>
      </c>
      <c r="O392" s="1" t="s">
        <v>48</v>
      </c>
      <c r="P392" s="1" t="s">
        <v>2344</v>
      </c>
      <c r="Q392" s="4">
        <v>1.4290000000000001</v>
      </c>
      <c r="R392" s="4">
        <v>1.643</v>
      </c>
      <c r="S392" s="6">
        <v>3.9285700000000001</v>
      </c>
      <c r="T392" s="1" t="s">
        <v>60</v>
      </c>
      <c r="U392" s="1"/>
      <c r="V392" s="1"/>
      <c r="W392" s="1"/>
      <c r="X392" s="1"/>
      <c r="Y392" s="7">
        <v>250000</v>
      </c>
      <c r="Z392" s="1"/>
      <c r="AA392" s="1"/>
      <c r="AB392" s="1"/>
      <c r="AC392" s="1"/>
      <c r="AD392" s="1"/>
      <c r="AE392" s="1" t="s">
        <v>51</v>
      </c>
      <c r="AF392" s="1" t="s">
        <v>51</v>
      </c>
      <c r="AG392" s="1" t="s">
        <v>47</v>
      </c>
      <c r="AH392" s="1"/>
      <c r="AI392" s="1"/>
      <c r="AJ392" s="3">
        <v>1</v>
      </c>
      <c r="AK392" s="1" t="s">
        <v>89</v>
      </c>
      <c r="AL392" s="3">
        <v>2</v>
      </c>
      <c r="AM392" s="1"/>
      <c r="AN392" s="1"/>
      <c r="AO392" s="1" t="s">
        <v>2345</v>
      </c>
      <c r="AP392" s="1" t="s">
        <v>2341</v>
      </c>
      <c r="AQ392" s="1" t="s">
        <v>2346</v>
      </c>
      <c r="AR392" s="1" t="s">
        <v>2347</v>
      </c>
    </row>
    <row r="393">
      <c r="A393" s="2">
        <f ca="1">DATE(2000,04,28)</f>
        <v>0</v>
      </c>
      <c r="B393" s="2">
        <f ca="1">DATE(2000,07,28)</f>
        <v>0</v>
      </c>
      <c r="C393" s="1" t="s">
        <v>2348</v>
      </c>
      <c r="D393" s="3">
        <v>2834</v>
      </c>
      <c r="E393" s="1" t="s">
        <v>43</v>
      </c>
      <c r="F393" s="1" t="s">
        <v>2349</v>
      </c>
      <c r="G393" s="1" t="s">
        <v>380</v>
      </c>
      <c r="H393" s="4">
        <v>1.26</v>
      </c>
      <c r="I393" s="4">
        <v>7</v>
      </c>
      <c r="J393" s="5">
        <v>108</v>
      </c>
      <c r="K393" s="4">
        <v>18</v>
      </c>
      <c r="L393" s="1" t="s">
        <v>46</v>
      </c>
      <c r="M393" s="1" t="s">
        <v>47</v>
      </c>
      <c r="N393" s="1" t="s">
        <v>2350</v>
      </c>
      <c r="O393" s="1" t="s">
        <v>48</v>
      </c>
      <c r="P393" s="1" t="s">
        <v>2351</v>
      </c>
      <c r="Q393" s="4">
        <v>1.444</v>
      </c>
      <c r="R393" s="4">
        <v>1.389</v>
      </c>
      <c r="S393" s="6">
        <v>4.1666699999999999</v>
      </c>
      <c r="T393" s="1" t="s">
        <v>50</v>
      </c>
      <c r="U393" s="1"/>
      <c r="V393" s="1"/>
      <c r="W393" s="1"/>
      <c r="X393" s="5">
        <v>100</v>
      </c>
      <c r="Y393" s="7">
        <v>6000000</v>
      </c>
      <c r="Z393" s="1"/>
      <c r="AA393" s="2">
        <f ca="1">DATE(2001,07,28)</f>
        <v>0</v>
      </c>
      <c r="AB393" s="4">
        <v>71.424000000000007</v>
      </c>
      <c r="AC393" s="3">
        <v>365</v>
      </c>
      <c r="AD393" s="8">
        <v>14996597</v>
      </c>
      <c r="AE393" s="1" t="s">
        <v>51</v>
      </c>
      <c r="AF393" s="1" t="s">
        <v>51</v>
      </c>
      <c r="AG393" s="1" t="s">
        <v>47</v>
      </c>
      <c r="AH393" s="1"/>
      <c r="AI393" s="1"/>
      <c r="AJ393" s="3">
        <v>1</v>
      </c>
      <c r="AK393" s="1" t="s">
        <v>52</v>
      </c>
      <c r="AL393" s="3">
        <v>3</v>
      </c>
      <c r="AM393" s="8">
        <v>25</v>
      </c>
      <c r="AN393" s="1"/>
      <c r="AO393" s="1" t="s">
        <v>2352</v>
      </c>
      <c r="AP393" s="1" t="s">
        <v>380</v>
      </c>
      <c r="AQ393" s="1" t="s">
        <v>2353</v>
      </c>
      <c r="AR393" s="1" t="s">
        <v>2354</v>
      </c>
    </row>
    <row r="394">
      <c r="A394" s="2">
        <f ca="1">DATE(2000,07,21)</f>
        <v>0</v>
      </c>
      <c r="B394" s="2">
        <f ca="1">DATE(2000,07,28)</f>
        <v>0</v>
      </c>
      <c r="C394" s="1" t="s">
        <v>2355</v>
      </c>
      <c r="D394" s="3">
        <v>7372</v>
      </c>
      <c r="E394" s="1" t="s">
        <v>934</v>
      </c>
      <c r="F394" s="1" t="s">
        <v>2356</v>
      </c>
      <c r="G394" s="1" t="s">
        <v>1056</v>
      </c>
      <c r="H394" s="4">
        <v>0.48999999999999999</v>
      </c>
      <c r="I394" s="8">
        <v>7</v>
      </c>
      <c r="J394" s="5">
        <v>39.200000000000003</v>
      </c>
      <c r="K394" s="4">
        <v>7</v>
      </c>
      <c r="L394" s="1" t="s">
        <v>1057</v>
      </c>
      <c r="M394" s="1" t="s">
        <v>47</v>
      </c>
      <c r="N394" s="1" t="s">
        <v>2357</v>
      </c>
      <c r="O394" s="1" t="s">
        <v>48</v>
      </c>
      <c r="P394" s="1" t="s">
        <v>2358</v>
      </c>
      <c r="Q394" s="4">
        <v>1.4290000000000001</v>
      </c>
      <c r="R394" s="4">
        <v>2</v>
      </c>
      <c r="S394" s="6">
        <v>3.5714299999999999</v>
      </c>
      <c r="T394" s="1" t="s">
        <v>50</v>
      </c>
      <c r="U394" s="8">
        <v>12</v>
      </c>
      <c r="V394" s="8">
        <v>10</v>
      </c>
      <c r="W394" s="7">
        <v>5600000</v>
      </c>
      <c r="X394" s="5">
        <v>61.600000000000001</v>
      </c>
      <c r="Y394" s="7">
        <v>5600000</v>
      </c>
      <c r="Z394" s="1"/>
      <c r="AA394" s="2">
        <f ca="1">DATE(2001,01,24)</f>
        <v>0</v>
      </c>
      <c r="AB394" s="1"/>
      <c r="AC394" s="3">
        <v>180</v>
      </c>
      <c r="AD394" s="1"/>
      <c r="AE394" s="1" t="s">
        <v>51</v>
      </c>
      <c r="AF394" s="1" t="s">
        <v>51</v>
      </c>
      <c r="AG394" s="1" t="s">
        <v>51</v>
      </c>
      <c r="AH394" s="1"/>
      <c r="AI394" s="1"/>
      <c r="AJ394" s="3">
        <v>1</v>
      </c>
      <c r="AK394" s="1" t="s">
        <v>52</v>
      </c>
      <c r="AL394" s="3">
        <v>3</v>
      </c>
      <c r="AM394" s="8">
        <v>6</v>
      </c>
      <c r="AN394" s="1"/>
      <c r="AO394" s="1" t="s">
        <v>2359</v>
      </c>
      <c r="AP394" s="1" t="s">
        <v>1056</v>
      </c>
      <c r="AQ394" s="1" t="s">
        <v>2360</v>
      </c>
      <c r="AR394" s="1" t="s">
        <v>2361</v>
      </c>
    </row>
    <row r="395">
      <c r="A395" s="2">
        <f ca="1">DATE(2000,02,17)</f>
        <v>0</v>
      </c>
      <c r="B395" s="2">
        <f ca="1">DATE(2000,07,31)</f>
        <v>0</v>
      </c>
      <c r="C395" s="1" t="s">
        <v>2362</v>
      </c>
      <c r="D395" s="3">
        <v>7371</v>
      </c>
      <c r="E395" s="1" t="s">
        <v>43</v>
      </c>
      <c r="F395" s="1" t="s">
        <v>2363</v>
      </c>
      <c r="G395" s="1" t="s">
        <v>122</v>
      </c>
      <c r="H395" s="4">
        <v>0.48999999999999999</v>
      </c>
      <c r="I395" s="8">
        <v>7</v>
      </c>
      <c r="J395" s="5">
        <v>35</v>
      </c>
      <c r="K395" s="4">
        <v>7</v>
      </c>
      <c r="L395" s="1" t="s">
        <v>46</v>
      </c>
      <c r="M395" s="1" t="s">
        <v>47</v>
      </c>
      <c r="N395" s="1" t="s">
        <v>2364</v>
      </c>
      <c r="O395" s="1" t="s">
        <v>48</v>
      </c>
      <c r="P395" s="1" t="s">
        <v>2365</v>
      </c>
      <c r="Q395" s="4">
        <v>1.286</v>
      </c>
      <c r="R395" s="4">
        <v>1.714</v>
      </c>
      <c r="S395" s="8">
        <v>4</v>
      </c>
      <c r="T395" s="1" t="s">
        <v>50</v>
      </c>
      <c r="U395" s="1"/>
      <c r="V395" s="1"/>
      <c r="W395" s="1"/>
      <c r="X395" s="5">
        <v>115</v>
      </c>
      <c r="Y395" s="7">
        <v>5000000</v>
      </c>
      <c r="Z395" s="1"/>
      <c r="AA395" s="2">
        <f ca="1">DATE(2001,01,27)</f>
        <v>0</v>
      </c>
      <c r="AB395" s="4">
        <v>5.3179999999999996</v>
      </c>
      <c r="AC395" s="3">
        <v>180</v>
      </c>
      <c r="AD395" s="8">
        <v>2308548</v>
      </c>
      <c r="AE395" s="1" t="s">
        <v>51</v>
      </c>
      <c r="AF395" s="1" t="s">
        <v>51</v>
      </c>
      <c r="AG395" s="1" t="s">
        <v>47</v>
      </c>
      <c r="AH395" s="1"/>
      <c r="AI395" s="1"/>
      <c r="AJ395" s="3">
        <v>1</v>
      </c>
      <c r="AK395" s="1" t="s">
        <v>52</v>
      </c>
      <c r="AL395" s="3">
        <v>3</v>
      </c>
      <c r="AM395" s="8">
        <v>7</v>
      </c>
      <c r="AN395" s="1"/>
      <c r="AO395" s="1" t="s">
        <v>2366</v>
      </c>
      <c r="AP395" s="1" t="s">
        <v>122</v>
      </c>
      <c r="AQ395" s="1" t="s">
        <v>2367</v>
      </c>
      <c r="AR395" s="1" t="s">
        <v>2368</v>
      </c>
    </row>
    <row r="396">
      <c r="A396" s="1"/>
      <c r="B396" s="2">
        <f ca="1">DATE(2000,07,31)</f>
        <v>0</v>
      </c>
      <c r="C396" s="1" t="s">
        <v>2369</v>
      </c>
      <c r="D396" s="3">
        <v>6021</v>
      </c>
      <c r="E396" s="1" t="s">
        <v>43</v>
      </c>
      <c r="F396" s="1" t="s">
        <v>2370</v>
      </c>
      <c r="G396" s="1" t="s">
        <v>2371</v>
      </c>
      <c r="H396" s="4">
        <v>0.52500000000000002</v>
      </c>
      <c r="I396" s="4">
        <v>7</v>
      </c>
      <c r="J396" s="5">
        <v>22.5</v>
      </c>
      <c r="K396" s="4">
        <v>7.5</v>
      </c>
      <c r="L396" s="1" t="s">
        <v>46</v>
      </c>
      <c r="M396" s="1" t="s">
        <v>47</v>
      </c>
      <c r="N396" s="3">
        <v>695025106</v>
      </c>
      <c r="O396" s="1" t="s">
        <v>48</v>
      </c>
      <c r="P396" s="1" t="s">
        <v>2372</v>
      </c>
      <c r="Q396" s="4">
        <v>1.5329999999999999</v>
      </c>
      <c r="R396" s="4">
        <v>1.4670000000000001</v>
      </c>
      <c r="S396" s="8">
        <v>4</v>
      </c>
      <c r="T396" s="1" t="s">
        <v>50</v>
      </c>
      <c r="U396" s="1"/>
      <c r="V396" s="1"/>
      <c r="W396" s="1"/>
      <c r="X396" s="1"/>
      <c r="Y396" s="7">
        <v>1800000</v>
      </c>
      <c r="Z396" s="7">
        <v>1200000</v>
      </c>
      <c r="AA396" s="2">
        <f ca="1">DATE(2001,01,27)</f>
        <v>0</v>
      </c>
      <c r="AB396" s="4">
        <v>96.179000000000002</v>
      </c>
      <c r="AC396" s="3">
        <v>180</v>
      </c>
      <c r="AD396" s="8">
        <v>8466667</v>
      </c>
      <c r="AE396" s="1" t="s">
        <v>51</v>
      </c>
      <c r="AF396" s="1" t="s">
        <v>51</v>
      </c>
      <c r="AG396" s="1" t="s">
        <v>51</v>
      </c>
      <c r="AH396" s="1"/>
      <c r="AI396" s="1"/>
      <c r="AJ396" s="3">
        <v>1</v>
      </c>
      <c r="AK396" s="1" t="s">
        <v>52</v>
      </c>
      <c r="AL396" s="3">
        <v>1</v>
      </c>
      <c r="AM396" s="8">
        <v>7.8799999999999999</v>
      </c>
      <c r="AN396" s="1"/>
      <c r="AO396" s="1" t="s">
        <v>2373</v>
      </c>
      <c r="AP396" s="1" t="s">
        <v>2371</v>
      </c>
      <c r="AQ396" s="1" t="s">
        <v>2371</v>
      </c>
      <c r="AR396" s="1" t="s">
        <v>2374</v>
      </c>
    </row>
    <row r="397">
      <c r="A397" s="2">
        <f ca="1">DATE(2000,04,19)</f>
        <v>0</v>
      </c>
      <c r="B397" s="2">
        <f ca="1">DATE(2000,07,31)</f>
        <v>0</v>
      </c>
      <c r="C397" s="1" t="s">
        <v>2375</v>
      </c>
      <c r="D397" s="3">
        <v>7372</v>
      </c>
      <c r="E397" s="1" t="s">
        <v>43</v>
      </c>
      <c r="F397" s="1"/>
      <c r="G397" s="1" t="s">
        <v>387</v>
      </c>
      <c r="H397" s="4">
        <v>1.3999999999999999</v>
      </c>
      <c r="I397" s="8">
        <v>7</v>
      </c>
      <c r="J397" s="5">
        <v>95</v>
      </c>
      <c r="K397" s="4">
        <v>20</v>
      </c>
      <c r="L397" s="1" t="s">
        <v>46</v>
      </c>
      <c r="M397" s="1" t="s">
        <v>47</v>
      </c>
      <c r="N397" s="1" t="s">
        <v>2376</v>
      </c>
      <c r="O397" s="1"/>
      <c r="P397" s="1" t="s">
        <v>2377</v>
      </c>
      <c r="Q397" s="4">
        <v>1.3999999999999999</v>
      </c>
      <c r="R397" s="4">
        <v>1.3999999999999999</v>
      </c>
      <c r="S397" s="8">
        <v>4.2000000000000002</v>
      </c>
      <c r="T397" s="1" t="s">
        <v>50</v>
      </c>
      <c r="U397" s="1"/>
      <c r="V397" s="1"/>
      <c r="W397" s="1"/>
      <c r="X397" s="5">
        <v>86.299999999999997</v>
      </c>
      <c r="Y397" s="7">
        <v>4750000</v>
      </c>
      <c r="Z397" s="1"/>
      <c r="AA397" s="2">
        <f ca="1">DATE(2001,01,28)</f>
        <v>0</v>
      </c>
      <c r="AB397" s="4">
        <v>82.772000000000006</v>
      </c>
      <c r="AC397" s="3">
        <v>180</v>
      </c>
      <c r="AD397" s="8">
        <v>24003798</v>
      </c>
      <c r="AE397" s="1" t="s">
        <v>51</v>
      </c>
      <c r="AF397" s="1" t="s">
        <v>51</v>
      </c>
      <c r="AG397" s="1" t="s">
        <v>47</v>
      </c>
      <c r="AH397" s="1"/>
      <c r="AI397" s="1"/>
      <c r="AJ397" s="3">
        <v>1</v>
      </c>
      <c r="AK397" s="1" t="s">
        <v>52</v>
      </c>
      <c r="AL397" s="3">
        <v>3</v>
      </c>
      <c r="AM397" s="8">
        <v>56.75</v>
      </c>
      <c r="AN397" s="1"/>
      <c r="AO397" s="1" t="s">
        <v>2378</v>
      </c>
      <c r="AP397" s="1" t="s">
        <v>387</v>
      </c>
      <c r="AQ397" s="1" t="s">
        <v>2379</v>
      </c>
      <c r="AR397" s="1" t="s">
        <v>2380</v>
      </c>
    </row>
    <row r="398">
      <c r="A398" s="2">
        <f ca="1">DATE(2000,04,18)</f>
        <v>0</v>
      </c>
      <c r="B398" s="2">
        <f ca="1">DATE(2000,07,31)</f>
        <v>0</v>
      </c>
      <c r="C398" s="1" t="s">
        <v>2381</v>
      </c>
      <c r="D398" s="3">
        <v>3674</v>
      </c>
      <c r="E398" s="1" t="s">
        <v>43</v>
      </c>
      <c r="F398" s="1" t="s">
        <v>2382</v>
      </c>
      <c r="G398" s="1" t="s">
        <v>204</v>
      </c>
      <c r="H398" s="4">
        <v>0.69999999999999996</v>
      </c>
      <c r="I398" s="8">
        <v>7</v>
      </c>
      <c r="J398" s="5">
        <v>50</v>
      </c>
      <c r="K398" s="4">
        <v>10</v>
      </c>
      <c r="L398" s="1" t="s">
        <v>46</v>
      </c>
      <c r="M398" s="1" t="s">
        <v>47</v>
      </c>
      <c r="N398" s="1" t="s">
        <v>2383</v>
      </c>
      <c r="O398" s="1" t="s">
        <v>48</v>
      </c>
      <c r="P398" s="1" t="s">
        <v>2384</v>
      </c>
      <c r="Q398" s="4">
        <v>1.3999999999999999</v>
      </c>
      <c r="R398" s="4">
        <v>1.3999999999999999</v>
      </c>
      <c r="S398" s="8">
        <v>4.2000000000000002</v>
      </c>
      <c r="T398" s="1" t="s">
        <v>50</v>
      </c>
      <c r="U398" s="1"/>
      <c r="V398" s="1"/>
      <c r="W398" s="1"/>
      <c r="X398" s="5">
        <v>150</v>
      </c>
      <c r="Y398" s="7">
        <v>5000000</v>
      </c>
      <c r="Z398" s="1"/>
      <c r="AA398" s="2">
        <f ca="1">DATE(2001,01,27)</f>
        <v>0</v>
      </c>
      <c r="AB398" s="4">
        <v>99.414000000000001</v>
      </c>
      <c r="AC398" s="3">
        <v>180</v>
      </c>
      <c r="AD398" s="8">
        <v>25759502</v>
      </c>
      <c r="AE398" s="1" t="s">
        <v>51</v>
      </c>
      <c r="AF398" s="1" t="s">
        <v>51</v>
      </c>
      <c r="AG398" s="1" t="s">
        <v>47</v>
      </c>
      <c r="AH398" s="1"/>
      <c r="AI398" s="1"/>
      <c r="AJ398" s="3">
        <v>1</v>
      </c>
      <c r="AK398" s="1" t="s">
        <v>89</v>
      </c>
      <c r="AL398" s="3">
        <v>4</v>
      </c>
      <c r="AM398" s="8">
        <v>10.060000000000001</v>
      </c>
      <c r="AN398" s="1"/>
      <c r="AO398" s="1" t="s">
        <v>2385</v>
      </c>
      <c r="AP398" s="1" t="s">
        <v>1640</v>
      </c>
      <c r="AQ398" s="1" t="s">
        <v>2386</v>
      </c>
      <c r="AR398" s="1" t="s">
        <v>2387</v>
      </c>
    </row>
    <row r="399">
      <c r="A399" s="2">
        <f ca="1">DATE(2000,05,02)</f>
        <v>0</v>
      </c>
      <c r="B399" s="2">
        <f ca="1">DATE(2000,07,31)</f>
        <v>0</v>
      </c>
      <c r="C399" s="1" t="s">
        <v>2388</v>
      </c>
      <c r="D399" s="3">
        <v>3674</v>
      </c>
      <c r="E399" s="1" t="s">
        <v>43</v>
      </c>
      <c r="F399" s="1" t="s">
        <v>2389</v>
      </c>
      <c r="G399" s="1" t="s">
        <v>813</v>
      </c>
      <c r="H399" s="4">
        <v>0.83999999999999997</v>
      </c>
      <c r="I399" s="8">
        <v>7</v>
      </c>
      <c r="J399" s="5">
        <v>34.200000000000003</v>
      </c>
      <c r="K399" s="4">
        <v>12</v>
      </c>
      <c r="L399" s="1" t="s">
        <v>46</v>
      </c>
      <c r="M399" s="1" t="s">
        <v>47</v>
      </c>
      <c r="N399" s="1" t="s">
        <v>2390</v>
      </c>
      <c r="O399" s="1" t="s">
        <v>48</v>
      </c>
      <c r="P399" s="1" t="s">
        <v>2391</v>
      </c>
      <c r="Q399" s="4">
        <v>1.417</v>
      </c>
      <c r="R399" s="4">
        <v>1.583</v>
      </c>
      <c r="S399" s="8">
        <v>4</v>
      </c>
      <c r="T399" s="1" t="s">
        <v>50</v>
      </c>
      <c r="U399" s="1"/>
      <c r="V399" s="1"/>
      <c r="W399" s="1"/>
      <c r="X399" s="5">
        <v>40</v>
      </c>
      <c r="Y399" s="7">
        <v>2850000</v>
      </c>
      <c r="Z399" s="1"/>
      <c r="AA399" s="1"/>
      <c r="AB399" s="1"/>
      <c r="AC399" s="1"/>
      <c r="AD399" s="1"/>
      <c r="AE399" s="1" t="s">
        <v>51</v>
      </c>
      <c r="AF399" s="1" t="s">
        <v>51</v>
      </c>
      <c r="AG399" s="1" t="s">
        <v>47</v>
      </c>
      <c r="AH399" s="1"/>
      <c r="AI399" s="1"/>
      <c r="AJ399" s="3">
        <v>1</v>
      </c>
      <c r="AK399" s="1" t="s">
        <v>52</v>
      </c>
      <c r="AL399" s="3">
        <v>4</v>
      </c>
      <c r="AM399" s="8">
        <v>12.44</v>
      </c>
      <c r="AN399" s="1"/>
      <c r="AO399" s="1" t="s">
        <v>2392</v>
      </c>
      <c r="AP399" s="1" t="s">
        <v>813</v>
      </c>
      <c r="AQ399" s="1" t="s">
        <v>2393</v>
      </c>
      <c r="AR399" s="1" t="s">
        <v>2394</v>
      </c>
    </row>
    <row r="400">
      <c r="A400" s="2">
        <f ca="1">DATE(2000,05,02)</f>
        <v>0</v>
      </c>
      <c r="B400" s="2">
        <f ca="1">DATE(2000,07,31)</f>
        <v>0</v>
      </c>
      <c r="C400" s="1" t="s">
        <v>2388</v>
      </c>
      <c r="D400" s="3">
        <v>3674</v>
      </c>
      <c r="E400" s="1" t="s">
        <v>43</v>
      </c>
      <c r="F400" s="1" t="s">
        <v>2389</v>
      </c>
      <c r="G400" s="1" t="s">
        <v>813</v>
      </c>
      <c r="H400" s="4">
        <v>0.83999999999999997</v>
      </c>
      <c r="I400" s="8">
        <v>7</v>
      </c>
      <c r="J400" s="5">
        <v>10.800000000000001</v>
      </c>
      <c r="K400" s="8">
        <v>12</v>
      </c>
      <c r="L400" s="1" t="s">
        <v>58</v>
      </c>
      <c r="M400" s="1" t="s">
        <v>47</v>
      </c>
      <c r="N400" s="1" t="s">
        <v>2390</v>
      </c>
      <c r="O400" s="1" t="s">
        <v>48</v>
      </c>
      <c r="P400" s="1" t="s">
        <v>2395</v>
      </c>
      <c r="Q400" s="4">
        <v>1.417</v>
      </c>
      <c r="R400" s="4">
        <v>1.583</v>
      </c>
      <c r="S400" s="8">
        <v>4</v>
      </c>
      <c r="T400" s="1" t="s">
        <v>60</v>
      </c>
      <c r="U400" s="1"/>
      <c r="V400" s="1"/>
      <c r="W400" s="1"/>
      <c r="X400" s="5">
        <v>40</v>
      </c>
      <c r="Y400" s="7">
        <v>900000</v>
      </c>
      <c r="Z400" s="1"/>
      <c r="AA400" s="1"/>
      <c r="AB400" s="1"/>
      <c r="AC400" s="1"/>
      <c r="AD400" s="1"/>
      <c r="AE400" s="1" t="s">
        <v>51</v>
      </c>
      <c r="AF400" s="1" t="s">
        <v>51</v>
      </c>
      <c r="AG400" s="1" t="s">
        <v>47</v>
      </c>
      <c r="AH400" s="1"/>
      <c r="AI400" s="1"/>
      <c r="AJ400" s="3">
        <v>1</v>
      </c>
      <c r="AK400" s="1" t="s">
        <v>52</v>
      </c>
      <c r="AL400" s="3">
        <v>2</v>
      </c>
      <c r="AM400" s="1"/>
      <c r="AN400" s="1"/>
      <c r="AO400" s="1" t="s">
        <v>2396</v>
      </c>
      <c r="AP400" s="1" t="s">
        <v>813</v>
      </c>
      <c r="AQ400" s="1" t="s">
        <v>2397</v>
      </c>
      <c r="AR400" s="1" t="s">
        <v>2398</v>
      </c>
    </row>
    <row r="401">
      <c r="A401" s="2">
        <f ca="1">DATE(2000,04,20)</f>
        <v>0</v>
      </c>
      <c r="B401" s="2">
        <f ca="1">DATE(2000,07,31)</f>
        <v>0</v>
      </c>
      <c r="C401" s="1" t="s">
        <v>2399</v>
      </c>
      <c r="D401" s="3">
        <v>3669</v>
      </c>
      <c r="E401" s="1" t="s">
        <v>43</v>
      </c>
      <c r="F401" s="1" t="s">
        <v>2400</v>
      </c>
      <c r="G401" s="1" t="s">
        <v>204</v>
      </c>
      <c r="H401" s="4">
        <v>0.83999999999999997</v>
      </c>
      <c r="I401" s="8">
        <v>7</v>
      </c>
      <c r="J401" s="5">
        <v>90</v>
      </c>
      <c r="K401" s="4">
        <v>12</v>
      </c>
      <c r="L401" s="1" t="s">
        <v>152</v>
      </c>
      <c r="M401" s="1" t="s">
        <v>47</v>
      </c>
      <c r="N401" s="1" t="s">
        <v>2401</v>
      </c>
      <c r="O401" s="1" t="s">
        <v>48</v>
      </c>
      <c r="P401" s="1" t="s">
        <v>2402</v>
      </c>
      <c r="Q401" s="4">
        <v>1.417</v>
      </c>
      <c r="R401" s="4">
        <v>1.417</v>
      </c>
      <c r="S401" s="6">
        <v>4.1666699999999999</v>
      </c>
      <c r="T401" s="1" t="s">
        <v>50</v>
      </c>
      <c r="U401" s="1"/>
      <c r="V401" s="1"/>
      <c r="W401" s="1"/>
      <c r="X401" s="5">
        <v>115</v>
      </c>
      <c r="Y401" s="7">
        <v>7500000</v>
      </c>
      <c r="Z401" s="1"/>
      <c r="AA401" s="2">
        <f ca="1">DATE(2001,01,27)</f>
        <v>0</v>
      </c>
      <c r="AB401" s="4">
        <v>80.718999999999994</v>
      </c>
      <c r="AC401" s="3">
        <v>180</v>
      </c>
      <c r="AD401" s="8">
        <v>41767439</v>
      </c>
      <c r="AE401" s="1" t="s">
        <v>51</v>
      </c>
      <c r="AF401" s="1" t="s">
        <v>51</v>
      </c>
      <c r="AG401" s="1" t="s">
        <v>51</v>
      </c>
      <c r="AH401" s="1"/>
      <c r="AI401" s="1"/>
      <c r="AJ401" s="3">
        <v>1</v>
      </c>
      <c r="AK401" s="1" t="s">
        <v>89</v>
      </c>
      <c r="AL401" s="3">
        <v>3</v>
      </c>
      <c r="AM401" s="8">
        <v>14</v>
      </c>
      <c r="AN401" s="1"/>
      <c r="AO401" s="1" t="s">
        <v>2403</v>
      </c>
      <c r="AP401" s="1" t="s">
        <v>2404</v>
      </c>
      <c r="AQ401" s="1" t="s">
        <v>2405</v>
      </c>
      <c r="AR401" s="1" t="s">
        <v>2406</v>
      </c>
    </row>
    <row r="402">
      <c r="A402" s="2">
        <f ca="1">DATE(2000,04,20)</f>
        <v>0</v>
      </c>
      <c r="B402" s="2">
        <f ca="1">DATE(2000,08,01)</f>
        <v>0</v>
      </c>
      <c r="C402" s="1" t="s">
        <v>2407</v>
      </c>
      <c r="D402" s="3">
        <v>2836</v>
      </c>
      <c r="E402" s="1" t="s">
        <v>43</v>
      </c>
      <c r="F402" s="1" t="s">
        <v>2408</v>
      </c>
      <c r="G402" s="1" t="s">
        <v>96</v>
      </c>
      <c r="H402" s="4">
        <v>0.91000000000000003</v>
      </c>
      <c r="I402" s="4">
        <v>7</v>
      </c>
      <c r="J402" s="5">
        <v>58.5</v>
      </c>
      <c r="K402" s="4">
        <v>13</v>
      </c>
      <c r="L402" s="1" t="s">
        <v>46</v>
      </c>
      <c r="M402" s="1" t="s">
        <v>47</v>
      </c>
      <c r="N402" s="1" t="s">
        <v>2409</v>
      </c>
      <c r="O402" s="1" t="s">
        <v>48</v>
      </c>
      <c r="P402" s="1" t="s">
        <v>2410</v>
      </c>
      <c r="Q402" s="4">
        <v>1.385</v>
      </c>
      <c r="R402" s="4">
        <v>1.385</v>
      </c>
      <c r="S402" s="6">
        <v>4.2307699999999997</v>
      </c>
      <c r="T402" s="1" t="s">
        <v>50</v>
      </c>
      <c r="U402" s="1"/>
      <c r="V402" s="1"/>
      <c r="W402" s="1"/>
      <c r="X402" s="5">
        <v>115</v>
      </c>
      <c r="Y402" s="7">
        <v>4500000</v>
      </c>
      <c r="Z402" s="1"/>
      <c r="AA402" s="1"/>
      <c r="AB402" s="1"/>
      <c r="AC402" s="1"/>
      <c r="AD402" s="1"/>
      <c r="AE402" s="1" t="s">
        <v>51</v>
      </c>
      <c r="AF402" s="1" t="s">
        <v>51</v>
      </c>
      <c r="AG402" s="1" t="s">
        <v>47</v>
      </c>
      <c r="AH402" s="1"/>
      <c r="AI402" s="1"/>
      <c r="AJ402" s="3">
        <v>1</v>
      </c>
      <c r="AK402" s="1" t="s">
        <v>52</v>
      </c>
      <c r="AL402" s="3">
        <v>4</v>
      </c>
      <c r="AM402" s="8">
        <v>16.059999999999999</v>
      </c>
      <c r="AN402" s="1"/>
      <c r="AO402" s="1" t="s">
        <v>2411</v>
      </c>
      <c r="AP402" s="1" t="s">
        <v>96</v>
      </c>
      <c r="AQ402" s="1" t="s">
        <v>2412</v>
      </c>
      <c r="AR402" s="1" t="s">
        <v>2413</v>
      </c>
    </row>
    <row r="403">
      <c r="A403" s="2">
        <f ca="1">DATE(2000,04,20)</f>
        <v>0</v>
      </c>
      <c r="B403" s="2">
        <f ca="1">DATE(2000,08,01)</f>
        <v>0</v>
      </c>
      <c r="C403" s="1" t="s">
        <v>2407</v>
      </c>
      <c r="D403" s="3">
        <v>2836</v>
      </c>
      <c r="E403" s="1" t="s">
        <v>43</v>
      </c>
      <c r="F403" s="1" t="s">
        <v>2408</v>
      </c>
      <c r="G403" s="1" t="s">
        <v>765</v>
      </c>
      <c r="H403" s="4">
        <v>0.91000000000000003</v>
      </c>
      <c r="I403" s="4">
        <v>7</v>
      </c>
      <c r="J403" s="5">
        <v>17</v>
      </c>
      <c r="K403" s="8">
        <v>13</v>
      </c>
      <c r="L403" s="1" t="s">
        <v>58</v>
      </c>
      <c r="M403" s="1" t="s">
        <v>47</v>
      </c>
      <c r="N403" s="1" t="s">
        <v>2409</v>
      </c>
      <c r="O403" s="1" t="s">
        <v>48</v>
      </c>
      <c r="P403" s="1" t="s">
        <v>2414</v>
      </c>
      <c r="Q403" s="1" t="s">
        <v>145</v>
      </c>
      <c r="R403" s="1" t="s">
        <v>145</v>
      </c>
      <c r="S403" s="1"/>
      <c r="T403" s="1" t="s">
        <v>60</v>
      </c>
      <c r="U403" s="1"/>
      <c r="V403" s="1"/>
      <c r="W403" s="1"/>
      <c r="X403" s="1"/>
      <c r="Y403" s="7">
        <v>1304348</v>
      </c>
      <c r="Z403" s="1"/>
      <c r="AA403" s="1"/>
      <c r="AB403" s="1"/>
      <c r="AC403" s="1"/>
      <c r="AD403" s="1"/>
      <c r="AE403" s="1" t="s">
        <v>51</v>
      </c>
      <c r="AF403" s="1" t="s">
        <v>51</v>
      </c>
      <c r="AG403" s="1" t="s">
        <v>47</v>
      </c>
      <c r="AH403" s="1"/>
      <c r="AI403" s="1"/>
      <c r="AJ403" s="3">
        <v>1</v>
      </c>
      <c r="AK403" s="1" t="s">
        <v>52</v>
      </c>
      <c r="AL403" s="3">
        <v>1</v>
      </c>
      <c r="AM403" s="1"/>
      <c r="AN403" s="1"/>
      <c r="AO403" s="1" t="s">
        <v>2415</v>
      </c>
      <c r="AP403" s="1" t="s">
        <v>765</v>
      </c>
      <c r="AQ403" s="1" t="s">
        <v>765</v>
      </c>
      <c r="AR403" s="1" t="s">
        <v>768</v>
      </c>
    </row>
    <row r="404">
      <c r="A404" s="2">
        <f ca="1">DATE(2000,03,15)</f>
        <v>0</v>
      </c>
      <c r="B404" s="2">
        <f ca="1">DATE(2000,08,01)</f>
        <v>0</v>
      </c>
      <c r="C404" s="1" t="s">
        <v>2416</v>
      </c>
      <c r="D404" s="3">
        <v>7372</v>
      </c>
      <c r="E404" s="1" t="s">
        <v>43</v>
      </c>
      <c r="F404" s="1" t="s">
        <v>2417</v>
      </c>
      <c r="G404" s="1" t="s">
        <v>106</v>
      </c>
      <c r="H404" s="4">
        <v>0.91000000000000003</v>
      </c>
      <c r="I404" s="4">
        <v>7</v>
      </c>
      <c r="J404" s="5">
        <v>44.100000000000001</v>
      </c>
      <c r="K404" s="4">
        <v>13</v>
      </c>
      <c r="L404" s="1" t="s">
        <v>46</v>
      </c>
      <c r="M404" s="1" t="s">
        <v>47</v>
      </c>
      <c r="N404" s="3">
        <v>683757108</v>
      </c>
      <c r="O404" s="1" t="s">
        <v>48</v>
      </c>
      <c r="P404" s="1" t="s">
        <v>2418</v>
      </c>
      <c r="Q404" s="4">
        <v>1.385</v>
      </c>
      <c r="R404" s="4">
        <v>1.385</v>
      </c>
      <c r="S404" s="6">
        <v>4.2307699999999997</v>
      </c>
      <c r="T404" s="1" t="s">
        <v>50</v>
      </c>
      <c r="U404" s="1"/>
      <c r="V404" s="1"/>
      <c r="W404" s="1"/>
      <c r="X404" s="1"/>
      <c r="Y404" s="7">
        <v>3390000</v>
      </c>
      <c r="Z404" s="1"/>
      <c r="AA404" s="1"/>
      <c r="AB404" s="1"/>
      <c r="AC404" s="1"/>
      <c r="AD404" s="1"/>
      <c r="AE404" s="1" t="s">
        <v>51</v>
      </c>
      <c r="AF404" s="1" t="s">
        <v>51</v>
      </c>
      <c r="AG404" s="1" t="s">
        <v>47</v>
      </c>
      <c r="AH404" s="1"/>
      <c r="AI404" s="1"/>
      <c r="AJ404" s="3">
        <v>1</v>
      </c>
      <c r="AK404" s="1" t="s">
        <v>52</v>
      </c>
      <c r="AL404" s="3">
        <v>3</v>
      </c>
      <c r="AM404" s="8">
        <v>18.5</v>
      </c>
      <c r="AN404" s="1"/>
      <c r="AO404" s="1" t="s">
        <v>2419</v>
      </c>
      <c r="AP404" s="1" t="s">
        <v>106</v>
      </c>
      <c r="AQ404" s="1" t="s">
        <v>2420</v>
      </c>
      <c r="AR404" s="1" t="s">
        <v>2421</v>
      </c>
    </row>
    <row r="405">
      <c r="A405" s="2">
        <f ca="1">DATE(2000,03,15)</f>
        <v>0</v>
      </c>
      <c r="B405" s="2">
        <f ca="1">DATE(2000,08,01)</f>
        <v>0</v>
      </c>
      <c r="C405" s="1" t="s">
        <v>2416</v>
      </c>
      <c r="D405" s="3">
        <v>7372</v>
      </c>
      <c r="E405" s="1" t="s">
        <v>43</v>
      </c>
      <c r="F405" s="1" t="s">
        <v>2417</v>
      </c>
      <c r="G405" s="1" t="s">
        <v>106</v>
      </c>
      <c r="H405" s="4">
        <v>0.91000000000000003</v>
      </c>
      <c r="I405" s="4">
        <v>7</v>
      </c>
      <c r="J405" s="5">
        <v>7.9000000000000004</v>
      </c>
      <c r="K405" s="8">
        <v>13</v>
      </c>
      <c r="L405" s="1" t="s">
        <v>58</v>
      </c>
      <c r="M405" s="1" t="s">
        <v>47</v>
      </c>
      <c r="N405" s="3">
        <v>683757108</v>
      </c>
      <c r="O405" s="1" t="s">
        <v>48</v>
      </c>
      <c r="P405" s="1" t="s">
        <v>2422</v>
      </c>
      <c r="Q405" s="1" t="s">
        <v>145</v>
      </c>
      <c r="R405" s="1" t="s">
        <v>145</v>
      </c>
      <c r="S405" s="1"/>
      <c r="T405" s="1" t="s">
        <v>60</v>
      </c>
      <c r="U405" s="1"/>
      <c r="V405" s="1"/>
      <c r="W405" s="1"/>
      <c r="X405" s="1"/>
      <c r="Y405" s="7">
        <v>610000</v>
      </c>
      <c r="Z405" s="1"/>
      <c r="AA405" s="1"/>
      <c r="AB405" s="1"/>
      <c r="AC405" s="1"/>
      <c r="AD405" s="1"/>
      <c r="AE405" s="1" t="s">
        <v>51</v>
      </c>
      <c r="AF405" s="1" t="s">
        <v>51</v>
      </c>
      <c r="AG405" s="1" t="s">
        <v>47</v>
      </c>
      <c r="AH405" s="1"/>
      <c r="AI405" s="1"/>
      <c r="AJ405" s="3">
        <v>1</v>
      </c>
      <c r="AK405" s="1" t="s">
        <v>52</v>
      </c>
      <c r="AL405" s="3">
        <v>1</v>
      </c>
      <c r="AM405" s="1"/>
      <c r="AN405" s="1"/>
      <c r="AO405" s="1" t="s">
        <v>2423</v>
      </c>
      <c r="AP405" s="1" t="s">
        <v>106</v>
      </c>
      <c r="AQ405" s="1" t="s">
        <v>106</v>
      </c>
      <c r="AR405" s="1" t="s">
        <v>214</v>
      </c>
    </row>
    <row r="406">
      <c r="A406" s="2">
        <f ca="1">DATE(2000,07,14)</f>
        <v>0</v>
      </c>
      <c r="B406" s="2">
        <f ca="1">DATE(2000,08,01)</f>
        <v>0</v>
      </c>
      <c r="C406" s="1" t="s">
        <v>2424</v>
      </c>
      <c r="D406" s="3">
        <v>4812</v>
      </c>
      <c r="E406" s="1" t="s">
        <v>934</v>
      </c>
      <c r="F406" s="1" t="s">
        <v>2425</v>
      </c>
      <c r="G406" s="1" t="s">
        <v>179</v>
      </c>
      <c r="H406" s="4">
        <v>0.91000000000000003</v>
      </c>
      <c r="I406" s="4">
        <v>7</v>
      </c>
      <c r="J406" s="5">
        <v>58.5</v>
      </c>
      <c r="K406" s="8">
        <v>13</v>
      </c>
      <c r="L406" s="1" t="s">
        <v>58</v>
      </c>
      <c r="M406" s="1" t="s">
        <v>47</v>
      </c>
      <c r="N406" s="1"/>
      <c r="O406" s="1" t="s">
        <v>48</v>
      </c>
      <c r="P406" s="1" t="s">
        <v>2426</v>
      </c>
      <c r="Q406" s="4">
        <v>1.385</v>
      </c>
      <c r="R406" s="4">
        <v>1.385</v>
      </c>
      <c r="S406" s="8">
        <v>4.2300000000000004</v>
      </c>
      <c r="T406" s="1" t="s">
        <v>60</v>
      </c>
      <c r="U406" s="8">
        <v>13</v>
      </c>
      <c r="V406" s="8">
        <v>11</v>
      </c>
      <c r="W406" s="7">
        <v>4500000</v>
      </c>
      <c r="X406" s="5">
        <v>54</v>
      </c>
      <c r="Y406" s="7">
        <v>4500000</v>
      </c>
      <c r="Z406" s="1"/>
      <c r="AA406" s="1"/>
      <c r="AB406" s="1"/>
      <c r="AC406" s="1"/>
      <c r="AD406" s="1"/>
      <c r="AE406" s="1" t="s">
        <v>51</v>
      </c>
      <c r="AF406" s="1" t="s">
        <v>51</v>
      </c>
      <c r="AG406" s="1" t="s">
        <v>51</v>
      </c>
      <c r="AH406" s="1"/>
      <c r="AI406" s="1"/>
      <c r="AJ406" s="3">
        <v>1</v>
      </c>
      <c r="AK406" s="1" t="s">
        <v>52</v>
      </c>
      <c r="AL406" s="3">
        <v>3</v>
      </c>
      <c r="AM406" s="1"/>
      <c r="AN406" s="1"/>
      <c r="AO406" s="1" t="s">
        <v>2427</v>
      </c>
      <c r="AP406" s="1" t="s">
        <v>179</v>
      </c>
      <c r="AQ406" s="1" t="s">
        <v>2428</v>
      </c>
      <c r="AR406" s="1" t="s">
        <v>2429</v>
      </c>
    </row>
    <row r="407">
      <c r="A407" s="2">
        <f ca="1">DATE(2000,05,25)</f>
        <v>0</v>
      </c>
      <c r="B407" s="2">
        <f ca="1">DATE(2000,08,02)</f>
        <v>0</v>
      </c>
      <c r="C407" s="1" t="s">
        <v>2430</v>
      </c>
      <c r="D407" s="3">
        <v>5812</v>
      </c>
      <c r="E407" s="1" t="s">
        <v>43</v>
      </c>
      <c r="F407" s="1" t="s">
        <v>2431</v>
      </c>
      <c r="G407" s="1" t="s">
        <v>2432</v>
      </c>
      <c r="H407" s="4">
        <v>1.05</v>
      </c>
      <c r="I407" s="4">
        <v>7</v>
      </c>
      <c r="J407" s="5">
        <v>79.5</v>
      </c>
      <c r="K407" s="4">
        <v>15</v>
      </c>
      <c r="L407" s="1" t="s">
        <v>46</v>
      </c>
      <c r="M407" s="1" t="s">
        <v>47</v>
      </c>
      <c r="N407" s="1" t="s">
        <v>2433</v>
      </c>
      <c r="O407" s="1" t="s">
        <v>48</v>
      </c>
      <c r="P407" s="1" t="s">
        <v>2434</v>
      </c>
      <c r="Q407" s="4">
        <v>1.3999999999999999</v>
      </c>
      <c r="R407" s="4">
        <v>1.4670000000000001</v>
      </c>
      <c r="S407" s="6">
        <v>4.1333299999999999</v>
      </c>
      <c r="T407" s="1" t="s">
        <v>50</v>
      </c>
      <c r="U407" s="1"/>
      <c r="V407" s="1"/>
      <c r="W407" s="1"/>
      <c r="X407" s="5">
        <v>70</v>
      </c>
      <c r="Y407" s="7">
        <v>5300000</v>
      </c>
      <c r="Z407" s="1"/>
      <c r="AA407" s="2">
        <f ca="1">DATE(2001,01,29)</f>
        <v>0</v>
      </c>
      <c r="AB407" s="4">
        <v>61.686999999999998</v>
      </c>
      <c r="AC407" s="3">
        <v>180</v>
      </c>
      <c r="AD407" s="8">
        <v>11034142</v>
      </c>
      <c r="AE407" s="1" t="s">
        <v>51</v>
      </c>
      <c r="AF407" s="1" t="s">
        <v>51</v>
      </c>
      <c r="AG407" s="1" t="s">
        <v>51</v>
      </c>
      <c r="AH407" s="1"/>
      <c r="AI407" s="1" t="s">
        <v>2435</v>
      </c>
      <c r="AJ407" s="3">
        <v>2</v>
      </c>
      <c r="AK407" s="1" t="s">
        <v>89</v>
      </c>
      <c r="AL407" s="3">
        <v>3</v>
      </c>
      <c r="AM407" s="8">
        <v>20.25</v>
      </c>
      <c r="AN407" s="1"/>
      <c r="AO407" s="1" t="s">
        <v>2436</v>
      </c>
      <c r="AP407" s="1" t="s">
        <v>2437</v>
      </c>
      <c r="AQ407" s="1" t="s">
        <v>2438</v>
      </c>
      <c r="AR407" s="1" t="s">
        <v>2439</v>
      </c>
    </row>
    <row r="408">
      <c r="A408" s="2">
        <f ca="1">DATE(2000,04,13)</f>
        <v>0</v>
      </c>
      <c r="B408" s="2">
        <f ca="1">DATE(2000,08,02)</f>
        <v>0</v>
      </c>
      <c r="C408" s="1" t="s">
        <v>2440</v>
      </c>
      <c r="D408" s="3">
        <v>2836</v>
      </c>
      <c r="E408" s="1" t="s">
        <v>43</v>
      </c>
      <c r="F408" s="1" t="s">
        <v>2441</v>
      </c>
      <c r="G408" s="1" t="s">
        <v>204</v>
      </c>
      <c r="H408" s="4">
        <v>1.05</v>
      </c>
      <c r="I408" s="4">
        <v>7</v>
      </c>
      <c r="J408" s="5">
        <v>105</v>
      </c>
      <c r="K408" s="4">
        <v>15</v>
      </c>
      <c r="L408" s="1" t="s">
        <v>46</v>
      </c>
      <c r="M408" s="1" t="s">
        <v>47</v>
      </c>
      <c r="N408" s="1" t="s">
        <v>2442</v>
      </c>
      <c r="O408" s="1" t="s">
        <v>48</v>
      </c>
      <c r="P408" s="1" t="s">
        <v>2443</v>
      </c>
      <c r="Q408" s="4">
        <v>1.3999999999999999</v>
      </c>
      <c r="R408" s="4">
        <v>1.3999999999999999</v>
      </c>
      <c r="S408" s="8">
        <v>4.2000000000000002</v>
      </c>
      <c r="T408" s="1" t="s">
        <v>50</v>
      </c>
      <c r="U408" s="8">
        <v>15</v>
      </c>
      <c r="V408" s="8">
        <v>13</v>
      </c>
      <c r="W408" s="1"/>
      <c r="X408" s="5">
        <v>100</v>
      </c>
      <c r="Y408" s="7">
        <v>7000000</v>
      </c>
      <c r="Z408" s="1"/>
      <c r="AA408" s="2">
        <f ca="1">DATE(2001,01,29)</f>
        <v>0</v>
      </c>
      <c r="AB408" s="4">
        <v>75.697999999999993</v>
      </c>
      <c r="AC408" s="3">
        <v>180</v>
      </c>
      <c r="AD408" s="8">
        <v>21804437</v>
      </c>
      <c r="AE408" s="1" t="s">
        <v>51</v>
      </c>
      <c r="AF408" s="1" t="s">
        <v>51</v>
      </c>
      <c r="AG408" s="1" t="s">
        <v>47</v>
      </c>
      <c r="AH408" s="1"/>
      <c r="AI408" s="1"/>
      <c r="AJ408" s="3">
        <v>1</v>
      </c>
      <c r="AK408" s="1" t="s">
        <v>89</v>
      </c>
      <c r="AL408" s="3">
        <v>3</v>
      </c>
      <c r="AM408" s="8">
        <v>19</v>
      </c>
      <c r="AN408" s="1"/>
      <c r="AO408" s="1" t="s">
        <v>2444</v>
      </c>
      <c r="AP408" s="1" t="s">
        <v>2265</v>
      </c>
      <c r="AQ408" s="1" t="s">
        <v>2445</v>
      </c>
      <c r="AR408" s="1" t="s">
        <v>2446</v>
      </c>
    </row>
    <row r="409">
      <c r="A409" s="2">
        <f ca="1">DATE(2000,04,20)</f>
        <v>0</v>
      </c>
      <c r="B409" s="2">
        <f ca="1">DATE(2000,08,02)</f>
        <v>0</v>
      </c>
      <c r="C409" s="1" t="s">
        <v>2447</v>
      </c>
      <c r="D409" s="3">
        <v>4833</v>
      </c>
      <c r="E409" s="1" t="s">
        <v>43</v>
      </c>
      <c r="F409" s="1" t="s">
        <v>2448</v>
      </c>
      <c r="G409" s="1" t="s">
        <v>151</v>
      </c>
      <c r="H409" s="4">
        <v>1.0309999999999999</v>
      </c>
      <c r="I409" s="4">
        <v>6.2480000000000002</v>
      </c>
      <c r="J409" s="5">
        <v>759</v>
      </c>
      <c r="K409" s="4">
        <v>16.5</v>
      </c>
      <c r="L409" s="1" t="s">
        <v>46</v>
      </c>
      <c r="M409" s="1" t="s">
        <v>47</v>
      </c>
      <c r="N409" s="1" t="s">
        <v>2449</v>
      </c>
      <c r="O409" s="1" t="s">
        <v>108</v>
      </c>
      <c r="P409" s="1" t="s">
        <v>2450</v>
      </c>
      <c r="Q409" s="4">
        <v>1.2789999999999999</v>
      </c>
      <c r="R409" s="4">
        <v>1.212</v>
      </c>
      <c r="S409" s="6">
        <v>3.7575799999999999</v>
      </c>
      <c r="T409" s="1" t="s">
        <v>50</v>
      </c>
      <c r="U409" s="1"/>
      <c r="V409" s="1"/>
      <c r="W409" s="1"/>
      <c r="X409" s="5">
        <v>615</v>
      </c>
      <c r="Y409" s="7">
        <v>46000000</v>
      </c>
      <c r="Z409" s="1"/>
      <c r="AA409" s="2">
        <f ca="1">DATE(2001,01,29)</f>
        <v>0</v>
      </c>
      <c r="AB409" s="4">
        <v>5.9640000000000004</v>
      </c>
      <c r="AC409" s="3">
        <v>180</v>
      </c>
      <c r="AD409" s="8">
        <v>6464542</v>
      </c>
      <c r="AE409" s="1" t="s">
        <v>51</v>
      </c>
      <c r="AF409" s="1" t="s">
        <v>51</v>
      </c>
      <c r="AG409" s="1" t="s">
        <v>51</v>
      </c>
      <c r="AH409" s="1"/>
      <c r="AI409" s="1"/>
      <c r="AJ409" s="3">
        <v>1</v>
      </c>
      <c r="AK409" s="1" t="s">
        <v>110</v>
      </c>
      <c r="AL409" s="3">
        <v>6</v>
      </c>
      <c r="AM409" s="8">
        <v>18.75</v>
      </c>
      <c r="AN409" s="1"/>
      <c r="AO409" s="1" t="s">
        <v>2451</v>
      </c>
      <c r="AP409" s="1" t="s">
        <v>2452</v>
      </c>
      <c r="AQ409" s="1" t="s">
        <v>2453</v>
      </c>
      <c r="AR409" s="1" t="s">
        <v>2454</v>
      </c>
    </row>
    <row r="410">
      <c r="A410" s="2">
        <f ca="1">DATE(2000,04,14)</f>
        <v>0</v>
      </c>
      <c r="B410" s="2">
        <f ca="1">DATE(2000,08,02)</f>
        <v>0</v>
      </c>
      <c r="C410" s="1" t="s">
        <v>2455</v>
      </c>
      <c r="D410" s="3">
        <v>5045</v>
      </c>
      <c r="E410" s="1" t="s">
        <v>43</v>
      </c>
      <c r="F410" s="1" t="s">
        <v>2456</v>
      </c>
      <c r="G410" s="1" t="s">
        <v>2457</v>
      </c>
      <c r="H410" s="4">
        <v>0.504</v>
      </c>
      <c r="I410" s="4">
        <v>7.7539999999999996</v>
      </c>
      <c r="J410" s="5">
        <v>11.699999999999999</v>
      </c>
      <c r="K410" s="4">
        <v>6.5</v>
      </c>
      <c r="L410" s="1" t="s">
        <v>46</v>
      </c>
      <c r="M410" s="1" t="s">
        <v>47</v>
      </c>
      <c r="N410" s="3">
        <v>296016108</v>
      </c>
      <c r="O410" s="1" t="s">
        <v>77</v>
      </c>
      <c r="P410" s="1" t="s">
        <v>2458</v>
      </c>
      <c r="Q410" s="1" t="s">
        <v>145</v>
      </c>
      <c r="R410" s="1" t="s">
        <v>145</v>
      </c>
      <c r="S410" s="1"/>
      <c r="T410" s="1" t="s">
        <v>50</v>
      </c>
      <c r="U410" s="1"/>
      <c r="V410" s="1"/>
      <c r="W410" s="7">
        <v>1800000</v>
      </c>
      <c r="X410" s="1"/>
      <c r="Y410" s="7">
        <v>1800000</v>
      </c>
      <c r="Z410" s="1"/>
      <c r="AA410" s="2">
        <f ca="1">DATE(2001,01,29)</f>
        <v>0</v>
      </c>
      <c r="AB410" s="4">
        <v>2.8490000000000002</v>
      </c>
      <c r="AC410" s="3">
        <v>180</v>
      </c>
      <c r="AD410" s="8">
        <v>200000</v>
      </c>
      <c r="AE410" s="1" t="s">
        <v>51</v>
      </c>
      <c r="AF410" s="1" t="s">
        <v>51</v>
      </c>
      <c r="AG410" s="1" t="s">
        <v>51</v>
      </c>
      <c r="AH410" s="1"/>
      <c r="AI410" s="1"/>
      <c r="AJ410" s="3">
        <v>1</v>
      </c>
      <c r="AK410" s="1" t="s">
        <v>89</v>
      </c>
      <c r="AL410" s="3">
        <v>2</v>
      </c>
      <c r="AM410" s="8">
        <v>6.1299999999999999</v>
      </c>
      <c r="AN410" s="1"/>
      <c r="AO410" s="1" t="s">
        <v>2459</v>
      </c>
      <c r="AP410" s="1" t="s">
        <v>2460</v>
      </c>
      <c r="AQ410" s="1" t="s">
        <v>2461</v>
      </c>
      <c r="AR410" s="1" t="s">
        <v>2462</v>
      </c>
    </row>
    <row r="411">
      <c r="A411" s="2">
        <f ca="1">DATE(2000,04,20)</f>
        <v>0</v>
      </c>
      <c r="B411" s="2">
        <f ca="1">DATE(2000,08,02)</f>
        <v>0</v>
      </c>
      <c r="C411" s="1" t="s">
        <v>2463</v>
      </c>
      <c r="D411" s="3">
        <v>7372</v>
      </c>
      <c r="E411" s="1" t="s">
        <v>43</v>
      </c>
      <c r="F411" s="1" t="s">
        <v>2464</v>
      </c>
      <c r="G411" s="1" t="s">
        <v>160</v>
      </c>
      <c r="H411" s="4">
        <v>0.91000000000000003</v>
      </c>
      <c r="I411" s="4">
        <v>7</v>
      </c>
      <c r="J411" s="5">
        <v>72.900000000000006</v>
      </c>
      <c r="K411" s="4">
        <v>13</v>
      </c>
      <c r="L411" s="1" t="s">
        <v>46</v>
      </c>
      <c r="M411" s="1" t="s">
        <v>47</v>
      </c>
      <c r="N411" s="1" t="s">
        <v>2465</v>
      </c>
      <c r="O411" s="1" t="s">
        <v>48</v>
      </c>
      <c r="P411" s="1" t="s">
        <v>2466</v>
      </c>
      <c r="Q411" s="4">
        <v>1.385</v>
      </c>
      <c r="R411" s="4">
        <v>1.385</v>
      </c>
      <c r="S411" s="6">
        <v>4.2307699999999997</v>
      </c>
      <c r="T411" s="1" t="s">
        <v>50</v>
      </c>
      <c r="U411" s="1"/>
      <c r="V411" s="1"/>
      <c r="W411" s="1"/>
      <c r="X411" s="5">
        <v>230</v>
      </c>
      <c r="Y411" s="7">
        <v>5607000</v>
      </c>
      <c r="Z411" s="1"/>
      <c r="AA411" s="1"/>
      <c r="AB411" s="1"/>
      <c r="AC411" s="1"/>
      <c r="AD411" s="1"/>
      <c r="AE411" s="1" t="s">
        <v>51</v>
      </c>
      <c r="AF411" s="1" t="s">
        <v>51</v>
      </c>
      <c r="AG411" s="1" t="s">
        <v>47</v>
      </c>
      <c r="AH411" s="1"/>
      <c r="AI411" s="1"/>
      <c r="AJ411" s="3">
        <v>1</v>
      </c>
      <c r="AK411" s="1" t="s">
        <v>89</v>
      </c>
      <c r="AL411" s="3">
        <v>3</v>
      </c>
      <c r="AM411" s="8">
        <v>9.5</v>
      </c>
      <c r="AN411" s="1"/>
      <c r="AO411" s="1" t="s">
        <v>2467</v>
      </c>
      <c r="AP411" s="1" t="s">
        <v>736</v>
      </c>
      <c r="AQ411" s="1" t="s">
        <v>2468</v>
      </c>
      <c r="AR411" s="1" t="s">
        <v>2469</v>
      </c>
    </row>
    <row r="412">
      <c r="A412" s="2">
        <f ca="1">DATE(2000,04,20)</f>
        <v>0</v>
      </c>
      <c r="B412" s="2">
        <f ca="1">DATE(2000,08,02)</f>
        <v>0</v>
      </c>
      <c r="C412" s="1" t="s">
        <v>2463</v>
      </c>
      <c r="D412" s="3">
        <v>7372</v>
      </c>
      <c r="E412" s="1" t="s">
        <v>43</v>
      </c>
      <c r="F412" s="1" t="s">
        <v>2464</v>
      </c>
      <c r="G412" s="1" t="s">
        <v>160</v>
      </c>
      <c r="H412" s="4">
        <v>0.91000000000000003</v>
      </c>
      <c r="I412" s="4">
        <v>7</v>
      </c>
      <c r="J412" s="5">
        <v>44.100000000000001</v>
      </c>
      <c r="K412" s="8">
        <v>13</v>
      </c>
      <c r="L412" s="1" t="s">
        <v>58</v>
      </c>
      <c r="M412" s="1" t="s">
        <v>47</v>
      </c>
      <c r="N412" s="1" t="s">
        <v>2470</v>
      </c>
      <c r="O412" s="1" t="s">
        <v>48</v>
      </c>
      <c r="P412" s="1" t="s">
        <v>2471</v>
      </c>
      <c r="Q412" s="4">
        <v>1.385</v>
      </c>
      <c r="R412" s="4">
        <v>1.385</v>
      </c>
      <c r="S412" s="6">
        <v>4.2307699999999997</v>
      </c>
      <c r="T412" s="1" t="s">
        <v>60</v>
      </c>
      <c r="U412" s="1"/>
      <c r="V412" s="1"/>
      <c r="W412" s="1"/>
      <c r="X412" s="1"/>
      <c r="Y412" s="7">
        <v>3393000</v>
      </c>
      <c r="Z412" s="1"/>
      <c r="AA412" s="1"/>
      <c r="AB412" s="1"/>
      <c r="AC412" s="1"/>
      <c r="AD412" s="1"/>
      <c r="AE412" s="1" t="s">
        <v>51</v>
      </c>
      <c r="AF412" s="1" t="s">
        <v>51</v>
      </c>
      <c r="AG412" s="1" t="s">
        <v>47</v>
      </c>
      <c r="AH412" s="1"/>
      <c r="AI412" s="1"/>
      <c r="AJ412" s="3">
        <v>1</v>
      </c>
      <c r="AK412" s="1" t="s">
        <v>89</v>
      </c>
      <c r="AL412" s="3">
        <v>2</v>
      </c>
      <c r="AM412" s="1"/>
      <c r="AN412" s="1"/>
      <c r="AO412" s="1" t="s">
        <v>2472</v>
      </c>
      <c r="AP412" s="1" t="s">
        <v>2473</v>
      </c>
      <c r="AQ412" s="1" t="s">
        <v>2474</v>
      </c>
      <c r="AR412" s="1" t="s">
        <v>2475</v>
      </c>
    </row>
    <row r="413">
      <c r="A413" s="2">
        <f ca="1">DATE(2000,02,25)</f>
        <v>0</v>
      </c>
      <c r="B413" s="2">
        <f ca="1">DATE(2000,08,02)</f>
        <v>0</v>
      </c>
      <c r="C413" s="1" t="s">
        <v>2476</v>
      </c>
      <c r="D413" s="3">
        <v>2834</v>
      </c>
      <c r="E413" s="1" t="s">
        <v>43</v>
      </c>
      <c r="F413" s="1"/>
      <c r="G413" s="1" t="s">
        <v>96</v>
      </c>
      <c r="H413" s="4">
        <v>0.83999999999999997</v>
      </c>
      <c r="I413" s="8">
        <v>7</v>
      </c>
      <c r="J413" s="5">
        <v>66</v>
      </c>
      <c r="K413" s="4">
        <v>12</v>
      </c>
      <c r="L413" s="1" t="s">
        <v>46</v>
      </c>
      <c r="M413" s="1" t="s">
        <v>47</v>
      </c>
      <c r="N413" s="3">
        <v>457733103</v>
      </c>
      <c r="O413" s="1"/>
      <c r="P413" s="1" t="s">
        <v>2477</v>
      </c>
      <c r="Q413" s="4">
        <v>1.333</v>
      </c>
      <c r="R413" s="4">
        <v>1.5</v>
      </c>
      <c r="S413" s="6">
        <v>4.1666699999999999</v>
      </c>
      <c r="T413" s="1" t="s">
        <v>50</v>
      </c>
      <c r="U413" s="1"/>
      <c r="V413" s="1"/>
      <c r="W413" s="1"/>
      <c r="X413" s="5">
        <v>80</v>
      </c>
      <c r="Y413" s="7">
        <v>5500000</v>
      </c>
      <c r="Z413" s="1"/>
      <c r="AA413" s="1"/>
      <c r="AB413" s="1"/>
      <c r="AC413" s="1"/>
      <c r="AD413" s="1"/>
      <c r="AE413" s="1" t="s">
        <v>51</v>
      </c>
      <c r="AF413" s="1" t="s">
        <v>51</v>
      </c>
      <c r="AG413" s="1" t="s">
        <v>47</v>
      </c>
      <c r="AH413" s="1"/>
      <c r="AI413" s="1"/>
      <c r="AJ413" s="3">
        <v>1</v>
      </c>
      <c r="AK413" s="1" t="s">
        <v>52</v>
      </c>
      <c r="AL413" s="3">
        <v>3</v>
      </c>
      <c r="AM413" s="8">
        <v>15</v>
      </c>
      <c r="AN413" s="1"/>
      <c r="AO413" s="1" t="s">
        <v>2478</v>
      </c>
      <c r="AP413" s="1" t="s">
        <v>96</v>
      </c>
      <c r="AQ413" s="1" t="s">
        <v>2479</v>
      </c>
      <c r="AR413" s="1" t="s">
        <v>2480</v>
      </c>
    </row>
    <row r="414">
      <c r="A414" s="2">
        <f ca="1">DATE(2000,03,03)</f>
        <v>0</v>
      </c>
      <c r="B414" s="2">
        <f ca="1">DATE(2000,08,02)</f>
        <v>0</v>
      </c>
      <c r="C414" s="1" t="s">
        <v>2481</v>
      </c>
      <c r="D414" s="3">
        <v>7372</v>
      </c>
      <c r="E414" s="1" t="s">
        <v>43</v>
      </c>
      <c r="F414" s="1" t="s">
        <v>2482</v>
      </c>
      <c r="G414" s="1" t="s">
        <v>160</v>
      </c>
      <c r="H414" s="4">
        <v>1.47</v>
      </c>
      <c r="I414" s="8">
        <v>7</v>
      </c>
      <c r="J414" s="5">
        <v>71.200000000000003</v>
      </c>
      <c r="K414" s="4">
        <v>21</v>
      </c>
      <c r="L414" s="1" t="s">
        <v>46</v>
      </c>
      <c r="M414" s="1" t="s">
        <v>47</v>
      </c>
      <c r="N414" s="1" t="s">
        <v>2483</v>
      </c>
      <c r="O414" s="1" t="s">
        <v>48</v>
      </c>
      <c r="P414" s="1" t="s">
        <v>2484</v>
      </c>
      <c r="Q414" s="4">
        <v>1.4290000000000001</v>
      </c>
      <c r="R414" s="4">
        <v>1.381</v>
      </c>
      <c r="S414" s="6">
        <v>4.19048</v>
      </c>
      <c r="T414" s="1" t="s">
        <v>50</v>
      </c>
      <c r="U414" s="1"/>
      <c r="V414" s="1"/>
      <c r="W414" s="1"/>
      <c r="X414" s="5">
        <v>60</v>
      </c>
      <c r="Y414" s="7">
        <v>3389000</v>
      </c>
      <c r="Z414" s="1"/>
      <c r="AA414" s="1"/>
      <c r="AB414" s="1"/>
      <c r="AC414" s="1"/>
      <c r="AD414" s="1"/>
      <c r="AE414" s="1" t="s">
        <v>51</v>
      </c>
      <c r="AF414" s="1" t="s">
        <v>51</v>
      </c>
      <c r="AG414" s="1" t="s">
        <v>47</v>
      </c>
      <c r="AH414" s="1"/>
      <c r="AI414" s="1"/>
      <c r="AJ414" s="3">
        <v>1</v>
      </c>
      <c r="AK414" s="1" t="s">
        <v>52</v>
      </c>
      <c r="AL414" s="3">
        <v>4</v>
      </c>
      <c r="AM414" s="8">
        <v>36.130000000000003</v>
      </c>
      <c r="AN414" s="1"/>
      <c r="AO414" s="1" t="s">
        <v>2485</v>
      </c>
      <c r="AP414" s="1" t="s">
        <v>160</v>
      </c>
      <c r="AQ414" s="1" t="s">
        <v>2486</v>
      </c>
      <c r="AR414" s="1" t="s">
        <v>2487</v>
      </c>
    </row>
    <row r="415">
      <c r="A415" s="2">
        <f ca="1">DATE(2000,03,03)</f>
        <v>0</v>
      </c>
      <c r="B415" s="2">
        <f ca="1">DATE(2000,08,02)</f>
        <v>0</v>
      </c>
      <c r="C415" s="1" t="s">
        <v>2481</v>
      </c>
      <c r="D415" s="3">
        <v>7372</v>
      </c>
      <c r="E415" s="1" t="s">
        <v>43</v>
      </c>
      <c r="F415" s="1" t="s">
        <v>2482</v>
      </c>
      <c r="G415" s="1" t="s">
        <v>160</v>
      </c>
      <c r="H415" s="4">
        <v>1.47</v>
      </c>
      <c r="I415" s="8">
        <v>7</v>
      </c>
      <c r="J415" s="5">
        <v>12.800000000000001</v>
      </c>
      <c r="K415" s="8">
        <v>21</v>
      </c>
      <c r="L415" s="1" t="s">
        <v>58</v>
      </c>
      <c r="M415" s="1" t="s">
        <v>47</v>
      </c>
      <c r="N415" s="1" t="s">
        <v>2483</v>
      </c>
      <c r="O415" s="1" t="s">
        <v>48</v>
      </c>
      <c r="P415" s="1" t="s">
        <v>2488</v>
      </c>
      <c r="Q415" s="4">
        <v>1.4290000000000001</v>
      </c>
      <c r="R415" s="4">
        <v>1.381</v>
      </c>
      <c r="S415" s="6">
        <v>4.19048</v>
      </c>
      <c r="T415" s="1" t="s">
        <v>60</v>
      </c>
      <c r="U415" s="1"/>
      <c r="V415" s="1"/>
      <c r="W415" s="1"/>
      <c r="X415" s="1"/>
      <c r="Y415" s="7">
        <v>611000</v>
      </c>
      <c r="Z415" s="1"/>
      <c r="AA415" s="1"/>
      <c r="AB415" s="1"/>
      <c r="AC415" s="1"/>
      <c r="AD415" s="1"/>
      <c r="AE415" s="1" t="s">
        <v>51</v>
      </c>
      <c r="AF415" s="1" t="s">
        <v>51</v>
      </c>
      <c r="AG415" s="1" t="s">
        <v>47</v>
      </c>
      <c r="AH415" s="1"/>
      <c r="AI415" s="1"/>
      <c r="AJ415" s="3">
        <v>1</v>
      </c>
      <c r="AK415" s="1" t="s">
        <v>52</v>
      </c>
      <c r="AL415" s="3">
        <v>1</v>
      </c>
      <c r="AM415" s="1"/>
      <c r="AN415" s="1"/>
      <c r="AO415" s="1" t="s">
        <v>2489</v>
      </c>
      <c r="AP415" s="1" t="s">
        <v>160</v>
      </c>
      <c r="AQ415" s="1" t="s">
        <v>160</v>
      </c>
      <c r="AR415" s="1" t="s">
        <v>187</v>
      </c>
    </row>
    <row r="416">
      <c r="A416" s="2">
        <f ca="1">DATE(2000,02,16)</f>
        <v>0</v>
      </c>
      <c r="B416" s="2">
        <f ca="1">DATE(2000,08,02)</f>
        <v>0</v>
      </c>
      <c r="C416" s="1" t="s">
        <v>2490</v>
      </c>
      <c r="D416" s="3">
        <v>7375</v>
      </c>
      <c r="E416" s="1" t="s">
        <v>43</v>
      </c>
      <c r="F416" s="1" t="s">
        <v>2491</v>
      </c>
      <c r="G416" s="1" t="s">
        <v>239</v>
      </c>
      <c r="H416" s="4">
        <v>0.83999999999999997</v>
      </c>
      <c r="I416" s="8">
        <v>7</v>
      </c>
      <c r="J416" s="5">
        <v>45.5</v>
      </c>
      <c r="K416" s="4">
        <v>12</v>
      </c>
      <c r="L416" s="1" t="s">
        <v>46</v>
      </c>
      <c r="M416" s="1" t="s">
        <v>47</v>
      </c>
      <c r="N416" s="3">
        <v>810883108</v>
      </c>
      <c r="O416" s="1" t="s">
        <v>48</v>
      </c>
      <c r="P416" s="1" t="s">
        <v>2492</v>
      </c>
      <c r="Q416" s="4">
        <v>1.417</v>
      </c>
      <c r="R416" s="4">
        <v>1.417</v>
      </c>
      <c r="S416" s="6">
        <v>4.1666699999999999</v>
      </c>
      <c r="T416" s="1" t="s">
        <v>50</v>
      </c>
      <c r="U416" s="1"/>
      <c r="V416" s="1"/>
      <c r="W416" s="1"/>
      <c r="X416" s="5">
        <v>75</v>
      </c>
      <c r="Y416" s="7">
        <v>3794026</v>
      </c>
      <c r="Z416" s="1"/>
      <c r="AA416" s="1"/>
      <c r="AB416" s="1"/>
      <c r="AC416" s="1"/>
      <c r="AD416" s="1"/>
      <c r="AE416" s="1" t="s">
        <v>51</v>
      </c>
      <c r="AF416" s="1" t="s">
        <v>51</v>
      </c>
      <c r="AG416" s="1" t="s">
        <v>47</v>
      </c>
      <c r="AH416" s="1"/>
      <c r="AI416" s="1"/>
      <c r="AJ416" s="3">
        <v>1</v>
      </c>
      <c r="AK416" s="1" t="s">
        <v>52</v>
      </c>
      <c r="AL416" s="3">
        <v>3</v>
      </c>
      <c r="AM416" s="8">
        <v>10.5</v>
      </c>
      <c r="AN416" s="1"/>
      <c r="AO416" s="1" t="s">
        <v>2493</v>
      </c>
      <c r="AP416" s="1" t="s">
        <v>239</v>
      </c>
      <c r="AQ416" s="1" t="s">
        <v>2494</v>
      </c>
      <c r="AR416" s="1" t="s">
        <v>2495</v>
      </c>
    </row>
    <row r="417">
      <c r="A417" s="2">
        <f ca="1">DATE(2000,02,16)</f>
        <v>0</v>
      </c>
      <c r="B417" s="2">
        <f ca="1">DATE(2000,08,02)</f>
        <v>0</v>
      </c>
      <c r="C417" s="1" t="s">
        <v>2490</v>
      </c>
      <c r="D417" s="3">
        <v>7375</v>
      </c>
      <c r="E417" s="1" t="s">
        <v>43</v>
      </c>
      <c r="F417" s="1" t="s">
        <v>2491</v>
      </c>
      <c r="G417" s="1" t="s">
        <v>239</v>
      </c>
      <c r="H417" s="4">
        <v>0.83999999999999997</v>
      </c>
      <c r="I417" s="8">
        <v>7</v>
      </c>
      <c r="J417" s="5">
        <v>14.5</v>
      </c>
      <c r="K417" s="8">
        <v>12</v>
      </c>
      <c r="L417" s="1" t="s">
        <v>58</v>
      </c>
      <c r="M417" s="1" t="s">
        <v>47</v>
      </c>
      <c r="N417" s="3">
        <v>810883108</v>
      </c>
      <c r="O417" s="1" t="s">
        <v>48</v>
      </c>
      <c r="P417" s="1" t="s">
        <v>2496</v>
      </c>
      <c r="Q417" s="4">
        <v>1.417</v>
      </c>
      <c r="R417" s="4">
        <v>1.417</v>
      </c>
      <c r="S417" s="6">
        <v>4.1666699999999999</v>
      </c>
      <c r="T417" s="1" t="s">
        <v>60</v>
      </c>
      <c r="U417" s="1"/>
      <c r="V417" s="1"/>
      <c r="W417" s="1"/>
      <c r="X417" s="1"/>
      <c r="Y417" s="7">
        <v>1205974</v>
      </c>
      <c r="Z417" s="1"/>
      <c r="AA417" s="1"/>
      <c r="AB417" s="1"/>
      <c r="AC417" s="1"/>
      <c r="AD417" s="1"/>
      <c r="AE417" s="1" t="s">
        <v>51</v>
      </c>
      <c r="AF417" s="1" t="s">
        <v>51</v>
      </c>
      <c r="AG417" s="1" t="s">
        <v>47</v>
      </c>
      <c r="AH417" s="1"/>
      <c r="AI417" s="1"/>
      <c r="AJ417" s="3">
        <v>1</v>
      </c>
      <c r="AK417" s="1" t="s">
        <v>52</v>
      </c>
      <c r="AL417" s="3">
        <v>3</v>
      </c>
      <c r="AM417" s="1"/>
      <c r="AN417" s="1"/>
      <c r="AO417" s="1" t="s">
        <v>2497</v>
      </c>
      <c r="AP417" s="1" t="s">
        <v>239</v>
      </c>
      <c r="AQ417" s="1" t="s">
        <v>2494</v>
      </c>
      <c r="AR417" s="1" t="s">
        <v>2495</v>
      </c>
    </row>
    <row r="418">
      <c r="A418" s="2">
        <f ca="1">DATE(2000,04,13)</f>
        <v>0</v>
      </c>
      <c r="B418" s="2">
        <f ca="1">DATE(2000,08,02)</f>
        <v>0</v>
      </c>
      <c r="C418" s="1" t="s">
        <v>2498</v>
      </c>
      <c r="D418" s="3">
        <v>7372</v>
      </c>
      <c r="E418" s="1" t="s">
        <v>43</v>
      </c>
      <c r="F418" s="1" t="s">
        <v>2499</v>
      </c>
      <c r="G418" s="1" t="s">
        <v>204</v>
      </c>
      <c r="H418" s="4">
        <v>1.19</v>
      </c>
      <c r="I418" s="8">
        <v>7</v>
      </c>
      <c r="J418" s="5">
        <v>74.799999999999997</v>
      </c>
      <c r="K418" s="4">
        <v>17</v>
      </c>
      <c r="L418" s="1" t="s">
        <v>46</v>
      </c>
      <c r="M418" s="1" t="s">
        <v>47</v>
      </c>
      <c r="N418" s="1" t="s">
        <v>2500</v>
      </c>
      <c r="O418" s="1" t="s">
        <v>48</v>
      </c>
      <c r="P418" s="1" t="s">
        <v>2501</v>
      </c>
      <c r="Q418" s="4">
        <v>1.3999999999999999</v>
      </c>
      <c r="R418" s="4">
        <v>1.3999999999999999</v>
      </c>
      <c r="S418" s="8">
        <v>4.2000000000000002</v>
      </c>
      <c r="T418" s="1" t="s">
        <v>50</v>
      </c>
      <c r="U418" s="1"/>
      <c r="V418" s="1"/>
      <c r="W418" s="1"/>
      <c r="X418" s="5">
        <v>80.5</v>
      </c>
      <c r="Y418" s="7">
        <v>4400000</v>
      </c>
      <c r="Z418" s="1"/>
      <c r="AA418" s="2">
        <f ca="1">DATE(2001,01,29)</f>
        <v>0</v>
      </c>
      <c r="AB418" s="4">
        <v>59.634</v>
      </c>
      <c r="AC418" s="3">
        <v>180</v>
      </c>
      <c r="AD418" s="8">
        <v>13609023</v>
      </c>
      <c r="AE418" s="1" t="s">
        <v>51</v>
      </c>
      <c r="AF418" s="1" t="s">
        <v>51</v>
      </c>
      <c r="AG418" s="1" t="s">
        <v>47</v>
      </c>
      <c r="AH418" s="1"/>
      <c r="AI418" s="1"/>
      <c r="AJ418" s="3">
        <v>1</v>
      </c>
      <c r="AK418" s="1" t="s">
        <v>52</v>
      </c>
      <c r="AL418" s="3">
        <v>3</v>
      </c>
      <c r="AM418" s="8">
        <v>21.879999999999999</v>
      </c>
      <c r="AN418" s="1"/>
      <c r="AO418" s="1" t="s">
        <v>2502</v>
      </c>
      <c r="AP418" s="1" t="s">
        <v>204</v>
      </c>
      <c r="AQ418" s="1" t="s">
        <v>2503</v>
      </c>
      <c r="AR418" s="1" t="s">
        <v>2504</v>
      </c>
    </row>
    <row r="419">
      <c r="A419" s="2">
        <f ca="1">DATE(2000,03,22)</f>
        <v>0</v>
      </c>
      <c r="B419" s="2">
        <f ca="1">DATE(2000,08,02)</f>
        <v>0</v>
      </c>
      <c r="C419" s="1" t="s">
        <v>2505</v>
      </c>
      <c r="D419" s="3">
        <v>2836</v>
      </c>
      <c r="E419" s="1" t="s">
        <v>43</v>
      </c>
      <c r="F419" s="1" t="s">
        <v>2506</v>
      </c>
      <c r="G419" s="1" t="s">
        <v>813</v>
      </c>
      <c r="H419" s="4">
        <v>0.77000000000000002</v>
      </c>
      <c r="I419" s="4">
        <v>7</v>
      </c>
      <c r="J419" s="5">
        <v>38.5</v>
      </c>
      <c r="K419" s="4">
        <v>11</v>
      </c>
      <c r="L419" s="1" t="s">
        <v>46</v>
      </c>
      <c r="M419" s="1" t="s">
        <v>47</v>
      </c>
      <c r="N419" s="3">
        <v>925314106</v>
      </c>
      <c r="O419" s="1" t="s">
        <v>48</v>
      </c>
      <c r="P419" s="1" t="s">
        <v>2507</v>
      </c>
      <c r="Q419" s="4">
        <v>1.3640000000000001</v>
      </c>
      <c r="R419" s="4">
        <v>1.6359999999999999</v>
      </c>
      <c r="S419" s="8">
        <v>4</v>
      </c>
      <c r="T419" s="1" t="s">
        <v>50</v>
      </c>
      <c r="U419" s="1"/>
      <c r="V419" s="1"/>
      <c r="W419" s="1"/>
      <c r="X419" s="5">
        <v>86.299999999999997</v>
      </c>
      <c r="Y419" s="7">
        <v>3500000</v>
      </c>
      <c r="Z419" s="1"/>
      <c r="AA419" s="1"/>
      <c r="AB419" s="1"/>
      <c r="AC419" s="1"/>
      <c r="AD419" s="1"/>
      <c r="AE419" s="1" t="s">
        <v>51</v>
      </c>
      <c r="AF419" s="1" t="s">
        <v>51</v>
      </c>
      <c r="AG419" s="1" t="s">
        <v>47</v>
      </c>
      <c r="AH419" s="1"/>
      <c r="AI419" s="1"/>
      <c r="AJ419" s="3">
        <v>1</v>
      </c>
      <c r="AK419" s="1" t="s">
        <v>52</v>
      </c>
      <c r="AL419" s="3">
        <v>4</v>
      </c>
      <c r="AM419" s="8">
        <v>9.9100000000000001</v>
      </c>
      <c r="AN419" s="1"/>
      <c r="AO419" s="1" t="s">
        <v>2508</v>
      </c>
      <c r="AP419" s="1" t="s">
        <v>813</v>
      </c>
      <c r="AQ419" s="1" t="s">
        <v>2509</v>
      </c>
      <c r="AR419" s="1" t="s">
        <v>2510</v>
      </c>
    </row>
    <row r="420">
      <c r="A420" s="2">
        <f ca="1">DATE(2000,03,22)</f>
        <v>0</v>
      </c>
      <c r="B420" s="2">
        <f ca="1">DATE(2000,08,02)</f>
        <v>0</v>
      </c>
      <c r="C420" s="1" t="s">
        <v>2505</v>
      </c>
      <c r="D420" s="3">
        <v>2836</v>
      </c>
      <c r="E420" s="1" t="s">
        <v>43</v>
      </c>
      <c r="F420" s="1" t="s">
        <v>2506</v>
      </c>
      <c r="G420" s="1" t="s">
        <v>813</v>
      </c>
      <c r="H420" s="4">
        <v>0.77000000000000002</v>
      </c>
      <c r="I420" s="4">
        <v>7</v>
      </c>
      <c r="J420" s="5">
        <v>12.1</v>
      </c>
      <c r="K420" s="8">
        <v>11</v>
      </c>
      <c r="L420" s="1" t="s">
        <v>58</v>
      </c>
      <c r="M420" s="1" t="s">
        <v>47</v>
      </c>
      <c r="N420" s="3">
        <v>925314106</v>
      </c>
      <c r="O420" s="1" t="s">
        <v>48</v>
      </c>
      <c r="P420" s="1" t="s">
        <v>2511</v>
      </c>
      <c r="Q420" s="4">
        <v>1.3640000000000001</v>
      </c>
      <c r="R420" s="4">
        <v>1.6359999999999999</v>
      </c>
      <c r="S420" s="8">
        <v>4</v>
      </c>
      <c r="T420" s="1" t="s">
        <v>60</v>
      </c>
      <c r="U420" s="1"/>
      <c r="V420" s="1"/>
      <c r="W420" s="1"/>
      <c r="X420" s="1"/>
      <c r="Y420" s="7">
        <v>1100000</v>
      </c>
      <c r="Z420" s="1"/>
      <c r="AA420" s="1"/>
      <c r="AB420" s="1"/>
      <c r="AC420" s="1"/>
      <c r="AD420" s="1"/>
      <c r="AE420" s="1" t="s">
        <v>51</v>
      </c>
      <c r="AF420" s="1" t="s">
        <v>51</v>
      </c>
      <c r="AG420" s="1" t="s">
        <v>47</v>
      </c>
      <c r="AH420" s="1"/>
      <c r="AI420" s="1"/>
      <c r="AJ420" s="3">
        <v>1</v>
      </c>
      <c r="AK420" s="1" t="s">
        <v>52</v>
      </c>
      <c r="AL420" s="3">
        <v>2</v>
      </c>
      <c r="AM420" s="1"/>
      <c r="AN420" s="1"/>
      <c r="AO420" s="1" t="s">
        <v>2512</v>
      </c>
      <c r="AP420" s="1" t="s">
        <v>813</v>
      </c>
      <c r="AQ420" s="1" t="s">
        <v>1293</v>
      </c>
      <c r="AR420" s="1" t="s">
        <v>1294</v>
      </c>
    </row>
    <row r="421">
      <c r="A421" s="2">
        <f ca="1">DATE(2000,04,14)</f>
        <v>0</v>
      </c>
      <c r="B421" s="2">
        <f ca="1">DATE(2000,08,03)</f>
        <v>0</v>
      </c>
      <c r="C421" s="1" t="s">
        <v>2513</v>
      </c>
      <c r="D421" s="3">
        <v>3826</v>
      </c>
      <c r="E421" s="1" t="s">
        <v>43</v>
      </c>
      <c r="F421" s="1"/>
      <c r="G421" s="1" t="s">
        <v>1583</v>
      </c>
      <c r="H421" s="4">
        <v>0.91000000000000003</v>
      </c>
      <c r="I421" s="4">
        <v>7</v>
      </c>
      <c r="J421" s="5">
        <v>104</v>
      </c>
      <c r="K421" s="8">
        <v>13</v>
      </c>
      <c r="L421" s="1" t="s">
        <v>46</v>
      </c>
      <c r="M421" s="1" t="s">
        <v>47</v>
      </c>
      <c r="N421" s="3">
        <v>116795105</v>
      </c>
      <c r="O421" s="1"/>
      <c r="P421" s="1" t="s">
        <v>2514</v>
      </c>
      <c r="Q421" s="4">
        <v>1.423</v>
      </c>
      <c r="R421" s="4">
        <v>1.423</v>
      </c>
      <c r="S421" s="6">
        <v>4.1538500000000003</v>
      </c>
      <c r="T421" s="1" t="s">
        <v>60</v>
      </c>
      <c r="U421" s="1"/>
      <c r="V421" s="1"/>
      <c r="W421" s="1"/>
      <c r="X421" s="5">
        <v>125</v>
      </c>
      <c r="Y421" s="7">
        <v>8000000</v>
      </c>
      <c r="Z421" s="1"/>
      <c r="AA421" s="1"/>
      <c r="AB421" s="1"/>
      <c r="AC421" s="1"/>
      <c r="AD421" s="1"/>
      <c r="AE421" s="1" t="s">
        <v>51</v>
      </c>
      <c r="AF421" s="1" t="s">
        <v>51</v>
      </c>
      <c r="AG421" s="1" t="s">
        <v>51</v>
      </c>
      <c r="AH421" s="1"/>
      <c r="AI421" s="1"/>
      <c r="AJ421" s="3">
        <v>1</v>
      </c>
      <c r="AK421" s="1" t="s">
        <v>52</v>
      </c>
      <c r="AL421" s="3">
        <v>1</v>
      </c>
      <c r="AM421" s="1"/>
      <c r="AN421" s="1"/>
      <c r="AO421" s="1" t="s">
        <v>2515</v>
      </c>
      <c r="AP421" s="1" t="s">
        <v>1583</v>
      </c>
      <c r="AQ421" s="1" t="s">
        <v>1583</v>
      </c>
      <c r="AR421" s="1" t="s">
        <v>1591</v>
      </c>
    </row>
    <row r="422">
      <c r="A422" s="2">
        <f ca="1">DATE(2000,07,10)</f>
        <v>0</v>
      </c>
      <c r="B422" s="2">
        <f ca="1">DATE(2000,08,03)</f>
        <v>0</v>
      </c>
      <c r="C422" s="1" t="s">
        <v>2516</v>
      </c>
      <c r="D422" s="3">
        <v>7375</v>
      </c>
      <c r="E422" s="1" t="s">
        <v>795</v>
      </c>
      <c r="F422" s="1" t="s">
        <v>2517</v>
      </c>
      <c r="G422" s="1" t="s">
        <v>160</v>
      </c>
      <c r="H422" s="4">
        <v>0.88</v>
      </c>
      <c r="I422" s="4">
        <v>6.2859999999999996</v>
      </c>
      <c r="J422" s="5">
        <v>243.5</v>
      </c>
      <c r="K422" s="8">
        <v>14</v>
      </c>
      <c r="L422" s="1" t="s">
        <v>58</v>
      </c>
      <c r="M422" s="1" t="s">
        <v>47</v>
      </c>
      <c r="N422" s="3">
        <v>227888102</v>
      </c>
      <c r="O422" s="1" t="s">
        <v>48</v>
      </c>
      <c r="P422" s="1" t="s">
        <v>2518</v>
      </c>
      <c r="Q422" s="4">
        <v>1.286</v>
      </c>
      <c r="R422" s="4">
        <v>1.286</v>
      </c>
      <c r="S422" s="6">
        <v>3.7142900000000001</v>
      </c>
      <c r="T422" s="1" t="s">
        <v>60</v>
      </c>
      <c r="U422" s="8">
        <v>14</v>
      </c>
      <c r="V422" s="8">
        <v>12</v>
      </c>
      <c r="W422" s="7">
        <v>17392000</v>
      </c>
      <c r="X422" s="5">
        <v>226.09999999999999</v>
      </c>
      <c r="Y422" s="7">
        <v>17392000</v>
      </c>
      <c r="Z422" s="1"/>
      <c r="AA422" s="1"/>
      <c r="AB422" s="1"/>
      <c r="AC422" s="1"/>
      <c r="AD422" s="1"/>
      <c r="AE422" s="1" t="s">
        <v>51</v>
      </c>
      <c r="AF422" s="1" t="s">
        <v>51</v>
      </c>
      <c r="AG422" s="1" t="s">
        <v>51</v>
      </c>
      <c r="AH422" s="1"/>
      <c r="AI422" s="1"/>
      <c r="AJ422" s="3">
        <v>1</v>
      </c>
      <c r="AK422" s="1" t="s">
        <v>52</v>
      </c>
      <c r="AL422" s="3">
        <v>1</v>
      </c>
      <c r="AM422" s="1"/>
      <c r="AN422" s="1"/>
      <c r="AO422" s="1" t="s">
        <v>2519</v>
      </c>
      <c r="AP422" s="1" t="s">
        <v>160</v>
      </c>
      <c r="AQ422" s="1" t="s">
        <v>160</v>
      </c>
      <c r="AR422" s="1" t="s">
        <v>187</v>
      </c>
    </row>
    <row r="423">
      <c r="A423" s="2">
        <f ca="1">DATE(2000,05,09)</f>
        <v>0</v>
      </c>
      <c r="B423" s="2">
        <f ca="1">DATE(2000,08,03)</f>
        <v>0</v>
      </c>
      <c r="C423" s="1" t="s">
        <v>2520</v>
      </c>
      <c r="D423" s="3">
        <v>3571</v>
      </c>
      <c r="E423" s="1" t="s">
        <v>43</v>
      </c>
      <c r="F423" s="1" t="s">
        <v>2521</v>
      </c>
      <c r="G423" s="1" t="s">
        <v>84</v>
      </c>
      <c r="H423" s="4">
        <v>0.77000000000000002</v>
      </c>
      <c r="I423" s="4">
        <v>7</v>
      </c>
      <c r="J423" s="5">
        <v>33</v>
      </c>
      <c r="K423" s="4">
        <v>11</v>
      </c>
      <c r="L423" s="1" t="s">
        <v>46</v>
      </c>
      <c r="M423" s="1" t="s">
        <v>47</v>
      </c>
      <c r="N423" s="1" t="s">
        <v>2522</v>
      </c>
      <c r="O423" s="1" t="s">
        <v>48</v>
      </c>
      <c r="P423" s="1" t="s">
        <v>2523</v>
      </c>
      <c r="Q423" s="4">
        <v>1.4550000000000001</v>
      </c>
      <c r="R423" s="4">
        <v>1.3640000000000001</v>
      </c>
      <c r="S423" s="6">
        <v>4.1818200000000001</v>
      </c>
      <c r="T423" s="1" t="s">
        <v>50</v>
      </c>
      <c r="U423" s="1"/>
      <c r="V423" s="1"/>
      <c r="W423" s="1"/>
      <c r="X423" s="5">
        <v>40</v>
      </c>
      <c r="Y423" s="7">
        <v>3000000</v>
      </c>
      <c r="Z423" s="1"/>
      <c r="AA423" s="2">
        <f ca="1">DATE(2001,01,30)</f>
        <v>0</v>
      </c>
      <c r="AB423" s="4">
        <v>72.427999999999997</v>
      </c>
      <c r="AC423" s="3">
        <v>180</v>
      </c>
      <c r="AD423" s="8">
        <v>9121593</v>
      </c>
      <c r="AE423" s="1" t="s">
        <v>51</v>
      </c>
      <c r="AF423" s="1" t="s">
        <v>51</v>
      </c>
      <c r="AG423" s="1" t="s">
        <v>47</v>
      </c>
      <c r="AH423" s="1"/>
      <c r="AI423" s="1"/>
      <c r="AJ423" s="3">
        <v>1</v>
      </c>
      <c r="AK423" s="1" t="s">
        <v>52</v>
      </c>
      <c r="AL423" s="3">
        <v>3</v>
      </c>
      <c r="AM423" s="8">
        <v>12.19</v>
      </c>
      <c r="AN423" s="1"/>
      <c r="AO423" s="1" t="s">
        <v>2524</v>
      </c>
      <c r="AP423" s="1" t="s">
        <v>84</v>
      </c>
      <c r="AQ423" s="1" t="s">
        <v>2525</v>
      </c>
      <c r="AR423" s="1" t="s">
        <v>2526</v>
      </c>
    </row>
    <row r="424">
      <c r="A424" s="2">
        <f ca="1">DATE(2000,03,17)</f>
        <v>0</v>
      </c>
      <c r="B424" s="2">
        <f ca="1">DATE(2000,08,03)</f>
        <v>0</v>
      </c>
      <c r="C424" s="1" t="s">
        <v>2527</v>
      </c>
      <c r="D424" s="3">
        <v>8731</v>
      </c>
      <c r="E424" s="1" t="s">
        <v>43</v>
      </c>
      <c r="F424" s="1" t="s">
        <v>2528</v>
      </c>
      <c r="G424" s="1" t="s">
        <v>813</v>
      </c>
      <c r="H424" s="4">
        <v>0.97999999999999998</v>
      </c>
      <c r="I424" s="8">
        <v>7</v>
      </c>
      <c r="J424" s="5">
        <v>65.799999999999997</v>
      </c>
      <c r="K424" s="4">
        <v>14</v>
      </c>
      <c r="L424" s="1" t="s">
        <v>46</v>
      </c>
      <c r="M424" s="1" t="s">
        <v>47</v>
      </c>
      <c r="N424" s="3">
        <v>777777103</v>
      </c>
      <c r="O424" s="1" t="s">
        <v>48</v>
      </c>
      <c r="P424" s="1" t="s">
        <v>2529</v>
      </c>
      <c r="Q424" s="4">
        <v>1.4290000000000001</v>
      </c>
      <c r="R424" s="4">
        <v>1.4290000000000001</v>
      </c>
      <c r="S424" s="6">
        <v>4.1428599999999998</v>
      </c>
      <c r="T424" s="1" t="s">
        <v>50</v>
      </c>
      <c r="U424" s="1"/>
      <c r="V424" s="1"/>
      <c r="W424" s="1"/>
      <c r="X424" s="5">
        <v>115</v>
      </c>
      <c r="Y424" s="7">
        <v>4700000</v>
      </c>
      <c r="Z424" s="1"/>
      <c r="AA424" s="1"/>
      <c r="AB424" s="1"/>
      <c r="AC424" s="1"/>
      <c r="AD424" s="1"/>
      <c r="AE424" s="1" t="s">
        <v>51</v>
      </c>
      <c r="AF424" s="1" t="s">
        <v>51</v>
      </c>
      <c r="AG424" s="1" t="s">
        <v>47</v>
      </c>
      <c r="AH424" s="1"/>
      <c r="AI424" s="1"/>
      <c r="AJ424" s="3">
        <v>1</v>
      </c>
      <c r="AK424" s="1" t="s">
        <v>52</v>
      </c>
      <c r="AL424" s="3">
        <v>4</v>
      </c>
      <c r="AM424" s="8">
        <v>17.879999999999999</v>
      </c>
      <c r="AN424" s="1"/>
      <c r="AO424" s="1" t="s">
        <v>2530</v>
      </c>
      <c r="AP424" s="1" t="s">
        <v>813</v>
      </c>
      <c r="AQ424" s="1" t="s">
        <v>2531</v>
      </c>
      <c r="AR424" s="1" t="s">
        <v>2532</v>
      </c>
    </row>
    <row r="425">
      <c r="A425" s="2">
        <f ca="1">DATE(2000,03,17)</f>
        <v>0</v>
      </c>
      <c r="B425" s="2">
        <f ca="1">DATE(2000,08,03)</f>
        <v>0</v>
      </c>
      <c r="C425" s="1" t="s">
        <v>2527</v>
      </c>
      <c r="D425" s="3">
        <v>8731</v>
      </c>
      <c r="E425" s="1" t="s">
        <v>43</v>
      </c>
      <c r="F425" s="1" t="s">
        <v>2528</v>
      </c>
      <c r="G425" s="1" t="s">
        <v>813</v>
      </c>
      <c r="H425" s="4">
        <v>0.97999999999999998</v>
      </c>
      <c r="I425" s="8">
        <v>7</v>
      </c>
      <c r="J425" s="5">
        <v>35</v>
      </c>
      <c r="K425" s="8">
        <v>14</v>
      </c>
      <c r="L425" s="1" t="s">
        <v>58</v>
      </c>
      <c r="M425" s="1" t="s">
        <v>47</v>
      </c>
      <c r="N425" s="3">
        <v>777777103</v>
      </c>
      <c r="O425" s="1" t="s">
        <v>48</v>
      </c>
      <c r="P425" s="1" t="s">
        <v>2533</v>
      </c>
      <c r="Q425" s="4">
        <v>1.4290000000000001</v>
      </c>
      <c r="R425" s="4">
        <v>1.4290000000000001</v>
      </c>
      <c r="S425" s="6">
        <v>4.1429299999999998</v>
      </c>
      <c r="T425" s="1" t="s">
        <v>60</v>
      </c>
      <c r="U425" s="1"/>
      <c r="V425" s="1"/>
      <c r="W425" s="1"/>
      <c r="X425" s="1"/>
      <c r="Y425" s="7">
        <v>2500000</v>
      </c>
      <c r="Z425" s="1"/>
      <c r="AA425" s="1"/>
      <c r="AB425" s="1"/>
      <c r="AC425" s="1"/>
      <c r="AD425" s="1"/>
      <c r="AE425" s="1" t="s">
        <v>51</v>
      </c>
      <c r="AF425" s="1" t="s">
        <v>51</v>
      </c>
      <c r="AG425" s="1" t="s">
        <v>47</v>
      </c>
      <c r="AH425" s="1"/>
      <c r="AI425" s="1"/>
      <c r="AJ425" s="3">
        <v>1</v>
      </c>
      <c r="AK425" s="1" t="s">
        <v>52</v>
      </c>
      <c r="AL425" s="3">
        <v>2</v>
      </c>
      <c r="AM425" s="1"/>
      <c r="AN425" s="1"/>
      <c r="AO425" s="1" t="s">
        <v>2534</v>
      </c>
      <c r="AP425" s="1" t="s">
        <v>813</v>
      </c>
      <c r="AQ425" s="1" t="s">
        <v>2535</v>
      </c>
      <c r="AR425" s="1" t="s">
        <v>2536</v>
      </c>
    </row>
    <row r="426">
      <c r="A426" s="2">
        <f ca="1">DATE(2000,05,23)</f>
        <v>0</v>
      </c>
      <c r="B426" s="2">
        <f ca="1">DATE(2000,08,03)</f>
        <v>0</v>
      </c>
      <c r="C426" s="1" t="s">
        <v>2537</v>
      </c>
      <c r="D426" s="3">
        <v>2836</v>
      </c>
      <c r="E426" s="1" t="s">
        <v>43</v>
      </c>
      <c r="F426" s="1" t="s">
        <v>2538</v>
      </c>
      <c r="G426" s="1" t="s">
        <v>411</v>
      </c>
      <c r="H426" s="4">
        <v>1.05</v>
      </c>
      <c r="I426" s="4">
        <v>7</v>
      </c>
      <c r="J426" s="5">
        <v>75</v>
      </c>
      <c r="K426" s="4">
        <v>15</v>
      </c>
      <c r="L426" s="1" t="s">
        <v>46</v>
      </c>
      <c r="M426" s="1" t="s">
        <v>47</v>
      </c>
      <c r="N426" s="1" t="s">
        <v>2539</v>
      </c>
      <c r="O426" s="1" t="s">
        <v>48</v>
      </c>
      <c r="P426" s="1" t="s">
        <v>2540</v>
      </c>
      <c r="Q426" s="4">
        <v>1.3999999999999999</v>
      </c>
      <c r="R426" s="4">
        <v>1.3999999999999999</v>
      </c>
      <c r="S426" s="8">
        <v>4.2000000000000002</v>
      </c>
      <c r="T426" s="1" t="s">
        <v>50</v>
      </c>
      <c r="U426" s="1"/>
      <c r="V426" s="1"/>
      <c r="W426" s="1"/>
      <c r="X426" s="5">
        <v>70</v>
      </c>
      <c r="Y426" s="7">
        <v>5000000</v>
      </c>
      <c r="Z426" s="1"/>
      <c r="AA426" s="2">
        <f ca="1">DATE(2001,01,30)</f>
        <v>0</v>
      </c>
      <c r="AB426" s="1"/>
      <c r="AC426" s="3">
        <v>180</v>
      </c>
      <c r="AD426" s="1"/>
      <c r="AE426" s="1" t="s">
        <v>51</v>
      </c>
      <c r="AF426" s="1" t="s">
        <v>51</v>
      </c>
      <c r="AG426" s="1" t="s">
        <v>47</v>
      </c>
      <c r="AH426" s="1"/>
      <c r="AI426" s="1"/>
      <c r="AJ426" s="3">
        <v>1</v>
      </c>
      <c r="AK426" s="1" t="s">
        <v>52</v>
      </c>
      <c r="AL426" s="3">
        <v>3</v>
      </c>
      <c r="AM426" s="8">
        <v>19.129999999999999</v>
      </c>
      <c r="AN426" s="1"/>
      <c r="AO426" s="1" t="s">
        <v>2541</v>
      </c>
      <c r="AP426" s="1" t="s">
        <v>411</v>
      </c>
      <c r="AQ426" s="1" t="s">
        <v>2542</v>
      </c>
      <c r="AR426" s="1" t="s">
        <v>2543</v>
      </c>
    </row>
    <row r="427">
      <c r="A427" s="2">
        <f ca="1">DATE(2000,04,19)</f>
        <v>0</v>
      </c>
      <c r="B427" s="2">
        <f ca="1">DATE(2000,08,04)</f>
        <v>0</v>
      </c>
      <c r="C427" s="1" t="s">
        <v>2544</v>
      </c>
      <c r="D427" s="3">
        <v>7371</v>
      </c>
      <c r="E427" s="1" t="s">
        <v>43</v>
      </c>
      <c r="F427" s="1" t="s">
        <v>2545</v>
      </c>
      <c r="G427" s="1" t="s">
        <v>2546</v>
      </c>
      <c r="H427" s="4">
        <v>0.56000000000000005</v>
      </c>
      <c r="I427" s="4">
        <v>7</v>
      </c>
      <c r="J427" s="5">
        <v>64</v>
      </c>
      <c r="K427" s="4">
        <v>8</v>
      </c>
      <c r="L427" s="1" t="s">
        <v>46</v>
      </c>
      <c r="M427" s="1" t="s">
        <v>47</v>
      </c>
      <c r="N427" s="3">
        <v>301504106</v>
      </c>
      <c r="O427" s="1" t="s">
        <v>48</v>
      </c>
      <c r="P427" s="1" t="s">
        <v>2547</v>
      </c>
      <c r="Q427" s="4">
        <v>1.375</v>
      </c>
      <c r="R427" s="4">
        <v>1.375</v>
      </c>
      <c r="S427" s="8">
        <v>4.25</v>
      </c>
      <c r="T427" s="1" t="s">
        <v>50</v>
      </c>
      <c r="U427" s="1"/>
      <c r="V427" s="1"/>
      <c r="W427" s="1"/>
      <c r="X427" s="5">
        <v>125</v>
      </c>
      <c r="Y427" s="7">
        <v>8000000</v>
      </c>
      <c r="Z427" s="1"/>
      <c r="AA427" s="2">
        <f ca="1">DATE(2001,01,31)</f>
        <v>0</v>
      </c>
      <c r="AB427" s="4">
        <v>79.257999999999996</v>
      </c>
      <c r="AC427" s="3">
        <v>180</v>
      </c>
      <c r="AD427" s="8">
        <v>33270366</v>
      </c>
      <c r="AE427" s="1" t="s">
        <v>51</v>
      </c>
      <c r="AF427" s="1" t="s">
        <v>51</v>
      </c>
      <c r="AG427" s="1" t="s">
        <v>47</v>
      </c>
      <c r="AH427" s="1"/>
      <c r="AI427" s="1"/>
      <c r="AJ427" s="3">
        <v>2</v>
      </c>
      <c r="AK427" s="1" t="s">
        <v>89</v>
      </c>
      <c r="AL427" s="3">
        <v>4</v>
      </c>
      <c r="AM427" s="8">
        <v>8.1300000000000008</v>
      </c>
      <c r="AN427" s="1"/>
      <c r="AO427" s="1" t="s">
        <v>2548</v>
      </c>
      <c r="AP427" s="1" t="s">
        <v>2549</v>
      </c>
      <c r="AQ427" s="1" t="s">
        <v>2550</v>
      </c>
      <c r="AR427" s="1" t="s">
        <v>2551</v>
      </c>
    </row>
    <row r="428">
      <c r="A428" s="2">
        <f ca="1">DATE(2000,05,19)</f>
        <v>0</v>
      </c>
      <c r="B428" s="2">
        <f ca="1">DATE(2000,08,04)</f>
        <v>0</v>
      </c>
      <c r="C428" s="1" t="s">
        <v>2552</v>
      </c>
      <c r="D428" s="3">
        <v>3571</v>
      </c>
      <c r="E428" s="1" t="s">
        <v>43</v>
      </c>
      <c r="F428" s="1" t="s">
        <v>2553</v>
      </c>
      <c r="G428" s="1" t="s">
        <v>151</v>
      </c>
      <c r="H428" s="4">
        <v>0.69999999999999996</v>
      </c>
      <c r="I428" s="8">
        <v>7</v>
      </c>
      <c r="J428" s="5">
        <v>60</v>
      </c>
      <c r="K428" s="4">
        <v>10</v>
      </c>
      <c r="L428" s="1" t="s">
        <v>46</v>
      </c>
      <c r="M428" s="1" t="s">
        <v>47</v>
      </c>
      <c r="N428" s="3">
        <v>516548104</v>
      </c>
      <c r="O428" s="1" t="s">
        <v>48</v>
      </c>
      <c r="P428" s="1" t="s">
        <v>2554</v>
      </c>
      <c r="Q428" s="4">
        <v>1.3999999999999999</v>
      </c>
      <c r="R428" s="4">
        <v>1.3999999999999999</v>
      </c>
      <c r="S428" s="8">
        <v>4.2000000000000002</v>
      </c>
      <c r="T428" s="1" t="s">
        <v>50</v>
      </c>
      <c r="U428" s="1"/>
      <c r="V428" s="1"/>
      <c r="W428" s="1"/>
      <c r="X428" s="5">
        <v>115</v>
      </c>
      <c r="Y428" s="7">
        <v>6000000</v>
      </c>
      <c r="Z428" s="1"/>
      <c r="AA428" s="2">
        <f ca="1">DATE(2001,01,31)</f>
        <v>0</v>
      </c>
      <c r="AB428" s="4">
        <v>83.227999999999994</v>
      </c>
      <c r="AC428" s="3">
        <v>180</v>
      </c>
      <c r="AD428" s="8">
        <v>29774432</v>
      </c>
      <c r="AE428" s="1" t="s">
        <v>51</v>
      </c>
      <c r="AF428" s="1" t="s">
        <v>51</v>
      </c>
      <c r="AG428" s="1" t="s">
        <v>51</v>
      </c>
      <c r="AH428" s="1"/>
      <c r="AI428" s="1"/>
      <c r="AJ428" s="3">
        <v>1</v>
      </c>
      <c r="AK428" s="1" t="s">
        <v>89</v>
      </c>
      <c r="AL428" s="3">
        <v>3</v>
      </c>
      <c r="AM428" s="8">
        <v>8</v>
      </c>
      <c r="AN428" s="1"/>
      <c r="AO428" s="1" t="s">
        <v>2555</v>
      </c>
      <c r="AP428" s="1" t="s">
        <v>1877</v>
      </c>
      <c r="AQ428" s="1" t="s">
        <v>2556</v>
      </c>
      <c r="AR428" s="1" t="s">
        <v>2557</v>
      </c>
    </row>
    <row r="429">
      <c r="A429" s="2">
        <f ca="1">DATE(2000,05,05)</f>
        <v>0</v>
      </c>
      <c r="B429" s="2">
        <f ca="1">DATE(2000,08,04)</f>
        <v>0</v>
      </c>
      <c r="C429" s="1" t="s">
        <v>2558</v>
      </c>
      <c r="D429" s="3">
        <v>3674</v>
      </c>
      <c r="E429" s="1" t="s">
        <v>43</v>
      </c>
      <c r="F429" s="1" t="s">
        <v>2559</v>
      </c>
      <c r="G429" s="1" t="s">
        <v>160</v>
      </c>
      <c r="H429" s="4">
        <v>1.1200000000000001</v>
      </c>
      <c r="I429" s="4">
        <v>7</v>
      </c>
      <c r="J429" s="5">
        <v>52.799999999999997</v>
      </c>
      <c r="K429" s="4">
        <v>16</v>
      </c>
      <c r="L429" s="1" t="s">
        <v>46</v>
      </c>
      <c r="M429" s="1" t="s">
        <v>47</v>
      </c>
      <c r="N429" s="1" t="s">
        <v>2560</v>
      </c>
      <c r="O429" s="1" t="s">
        <v>48</v>
      </c>
      <c r="P429" s="1" t="s">
        <v>2561</v>
      </c>
      <c r="Q429" s="4">
        <v>1.4379999999999999</v>
      </c>
      <c r="R429" s="4">
        <v>1.4379999999999999</v>
      </c>
      <c r="S429" s="4">
        <v>4.125</v>
      </c>
      <c r="T429" s="1" t="s">
        <v>50</v>
      </c>
      <c r="U429" s="1"/>
      <c r="V429" s="1"/>
      <c r="W429" s="1"/>
      <c r="X429" s="5">
        <v>57.5</v>
      </c>
      <c r="Y429" s="7">
        <v>3298500</v>
      </c>
      <c r="Z429" s="1"/>
      <c r="AA429" s="1"/>
      <c r="AB429" s="1"/>
      <c r="AC429" s="1"/>
      <c r="AD429" s="1"/>
      <c r="AE429" s="1" t="s">
        <v>51</v>
      </c>
      <c r="AF429" s="1" t="s">
        <v>51</v>
      </c>
      <c r="AG429" s="1" t="s">
        <v>47</v>
      </c>
      <c r="AH429" s="1"/>
      <c r="AI429" s="1"/>
      <c r="AJ429" s="3">
        <v>1</v>
      </c>
      <c r="AK429" s="1" t="s">
        <v>52</v>
      </c>
      <c r="AL429" s="3">
        <v>4</v>
      </c>
      <c r="AM429" s="8">
        <v>30.129999999999999</v>
      </c>
      <c r="AN429" s="1"/>
      <c r="AO429" s="1" t="s">
        <v>2562</v>
      </c>
      <c r="AP429" s="1" t="s">
        <v>160</v>
      </c>
      <c r="AQ429" s="1" t="s">
        <v>2563</v>
      </c>
      <c r="AR429" s="1" t="s">
        <v>2564</v>
      </c>
    </row>
    <row r="430">
      <c r="A430" s="2">
        <f ca="1">DATE(2000,05,05)</f>
        <v>0</v>
      </c>
      <c r="B430" s="2">
        <f ca="1">DATE(2000,08,04)</f>
        <v>0</v>
      </c>
      <c r="C430" s="1" t="s">
        <v>2558</v>
      </c>
      <c r="D430" s="3">
        <v>3674</v>
      </c>
      <c r="E430" s="1" t="s">
        <v>43</v>
      </c>
      <c r="F430" s="1" t="s">
        <v>2559</v>
      </c>
      <c r="G430" s="1" t="s">
        <v>1725</v>
      </c>
      <c r="H430" s="4">
        <v>1.1200000000000001</v>
      </c>
      <c r="I430" s="4">
        <v>7</v>
      </c>
      <c r="J430" s="5">
        <v>11.199999999999999</v>
      </c>
      <c r="K430" s="8">
        <v>16</v>
      </c>
      <c r="L430" s="1" t="s">
        <v>58</v>
      </c>
      <c r="M430" s="1" t="s">
        <v>47</v>
      </c>
      <c r="N430" s="1" t="s">
        <v>2560</v>
      </c>
      <c r="O430" s="1" t="s">
        <v>48</v>
      </c>
      <c r="P430" s="1" t="s">
        <v>2565</v>
      </c>
      <c r="Q430" s="4">
        <v>1.4379999999999999</v>
      </c>
      <c r="R430" s="4">
        <v>1.4379999999999999</v>
      </c>
      <c r="S430" s="4">
        <v>4.125</v>
      </c>
      <c r="T430" s="1" t="s">
        <v>60</v>
      </c>
      <c r="U430" s="1"/>
      <c r="V430" s="1"/>
      <c r="W430" s="1"/>
      <c r="X430" s="1"/>
      <c r="Y430" s="7">
        <v>701500</v>
      </c>
      <c r="Z430" s="1"/>
      <c r="AA430" s="1"/>
      <c r="AB430" s="1"/>
      <c r="AC430" s="1"/>
      <c r="AD430" s="1"/>
      <c r="AE430" s="1" t="s">
        <v>51</v>
      </c>
      <c r="AF430" s="1" t="s">
        <v>51</v>
      </c>
      <c r="AG430" s="1" t="s">
        <v>47</v>
      </c>
      <c r="AH430" s="1"/>
      <c r="AI430" s="1"/>
      <c r="AJ430" s="3">
        <v>1</v>
      </c>
      <c r="AK430" s="1" t="s">
        <v>52</v>
      </c>
      <c r="AL430" s="3">
        <v>1</v>
      </c>
      <c r="AM430" s="1"/>
      <c r="AN430" s="1"/>
      <c r="AO430" s="1" t="s">
        <v>2566</v>
      </c>
      <c r="AP430" s="1" t="s">
        <v>1725</v>
      </c>
      <c r="AQ430" s="1" t="s">
        <v>1725</v>
      </c>
      <c r="AR430" s="1" t="s">
        <v>1729</v>
      </c>
    </row>
    <row r="431">
      <c r="A431" s="2">
        <f ca="1">DATE(2000,07,18)</f>
        <v>0</v>
      </c>
      <c r="B431" s="2">
        <f ca="1">DATE(2000,08,04)</f>
        <v>0</v>
      </c>
      <c r="C431" s="1" t="s">
        <v>2567</v>
      </c>
      <c r="D431" s="3">
        <v>4812</v>
      </c>
      <c r="E431" s="1" t="s">
        <v>934</v>
      </c>
      <c r="F431" s="1" t="s">
        <v>2568</v>
      </c>
      <c r="G431" s="1" t="s">
        <v>106</v>
      </c>
      <c r="H431" s="4">
        <v>1.19</v>
      </c>
      <c r="I431" s="8">
        <v>7</v>
      </c>
      <c r="J431" s="5">
        <v>85</v>
      </c>
      <c r="K431" s="8">
        <v>17</v>
      </c>
      <c r="L431" s="1" t="s">
        <v>58</v>
      </c>
      <c r="M431" s="1" t="s">
        <v>47</v>
      </c>
      <c r="N431" s="1"/>
      <c r="O431" s="1" t="s">
        <v>48</v>
      </c>
      <c r="P431" s="1" t="s">
        <v>2569</v>
      </c>
      <c r="Q431" s="1" t="s">
        <v>145</v>
      </c>
      <c r="R431" s="1" t="s">
        <v>145</v>
      </c>
      <c r="S431" s="1"/>
      <c r="T431" s="1" t="s">
        <v>60</v>
      </c>
      <c r="U431" s="8">
        <v>14</v>
      </c>
      <c r="V431" s="8">
        <v>12</v>
      </c>
      <c r="W431" s="7">
        <v>5000000</v>
      </c>
      <c r="X431" s="5">
        <v>65</v>
      </c>
      <c r="Y431" s="7">
        <v>5000000</v>
      </c>
      <c r="Z431" s="1"/>
      <c r="AA431" s="1"/>
      <c r="AB431" s="1"/>
      <c r="AC431" s="1"/>
      <c r="AD431" s="1"/>
      <c r="AE431" s="1" t="s">
        <v>51</v>
      </c>
      <c r="AF431" s="1" t="s">
        <v>51</v>
      </c>
      <c r="AG431" s="1" t="s">
        <v>51</v>
      </c>
      <c r="AH431" s="1"/>
      <c r="AI431" s="1"/>
      <c r="AJ431" s="3">
        <v>1</v>
      </c>
      <c r="AK431" s="1" t="s">
        <v>52</v>
      </c>
      <c r="AL431" s="3">
        <v>3</v>
      </c>
      <c r="AM431" s="1"/>
      <c r="AN431" s="1"/>
      <c r="AO431" s="1" t="s">
        <v>2570</v>
      </c>
      <c r="AP431" s="1" t="s">
        <v>106</v>
      </c>
      <c r="AQ431" s="1" t="s">
        <v>224</v>
      </c>
      <c r="AR431" s="1" t="s">
        <v>225</v>
      </c>
    </row>
    <row r="432">
      <c r="A432" s="2">
        <f ca="1">DATE(2000,05,12)</f>
        <v>0</v>
      </c>
      <c r="B432" s="2">
        <f ca="1">DATE(2000,08,07)</f>
        <v>0</v>
      </c>
      <c r="C432" s="1" t="s">
        <v>2571</v>
      </c>
      <c r="D432" s="3">
        <v>4911</v>
      </c>
      <c r="E432" s="1" t="s">
        <v>43</v>
      </c>
      <c r="F432" s="1" t="s">
        <v>2572</v>
      </c>
      <c r="G432" s="1" t="s">
        <v>160</v>
      </c>
      <c r="H432" s="4">
        <v>1.19</v>
      </c>
      <c r="I432" s="8">
        <v>7</v>
      </c>
      <c r="J432" s="5">
        <v>118.2</v>
      </c>
      <c r="K432" s="4">
        <v>17</v>
      </c>
      <c r="L432" s="1" t="s">
        <v>46</v>
      </c>
      <c r="M432" s="1" t="s">
        <v>47</v>
      </c>
      <c r="N432" s="1" t="s">
        <v>2573</v>
      </c>
      <c r="O432" s="1" t="s">
        <v>48</v>
      </c>
      <c r="P432" s="1" t="s">
        <v>2574</v>
      </c>
      <c r="Q432" s="4">
        <v>1.4119999999999999</v>
      </c>
      <c r="R432" s="4">
        <v>1.4119999999999999</v>
      </c>
      <c r="S432" s="6">
        <v>4.1764700000000001</v>
      </c>
      <c r="T432" s="1" t="s">
        <v>50</v>
      </c>
      <c r="U432" s="1"/>
      <c r="V432" s="1"/>
      <c r="W432" s="1"/>
      <c r="X432" s="5">
        <v>100</v>
      </c>
      <c r="Y432" s="7">
        <v>6955000</v>
      </c>
      <c r="Z432" s="1"/>
      <c r="AA432" s="1"/>
      <c r="AB432" s="1"/>
      <c r="AC432" s="1"/>
      <c r="AD432" s="1"/>
      <c r="AE432" s="1" t="s">
        <v>51</v>
      </c>
      <c r="AF432" s="1" t="s">
        <v>51</v>
      </c>
      <c r="AG432" s="1" t="s">
        <v>47</v>
      </c>
      <c r="AH432" s="1"/>
      <c r="AI432" s="1"/>
      <c r="AJ432" s="3">
        <v>1</v>
      </c>
      <c r="AK432" s="1" t="s">
        <v>52</v>
      </c>
      <c r="AL432" s="3">
        <v>4</v>
      </c>
      <c r="AM432" s="8">
        <v>52.75</v>
      </c>
      <c r="AN432" s="1"/>
      <c r="AO432" s="1" t="s">
        <v>2575</v>
      </c>
      <c r="AP432" s="1" t="s">
        <v>160</v>
      </c>
      <c r="AQ432" s="1" t="s">
        <v>2576</v>
      </c>
      <c r="AR432" s="1" t="s">
        <v>2577</v>
      </c>
    </row>
    <row r="433">
      <c r="A433" s="2">
        <f ca="1">DATE(2000,05,12)</f>
        <v>0</v>
      </c>
      <c r="B433" s="2">
        <f ca="1">DATE(2000,08,07)</f>
        <v>0</v>
      </c>
      <c r="C433" s="1" t="s">
        <v>2571</v>
      </c>
      <c r="D433" s="3">
        <v>4911</v>
      </c>
      <c r="E433" s="1" t="s">
        <v>43</v>
      </c>
      <c r="F433" s="1" t="s">
        <v>2572</v>
      </c>
      <c r="G433" s="1" t="s">
        <v>1725</v>
      </c>
      <c r="H433" s="4">
        <v>1.19</v>
      </c>
      <c r="I433" s="8">
        <v>7</v>
      </c>
      <c r="J433" s="5">
        <v>17.800000000000001</v>
      </c>
      <c r="K433" s="8">
        <v>17</v>
      </c>
      <c r="L433" s="1" t="s">
        <v>58</v>
      </c>
      <c r="M433" s="1" t="s">
        <v>47</v>
      </c>
      <c r="N433" s="1" t="s">
        <v>2573</v>
      </c>
      <c r="O433" s="1" t="s">
        <v>48</v>
      </c>
      <c r="P433" s="1" t="s">
        <v>2578</v>
      </c>
      <c r="Q433" s="4">
        <v>1.4119999999999999</v>
      </c>
      <c r="R433" s="4">
        <v>1.4119999999999999</v>
      </c>
      <c r="S433" s="6">
        <v>4.1764099999999997</v>
      </c>
      <c r="T433" s="1" t="s">
        <v>60</v>
      </c>
      <c r="U433" s="1"/>
      <c r="V433" s="1"/>
      <c r="W433" s="1"/>
      <c r="X433" s="1"/>
      <c r="Y433" s="7">
        <v>1045000</v>
      </c>
      <c r="Z433" s="1"/>
      <c r="AA433" s="1"/>
      <c r="AB433" s="1"/>
      <c r="AC433" s="1"/>
      <c r="AD433" s="1"/>
      <c r="AE433" s="1" t="s">
        <v>51</v>
      </c>
      <c r="AF433" s="1" t="s">
        <v>51</v>
      </c>
      <c r="AG433" s="1" t="s">
        <v>47</v>
      </c>
      <c r="AH433" s="1"/>
      <c r="AI433" s="1"/>
      <c r="AJ433" s="3">
        <v>1</v>
      </c>
      <c r="AK433" s="1" t="s">
        <v>52</v>
      </c>
      <c r="AL433" s="3">
        <v>1</v>
      </c>
      <c r="AM433" s="1"/>
      <c r="AN433" s="1"/>
      <c r="AO433" s="1" t="s">
        <v>2579</v>
      </c>
      <c r="AP433" s="1" t="s">
        <v>1725</v>
      </c>
      <c r="AQ433" s="1" t="s">
        <v>1725</v>
      </c>
      <c r="AR433" s="1" t="s">
        <v>1729</v>
      </c>
    </row>
    <row r="434">
      <c r="A434" s="2">
        <f ca="1">DATE(2000,06,02)</f>
        <v>0</v>
      </c>
      <c r="B434" s="2">
        <f ca="1">DATE(2000,08,07)</f>
        <v>0</v>
      </c>
      <c r="C434" s="1" t="s">
        <v>2580</v>
      </c>
      <c r="D434" s="3">
        <v>3674</v>
      </c>
      <c r="E434" s="1" t="s">
        <v>43</v>
      </c>
      <c r="F434" s="1" t="s">
        <v>2581</v>
      </c>
      <c r="G434" s="1" t="s">
        <v>2582</v>
      </c>
      <c r="H434" s="4">
        <v>1.05</v>
      </c>
      <c r="I434" s="4">
        <v>7</v>
      </c>
      <c r="J434" s="5">
        <v>52.5</v>
      </c>
      <c r="K434" s="4">
        <v>15</v>
      </c>
      <c r="L434" s="1" t="s">
        <v>46</v>
      </c>
      <c r="M434" s="1" t="s">
        <v>47</v>
      </c>
      <c r="N434" s="1" t="s">
        <v>2583</v>
      </c>
      <c r="O434" s="1" t="s">
        <v>48</v>
      </c>
      <c r="P434" s="1" t="s">
        <v>2584</v>
      </c>
      <c r="Q434" s="4">
        <v>1.3999999999999999</v>
      </c>
      <c r="R434" s="4">
        <v>1.3999999999999999</v>
      </c>
      <c r="S434" s="8">
        <v>4.2000000000000002</v>
      </c>
      <c r="T434" s="1" t="s">
        <v>50</v>
      </c>
      <c r="U434" s="1"/>
      <c r="V434" s="1"/>
      <c r="W434" s="1"/>
      <c r="X434" s="5">
        <v>69</v>
      </c>
      <c r="Y434" s="7">
        <v>2455000</v>
      </c>
      <c r="Z434" s="7">
        <v>1045000</v>
      </c>
      <c r="AA434" s="2">
        <f ca="1">DATE(2001,02,03)</f>
        <v>0</v>
      </c>
      <c r="AB434" s="1"/>
      <c r="AC434" s="3">
        <v>180</v>
      </c>
      <c r="AD434" s="1"/>
      <c r="AE434" s="1" t="s">
        <v>51</v>
      </c>
      <c r="AF434" s="1" t="s">
        <v>51</v>
      </c>
      <c r="AG434" s="1" t="s">
        <v>47</v>
      </c>
      <c r="AH434" s="1"/>
      <c r="AI434" s="1"/>
      <c r="AJ434" s="3">
        <v>1</v>
      </c>
      <c r="AK434" s="1" t="s">
        <v>52</v>
      </c>
      <c r="AL434" s="3">
        <v>3</v>
      </c>
      <c r="AM434" s="8">
        <v>17</v>
      </c>
      <c r="AN434" s="1"/>
      <c r="AO434" s="1" t="s">
        <v>2585</v>
      </c>
      <c r="AP434" s="1" t="s">
        <v>2582</v>
      </c>
      <c r="AQ434" s="1" t="s">
        <v>2586</v>
      </c>
      <c r="AR434" s="1" t="s">
        <v>2587</v>
      </c>
    </row>
    <row r="435">
      <c r="A435" s="2">
        <f ca="1">DATE(2000,01,20)</f>
        <v>0</v>
      </c>
      <c r="B435" s="2">
        <f ca="1">DATE(2000,08,07)</f>
        <v>0</v>
      </c>
      <c r="C435" s="1" t="s">
        <v>2588</v>
      </c>
      <c r="D435" s="3">
        <v>7375</v>
      </c>
      <c r="E435" s="1" t="s">
        <v>43</v>
      </c>
      <c r="F435" s="1" t="s">
        <v>2589</v>
      </c>
      <c r="G435" s="1" t="s">
        <v>2590</v>
      </c>
      <c r="H435" s="4">
        <v>0.41999999999999998</v>
      </c>
      <c r="I435" s="4">
        <v>5.25</v>
      </c>
      <c r="J435" s="5">
        <v>200</v>
      </c>
      <c r="K435" s="4">
        <v>8</v>
      </c>
      <c r="L435" s="1" t="s">
        <v>152</v>
      </c>
      <c r="M435" s="1" t="s">
        <v>47</v>
      </c>
      <c r="N435" s="1" t="s">
        <v>2591</v>
      </c>
      <c r="O435" s="1" t="s">
        <v>48</v>
      </c>
      <c r="P435" s="1" t="s">
        <v>2592</v>
      </c>
      <c r="Q435" s="4">
        <v>1.125</v>
      </c>
      <c r="R435" s="4">
        <v>1</v>
      </c>
      <c r="S435" s="4">
        <v>3.125</v>
      </c>
      <c r="T435" s="1" t="s">
        <v>50</v>
      </c>
      <c r="U435" s="1"/>
      <c r="V435" s="1"/>
      <c r="W435" s="1"/>
      <c r="X435" s="5">
        <v>575</v>
      </c>
      <c r="Y435" s="7">
        <v>25000000</v>
      </c>
      <c r="Z435" s="1"/>
      <c r="AA435" s="2">
        <f ca="1">DATE(2001,02,03)</f>
        <v>0</v>
      </c>
      <c r="AB435" s="4">
        <v>83.817999999999998</v>
      </c>
      <c r="AC435" s="3">
        <v>180</v>
      </c>
      <c r="AD435" s="8">
        <v>218301218</v>
      </c>
      <c r="AE435" s="1" t="s">
        <v>51</v>
      </c>
      <c r="AF435" s="1" t="s">
        <v>51</v>
      </c>
      <c r="AG435" s="1" t="s">
        <v>51</v>
      </c>
      <c r="AH435" s="1" t="s">
        <v>2593</v>
      </c>
      <c r="AI435" s="1" t="s">
        <v>2594</v>
      </c>
      <c r="AJ435" s="3">
        <v>2</v>
      </c>
      <c r="AK435" s="1" t="s">
        <v>89</v>
      </c>
      <c r="AL435" s="3">
        <v>5</v>
      </c>
      <c r="AM435" s="8">
        <v>8.4399999999999995</v>
      </c>
      <c r="AN435" s="1"/>
      <c r="AO435" s="1" t="s">
        <v>2595</v>
      </c>
      <c r="AP435" s="1" t="s">
        <v>2596</v>
      </c>
      <c r="AQ435" s="1" t="s">
        <v>2597</v>
      </c>
      <c r="AR435" s="1" t="s">
        <v>2598</v>
      </c>
    </row>
    <row r="436">
      <c r="A436" s="2">
        <f ca="1">DATE(2000,05,19)</f>
        <v>0</v>
      </c>
      <c r="B436" s="2">
        <f ca="1">DATE(2000,08,07)</f>
        <v>0</v>
      </c>
      <c r="C436" s="1" t="s">
        <v>2599</v>
      </c>
      <c r="D436" s="3">
        <v>2834</v>
      </c>
      <c r="E436" s="1" t="s">
        <v>43</v>
      </c>
      <c r="F436" s="1" t="s">
        <v>2600</v>
      </c>
      <c r="G436" s="1" t="s">
        <v>400</v>
      </c>
      <c r="H436" s="4">
        <v>1.1200000000000001</v>
      </c>
      <c r="I436" s="4">
        <v>7</v>
      </c>
      <c r="J436" s="5">
        <v>76.299999999999997</v>
      </c>
      <c r="K436" s="4">
        <v>16</v>
      </c>
      <c r="L436" s="1" t="s">
        <v>46</v>
      </c>
      <c r="M436" s="1" t="s">
        <v>47</v>
      </c>
      <c r="N436" s="3">
        <v>584688105</v>
      </c>
      <c r="O436" s="1" t="s">
        <v>48</v>
      </c>
      <c r="P436" s="1" t="s">
        <v>2601</v>
      </c>
      <c r="Q436" s="4">
        <v>1.4379999999999999</v>
      </c>
      <c r="R436" s="4">
        <v>1.375</v>
      </c>
      <c r="S436" s="10">
        <v>4.1875</v>
      </c>
      <c r="T436" s="1" t="s">
        <v>50</v>
      </c>
      <c r="U436" s="1"/>
      <c r="V436" s="1"/>
      <c r="W436" s="1"/>
      <c r="X436" s="5">
        <v>75</v>
      </c>
      <c r="Y436" s="7">
        <v>4770000</v>
      </c>
      <c r="Z436" s="1"/>
      <c r="AA436" s="1"/>
      <c r="AB436" s="1"/>
      <c r="AC436" s="1"/>
      <c r="AD436" s="1"/>
      <c r="AE436" s="1" t="s">
        <v>51</v>
      </c>
      <c r="AF436" s="1" t="s">
        <v>51</v>
      </c>
      <c r="AG436" s="1" t="s">
        <v>47</v>
      </c>
      <c r="AH436" s="1"/>
      <c r="AI436" s="1"/>
      <c r="AJ436" s="3">
        <v>1</v>
      </c>
      <c r="AK436" s="1" t="s">
        <v>89</v>
      </c>
      <c r="AL436" s="3">
        <v>3</v>
      </c>
      <c r="AM436" s="8">
        <v>21.690000000000001</v>
      </c>
      <c r="AN436" s="1"/>
      <c r="AO436" s="1" t="s">
        <v>2602</v>
      </c>
      <c r="AP436" s="1" t="s">
        <v>2603</v>
      </c>
      <c r="AQ436" s="1" t="s">
        <v>2604</v>
      </c>
      <c r="AR436" s="1" t="s">
        <v>2605</v>
      </c>
    </row>
    <row r="437">
      <c r="A437" s="2">
        <f ca="1">DATE(2000,05,19)</f>
        <v>0</v>
      </c>
      <c r="B437" s="2">
        <f ca="1">DATE(2000,08,07)</f>
        <v>0</v>
      </c>
      <c r="C437" s="1" t="s">
        <v>2599</v>
      </c>
      <c r="D437" s="3">
        <v>2834</v>
      </c>
      <c r="E437" s="1" t="s">
        <v>43</v>
      </c>
      <c r="F437" s="1" t="s">
        <v>2600</v>
      </c>
      <c r="G437" s="1" t="s">
        <v>400</v>
      </c>
      <c r="H437" s="4">
        <v>1.1200000000000001</v>
      </c>
      <c r="I437" s="4">
        <v>7</v>
      </c>
      <c r="J437" s="5">
        <v>19.699999999999999</v>
      </c>
      <c r="K437" s="8">
        <v>16</v>
      </c>
      <c r="L437" s="1" t="s">
        <v>58</v>
      </c>
      <c r="M437" s="1" t="s">
        <v>47</v>
      </c>
      <c r="N437" s="3">
        <v>584688105</v>
      </c>
      <c r="O437" s="1" t="s">
        <v>48</v>
      </c>
      <c r="P437" s="1" t="s">
        <v>2606</v>
      </c>
      <c r="Q437" s="4">
        <v>1.3999999999999999</v>
      </c>
      <c r="R437" s="4">
        <v>1.3999999999999999</v>
      </c>
      <c r="S437" s="8">
        <v>4.2000000000000002</v>
      </c>
      <c r="T437" s="1" t="s">
        <v>60</v>
      </c>
      <c r="U437" s="1"/>
      <c r="V437" s="1"/>
      <c r="W437" s="1"/>
      <c r="X437" s="1"/>
      <c r="Y437" s="7">
        <v>1230000</v>
      </c>
      <c r="Z437" s="1"/>
      <c r="AA437" s="1"/>
      <c r="AB437" s="1"/>
      <c r="AC437" s="1"/>
      <c r="AD437" s="1"/>
      <c r="AE437" s="1" t="s">
        <v>51</v>
      </c>
      <c r="AF437" s="1" t="s">
        <v>51</v>
      </c>
      <c r="AG437" s="1" t="s">
        <v>47</v>
      </c>
      <c r="AH437" s="1"/>
      <c r="AI437" s="1"/>
      <c r="AJ437" s="3">
        <v>1</v>
      </c>
      <c r="AK437" s="1" t="s">
        <v>89</v>
      </c>
      <c r="AL437" s="3">
        <v>3</v>
      </c>
      <c r="AM437" s="1"/>
      <c r="AN437" s="1"/>
      <c r="AO437" s="1" t="s">
        <v>2607</v>
      </c>
      <c r="AP437" s="1" t="s">
        <v>2608</v>
      </c>
      <c r="AQ437" s="1" t="s">
        <v>2609</v>
      </c>
      <c r="AR437" s="1" t="s">
        <v>2610</v>
      </c>
    </row>
    <row r="438">
      <c r="A438" s="2">
        <f ca="1">DATE(2000,05,16)</f>
        <v>0</v>
      </c>
      <c r="B438" s="2">
        <f ca="1">DATE(2000,08,07)</f>
        <v>0</v>
      </c>
      <c r="C438" s="1" t="s">
        <v>2611</v>
      </c>
      <c r="D438" s="3">
        <v>3672</v>
      </c>
      <c r="E438" s="1" t="s">
        <v>43</v>
      </c>
      <c r="F438" s="1" t="s">
        <v>2612</v>
      </c>
      <c r="G438" s="1" t="s">
        <v>813</v>
      </c>
      <c r="H438" s="4">
        <v>0.73999999999999999</v>
      </c>
      <c r="I438" s="4">
        <v>6.7270000000000003</v>
      </c>
      <c r="J438" s="5">
        <v>76.700000000000003</v>
      </c>
      <c r="K438" s="4">
        <v>11</v>
      </c>
      <c r="L438" s="1" t="s">
        <v>46</v>
      </c>
      <c r="M438" s="1" t="s">
        <v>47</v>
      </c>
      <c r="N438" s="3">
        <v>706552106</v>
      </c>
      <c r="O438" s="1" t="s">
        <v>48</v>
      </c>
      <c r="P438" s="1" t="s">
        <v>2613</v>
      </c>
      <c r="Q438" s="4">
        <v>1.3640000000000001</v>
      </c>
      <c r="R438" s="4">
        <v>1.3640000000000001</v>
      </c>
      <c r="S438" s="8">
        <v>4</v>
      </c>
      <c r="T438" s="1" t="s">
        <v>50</v>
      </c>
      <c r="U438" s="1"/>
      <c r="V438" s="1"/>
      <c r="W438" s="1"/>
      <c r="X438" s="1"/>
      <c r="Y438" s="7">
        <v>6972000</v>
      </c>
      <c r="Z438" s="1"/>
      <c r="AA438" s="1"/>
      <c r="AB438" s="1"/>
      <c r="AC438" s="1"/>
      <c r="AD438" s="1"/>
      <c r="AE438" s="1" t="s">
        <v>51</v>
      </c>
      <c r="AF438" s="1" t="s">
        <v>51</v>
      </c>
      <c r="AG438" s="1" t="s">
        <v>47</v>
      </c>
      <c r="AH438" s="1"/>
      <c r="AI438" s="1"/>
      <c r="AJ438" s="3">
        <v>1</v>
      </c>
      <c r="AK438" s="1" t="s">
        <v>52</v>
      </c>
      <c r="AL438" s="3">
        <v>5</v>
      </c>
      <c r="AM438" s="8">
        <v>13.5</v>
      </c>
      <c r="AN438" s="1"/>
      <c r="AO438" s="1" t="s">
        <v>2614</v>
      </c>
      <c r="AP438" s="1" t="s">
        <v>813</v>
      </c>
      <c r="AQ438" s="1" t="s">
        <v>2615</v>
      </c>
      <c r="AR438" s="1" t="s">
        <v>2616</v>
      </c>
    </row>
    <row r="439">
      <c r="A439" s="2">
        <f ca="1">DATE(2000,05,16)</f>
        <v>0</v>
      </c>
      <c r="B439" s="2">
        <f ca="1">DATE(2000,08,07)</f>
        <v>0</v>
      </c>
      <c r="C439" s="1" t="s">
        <v>2611</v>
      </c>
      <c r="D439" s="3">
        <v>3672</v>
      </c>
      <c r="E439" s="1" t="s">
        <v>43</v>
      </c>
      <c r="F439" s="1" t="s">
        <v>2612</v>
      </c>
      <c r="G439" s="1" t="s">
        <v>813</v>
      </c>
      <c r="H439" s="4">
        <v>0.74299999999999999</v>
      </c>
      <c r="I439" s="4">
        <v>6.75</v>
      </c>
      <c r="J439" s="5">
        <v>15.699999999999999</v>
      </c>
      <c r="K439" s="8">
        <v>11</v>
      </c>
      <c r="L439" s="1" t="s">
        <v>58</v>
      </c>
      <c r="M439" s="1" t="s">
        <v>47</v>
      </c>
      <c r="N439" s="3">
        <v>706552106</v>
      </c>
      <c r="O439" s="1" t="s">
        <v>48</v>
      </c>
      <c r="P439" s="1" t="s">
        <v>2617</v>
      </c>
      <c r="Q439" s="4">
        <v>1.3640000000000001</v>
      </c>
      <c r="R439" s="4">
        <v>1.3640000000000001</v>
      </c>
      <c r="S439" s="8">
        <v>4</v>
      </c>
      <c r="T439" s="1" t="s">
        <v>60</v>
      </c>
      <c r="U439" s="1"/>
      <c r="V439" s="1"/>
      <c r="W439" s="1"/>
      <c r="X439" s="1"/>
      <c r="Y439" s="7">
        <v>1428000</v>
      </c>
      <c r="Z439" s="1"/>
      <c r="AA439" s="1"/>
      <c r="AB439" s="1"/>
      <c r="AC439" s="1"/>
      <c r="AD439" s="1"/>
      <c r="AE439" s="1" t="s">
        <v>51</v>
      </c>
      <c r="AF439" s="1" t="s">
        <v>51</v>
      </c>
      <c r="AG439" s="1" t="s">
        <v>47</v>
      </c>
      <c r="AH439" s="1"/>
      <c r="AI439" s="1"/>
      <c r="AJ439" s="3">
        <v>1</v>
      </c>
      <c r="AK439" s="1" t="s">
        <v>89</v>
      </c>
      <c r="AL439" s="3">
        <v>2</v>
      </c>
      <c r="AM439" s="1"/>
      <c r="AN439" s="1"/>
      <c r="AO439" s="1" t="s">
        <v>2618</v>
      </c>
      <c r="AP439" s="1" t="s">
        <v>2619</v>
      </c>
      <c r="AQ439" s="1" t="s">
        <v>2620</v>
      </c>
      <c r="AR439" s="1" t="s">
        <v>2398</v>
      </c>
    </row>
    <row r="440">
      <c r="A440" s="2">
        <f ca="1">DATE(2000,07,14)</f>
        <v>0</v>
      </c>
      <c r="B440" s="2">
        <f ca="1">DATE(2000,08,08)</f>
        <v>0</v>
      </c>
      <c r="C440" s="1" t="s">
        <v>2621</v>
      </c>
      <c r="D440" s="3">
        <v>3674</v>
      </c>
      <c r="E440" s="1" t="s">
        <v>43</v>
      </c>
      <c r="F440" s="1" t="s">
        <v>2622</v>
      </c>
      <c r="G440" s="1" t="s">
        <v>239</v>
      </c>
      <c r="H440" s="4">
        <v>0.71999999999999997</v>
      </c>
      <c r="I440" s="4">
        <v>6</v>
      </c>
      <c r="J440" s="5">
        <v>120</v>
      </c>
      <c r="K440" s="4">
        <v>12</v>
      </c>
      <c r="L440" s="1" t="s">
        <v>46</v>
      </c>
      <c r="M440" s="1" t="s">
        <v>47</v>
      </c>
      <c r="N440" s="3">
        <v>169657103</v>
      </c>
      <c r="O440" s="1" t="s">
        <v>48</v>
      </c>
      <c r="P440" s="1" t="s">
        <v>2623</v>
      </c>
      <c r="Q440" s="4">
        <v>1.167</v>
      </c>
      <c r="R440" s="4">
        <v>1.167</v>
      </c>
      <c r="S440" s="6">
        <v>3.6666699999999999</v>
      </c>
      <c r="T440" s="1" t="s">
        <v>50</v>
      </c>
      <c r="U440" s="1"/>
      <c r="V440" s="1"/>
      <c r="W440" s="1"/>
      <c r="X440" s="5">
        <v>325</v>
      </c>
      <c r="Y440" s="7">
        <v>10000000</v>
      </c>
      <c r="Z440" s="1"/>
      <c r="AA440" s="1"/>
      <c r="AB440" s="1"/>
      <c r="AC440" s="1"/>
      <c r="AD440" s="1"/>
      <c r="AE440" s="1" t="s">
        <v>51</v>
      </c>
      <c r="AF440" s="1" t="s">
        <v>51</v>
      </c>
      <c r="AG440" s="1" t="s">
        <v>51</v>
      </c>
      <c r="AH440" s="1"/>
      <c r="AI440" s="1"/>
      <c r="AJ440" s="3">
        <v>1</v>
      </c>
      <c r="AK440" s="1" t="s">
        <v>52</v>
      </c>
      <c r="AL440" s="3">
        <v>5</v>
      </c>
      <c r="AM440" s="8">
        <v>12.5</v>
      </c>
      <c r="AN440" s="1"/>
      <c r="AO440" s="1" t="s">
        <v>2624</v>
      </c>
      <c r="AP440" s="1" t="s">
        <v>239</v>
      </c>
      <c r="AQ440" s="1" t="s">
        <v>2625</v>
      </c>
      <c r="AR440" s="1" t="s">
        <v>2626</v>
      </c>
    </row>
    <row r="441">
      <c r="A441" s="2">
        <f ca="1">DATE(2000,02,28)</f>
        <v>0</v>
      </c>
      <c r="B441" s="2">
        <f ca="1">DATE(2000,08,08)</f>
        <v>0</v>
      </c>
      <c r="C441" s="1" t="s">
        <v>2627</v>
      </c>
      <c r="D441" s="3">
        <v>3663</v>
      </c>
      <c r="E441" s="1" t="s">
        <v>43</v>
      </c>
      <c r="F441" s="1" t="s">
        <v>2628</v>
      </c>
      <c r="G441" s="1" t="s">
        <v>282</v>
      </c>
      <c r="H441" s="4">
        <v>0.63</v>
      </c>
      <c r="I441" s="4">
        <v>7</v>
      </c>
      <c r="J441" s="5">
        <v>42.799999999999997</v>
      </c>
      <c r="K441" s="4">
        <v>9</v>
      </c>
      <c r="L441" s="1" t="s">
        <v>46</v>
      </c>
      <c r="M441" s="1" t="s">
        <v>47</v>
      </c>
      <c r="N441" s="1" t="s">
        <v>2629</v>
      </c>
      <c r="O441" s="1" t="s">
        <v>48</v>
      </c>
      <c r="P441" s="1" t="s">
        <v>2630</v>
      </c>
      <c r="Q441" s="4">
        <v>1.444</v>
      </c>
      <c r="R441" s="4">
        <v>1.444</v>
      </c>
      <c r="S441" s="6">
        <v>4.11111</v>
      </c>
      <c r="T441" s="1" t="s">
        <v>50</v>
      </c>
      <c r="U441" s="1"/>
      <c r="V441" s="1"/>
      <c r="W441" s="1"/>
      <c r="X441" s="5">
        <v>65</v>
      </c>
      <c r="Y441" s="7">
        <v>4750000</v>
      </c>
      <c r="Z441" s="1"/>
      <c r="AA441" s="2">
        <f ca="1">DATE(2001,02,04)</f>
        <v>0</v>
      </c>
      <c r="AB441" s="4">
        <v>79.043999999999997</v>
      </c>
      <c r="AC441" s="3">
        <v>180</v>
      </c>
      <c r="AD441" s="8">
        <v>17916525</v>
      </c>
      <c r="AE441" s="1" t="s">
        <v>51</v>
      </c>
      <c r="AF441" s="1" t="s">
        <v>51</v>
      </c>
      <c r="AG441" s="1" t="s">
        <v>47</v>
      </c>
      <c r="AH441" s="1"/>
      <c r="AI441" s="1"/>
      <c r="AJ441" s="3">
        <v>1</v>
      </c>
      <c r="AK441" s="1" t="s">
        <v>52</v>
      </c>
      <c r="AL441" s="3">
        <v>2</v>
      </c>
      <c r="AM441" s="8">
        <v>17</v>
      </c>
      <c r="AN441" s="1"/>
      <c r="AO441" s="1" t="s">
        <v>2631</v>
      </c>
      <c r="AP441" s="1" t="s">
        <v>282</v>
      </c>
      <c r="AQ441" s="1" t="s">
        <v>2632</v>
      </c>
      <c r="AR441" s="1" t="s">
        <v>2633</v>
      </c>
    </row>
    <row r="442">
      <c r="A442" s="2">
        <f ca="1">DATE(2000,04,25)</f>
        <v>0</v>
      </c>
      <c r="B442" s="2">
        <f ca="1">DATE(2000,08,08)</f>
        <v>0</v>
      </c>
      <c r="C442" s="1" t="s">
        <v>2634</v>
      </c>
      <c r="D442" s="3">
        <v>7372</v>
      </c>
      <c r="E442" s="1" t="s">
        <v>43</v>
      </c>
      <c r="F442" s="1" t="s">
        <v>2635</v>
      </c>
      <c r="G442" s="1" t="s">
        <v>2636</v>
      </c>
      <c r="H442" s="4">
        <v>1.19</v>
      </c>
      <c r="I442" s="8">
        <v>7</v>
      </c>
      <c r="J442" s="5">
        <v>79.900000000000006</v>
      </c>
      <c r="K442" s="4">
        <v>17</v>
      </c>
      <c r="L442" s="1" t="s">
        <v>152</v>
      </c>
      <c r="M442" s="1" t="s">
        <v>47</v>
      </c>
      <c r="N442" s="1" t="s">
        <v>2637</v>
      </c>
      <c r="O442" s="1" t="s">
        <v>48</v>
      </c>
      <c r="P442" s="1" t="s">
        <v>2638</v>
      </c>
      <c r="Q442" s="4">
        <v>1.4119999999999999</v>
      </c>
      <c r="R442" s="4">
        <v>1.4119999999999999</v>
      </c>
      <c r="S442" s="6">
        <v>4.1764700000000001</v>
      </c>
      <c r="T442" s="1" t="s">
        <v>50</v>
      </c>
      <c r="U442" s="1"/>
      <c r="V442" s="1"/>
      <c r="W442" s="1"/>
      <c r="X442" s="5">
        <v>115</v>
      </c>
      <c r="Y442" s="7">
        <v>4700000</v>
      </c>
      <c r="Z442" s="1"/>
      <c r="AA442" s="2">
        <f ca="1">DATE(2001,02,04)</f>
        <v>0</v>
      </c>
      <c r="AB442" s="4">
        <v>79.667000000000002</v>
      </c>
      <c r="AC442" s="3">
        <v>180</v>
      </c>
      <c r="AD442" s="8">
        <v>18415424</v>
      </c>
      <c r="AE442" s="1" t="s">
        <v>51</v>
      </c>
      <c r="AF442" s="1" t="s">
        <v>51</v>
      </c>
      <c r="AG442" s="1" t="s">
        <v>47</v>
      </c>
      <c r="AH442" s="1"/>
      <c r="AI442" s="1"/>
      <c r="AJ442" s="3">
        <v>2</v>
      </c>
      <c r="AK442" s="1" t="s">
        <v>89</v>
      </c>
      <c r="AL442" s="3">
        <v>3</v>
      </c>
      <c r="AM442" s="8">
        <v>25</v>
      </c>
      <c r="AN442" s="1"/>
      <c r="AO442" s="1" t="s">
        <v>2639</v>
      </c>
      <c r="AP442" s="1" t="s">
        <v>2640</v>
      </c>
      <c r="AQ442" s="1" t="s">
        <v>2641</v>
      </c>
      <c r="AR442" s="1" t="s">
        <v>2642</v>
      </c>
    </row>
    <row r="443">
      <c r="A443" s="2">
        <f ca="1">DATE(2000,07,10)</f>
        <v>0</v>
      </c>
      <c r="B443" s="2">
        <f ca="1">DATE(2000,08,08)</f>
        <v>0</v>
      </c>
      <c r="C443" s="1" t="s">
        <v>2643</v>
      </c>
      <c r="D443" s="3">
        <v>7372</v>
      </c>
      <c r="E443" s="1" t="s">
        <v>934</v>
      </c>
      <c r="F443" s="1" t="s">
        <v>2644</v>
      </c>
      <c r="G443" s="1" t="s">
        <v>813</v>
      </c>
      <c r="H443" s="4">
        <v>0.69999999999999996</v>
      </c>
      <c r="I443" s="8">
        <v>7</v>
      </c>
      <c r="J443" s="5">
        <v>30</v>
      </c>
      <c r="K443" s="8">
        <v>10</v>
      </c>
      <c r="L443" s="1" t="s">
        <v>58</v>
      </c>
      <c r="M443" s="1" t="s">
        <v>47</v>
      </c>
      <c r="N443" s="1" t="s">
        <v>2645</v>
      </c>
      <c r="O443" s="1" t="s">
        <v>2646</v>
      </c>
      <c r="P443" s="1" t="s">
        <v>2647</v>
      </c>
      <c r="Q443" s="4">
        <v>1.3999999999999999</v>
      </c>
      <c r="R443" s="4">
        <v>1.8</v>
      </c>
      <c r="S443" s="8">
        <v>3.7999999999999998</v>
      </c>
      <c r="T443" s="1" t="s">
        <v>60</v>
      </c>
      <c r="U443" s="8">
        <v>12</v>
      </c>
      <c r="V443" s="8">
        <v>10</v>
      </c>
      <c r="W443" s="7">
        <v>4200000</v>
      </c>
      <c r="X443" s="5">
        <v>46.200000000000003</v>
      </c>
      <c r="Y443" s="7">
        <v>3000000</v>
      </c>
      <c r="Z443" s="1"/>
      <c r="AA443" s="1"/>
      <c r="AB443" s="1"/>
      <c r="AC443" s="1"/>
      <c r="AD443" s="1"/>
      <c r="AE443" s="1" t="s">
        <v>51</v>
      </c>
      <c r="AF443" s="1" t="s">
        <v>51</v>
      </c>
      <c r="AG443" s="1" t="s">
        <v>51</v>
      </c>
      <c r="AH443" s="1"/>
      <c r="AI443" s="1"/>
      <c r="AJ443" s="3">
        <v>1</v>
      </c>
      <c r="AK443" s="1" t="s">
        <v>52</v>
      </c>
      <c r="AL443" s="3">
        <v>2</v>
      </c>
      <c r="AM443" s="1"/>
      <c r="AN443" s="1"/>
      <c r="AO443" s="1" t="s">
        <v>2648</v>
      </c>
      <c r="AP443" s="1" t="s">
        <v>813</v>
      </c>
      <c r="AQ443" s="1" t="s">
        <v>2649</v>
      </c>
      <c r="AR443" s="1" t="s">
        <v>2650</v>
      </c>
    </row>
    <row r="444">
      <c r="A444" s="2">
        <f ca="1">DATE(2000,02,25)</f>
        <v>0</v>
      </c>
      <c r="B444" s="2">
        <f ca="1">DATE(2000,08,09)</f>
        <v>0</v>
      </c>
      <c r="C444" s="1" t="s">
        <v>2651</v>
      </c>
      <c r="D444" s="3">
        <v>2834</v>
      </c>
      <c r="E444" s="1" t="s">
        <v>43</v>
      </c>
      <c r="F444" s="1" t="s">
        <v>2652</v>
      </c>
      <c r="G444" s="1" t="s">
        <v>387</v>
      </c>
      <c r="H444" s="4">
        <v>0.56000000000000005</v>
      </c>
      <c r="I444" s="4">
        <v>7</v>
      </c>
      <c r="J444" s="5">
        <v>48</v>
      </c>
      <c r="K444" s="4">
        <v>8</v>
      </c>
      <c r="L444" s="1" t="s">
        <v>46</v>
      </c>
      <c r="M444" s="1" t="s">
        <v>47</v>
      </c>
      <c r="N444" s="1" t="s">
        <v>2653</v>
      </c>
      <c r="O444" s="1" t="s">
        <v>77</v>
      </c>
      <c r="P444" s="1" t="s">
        <v>2654</v>
      </c>
      <c r="Q444" s="4">
        <v>1.375</v>
      </c>
      <c r="R444" s="4">
        <v>1.5</v>
      </c>
      <c r="S444" s="4">
        <v>4.125</v>
      </c>
      <c r="T444" s="1" t="s">
        <v>50</v>
      </c>
      <c r="U444" s="1"/>
      <c r="V444" s="1"/>
      <c r="W444" s="7">
        <v>6000000</v>
      </c>
      <c r="X444" s="5">
        <v>100</v>
      </c>
      <c r="Y444" s="7">
        <v>6000000</v>
      </c>
      <c r="Z444" s="1"/>
      <c r="AA444" s="2">
        <f ca="1">DATE(2001,02,05)</f>
        <v>0</v>
      </c>
      <c r="AB444" s="4">
        <v>67.236000000000004</v>
      </c>
      <c r="AC444" s="3">
        <v>180</v>
      </c>
      <c r="AD444" s="8">
        <v>15418179</v>
      </c>
      <c r="AE444" s="1" t="s">
        <v>51</v>
      </c>
      <c r="AF444" s="1" t="s">
        <v>51</v>
      </c>
      <c r="AG444" s="1" t="s">
        <v>47</v>
      </c>
      <c r="AH444" s="1"/>
      <c r="AI444" s="1"/>
      <c r="AJ444" s="3">
        <v>1</v>
      </c>
      <c r="AK444" s="1" t="s">
        <v>52</v>
      </c>
      <c r="AL444" s="3">
        <v>4</v>
      </c>
      <c r="AM444" s="8">
        <v>8.25</v>
      </c>
      <c r="AN444" s="1"/>
      <c r="AO444" s="1" t="s">
        <v>2655</v>
      </c>
      <c r="AP444" s="1" t="s">
        <v>387</v>
      </c>
      <c r="AQ444" s="1" t="s">
        <v>2656</v>
      </c>
      <c r="AR444" s="1" t="s">
        <v>2657</v>
      </c>
    </row>
    <row r="445">
      <c r="A445" s="2">
        <f ca="1">DATE(2000,02,24)</f>
        <v>0</v>
      </c>
      <c r="B445" s="2">
        <f ca="1">DATE(2000,08,09)</f>
        <v>0</v>
      </c>
      <c r="C445" s="1" t="s">
        <v>2658</v>
      </c>
      <c r="D445" s="3">
        <v>2834</v>
      </c>
      <c r="E445" s="1" t="s">
        <v>43</v>
      </c>
      <c r="F445" s="1" t="s">
        <v>2659</v>
      </c>
      <c r="G445" s="1" t="s">
        <v>122</v>
      </c>
      <c r="H445" s="4">
        <v>0.63</v>
      </c>
      <c r="I445" s="4">
        <v>7</v>
      </c>
      <c r="J445" s="5">
        <v>54</v>
      </c>
      <c r="K445" s="4">
        <v>9</v>
      </c>
      <c r="L445" s="1" t="s">
        <v>46</v>
      </c>
      <c r="M445" s="1" t="s">
        <v>47</v>
      </c>
      <c r="N445" s="1" t="s">
        <v>2660</v>
      </c>
      <c r="O445" s="1" t="s">
        <v>48</v>
      </c>
      <c r="P445" s="1" t="s">
        <v>2661</v>
      </c>
      <c r="Q445" s="4">
        <v>1.444</v>
      </c>
      <c r="R445" s="4">
        <v>1.444</v>
      </c>
      <c r="S445" s="6">
        <v>4.11111</v>
      </c>
      <c r="T445" s="1" t="s">
        <v>50</v>
      </c>
      <c r="U445" s="1"/>
      <c r="V445" s="1"/>
      <c r="W445" s="1"/>
      <c r="X445" s="5">
        <v>138</v>
      </c>
      <c r="Y445" s="7">
        <v>6000000</v>
      </c>
      <c r="Z445" s="1"/>
      <c r="AA445" s="2">
        <f ca="1">DATE(2001,02,05)</f>
        <v>0</v>
      </c>
      <c r="AB445" s="4">
        <v>100</v>
      </c>
      <c r="AC445" s="3">
        <v>180</v>
      </c>
      <c r="AD445" s="8">
        <v>24024855</v>
      </c>
      <c r="AE445" s="1" t="s">
        <v>51</v>
      </c>
      <c r="AF445" s="1" t="s">
        <v>51</v>
      </c>
      <c r="AG445" s="1" t="s">
        <v>47</v>
      </c>
      <c r="AH445" s="1"/>
      <c r="AI445" s="1"/>
      <c r="AJ445" s="3">
        <v>1</v>
      </c>
      <c r="AK445" s="1" t="s">
        <v>89</v>
      </c>
      <c r="AL445" s="3">
        <v>3</v>
      </c>
      <c r="AM445" s="8">
        <v>11.75</v>
      </c>
      <c r="AN445" s="1"/>
      <c r="AO445" s="1" t="s">
        <v>2662</v>
      </c>
      <c r="AP445" s="1" t="s">
        <v>955</v>
      </c>
      <c r="AQ445" s="1" t="s">
        <v>2663</v>
      </c>
      <c r="AR445" s="1" t="s">
        <v>2664</v>
      </c>
    </row>
    <row r="446">
      <c r="A446" s="2">
        <f ca="1">DATE(2000,03,20)</f>
        <v>0</v>
      </c>
      <c r="B446" s="2">
        <f ca="1">DATE(2000,08,09)</f>
        <v>0</v>
      </c>
      <c r="C446" s="1" t="s">
        <v>2665</v>
      </c>
      <c r="D446" s="3">
        <v>7373</v>
      </c>
      <c r="E446" s="1" t="s">
        <v>43</v>
      </c>
      <c r="F446" s="1" t="s">
        <v>2666</v>
      </c>
      <c r="G446" s="1" t="s">
        <v>239</v>
      </c>
      <c r="H446" s="4">
        <v>0.63</v>
      </c>
      <c r="I446" s="4">
        <v>7</v>
      </c>
      <c r="J446" s="5">
        <v>33.100000000000001</v>
      </c>
      <c r="K446" s="4">
        <v>9</v>
      </c>
      <c r="L446" s="1" t="s">
        <v>46</v>
      </c>
      <c r="M446" s="1" t="s">
        <v>47</v>
      </c>
      <c r="N446" s="1" t="s">
        <v>2667</v>
      </c>
      <c r="O446" s="1" t="s">
        <v>48</v>
      </c>
      <c r="P446" s="1" t="s">
        <v>2668</v>
      </c>
      <c r="Q446" s="4">
        <v>1.333</v>
      </c>
      <c r="R446" s="4">
        <v>1.444</v>
      </c>
      <c r="S446" s="6">
        <v>4.2222200000000001</v>
      </c>
      <c r="T446" s="1" t="s">
        <v>50</v>
      </c>
      <c r="U446" s="1"/>
      <c r="V446" s="1"/>
      <c r="W446" s="1"/>
      <c r="X446" s="5">
        <v>65</v>
      </c>
      <c r="Y446" s="7">
        <v>3677500</v>
      </c>
      <c r="Z446" s="1"/>
      <c r="AA446" s="1"/>
      <c r="AB446" s="1"/>
      <c r="AC446" s="1"/>
      <c r="AD446" s="1"/>
      <c r="AE446" s="1" t="s">
        <v>51</v>
      </c>
      <c r="AF446" s="1" t="s">
        <v>51</v>
      </c>
      <c r="AG446" s="1" t="s">
        <v>47</v>
      </c>
      <c r="AH446" s="1"/>
      <c r="AI446" s="1"/>
      <c r="AJ446" s="3">
        <v>1</v>
      </c>
      <c r="AK446" s="1" t="s">
        <v>89</v>
      </c>
      <c r="AL446" s="3">
        <v>3</v>
      </c>
      <c r="AM446" s="8">
        <v>18</v>
      </c>
      <c r="AN446" s="1"/>
      <c r="AO446" s="1" t="s">
        <v>2669</v>
      </c>
      <c r="AP446" s="1" t="s">
        <v>2670</v>
      </c>
      <c r="AQ446" s="1" t="s">
        <v>2671</v>
      </c>
      <c r="AR446" s="1" t="s">
        <v>2672</v>
      </c>
    </row>
    <row r="447">
      <c r="A447" s="2">
        <f ca="1">DATE(2000,03,20)</f>
        <v>0</v>
      </c>
      <c r="B447" s="2">
        <f ca="1">DATE(2000,08,09)</f>
        <v>0</v>
      </c>
      <c r="C447" s="1" t="s">
        <v>2665</v>
      </c>
      <c r="D447" s="3">
        <v>7373</v>
      </c>
      <c r="E447" s="1" t="s">
        <v>43</v>
      </c>
      <c r="F447" s="1" t="s">
        <v>2666</v>
      </c>
      <c r="G447" s="1" t="s">
        <v>179</v>
      </c>
      <c r="H447" s="4">
        <v>0.63</v>
      </c>
      <c r="I447" s="4">
        <v>7</v>
      </c>
      <c r="J447" s="5">
        <v>10.4</v>
      </c>
      <c r="K447" s="8">
        <v>9</v>
      </c>
      <c r="L447" s="1" t="s">
        <v>58</v>
      </c>
      <c r="M447" s="1" t="s">
        <v>47</v>
      </c>
      <c r="N447" s="1" t="s">
        <v>2667</v>
      </c>
      <c r="O447" s="1" t="s">
        <v>48</v>
      </c>
      <c r="P447" s="1" t="s">
        <v>2673</v>
      </c>
      <c r="Q447" s="4">
        <v>1.333</v>
      </c>
      <c r="R447" s="4">
        <v>1.444</v>
      </c>
      <c r="S447" s="6">
        <v>4.2222200000000001</v>
      </c>
      <c r="T447" s="1" t="s">
        <v>60</v>
      </c>
      <c r="U447" s="1"/>
      <c r="V447" s="1"/>
      <c r="W447" s="1"/>
      <c r="X447" s="1"/>
      <c r="Y447" s="7">
        <v>1150000</v>
      </c>
      <c r="Z447" s="1"/>
      <c r="AA447" s="1"/>
      <c r="AB447" s="1"/>
      <c r="AC447" s="1"/>
      <c r="AD447" s="1"/>
      <c r="AE447" s="1" t="s">
        <v>51</v>
      </c>
      <c r="AF447" s="1" t="s">
        <v>51</v>
      </c>
      <c r="AG447" s="1" t="s">
        <v>47</v>
      </c>
      <c r="AH447" s="1"/>
      <c r="AI447" s="1"/>
      <c r="AJ447" s="3">
        <v>1</v>
      </c>
      <c r="AK447" s="1" t="s">
        <v>52</v>
      </c>
      <c r="AL447" s="3">
        <v>3</v>
      </c>
      <c r="AM447" s="1"/>
      <c r="AN447" s="1"/>
      <c r="AO447" s="1" t="s">
        <v>2674</v>
      </c>
      <c r="AP447" s="1" t="s">
        <v>179</v>
      </c>
      <c r="AQ447" s="1" t="s">
        <v>2675</v>
      </c>
      <c r="AR447" s="1" t="s">
        <v>2676</v>
      </c>
    </row>
    <row r="448">
      <c r="A448" s="2">
        <f ca="1">DATE(2000,04,07)</f>
        <v>0</v>
      </c>
      <c r="B448" s="2">
        <f ca="1">DATE(2000,08,09)</f>
        <v>0</v>
      </c>
      <c r="C448" s="1" t="s">
        <v>2677</v>
      </c>
      <c r="D448" s="3">
        <v>3629</v>
      </c>
      <c r="E448" s="1" t="s">
        <v>43</v>
      </c>
      <c r="F448" s="1" t="s">
        <v>2678</v>
      </c>
      <c r="G448" s="1" t="s">
        <v>813</v>
      </c>
      <c r="H448" s="4">
        <v>1.1200000000000001</v>
      </c>
      <c r="I448" s="4">
        <v>7</v>
      </c>
      <c r="J448" s="5">
        <v>85.099999999999994</v>
      </c>
      <c r="K448" s="4">
        <v>16</v>
      </c>
      <c r="L448" s="1" t="s">
        <v>46</v>
      </c>
      <c r="M448" s="1" t="s">
        <v>47</v>
      </c>
      <c r="N448" s="1" t="s">
        <v>2679</v>
      </c>
      <c r="O448" s="1" t="s">
        <v>48</v>
      </c>
      <c r="P448" s="1" t="s">
        <v>2680</v>
      </c>
      <c r="Q448" s="4">
        <v>1.375</v>
      </c>
      <c r="R448" s="4">
        <v>1.375</v>
      </c>
      <c r="S448" s="8">
        <v>4.25</v>
      </c>
      <c r="T448" s="1" t="s">
        <v>50</v>
      </c>
      <c r="U448" s="1"/>
      <c r="V448" s="1"/>
      <c r="W448" s="1"/>
      <c r="X448" s="5">
        <v>100</v>
      </c>
      <c r="Y448" s="7">
        <v>5320000</v>
      </c>
      <c r="Z448" s="1"/>
      <c r="AA448" s="1"/>
      <c r="AB448" s="1"/>
      <c r="AC448" s="1"/>
      <c r="AD448" s="1"/>
      <c r="AE448" s="1" t="s">
        <v>51</v>
      </c>
      <c r="AF448" s="1" t="s">
        <v>51</v>
      </c>
      <c r="AG448" s="1" t="s">
        <v>51</v>
      </c>
      <c r="AH448" s="1"/>
      <c r="AI448" s="1"/>
      <c r="AJ448" s="3">
        <v>1</v>
      </c>
      <c r="AK448" s="1" t="s">
        <v>52</v>
      </c>
      <c r="AL448" s="3">
        <v>5</v>
      </c>
      <c r="AM448" s="8">
        <v>18</v>
      </c>
      <c r="AN448" s="1"/>
      <c r="AO448" s="1" t="s">
        <v>2681</v>
      </c>
      <c r="AP448" s="1" t="s">
        <v>813</v>
      </c>
      <c r="AQ448" s="1" t="s">
        <v>2682</v>
      </c>
      <c r="AR448" s="1" t="s">
        <v>2683</v>
      </c>
    </row>
    <row r="449">
      <c r="A449" s="2">
        <f ca="1">DATE(2000,04,07)</f>
        <v>0</v>
      </c>
      <c r="B449" s="2">
        <f ca="1">DATE(2000,08,09)</f>
        <v>0</v>
      </c>
      <c r="C449" s="1" t="s">
        <v>2677</v>
      </c>
      <c r="D449" s="3">
        <v>3629</v>
      </c>
      <c r="E449" s="1" t="s">
        <v>43</v>
      </c>
      <c r="F449" s="1" t="s">
        <v>2678</v>
      </c>
      <c r="G449" s="1" t="s">
        <v>813</v>
      </c>
      <c r="H449" s="1" t="s">
        <v>57</v>
      </c>
      <c r="I449" s="1" t="s">
        <v>57</v>
      </c>
      <c r="J449" s="5">
        <v>23.399999999999999</v>
      </c>
      <c r="K449" s="8">
        <v>16</v>
      </c>
      <c r="L449" s="1" t="s">
        <v>58</v>
      </c>
      <c r="M449" s="1" t="s">
        <v>47</v>
      </c>
      <c r="N449" s="1" t="s">
        <v>2679</v>
      </c>
      <c r="O449" s="1" t="s">
        <v>48</v>
      </c>
      <c r="P449" s="1" t="s">
        <v>2684</v>
      </c>
      <c r="Q449" s="1"/>
      <c r="R449" s="1"/>
      <c r="S449" s="1"/>
      <c r="T449" s="1" t="s">
        <v>60</v>
      </c>
      <c r="U449" s="1"/>
      <c r="V449" s="1"/>
      <c r="W449" s="1"/>
      <c r="X449" s="1"/>
      <c r="Y449" s="7">
        <v>1460870</v>
      </c>
      <c r="Z449" s="1"/>
      <c r="AA449" s="1"/>
      <c r="AB449" s="1"/>
      <c r="AC449" s="1"/>
      <c r="AD449" s="1"/>
      <c r="AE449" s="1" t="s">
        <v>51</v>
      </c>
      <c r="AF449" s="1" t="s">
        <v>51</v>
      </c>
      <c r="AG449" s="1" t="s">
        <v>51</v>
      </c>
      <c r="AH449" s="1"/>
      <c r="AI449" s="1"/>
      <c r="AJ449" s="3">
        <v>1</v>
      </c>
      <c r="AK449" s="1" t="s">
        <v>52</v>
      </c>
      <c r="AL449" s="3">
        <v>1</v>
      </c>
      <c r="AM449" s="1"/>
      <c r="AN449" s="1"/>
      <c r="AO449" s="1" t="s">
        <v>2685</v>
      </c>
      <c r="AP449" s="1" t="s">
        <v>813</v>
      </c>
      <c r="AQ449" s="1" t="s">
        <v>813</v>
      </c>
      <c r="AR449" s="1" t="s">
        <v>1607</v>
      </c>
    </row>
    <row r="450">
      <c r="A450" s="2">
        <f ca="1">DATE(2000,04,06)</f>
        <v>0</v>
      </c>
      <c r="B450" s="2">
        <f ca="1">DATE(2000,08,09)</f>
        <v>0</v>
      </c>
      <c r="C450" s="1" t="s">
        <v>2686</v>
      </c>
      <c r="D450" s="3">
        <v>2834</v>
      </c>
      <c r="E450" s="1" t="s">
        <v>43</v>
      </c>
      <c r="F450" s="1"/>
      <c r="G450" s="1" t="s">
        <v>400</v>
      </c>
      <c r="H450" s="4">
        <v>1.19</v>
      </c>
      <c r="I450" s="8">
        <v>7</v>
      </c>
      <c r="J450" s="5">
        <v>68.400000000000006</v>
      </c>
      <c r="K450" s="4">
        <v>17</v>
      </c>
      <c r="L450" s="1" t="s">
        <v>46</v>
      </c>
      <c r="M450" s="1" t="s">
        <v>47</v>
      </c>
      <c r="N450" s="3">
        <v>517053104</v>
      </c>
      <c r="O450" s="1"/>
      <c r="P450" s="1" t="s">
        <v>2687</v>
      </c>
      <c r="Q450" s="4">
        <v>1.4119999999999999</v>
      </c>
      <c r="R450" s="4">
        <v>1.4119999999999999</v>
      </c>
      <c r="S450" s="6">
        <v>4.1764700000000001</v>
      </c>
      <c r="T450" s="1" t="s">
        <v>50</v>
      </c>
      <c r="U450" s="1"/>
      <c r="V450" s="1"/>
      <c r="W450" s="1"/>
      <c r="X450" s="5">
        <v>100</v>
      </c>
      <c r="Y450" s="7">
        <v>4025000</v>
      </c>
      <c r="Z450" s="1"/>
      <c r="AA450" s="1"/>
      <c r="AB450" s="1"/>
      <c r="AC450" s="1"/>
      <c r="AD450" s="1"/>
      <c r="AE450" s="1" t="s">
        <v>51</v>
      </c>
      <c r="AF450" s="1" t="s">
        <v>51</v>
      </c>
      <c r="AG450" s="1" t="s">
        <v>51</v>
      </c>
      <c r="AH450" s="1"/>
      <c r="AI450" s="1"/>
      <c r="AJ450" s="3">
        <v>1</v>
      </c>
      <c r="AK450" s="1" t="s">
        <v>52</v>
      </c>
      <c r="AL450" s="3">
        <v>3</v>
      </c>
      <c r="AM450" s="8">
        <v>21.879999999999999</v>
      </c>
      <c r="AN450" s="1"/>
      <c r="AO450" s="1" t="s">
        <v>2688</v>
      </c>
      <c r="AP450" s="1" t="s">
        <v>400</v>
      </c>
      <c r="AQ450" s="1" t="s">
        <v>2689</v>
      </c>
      <c r="AR450" s="1" t="s">
        <v>2690</v>
      </c>
    </row>
    <row r="451">
      <c r="A451" s="2">
        <f ca="1">DATE(2000,04,06)</f>
        <v>0</v>
      </c>
      <c r="B451" s="2">
        <f ca="1">DATE(2000,08,09)</f>
        <v>0</v>
      </c>
      <c r="C451" s="1" t="s">
        <v>2686</v>
      </c>
      <c r="D451" s="3">
        <v>2834</v>
      </c>
      <c r="E451" s="1" t="s">
        <v>43</v>
      </c>
      <c r="F451" s="1"/>
      <c r="G451" s="1" t="s">
        <v>400</v>
      </c>
      <c r="H451" s="4">
        <v>1.19</v>
      </c>
      <c r="I451" s="8">
        <v>7</v>
      </c>
      <c r="J451" s="5">
        <v>16.600000000000001</v>
      </c>
      <c r="K451" s="8">
        <v>17</v>
      </c>
      <c r="L451" s="1" t="s">
        <v>58</v>
      </c>
      <c r="M451" s="1" t="s">
        <v>47</v>
      </c>
      <c r="N451" s="1"/>
      <c r="O451" s="1"/>
      <c r="P451" s="1" t="s">
        <v>2691</v>
      </c>
      <c r="Q451" s="4">
        <v>1.3999999999999999</v>
      </c>
      <c r="R451" s="4">
        <v>1.3999999999999999</v>
      </c>
      <c r="S451" s="8">
        <v>4.2000000000000002</v>
      </c>
      <c r="T451" s="1" t="s">
        <v>60</v>
      </c>
      <c r="U451" s="1"/>
      <c r="V451" s="1"/>
      <c r="W451" s="1"/>
      <c r="X451" s="1"/>
      <c r="Y451" s="7">
        <v>975000</v>
      </c>
      <c r="Z451" s="1"/>
      <c r="AA451" s="1"/>
      <c r="AB451" s="1"/>
      <c r="AC451" s="1"/>
      <c r="AD451" s="1"/>
      <c r="AE451" s="1" t="s">
        <v>51</v>
      </c>
      <c r="AF451" s="1" t="s">
        <v>51</v>
      </c>
      <c r="AG451" s="1" t="s">
        <v>51</v>
      </c>
      <c r="AH451" s="1"/>
      <c r="AI451" s="1"/>
      <c r="AJ451" s="3">
        <v>1</v>
      </c>
      <c r="AK451" s="1" t="s">
        <v>110</v>
      </c>
      <c r="AL451" s="3">
        <v>3</v>
      </c>
      <c r="AM451" s="1"/>
      <c r="AN451" s="1"/>
      <c r="AO451" s="1" t="s">
        <v>2692</v>
      </c>
      <c r="AP451" s="1" t="s">
        <v>2693</v>
      </c>
      <c r="AQ451" s="1" t="s">
        <v>2694</v>
      </c>
      <c r="AR451" s="1" t="s">
        <v>2695</v>
      </c>
    </row>
    <row r="452">
      <c r="A452" s="2">
        <f ca="1">DATE(2000,05,31)</f>
        <v>0</v>
      </c>
      <c r="B452" s="2">
        <f ca="1">DATE(2000,08,09)</f>
        <v>0</v>
      </c>
      <c r="C452" s="1" t="s">
        <v>2696</v>
      </c>
      <c r="D452" s="3">
        <v>3669</v>
      </c>
      <c r="E452" s="1" t="s">
        <v>43</v>
      </c>
      <c r="F452" s="1" t="s">
        <v>2697</v>
      </c>
      <c r="G452" s="1" t="s">
        <v>239</v>
      </c>
      <c r="H452" s="4">
        <v>1.6100000000000001</v>
      </c>
      <c r="I452" s="4">
        <v>5.75</v>
      </c>
      <c r="J452" s="5">
        <v>350</v>
      </c>
      <c r="K452" s="4">
        <v>28</v>
      </c>
      <c r="L452" s="1" t="s">
        <v>2698</v>
      </c>
      <c r="M452" s="1" t="s">
        <v>47</v>
      </c>
      <c r="N452" s="3">
        <v>580031102</v>
      </c>
      <c r="O452" s="1" t="s">
        <v>48</v>
      </c>
      <c r="P452" s="1" t="s">
        <v>2699</v>
      </c>
      <c r="Q452" s="4">
        <v>1.143</v>
      </c>
      <c r="R452" s="4">
        <v>1.143</v>
      </c>
      <c r="S452" s="6">
        <v>3.4642900000000001</v>
      </c>
      <c r="T452" s="1" t="s">
        <v>50</v>
      </c>
      <c r="U452" s="1"/>
      <c r="V452" s="1"/>
      <c r="W452" s="1"/>
      <c r="X452" s="5">
        <v>100</v>
      </c>
      <c r="Y452" s="7">
        <v>12500000</v>
      </c>
      <c r="Z452" s="1"/>
      <c r="AA452" s="1"/>
      <c r="AB452" s="1"/>
      <c r="AC452" s="1"/>
      <c r="AD452" s="1"/>
      <c r="AE452" s="1" t="s">
        <v>51</v>
      </c>
      <c r="AF452" s="1" t="s">
        <v>51</v>
      </c>
      <c r="AG452" s="1" t="s">
        <v>51</v>
      </c>
      <c r="AH452" s="1"/>
      <c r="AI452" s="1"/>
      <c r="AJ452" s="3">
        <v>1</v>
      </c>
      <c r="AK452" s="1" t="s">
        <v>52</v>
      </c>
      <c r="AL452" s="3">
        <v>3</v>
      </c>
      <c r="AM452" s="8">
        <v>84.75</v>
      </c>
      <c r="AN452" s="1"/>
      <c r="AO452" s="1" t="s">
        <v>2700</v>
      </c>
      <c r="AP452" s="1" t="s">
        <v>239</v>
      </c>
      <c r="AQ452" s="1" t="s">
        <v>2701</v>
      </c>
      <c r="AR452" s="1" t="s">
        <v>2702</v>
      </c>
    </row>
    <row r="453">
      <c r="A453" s="2">
        <f ca="1">DATE(2000,05,25)</f>
        <v>0</v>
      </c>
      <c r="B453" s="2">
        <f ca="1">DATE(2000,08,09)</f>
        <v>0</v>
      </c>
      <c r="C453" s="1" t="s">
        <v>2703</v>
      </c>
      <c r="D453" s="3">
        <v>3629</v>
      </c>
      <c r="E453" s="1" t="s">
        <v>43</v>
      </c>
      <c r="F453" s="1" t="s">
        <v>2704</v>
      </c>
      <c r="G453" s="1" t="s">
        <v>2705</v>
      </c>
      <c r="H453" s="4">
        <v>0.69999999999999996</v>
      </c>
      <c r="I453" s="8">
        <v>7</v>
      </c>
      <c r="J453" s="5">
        <v>30</v>
      </c>
      <c r="K453" s="4">
        <v>10</v>
      </c>
      <c r="L453" s="1" t="s">
        <v>46</v>
      </c>
      <c r="M453" s="1" t="s">
        <v>47</v>
      </c>
      <c r="N453" s="1" t="s">
        <v>2706</v>
      </c>
      <c r="O453" s="1" t="s">
        <v>48</v>
      </c>
      <c r="P453" s="1" t="s">
        <v>2707</v>
      </c>
      <c r="Q453" s="4">
        <v>1.3</v>
      </c>
      <c r="R453" s="4">
        <v>1.7</v>
      </c>
      <c r="S453" s="8">
        <v>4</v>
      </c>
      <c r="T453" s="1" t="s">
        <v>50</v>
      </c>
      <c r="U453" s="1"/>
      <c r="V453" s="1"/>
      <c r="W453" s="1"/>
      <c r="X453" s="5">
        <v>40</v>
      </c>
      <c r="Y453" s="7">
        <v>3000000</v>
      </c>
      <c r="Z453" s="1"/>
      <c r="AA453" s="2">
        <f ca="1">DATE(2000,11,07)</f>
        <v>0</v>
      </c>
      <c r="AB453" s="4">
        <v>0.56000000000000005</v>
      </c>
      <c r="AC453" s="3">
        <v>90</v>
      </c>
      <c r="AD453" s="8">
        <v>152207</v>
      </c>
      <c r="AE453" s="1" t="s">
        <v>51</v>
      </c>
      <c r="AF453" s="1" t="s">
        <v>51</v>
      </c>
      <c r="AG453" s="1" t="s">
        <v>51</v>
      </c>
      <c r="AH453" s="1"/>
      <c r="AI453" s="1"/>
      <c r="AJ453" s="3">
        <v>1</v>
      </c>
      <c r="AK453" s="1" t="s">
        <v>52</v>
      </c>
      <c r="AL453" s="3">
        <v>2</v>
      </c>
      <c r="AM453" s="8">
        <v>10</v>
      </c>
      <c r="AN453" s="1"/>
      <c r="AO453" s="1" t="s">
        <v>2708</v>
      </c>
      <c r="AP453" s="1" t="s">
        <v>2705</v>
      </c>
      <c r="AQ453" s="1" t="s">
        <v>2709</v>
      </c>
      <c r="AR453" s="1" t="s">
        <v>2710</v>
      </c>
    </row>
    <row r="454">
      <c r="A454" s="2">
        <f ca="1">DATE(2000,06,19)</f>
        <v>0</v>
      </c>
      <c r="B454" s="2">
        <f ca="1">DATE(2000,08,09)</f>
        <v>0</v>
      </c>
      <c r="C454" s="1" t="s">
        <v>2711</v>
      </c>
      <c r="D454" s="3">
        <v>7011</v>
      </c>
      <c r="E454" s="1" t="s">
        <v>517</v>
      </c>
      <c r="F454" s="1" t="s">
        <v>2712</v>
      </c>
      <c r="G454" s="1" t="s">
        <v>45</v>
      </c>
      <c r="H454" s="4">
        <v>1.2350000000000001</v>
      </c>
      <c r="I454" s="4">
        <v>6.5</v>
      </c>
      <c r="J454" s="5">
        <v>152</v>
      </c>
      <c r="K454" s="4">
        <v>19</v>
      </c>
      <c r="L454" s="1" t="s">
        <v>152</v>
      </c>
      <c r="M454" s="1" t="s">
        <v>47</v>
      </c>
      <c r="N454" s="1" t="s">
        <v>2713</v>
      </c>
      <c r="O454" s="1" t="s">
        <v>108</v>
      </c>
      <c r="P454" s="1" t="s">
        <v>2714</v>
      </c>
      <c r="Q454" s="4">
        <v>1.3160000000000001</v>
      </c>
      <c r="R454" s="4">
        <v>1.2370000000000001</v>
      </c>
      <c r="S454" s="6">
        <v>3.9473699999999998</v>
      </c>
      <c r="T454" s="1" t="s">
        <v>50</v>
      </c>
      <c r="U454" s="1"/>
      <c r="V454" s="1"/>
      <c r="W454" s="1"/>
      <c r="X454" s="1"/>
      <c r="Y454" s="7">
        <v>4000000</v>
      </c>
      <c r="Z454" s="7">
        <v>4000000</v>
      </c>
      <c r="AA454" s="2">
        <f ca="1">DATE(2001,02,06)</f>
        <v>0</v>
      </c>
      <c r="AB454" s="1"/>
      <c r="AC454" s="3">
        <v>180</v>
      </c>
      <c r="AD454" s="1"/>
      <c r="AE454" s="1" t="s">
        <v>51</v>
      </c>
      <c r="AF454" s="1" t="s">
        <v>51</v>
      </c>
      <c r="AG454" s="1" t="s">
        <v>51</v>
      </c>
      <c r="AH454" s="1" t="s">
        <v>2715</v>
      </c>
      <c r="AI454" s="1" t="s">
        <v>2716</v>
      </c>
      <c r="AJ454" s="3">
        <v>1</v>
      </c>
      <c r="AK454" s="1" t="s">
        <v>89</v>
      </c>
      <c r="AL454" s="3">
        <v>4</v>
      </c>
      <c r="AM454" s="1"/>
      <c r="AN454" s="1"/>
      <c r="AO454" s="1" t="s">
        <v>2717</v>
      </c>
      <c r="AP454" s="1" t="s">
        <v>2718</v>
      </c>
      <c r="AQ454" s="1" t="s">
        <v>2719</v>
      </c>
      <c r="AR454" s="1" t="s">
        <v>2720</v>
      </c>
    </row>
    <row r="455">
      <c r="A455" s="2">
        <f ca="1">DATE(2000,06,19)</f>
        <v>0</v>
      </c>
      <c r="B455" s="2">
        <f ca="1">DATE(2000,08,09)</f>
        <v>0</v>
      </c>
      <c r="C455" s="1" t="s">
        <v>2711</v>
      </c>
      <c r="D455" s="3">
        <v>7011</v>
      </c>
      <c r="E455" s="1" t="s">
        <v>517</v>
      </c>
      <c r="F455" s="1" t="s">
        <v>2712</v>
      </c>
      <c r="G455" s="1" t="s">
        <v>45</v>
      </c>
      <c r="H455" s="4">
        <v>1.2350000000000001</v>
      </c>
      <c r="I455" s="4">
        <v>6.5</v>
      </c>
      <c r="J455" s="5">
        <v>38</v>
      </c>
      <c r="K455" s="8">
        <v>19</v>
      </c>
      <c r="L455" s="1" t="s">
        <v>152</v>
      </c>
      <c r="M455" s="1" t="s">
        <v>47</v>
      </c>
      <c r="N455" s="1" t="s">
        <v>2713</v>
      </c>
      <c r="O455" s="1" t="s">
        <v>108</v>
      </c>
      <c r="P455" s="1" t="s">
        <v>2714</v>
      </c>
      <c r="Q455" s="4">
        <v>1.3160000000000001</v>
      </c>
      <c r="R455" s="4">
        <v>1.2370000000000001</v>
      </c>
      <c r="S455" s="6">
        <v>3.9473699999999998</v>
      </c>
      <c r="T455" s="1" t="s">
        <v>60</v>
      </c>
      <c r="U455" s="1"/>
      <c r="V455" s="1"/>
      <c r="W455" s="1"/>
      <c r="X455" s="1"/>
      <c r="Y455" s="7">
        <v>1000000</v>
      </c>
      <c r="Z455" s="7">
        <v>1000000</v>
      </c>
      <c r="AA455" s="1"/>
      <c r="AB455" s="1"/>
      <c r="AC455" s="3">
        <v>180</v>
      </c>
      <c r="AD455" s="1"/>
      <c r="AE455" s="1" t="s">
        <v>51</v>
      </c>
      <c r="AF455" s="1" t="s">
        <v>51</v>
      </c>
      <c r="AG455" s="1" t="s">
        <v>51</v>
      </c>
      <c r="AH455" s="1" t="s">
        <v>2715</v>
      </c>
      <c r="AI455" s="1" t="s">
        <v>2716</v>
      </c>
      <c r="AJ455" s="3">
        <v>1</v>
      </c>
      <c r="AK455" s="1" t="s">
        <v>89</v>
      </c>
      <c r="AL455" s="3">
        <v>2</v>
      </c>
      <c r="AM455" s="1"/>
      <c r="AN455" s="1"/>
      <c r="AO455" s="1" t="s">
        <v>2721</v>
      </c>
      <c r="AP455" s="1" t="s">
        <v>2718</v>
      </c>
      <c r="AQ455" s="1" t="s">
        <v>2722</v>
      </c>
      <c r="AR455" s="1" t="s">
        <v>2723</v>
      </c>
    </row>
    <row r="456">
      <c r="A456" s="2">
        <f ca="1">DATE(2000,04,17)</f>
        <v>0</v>
      </c>
      <c r="B456" s="2">
        <f ca="1">DATE(2000,08,09)</f>
        <v>0</v>
      </c>
      <c r="C456" s="1" t="s">
        <v>2724</v>
      </c>
      <c r="D456" s="3">
        <v>7372</v>
      </c>
      <c r="E456" s="1" t="s">
        <v>43</v>
      </c>
      <c r="F456" s="1" t="s">
        <v>2725</v>
      </c>
      <c r="G456" s="1" t="s">
        <v>151</v>
      </c>
      <c r="H456" s="4">
        <v>0.69999999999999996</v>
      </c>
      <c r="I456" s="8">
        <v>7</v>
      </c>
      <c r="J456" s="5">
        <v>30</v>
      </c>
      <c r="K456" s="4">
        <v>10</v>
      </c>
      <c r="L456" s="1" t="s">
        <v>46</v>
      </c>
      <c r="M456" s="1" t="s">
        <v>47</v>
      </c>
      <c r="N456" s="1" t="s">
        <v>2726</v>
      </c>
      <c r="O456" s="1" t="s">
        <v>48</v>
      </c>
      <c r="P456" s="1" t="s">
        <v>2727</v>
      </c>
      <c r="Q456" s="4">
        <v>1.3999999999999999</v>
      </c>
      <c r="R456" s="4">
        <v>1.3999999999999999</v>
      </c>
      <c r="S456" s="8">
        <v>4.2000000000000002</v>
      </c>
      <c r="T456" s="1" t="s">
        <v>50</v>
      </c>
      <c r="U456" s="1"/>
      <c r="V456" s="1"/>
      <c r="W456" s="1"/>
      <c r="X456" s="5">
        <v>75</v>
      </c>
      <c r="Y456" s="7">
        <v>3000000</v>
      </c>
      <c r="Z456" s="1"/>
      <c r="AA456" s="2">
        <f ca="1">DATE(2001,02,05)</f>
        <v>0</v>
      </c>
      <c r="AB456" s="4">
        <v>82.245000000000005</v>
      </c>
      <c r="AC456" s="3">
        <v>180</v>
      </c>
      <c r="AD456" s="8">
        <v>14591771</v>
      </c>
      <c r="AE456" s="1" t="s">
        <v>51</v>
      </c>
      <c r="AF456" s="1" t="s">
        <v>51</v>
      </c>
      <c r="AG456" s="1" t="s">
        <v>47</v>
      </c>
      <c r="AH456" s="1"/>
      <c r="AI456" s="1"/>
      <c r="AJ456" s="3">
        <v>1</v>
      </c>
      <c r="AK456" s="1" t="s">
        <v>52</v>
      </c>
      <c r="AL456" s="3">
        <v>4</v>
      </c>
      <c r="AM456" s="8">
        <v>9.0600000000000005</v>
      </c>
      <c r="AN456" s="1"/>
      <c r="AO456" s="1" t="s">
        <v>2728</v>
      </c>
      <c r="AP456" s="1" t="s">
        <v>151</v>
      </c>
      <c r="AQ456" s="1" t="s">
        <v>2729</v>
      </c>
      <c r="AR456" s="1" t="s">
        <v>2730</v>
      </c>
    </row>
    <row r="457">
      <c r="A457" s="2">
        <f ca="1">DATE(2000,04,04)</f>
        <v>0</v>
      </c>
      <c r="B457" s="2">
        <f ca="1">DATE(2000,08,09)</f>
        <v>0</v>
      </c>
      <c r="C457" s="1" t="s">
        <v>2731</v>
      </c>
      <c r="D457" s="3">
        <v>3674</v>
      </c>
      <c r="E457" s="1" t="s">
        <v>43</v>
      </c>
      <c r="F457" s="1" t="s">
        <v>2732</v>
      </c>
      <c r="G457" s="1" t="s">
        <v>1297</v>
      </c>
      <c r="H457" s="4">
        <v>0.77000000000000002</v>
      </c>
      <c r="I457" s="4">
        <v>7</v>
      </c>
      <c r="J457" s="5">
        <v>55</v>
      </c>
      <c r="K457" s="4">
        <v>11</v>
      </c>
      <c r="L457" s="1" t="s">
        <v>46</v>
      </c>
      <c r="M457" s="1" t="s">
        <v>47</v>
      </c>
      <c r="N457" s="1" t="s">
        <v>2733</v>
      </c>
      <c r="O457" s="1" t="s">
        <v>48</v>
      </c>
      <c r="P457" s="1" t="s">
        <v>2734</v>
      </c>
      <c r="Q457" s="4">
        <v>1.4550000000000001</v>
      </c>
      <c r="R457" s="4">
        <v>1.6359999999999999</v>
      </c>
      <c r="S457" s="6">
        <v>3.90909</v>
      </c>
      <c r="T457" s="1" t="s">
        <v>50</v>
      </c>
      <c r="U457" s="1"/>
      <c r="V457" s="1"/>
      <c r="W457" s="1"/>
      <c r="X457" s="5">
        <v>51.799999999999997</v>
      </c>
      <c r="Y457" s="7">
        <v>5000000</v>
      </c>
      <c r="Z457" s="1"/>
      <c r="AA457" s="2">
        <f ca="1">DATE(2001,02,05)</f>
        <v>0</v>
      </c>
      <c r="AB457" s="4">
        <v>83.509</v>
      </c>
      <c r="AC457" s="3">
        <v>180</v>
      </c>
      <c r="AD457" s="8">
        <v>18011227</v>
      </c>
      <c r="AE457" s="1" t="s">
        <v>51</v>
      </c>
      <c r="AF457" s="1" t="s">
        <v>51</v>
      </c>
      <c r="AG457" s="1" t="s">
        <v>47</v>
      </c>
      <c r="AH457" s="1"/>
      <c r="AI457" s="1"/>
      <c r="AJ457" s="3">
        <v>1</v>
      </c>
      <c r="AK457" s="1" t="s">
        <v>52</v>
      </c>
      <c r="AL457" s="3">
        <v>4</v>
      </c>
      <c r="AM457" s="8">
        <v>11</v>
      </c>
      <c r="AN457" s="1"/>
      <c r="AO457" s="1" t="s">
        <v>2735</v>
      </c>
      <c r="AP457" s="1" t="s">
        <v>1297</v>
      </c>
      <c r="AQ457" s="1" t="s">
        <v>2736</v>
      </c>
      <c r="AR457" s="1" t="s">
        <v>2737</v>
      </c>
    </row>
    <row r="458">
      <c r="A458" s="2">
        <f ca="1">DATE(2000,08,02)</f>
        <v>0</v>
      </c>
      <c r="B458" s="2">
        <f ca="1">DATE(2000,08,09)</f>
        <v>0</v>
      </c>
      <c r="C458" s="1" t="s">
        <v>2738</v>
      </c>
      <c r="D458" s="3">
        <v>7372</v>
      </c>
      <c r="E458" s="1" t="s">
        <v>934</v>
      </c>
      <c r="F458" s="1" t="s">
        <v>2739</v>
      </c>
      <c r="G458" s="1" t="s">
        <v>151</v>
      </c>
      <c r="H458" s="4">
        <v>0.69999999999999996</v>
      </c>
      <c r="I458" s="8">
        <v>7</v>
      </c>
      <c r="J458" s="5">
        <v>40</v>
      </c>
      <c r="K458" s="4">
        <v>10</v>
      </c>
      <c r="L458" s="1" t="s">
        <v>1057</v>
      </c>
      <c r="M458" s="1" t="s">
        <v>47</v>
      </c>
      <c r="N458" s="1" t="s">
        <v>2740</v>
      </c>
      <c r="O458" s="1" t="s">
        <v>48</v>
      </c>
      <c r="P458" s="1" t="s">
        <v>2741</v>
      </c>
      <c r="Q458" s="4">
        <v>1.3999999999999999</v>
      </c>
      <c r="R458" s="4">
        <v>1.3999999999999999</v>
      </c>
      <c r="S458" s="8">
        <v>4.2000000000000002</v>
      </c>
      <c r="T458" s="1" t="s">
        <v>50</v>
      </c>
      <c r="U458" s="8">
        <v>12</v>
      </c>
      <c r="V458" s="8">
        <v>10</v>
      </c>
      <c r="W458" s="7">
        <v>5000000</v>
      </c>
      <c r="X458" s="5">
        <v>55</v>
      </c>
      <c r="Y458" s="7">
        <v>4000000</v>
      </c>
      <c r="Z458" s="1"/>
      <c r="AA458" s="2">
        <f ca="1">DATE(2001,02,05)</f>
        <v>0</v>
      </c>
      <c r="AB458" s="4">
        <v>75.560000000000002</v>
      </c>
      <c r="AC458" s="3">
        <v>180</v>
      </c>
      <c r="AD458" s="8">
        <v>12366572</v>
      </c>
      <c r="AE458" s="1" t="s">
        <v>51</v>
      </c>
      <c r="AF458" s="1" t="s">
        <v>51</v>
      </c>
      <c r="AG458" s="1" t="s">
        <v>47</v>
      </c>
      <c r="AH458" s="1"/>
      <c r="AI458" s="1"/>
      <c r="AJ458" s="3">
        <v>1</v>
      </c>
      <c r="AK458" s="1" t="s">
        <v>52</v>
      </c>
      <c r="AL458" s="3">
        <v>4</v>
      </c>
      <c r="AM458" s="8">
        <v>9.0299999999999994</v>
      </c>
      <c r="AN458" s="1"/>
      <c r="AO458" s="1" t="s">
        <v>2742</v>
      </c>
      <c r="AP458" s="1" t="s">
        <v>151</v>
      </c>
      <c r="AQ458" s="1" t="s">
        <v>1453</v>
      </c>
      <c r="AR458" s="1" t="s">
        <v>1454</v>
      </c>
    </row>
    <row r="459">
      <c r="A459" s="2">
        <f ca="1">DATE(2000,05,19)</f>
        <v>0</v>
      </c>
      <c r="B459" s="2">
        <f ca="1">DATE(2000,08,10)</f>
        <v>0</v>
      </c>
      <c r="C459" s="1" t="s">
        <v>2743</v>
      </c>
      <c r="D459" s="3">
        <v>3841</v>
      </c>
      <c r="E459" s="1" t="s">
        <v>43</v>
      </c>
      <c r="F459" s="1" t="s">
        <v>2744</v>
      </c>
      <c r="G459" s="1" t="s">
        <v>282</v>
      </c>
      <c r="H459" s="4">
        <v>0.77000000000000002</v>
      </c>
      <c r="I459" s="4">
        <v>7</v>
      </c>
      <c r="J459" s="5">
        <v>68.799999999999997</v>
      </c>
      <c r="K459" s="4">
        <v>11</v>
      </c>
      <c r="L459" s="1" t="s">
        <v>46</v>
      </c>
      <c r="M459" s="1" t="s">
        <v>47</v>
      </c>
      <c r="N459" s="1" t="s">
        <v>2745</v>
      </c>
      <c r="O459" s="1" t="s">
        <v>48</v>
      </c>
      <c r="P459" s="1" t="s">
        <v>2746</v>
      </c>
      <c r="Q459" s="4">
        <v>1.3640000000000001</v>
      </c>
      <c r="R459" s="4">
        <v>1.4550000000000001</v>
      </c>
      <c r="S459" s="6">
        <v>4.1818200000000001</v>
      </c>
      <c r="T459" s="1" t="s">
        <v>50</v>
      </c>
      <c r="U459" s="1"/>
      <c r="V459" s="1"/>
      <c r="W459" s="1"/>
      <c r="X459" s="5">
        <v>86.299999999999997</v>
      </c>
      <c r="Y459" s="7">
        <v>6250000</v>
      </c>
      <c r="Z459" s="1"/>
      <c r="AA459" s="2">
        <f ca="1">DATE(2001,02,06)</f>
        <v>0</v>
      </c>
      <c r="AB459" s="4">
        <v>85.801000000000002</v>
      </c>
      <c r="AC459" s="3">
        <v>180</v>
      </c>
      <c r="AD459" s="8">
        <v>23773242</v>
      </c>
      <c r="AE459" s="1" t="s">
        <v>51</v>
      </c>
      <c r="AF459" s="1" t="s">
        <v>51</v>
      </c>
      <c r="AG459" s="1" t="s">
        <v>47</v>
      </c>
      <c r="AH459" s="1"/>
      <c r="AI459" s="1" t="s">
        <v>2747</v>
      </c>
      <c r="AJ459" s="3">
        <v>1</v>
      </c>
      <c r="AK459" s="1" t="s">
        <v>52</v>
      </c>
      <c r="AL459" s="3">
        <v>3</v>
      </c>
      <c r="AM459" s="8">
        <v>11.560000000000001</v>
      </c>
      <c r="AN459" s="1"/>
      <c r="AO459" s="1" t="s">
        <v>2748</v>
      </c>
      <c r="AP459" s="1" t="s">
        <v>282</v>
      </c>
      <c r="AQ459" s="1" t="s">
        <v>2749</v>
      </c>
      <c r="AR459" s="1" t="s">
        <v>2750</v>
      </c>
    </row>
    <row r="460">
      <c r="A460" s="2">
        <f ca="1">DATE(2000,06,21)</f>
        <v>0</v>
      </c>
      <c r="B460" s="2">
        <f ca="1">DATE(2000,08,10)</f>
        <v>0</v>
      </c>
      <c r="C460" s="1" t="s">
        <v>2751</v>
      </c>
      <c r="D460" s="3">
        <v>4813</v>
      </c>
      <c r="E460" s="1" t="s">
        <v>43</v>
      </c>
      <c r="F460" s="1" t="s">
        <v>2752</v>
      </c>
      <c r="G460" s="1" t="s">
        <v>160</v>
      </c>
      <c r="H460" s="4">
        <v>0.83999999999999997</v>
      </c>
      <c r="I460" s="8">
        <v>7</v>
      </c>
      <c r="J460" s="5">
        <v>204.40000000000001</v>
      </c>
      <c r="K460" s="4">
        <v>12</v>
      </c>
      <c r="L460" s="1" t="s">
        <v>46</v>
      </c>
      <c r="M460" s="1" t="s">
        <v>47</v>
      </c>
      <c r="N460" s="1" t="s">
        <v>2753</v>
      </c>
      <c r="O460" s="1" t="s">
        <v>48</v>
      </c>
      <c r="P460" s="1" t="s">
        <v>2754</v>
      </c>
      <c r="Q460" s="4">
        <v>1.417</v>
      </c>
      <c r="R460" s="4">
        <v>1.417</v>
      </c>
      <c r="S460" s="6">
        <v>4.1666699999999999</v>
      </c>
      <c r="T460" s="1" t="s">
        <v>50</v>
      </c>
      <c r="U460" s="8">
        <v>17</v>
      </c>
      <c r="V460" s="8">
        <v>15</v>
      </c>
      <c r="W460" s="7">
        <v>12500000</v>
      </c>
      <c r="X460" s="5">
        <v>200</v>
      </c>
      <c r="Y460" s="7">
        <v>17030000</v>
      </c>
      <c r="Z460" s="1"/>
      <c r="AA460" s="1"/>
      <c r="AB460" s="1"/>
      <c r="AC460" s="1"/>
      <c r="AD460" s="1"/>
      <c r="AE460" s="1" t="s">
        <v>51</v>
      </c>
      <c r="AF460" s="1" t="s">
        <v>51</v>
      </c>
      <c r="AG460" s="1" t="s">
        <v>47</v>
      </c>
      <c r="AH460" s="1"/>
      <c r="AI460" s="1"/>
      <c r="AJ460" s="3">
        <v>1</v>
      </c>
      <c r="AK460" s="1" t="s">
        <v>52</v>
      </c>
      <c r="AL460" s="3">
        <v>4</v>
      </c>
      <c r="AM460" s="8">
        <v>13.130000000000001</v>
      </c>
      <c r="AN460" s="1"/>
      <c r="AO460" s="1" t="s">
        <v>2755</v>
      </c>
      <c r="AP460" s="1" t="s">
        <v>160</v>
      </c>
      <c r="AQ460" s="1" t="s">
        <v>2756</v>
      </c>
      <c r="AR460" s="1" t="s">
        <v>2757</v>
      </c>
    </row>
    <row r="461">
      <c r="A461" s="2">
        <f ca="1">DATE(2000,06,21)</f>
        <v>0</v>
      </c>
      <c r="B461" s="2">
        <f ca="1">DATE(2000,08,10)</f>
        <v>0</v>
      </c>
      <c r="C461" s="1" t="s">
        <v>2751</v>
      </c>
      <c r="D461" s="3">
        <v>4813</v>
      </c>
      <c r="E461" s="1" t="s">
        <v>43</v>
      </c>
      <c r="F461" s="1" t="s">
        <v>2752</v>
      </c>
      <c r="G461" s="1" t="s">
        <v>160</v>
      </c>
      <c r="H461" s="4">
        <v>0.83999999999999997</v>
      </c>
      <c r="I461" s="8">
        <v>7</v>
      </c>
      <c r="J461" s="5">
        <v>31.399999999999999</v>
      </c>
      <c r="K461" s="8">
        <v>12</v>
      </c>
      <c r="L461" s="1" t="s">
        <v>58</v>
      </c>
      <c r="M461" s="1" t="s">
        <v>47</v>
      </c>
      <c r="N461" s="1" t="s">
        <v>2753</v>
      </c>
      <c r="O461" s="1" t="s">
        <v>48</v>
      </c>
      <c r="P461" s="1" t="s">
        <v>2758</v>
      </c>
      <c r="Q461" s="4">
        <v>1.417</v>
      </c>
      <c r="R461" s="4">
        <v>1.417</v>
      </c>
      <c r="S461" s="6">
        <v>4.1666699999999999</v>
      </c>
      <c r="T461" s="1" t="s">
        <v>60</v>
      </c>
      <c r="U461" s="8">
        <v>17</v>
      </c>
      <c r="V461" s="8">
        <v>15</v>
      </c>
      <c r="W461" s="1"/>
      <c r="X461" s="1"/>
      <c r="Y461" s="7">
        <v>2616210</v>
      </c>
      <c r="Z461" s="1"/>
      <c r="AA461" s="1"/>
      <c r="AB461" s="1"/>
      <c r="AC461" s="1"/>
      <c r="AD461" s="1"/>
      <c r="AE461" s="1" t="s">
        <v>51</v>
      </c>
      <c r="AF461" s="1" t="s">
        <v>51</v>
      </c>
      <c r="AG461" s="1" t="s">
        <v>47</v>
      </c>
      <c r="AH461" s="1"/>
      <c r="AI461" s="1"/>
      <c r="AJ461" s="3">
        <v>1</v>
      </c>
      <c r="AK461" s="1" t="s">
        <v>52</v>
      </c>
      <c r="AL461" s="3">
        <v>1</v>
      </c>
      <c r="AM461" s="1"/>
      <c r="AN461" s="1"/>
      <c r="AO461" s="1" t="s">
        <v>2759</v>
      </c>
      <c r="AP461" s="1" t="s">
        <v>160</v>
      </c>
      <c r="AQ461" s="1" t="s">
        <v>160</v>
      </c>
      <c r="AR461" s="1" t="s">
        <v>187</v>
      </c>
    </row>
    <row r="462">
      <c r="A462" s="2">
        <f ca="1">DATE(2000,04,27)</f>
        <v>0</v>
      </c>
      <c r="B462" s="2">
        <f ca="1">DATE(2000,08,10)</f>
        <v>0</v>
      </c>
      <c r="C462" s="1" t="s">
        <v>2760</v>
      </c>
      <c r="D462" s="3">
        <v>2836</v>
      </c>
      <c r="E462" s="1" t="s">
        <v>43</v>
      </c>
      <c r="F462" s="1" t="s">
        <v>2761</v>
      </c>
      <c r="G462" s="1" t="s">
        <v>1297</v>
      </c>
      <c r="H462" s="4">
        <v>0.97999999999999998</v>
      </c>
      <c r="I462" s="8">
        <v>7</v>
      </c>
      <c r="J462" s="5">
        <v>79.799999999999997</v>
      </c>
      <c r="K462" s="4">
        <v>14</v>
      </c>
      <c r="L462" s="1" t="s">
        <v>46</v>
      </c>
      <c r="M462" s="1" t="s">
        <v>47</v>
      </c>
      <c r="N462" s="1" t="s">
        <v>2762</v>
      </c>
      <c r="O462" s="1" t="s">
        <v>48</v>
      </c>
      <c r="P462" s="1" t="s">
        <v>2763</v>
      </c>
      <c r="Q462" s="4">
        <v>1.4290000000000001</v>
      </c>
      <c r="R462" s="4">
        <v>1.643</v>
      </c>
      <c r="S462" s="6">
        <v>3.9285700000000001</v>
      </c>
      <c r="T462" s="1" t="s">
        <v>50</v>
      </c>
      <c r="U462" s="1"/>
      <c r="V462" s="1"/>
      <c r="W462" s="1"/>
      <c r="X462" s="5">
        <v>86.299999999999997</v>
      </c>
      <c r="Y462" s="7">
        <v>3800000</v>
      </c>
      <c r="Z462" s="7">
        <v>1900000</v>
      </c>
      <c r="AA462" s="2">
        <f ca="1">DATE(2001,02,06)</f>
        <v>0</v>
      </c>
      <c r="AB462" s="4">
        <v>73.25</v>
      </c>
      <c r="AC462" s="3">
        <v>180</v>
      </c>
      <c r="AD462" s="8">
        <v>15608562</v>
      </c>
      <c r="AE462" s="1" t="s">
        <v>51</v>
      </c>
      <c r="AF462" s="1" t="s">
        <v>51</v>
      </c>
      <c r="AG462" s="1" t="s">
        <v>47</v>
      </c>
      <c r="AH462" s="1"/>
      <c r="AI462" s="1"/>
      <c r="AJ462" s="3">
        <v>1</v>
      </c>
      <c r="AK462" s="1" t="s">
        <v>52</v>
      </c>
      <c r="AL462" s="3">
        <v>3</v>
      </c>
      <c r="AM462" s="8">
        <v>14.060000000000001</v>
      </c>
      <c r="AN462" s="1"/>
      <c r="AO462" s="1" t="s">
        <v>2764</v>
      </c>
      <c r="AP462" s="1" t="s">
        <v>1297</v>
      </c>
      <c r="AQ462" s="1" t="s">
        <v>2765</v>
      </c>
      <c r="AR462" s="1" t="s">
        <v>2766</v>
      </c>
    </row>
    <row r="463">
      <c r="A463" s="2">
        <f ca="1">DATE(2000,05,05)</f>
        <v>0</v>
      </c>
      <c r="B463" s="2">
        <f ca="1">DATE(2000,08,10)</f>
        <v>0</v>
      </c>
      <c r="C463" s="1" t="s">
        <v>2767</v>
      </c>
      <c r="D463" s="3">
        <v>3661</v>
      </c>
      <c r="E463" s="1" t="s">
        <v>43</v>
      </c>
      <c r="F463" s="1" t="s">
        <v>2768</v>
      </c>
      <c r="G463" s="1" t="s">
        <v>813</v>
      </c>
      <c r="H463" s="4">
        <v>0.83999999999999997</v>
      </c>
      <c r="I463" s="8">
        <v>7</v>
      </c>
      <c r="J463" s="5">
        <v>29.199999999999999</v>
      </c>
      <c r="K463" s="4">
        <v>12</v>
      </c>
      <c r="L463" s="1" t="s">
        <v>46</v>
      </c>
      <c r="M463" s="1" t="s">
        <v>47</v>
      </c>
      <c r="N463" s="1" t="s">
        <v>2769</v>
      </c>
      <c r="O463" s="1" t="s">
        <v>48</v>
      </c>
      <c r="P463" s="1" t="s">
        <v>2770</v>
      </c>
      <c r="Q463" s="4">
        <v>1.417</v>
      </c>
      <c r="R463" s="4">
        <v>1.667</v>
      </c>
      <c r="S463" s="6">
        <v>3.9166699999999999</v>
      </c>
      <c r="T463" s="1" t="s">
        <v>50</v>
      </c>
      <c r="U463" s="1"/>
      <c r="V463" s="1"/>
      <c r="W463" s="1"/>
      <c r="X463" s="5">
        <v>80.5</v>
      </c>
      <c r="Y463" s="7">
        <v>2430000</v>
      </c>
      <c r="Z463" s="1"/>
      <c r="AA463" s="1"/>
      <c r="AB463" s="1"/>
      <c r="AC463" s="1"/>
      <c r="AD463" s="1"/>
      <c r="AE463" s="1" t="s">
        <v>51</v>
      </c>
      <c r="AF463" s="1" t="s">
        <v>51</v>
      </c>
      <c r="AG463" s="1" t="s">
        <v>47</v>
      </c>
      <c r="AH463" s="1"/>
      <c r="AI463" s="1"/>
      <c r="AJ463" s="3">
        <v>1</v>
      </c>
      <c r="AK463" s="1" t="s">
        <v>52</v>
      </c>
      <c r="AL463" s="3">
        <v>3</v>
      </c>
      <c r="AM463" s="8">
        <v>13.5</v>
      </c>
      <c r="AN463" s="1"/>
      <c r="AO463" s="1" t="s">
        <v>2771</v>
      </c>
      <c r="AP463" s="1" t="s">
        <v>813</v>
      </c>
      <c r="AQ463" s="1" t="s">
        <v>2772</v>
      </c>
      <c r="AR463" s="1" t="s">
        <v>2773</v>
      </c>
    </row>
    <row r="464">
      <c r="A464" s="2">
        <f ca="1">DATE(2000,05,05)</f>
        <v>0</v>
      </c>
      <c r="B464" s="2">
        <f ca="1">DATE(2000,08,10)</f>
        <v>0</v>
      </c>
      <c r="C464" s="1" t="s">
        <v>2767</v>
      </c>
      <c r="D464" s="3">
        <v>3661</v>
      </c>
      <c r="E464" s="1" t="s">
        <v>43</v>
      </c>
      <c r="F464" s="1" t="s">
        <v>2768</v>
      </c>
      <c r="G464" s="1" t="s">
        <v>813</v>
      </c>
      <c r="H464" s="1" t="s">
        <v>57</v>
      </c>
      <c r="I464" s="1" t="s">
        <v>57</v>
      </c>
      <c r="J464" s="5">
        <v>6.7999999999999998</v>
      </c>
      <c r="K464" s="8">
        <v>12</v>
      </c>
      <c r="L464" s="1" t="s">
        <v>58</v>
      </c>
      <c r="M464" s="1" t="s">
        <v>47</v>
      </c>
      <c r="N464" s="1" t="s">
        <v>2769</v>
      </c>
      <c r="O464" s="1" t="s">
        <v>48</v>
      </c>
      <c r="P464" s="1" t="s">
        <v>2774</v>
      </c>
      <c r="Q464" s="1"/>
      <c r="R464" s="1"/>
      <c r="S464" s="1"/>
      <c r="T464" s="1" t="s">
        <v>60</v>
      </c>
      <c r="U464" s="1"/>
      <c r="V464" s="1"/>
      <c r="W464" s="1"/>
      <c r="X464" s="1"/>
      <c r="Y464" s="7">
        <v>570000</v>
      </c>
      <c r="Z464" s="1"/>
      <c r="AA464" s="1"/>
      <c r="AB464" s="1"/>
      <c r="AC464" s="1"/>
      <c r="AD464" s="1"/>
      <c r="AE464" s="1" t="s">
        <v>51</v>
      </c>
      <c r="AF464" s="1" t="s">
        <v>51</v>
      </c>
      <c r="AG464" s="1" t="s">
        <v>47</v>
      </c>
      <c r="AH464" s="1"/>
      <c r="AI464" s="1"/>
      <c r="AJ464" s="3">
        <v>1</v>
      </c>
      <c r="AK464" s="1" t="s">
        <v>52</v>
      </c>
      <c r="AL464" s="3">
        <v>2</v>
      </c>
      <c r="AM464" s="1"/>
      <c r="AN464" s="1"/>
      <c r="AO464" s="1" t="s">
        <v>2775</v>
      </c>
      <c r="AP464" s="1" t="s">
        <v>813</v>
      </c>
      <c r="AQ464" s="1" t="s">
        <v>2776</v>
      </c>
      <c r="AR464" s="1" t="s">
        <v>2777</v>
      </c>
    </row>
    <row r="465">
      <c r="A465" s="2">
        <f ca="1">DATE(2000,03,31)</f>
        <v>0</v>
      </c>
      <c r="B465" s="2">
        <f ca="1">DATE(2000,08,10)</f>
        <v>0</v>
      </c>
      <c r="C465" s="1" t="s">
        <v>2778</v>
      </c>
      <c r="D465" s="3">
        <v>1629</v>
      </c>
      <c r="E465" s="1" t="s">
        <v>845</v>
      </c>
      <c r="F465" s="1" t="s">
        <v>2779</v>
      </c>
      <c r="G465" s="1" t="s">
        <v>393</v>
      </c>
      <c r="H465" s="4">
        <v>0.64000000000000001</v>
      </c>
      <c r="I465" s="4">
        <v>8</v>
      </c>
      <c r="J465" s="5">
        <v>12</v>
      </c>
      <c r="K465" s="4">
        <v>8</v>
      </c>
      <c r="L465" s="1" t="s">
        <v>46</v>
      </c>
      <c r="M465" s="1" t="s">
        <v>47</v>
      </c>
      <c r="N465" s="1" t="s">
        <v>2780</v>
      </c>
      <c r="O465" s="1" t="s">
        <v>48</v>
      </c>
      <c r="P465" s="1" t="s">
        <v>1938</v>
      </c>
      <c r="Q465" s="1" t="s">
        <v>145</v>
      </c>
      <c r="R465" s="1" t="s">
        <v>145</v>
      </c>
      <c r="S465" s="1"/>
      <c r="T465" s="1" t="s">
        <v>50</v>
      </c>
      <c r="U465" s="8">
        <v>8</v>
      </c>
      <c r="V465" s="8">
        <v>8</v>
      </c>
      <c r="W465" s="7">
        <v>3000000</v>
      </c>
      <c r="X465" s="5">
        <v>24</v>
      </c>
      <c r="Y465" s="7">
        <v>1500000</v>
      </c>
      <c r="Z465" s="1"/>
      <c r="AA465" s="2">
        <f ca="1">DATE(2001,11,03)</f>
        <v>0</v>
      </c>
      <c r="AB465" s="4">
        <v>84.210999999999999</v>
      </c>
      <c r="AC465" s="3">
        <v>450</v>
      </c>
      <c r="AD465" s="8">
        <v>8000000</v>
      </c>
      <c r="AE465" s="1" t="s">
        <v>51</v>
      </c>
      <c r="AF465" s="1" t="s">
        <v>51</v>
      </c>
      <c r="AG465" s="1" t="s">
        <v>51</v>
      </c>
      <c r="AH465" s="1"/>
      <c r="AI465" s="1"/>
      <c r="AJ465" s="3">
        <v>1</v>
      </c>
      <c r="AK465" s="1" t="s">
        <v>52</v>
      </c>
      <c r="AL465" s="3">
        <v>1</v>
      </c>
      <c r="AM465" s="8">
        <v>7.3799999999999999</v>
      </c>
      <c r="AN465" s="1"/>
      <c r="AO465" s="1" t="s">
        <v>393</v>
      </c>
      <c r="AP465" s="1" t="s">
        <v>393</v>
      </c>
      <c r="AQ465" s="1" t="s">
        <v>393</v>
      </c>
      <c r="AR465" s="1" t="s">
        <v>1938</v>
      </c>
    </row>
    <row r="466">
      <c r="A466" s="2">
        <f ca="1">DATE(2000,04,03)</f>
        <v>0</v>
      </c>
      <c r="B466" s="2">
        <f ca="1">DATE(2000,08,11)</f>
        <v>0</v>
      </c>
      <c r="C466" s="1" t="s">
        <v>2781</v>
      </c>
      <c r="D466" s="3">
        <v>2834</v>
      </c>
      <c r="E466" s="1" t="s">
        <v>43</v>
      </c>
      <c r="F466" s="1" t="s">
        <v>2782</v>
      </c>
      <c r="G466" s="1" t="s">
        <v>813</v>
      </c>
      <c r="H466" s="4">
        <v>0.48999999999999999</v>
      </c>
      <c r="I466" s="8">
        <v>7</v>
      </c>
      <c r="J466" s="5">
        <v>22.800000000000001</v>
      </c>
      <c r="K466" s="4">
        <v>7</v>
      </c>
      <c r="L466" s="1" t="s">
        <v>46</v>
      </c>
      <c r="M466" s="1" t="s">
        <v>47</v>
      </c>
      <c r="N466" s="1" t="s">
        <v>2783</v>
      </c>
      <c r="O466" s="1" t="s">
        <v>48</v>
      </c>
      <c r="P466" s="1" t="s">
        <v>2784</v>
      </c>
      <c r="Q466" s="4">
        <v>1.4290000000000001</v>
      </c>
      <c r="R466" s="4">
        <v>1.714</v>
      </c>
      <c r="S466" s="6">
        <v>3.8571399999999998</v>
      </c>
      <c r="T466" s="1" t="s">
        <v>50</v>
      </c>
      <c r="U466" s="1"/>
      <c r="V466" s="1"/>
      <c r="W466" s="1"/>
      <c r="X466" s="1"/>
      <c r="Y466" s="7">
        <v>3250000</v>
      </c>
      <c r="Z466" s="1"/>
      <c r="AA466" s="1"/>
      <c r="AB466" s="1"/>
      <c r="AC466" s="1"/>
      <c r="AD466" s="1"/>
      <c r="AE466" s="1" t="s">
        <v>51</v>
      </c>
      <c r="AF466" s="1" t="s">
        <v>51</v>
      </c>
      <c r="AG466" s="1" t="s">
        <v>47</v>
      </c>
      <c r="AH466" s="1"/>
      <c r="AI466" s="1"/>
      <c r="AJ466" s="3">
        <v>1</v>
      </c>
      <c r="AK466" s="1" t="s">
        <v>52</v>
      </c>
      <c r="AL466" s="3">
        <v>5</v>
      </c>
      <c r="AM466" s="8">
        <v>7.0599999999999996</v>
      </c>
      <c r="AN466" s="1"/>
      <c r="AO466" s="1" t="s">
        <v>2785</v>
      </c>
      <c r="AP466" s="1" t="s">
        <v>813</v>
      </c>
      <c r="AQ466" s="1" t="s">
        <v>2786</v>
      </c>
      <c r="AR466" s="1" t="s">
        <v>2787</v>
      </c>
    </row>
    <row r="467">
      <c r="A467" s="2">
        <f ca="1">DATE(2000,04,03)</f>
        <v>0</v>
      </c>
      <c r="B467" s="2">
        <f ca="1">DATE(2000,08,11)</f>
        <v>0</v>
      </c>
      <c r="C467" s="1" t="s">
        <v>2781</v>
      </c>
      <c r="D467" s="3">
        <v>2834</v>
      </c>
      <c r="E467" s="1" t="s">
        <v>43</v>
      </c>
      <c r="F467" s="1" t="s">
        <v>2782</v>
      </c>
      <c r="G467" s="1" t="s">
        <v>813</v>
      </c>
      <c r="H467" s="1" t="s">
        <v>57</v>
      </c>
      <c r="I467" s="1" t="s">
        <v>57</v>
      </c>
      <c r="J467" s="5">
        <v>12.300000000000001</v>
      </c>
      <c r="K467" s="8">
        <v>7</v>
      </c>
      <c r="L467" s="1" t="s">
        <v>58</v>
      </c>
      <c r="M467" s="1" t="s">
        <v>47</v>
      </c>
      <c r="N467" s="1" t="s">
        <v>2783</v>
      </c>
      <c r="O467" s="1" t="s">
        <v>48</v>
      </c>
      <c r="P467" s="1" t="s">
        <v>2788</v>
      </c>
      <c r="Q467" s="1"/>
      <c r="R467" s="1"/>
      <c r="S467" s="1"/>
      <c r="T467" s="1" t="s">
        <v>60</v>
      </c>
      <c r="U467" s="1"/>
      <c r="V467" s="1"/>
      <c r="W467" s="1"/>
      <c r="X467" s="5">
        <v>75</v>
      </c>
      <c r="Y467" s="7">
        <v>1750000</v>
      </c>
      <c r="Z467" s="1"/>
      <c r="AA467" s="1"/>
      <c r="AB467" s="1"/>
      <c r="AC467" s="1"/>
      <c r="AD467" s="1"/>
      <c r="AE467" s="1" t="s">
        <v>51</v>
      </c>
      <c r="AF467" s="1" t="s">
        <v>51</v>
      </c>
      <c r="AG467" s="1" t="s">
        <v>47</v>
      </c>
      <c r="AH467" s="1"/>
      <c r="AI467" s="1"/>
      <c r="AJ467" s="3">
        <v>1</v>
      </c>
      <c r="AK467" s="1" t="s">
        <v>89</v>
      </c>
      <c r="AL467" s="3">
        <v>2</v>
      </c>
      <c r="AM467" s="1"/>
      <c r="AN467" s="1"/>
      <c r="AO467" s="1" t="s">
        <v>2789</v>
      </c>
      <c r="AP467" s="1" t="s">
        <v>2790</v>
      </c>
      <c r="AQ467" s="1" t="s">
        <v>2791</v>
      </c>
      <c r="AR467" s="1" t="s">
        <v>1294</v>
      </c>
    </row>
    <row r="468">
      <c r="A468" s="2">
        <f ca="1">DATE(2000,07,18)</f>
        <v>0</v>
      </c>
      <c r="B468" s="2">
        <f ca="1">DATE(2000,08,11)</f>
        <v>0</v>
      </c>
      <c r="C468" s="1" t="s">
        <v>2792</v>
      </c>
      <c r="D468" s="3">
        <v>2836</v>
      </c>
      <c r="E468" s="1" t="s">
        <v>934</v>
      </c>
      <c r="F468" s="1" t="s">
        <v>2793</v>
      </c>
      <c r="G468" s="1" t="s">
        <v>122</v>
      </c>
      <c r="H468" s="4">
        <v>0.69999999999999996</v>
      </c>
      <c r="I468" s="8">
        <v>7</v>
      </c>
      <c r="J468" s="5">
        <v>50</v>
      </c>
      <c r="K468" s="4">
        <v>10</v>
      </c>
      <c r="L468" s="1" t="s">
        <v>1057</v>
      </c>
      <c r="M468" s="1" t="s">
        <v>47</v>
      </c>
      <c r="N468" s="1" t="s">
        <v>2794</v>
      </c>
      <c r="O468" s="1" t="s">
        <v>48</v>
      </c>
      <c r="P468" s="1" t="s">
        <v>2795</v>
      </c>
      <c r="Q468" s="4">
        <v>1.3999999999999999</v>
      </c>
      <c r="R468" s="4">
        <v>1.3999999999999999</v>
      </c>
      <c r="S468" s="8">
        <v>4.2000000000000002</v>
      </c>
      <c r="T468" s="1" t="s">
        <v>50</v>
      </c>
      <c r="U468" s="8">
        <v>12</v>
      </c>
      <c r="V468" s="8">
        <v>10</v>
      </c>
      <c r="W468" s="7">
        <v>5000000</v>
      </c>
      <c r="X468" s="5">
        <v>55</v>
      </c>
      <c r="Y468" s="7">
        <v>5000000</v>
      </c>
      <c r="Z468" s="1"/>
      <c r="AA468" s="2">
        <f ca="1">DATE(2000,11,09)</f>
        <v>0</v>
      </c>
      <c r="AB468" s="4">
        <v>80.179000000000002</v>
      </c>
      <c r="AC468" s="3">
        <v>90</v>
      </c>
      <c r="AD468" s="8">
        <v>20225581</v>
      </c>
      <c r="AE468" s="1" t="s">
        <v>51</v>
      </c>
      <c r="AF468" s="1" t="s">
        <v>51</v>
      </c>
      <c r="AG468" s="1" t="s">
        <v>51</v>
      </c>
      <c r="AH468" s="1"/>
      <c r="AI468" s="1"/>
      <c r="AJ468" s="3">
        <v>1</v>
      </c>
      <c r="AK468" s="1" t="s">
        <v>52</v>
      </c>
      <c r="AL468" s="3">
        <v>3</v>
      </c>
      <c r="AM468" s="8">
        <v>11.130000000000001</v>
      </c>
      <c r="AN468" s="1"/>
      <c r="AO468" s="1" t="s">
        <v>2796</v>
      </c>
      <c r="AP468" s="1" t="s">
        <v>122</v>
      </c>
      <c r="AQ468" s="1" t="s">
        <v>2797</v>
      </c>
      <c r="AR468" s="1" t="s">
        <v>2798</v>
      </c>
    </row>
    <row r="469">
      <c r="A469" s="2">
        <f ca="1">DATE(2000,05,19)</f>
        <v>0</v>
      </c>
      <c r="B469" s="2">
        <f ca="1">DATE(2000,08,14)</f>
        <v>0</v>
      </c>
      <c r="C469" s="1" t="s">
        <v>2799</v>
      </c>
      <c r="D469" s="3">
        <v>8731</v>
      </c>
      <c r="E469" s="1" t="s">
        <v>43</v>
      </c>
      <c r="F469" s="1" t="s">
        <v>2800</v>
      </c>
      <c r="G469" s="1" t="s">
        <v>400</v>
      </c>
      <c r="H469" s="4">
        <v>1.05</v>
      </c>
      <c r="I469" s="4">
        <v>7</v>
      </c>
      <c r="J469" s="5">
        <v>50.600000000000001</v>
      </c>
      <c r="K469" s="4">
        <v>15</v>
      </c>
      <c r="L469" s="1" t="s">
        <v>46</v>
      </c>
      <c r="M469" s="1" t="s">
        <v>47</v>
      </c>
      <c r="N469" s="1" t="s">
        <v>2801</v>
      </c>
      <c r="O469" s="1" t="s">
        <v>48</v>
      </c>
      <c r="P469" s="1" t="s">
        <v>2802</v>
      </c>
      <c r="Q469" s="4">
        <v>1.3999999999999999</v>
      </c>
      <c r="R469" s="4">
        <v>1.3999999999999999</v>
      </c>
      <c r="S469" s="8">
        <v>4.2000000000000002</v>
      </c>
      <c r="T469" s="1" t="s">
        <v>50</v>
      </c>
      <c r="U469" s="1"/>
      <c r="V469" s="1"/>
      <c r="W469" s="1"/>
      <c r="X469" s="5">
        <v>75</v>
      </c>
      <c r="Y469" s="7">
        <v>3376000</v>
      </c>
      <c r="Z469" s="1"/>
      <c r="AA469" s="1"/>
      <c r="AB469" s="1"/>
      <c r="AC469" s="1"/>
      <c r="AD469" s="1"/>
      <c r="AE469" s="1" t="s">
        <v>51</v>
      </c>
      <c r="AF469" s="1" t="s">
        <v>51</v>
      </c>
      <c r="AG469" s="1" t="s">
        <v>47</v>
      </c>
      <c r="AH469" s="1"/>
      <c r="AI469" s="1"/>
      <c r="AJ469" s="3">
        <v>1</v>
      </c>
      <c r="AK469" s="1" t="s">
        <v>52</v>
      </c>
      <c r="AL469" s="3">
        <v>3</v>
      </c>
      <c r="AM469" s="8">
        <v>25.75</v>
      </c>
      <c r="AN469" s="1"/>
      <c r="AO469" s="1" t="s">
        <v>2803</v>
      </c>
      <c r="AP469" s="1" t="s">
        <v>400</v>
      </c>
      <c r="AQ469" s="1" t="s">
        <v>2804</v>
      </c>
      <c r="AR469" s="1" t="s">
        <v>2805</v>
      </c>
    </row>
    <row r="470">
      <c r="A470" s="2">
        <f ca="1">DATE(2000,05,19)</f>
        <v>0</v>
      </c>
      <c r="B470" s="2">
        <f ca="1">DATE(2000,08,14)</f>
        <v>0</v>
      </c>
      <c r="C470" s="1" t="s">
        <v>2799</v>
      </c>
      <c r="D470" s="3">
        <v>8731</v>
      </c>
      <c r="E470" s="1" t="s">
        <v>43</v>
      </c>
      <c r="F470" s="1" t="s">
        <v>2800</v>
      </c>
      <c r="G470" s="1" t="s">
        <v>2806</v>
      </c>
      <c r="H470" s="4">
        <v>1.05</v>
      </c>
      <c r="I470" s="4">
        <v>7</v>
      </c>
      <c r="J470" s="5">
        <v>8.0999999999999996</v>
      </c>
      <c r="K470" s="8">
        <v>15</v>
      </c>
      <c r="L470" s="1" t="s">
        <v>58</v>
      </c>
      <c r="M470" s="1" t="s">
        <v>47</v>
      </c>
      <c r="N470" s="1"/>
      <c r="O470" s="1" t="s">
        <v>48</v>
      </c>
      <c r="P470" s="1" t="s">
        <v>2807</v>
      </c>
      <c r="Q470" s="4">
        <v>1.3999999999999999</v>
      </c>
      <c r="R470" s="4">
        <v>1.3999999999999999</v>
      </c>
      <c r="S470" s="8">
        <v>4.2000000000000002</v>
      </c>
      <c r="T470" s="1" t="s">
        <v>60</v>
      </c>
      <c r="U470" s="1"/>
      <c r="V470" s="1"/>
      <c r="W470" s="1"/>
      <c r="X470" s="1"/>
      <c r="Y470" s="7">
        <v>542609</v>
      </c>
      <c r="Z470" s="1"/>
      <c r="AA470" s="1"/>
      <c r="AB470" s="1"/>
      <c r="AC470" s="1"/>
      <c r="AD470" s="1"/>
      <c r="AE470" s="1" t="s">
        <v>51</v>
      </c>
      <c r="AF470" s="1" t="s">
        <v>51</v>
      </c>
      <c r="AG470" s="1" t="s">
        <v>47</v>
      </c>
      <c r="AH470" s="1"/>
      <c r="AI470" s="1"/>
      <c r="AJ470" s="3">
        <v>1</v>
      </c>
      <c r="AK470" s="1" t="s">
        <v>52</v>
      </c>
      <c r="AL470" s="3">
        <v>1</v>
      </c>
      <c r="AM470" s="1"/>
      <c r="AN470" s="1"/>
      <c r="AO470" s="1" t="s">
        <v>2808</v>
      </c>
      <c r="AP470" s="1" t="s">
        <v>2806</v>
      </c>
      <c r="AQ470" s="1" t="s">
        <v>2806</v>
      </c>
      <c r="AR470" s="1" t="s">
        <v>2809</v>
      </c>
    </row>
    <row r="471">
      <c r="A471" s="2">
        <f ca="1">DATE(2000,02,16)</f>
        <v>0</v>
      </c>
      <c r="B471" s="2">
        <f ca="1">DATE(2000,08,14)</f>
        <v>0</v>
      </c>
      <c r="C471" s="1" t="s">
        <v>2810</v>
      </c>
      <c r="D471" s="3">
        <v>3861</v>
      </c>
      <c r="E471" s="1" t="s">
        <v>43</v>
      </c>
      <c r="F471" s="1"/>
      <c r="G471" s="1" t="s">
        <v>387</v>
      </c>
      <c r="H471" s="4">
        <v>0.56000000000000005</v>
      </c>
      <c r="I471" s="4">
        <v>7</v>
      </c>
      <c r="J471" s="5">
        <v>52</v>
      </c>
      <c r="K471" s="4">
        <v>8</v>
      </c>
      <c r="L471" s="1" t="s">
        <v>46</v>
      </c>
      <c r="M471" s="1" t="s">
        <v>47</v>
      </c>
      <c r="N471" s="1" t="s">
        <v>2811</v>
      </c>
      <c r="O471" s="1"/>
      <c r="P471" s="1" t="s">
        <v>2812</v>
      </c>
      <c r="Q471" s="4">
        <v>1.375</v>
      </c>
      <c r="R471" s="4">
        <v>1.5</v>
      </c>
      <c r="S471" s="4">
        <v>4.125</v>
      </c>
      <c r="T471" s="1" t="s">
        <v>50</v>
      </c>
      <c r="U471" s="1"/>
      <c r="V471" s="1"/>
      <c r="W471" s="1"/>
      <c r="X471" s="5">
        <v>80</v>
      </c>
      <c r="Y471" s="7">
        <v>6500000</v>
      </c>
      <c r="Z471" s="1"/>
      <c r="AA471" s="2">
        <f ca="1">DATE(2001,02,11)</f>
        <v>0</v>
      </c>
      <c r="AB471" s="4">
        <v>83.043999999999997</v>
      </c>
      <c r="AC471" s="3">
        <v>180</v>
      </c>
      <c r="AD471" s="8">
        <v>49022203</v>
      </c>
      <c r="AE471" s="1" t="s">
        <v>51</v>
      </c>
      <c r="AF471" s="1" t="s">
        <v>51</v>
      </c>
      <c r="AG471" s="1" t="s">
        <v>47</v>
      </c>
      <c r="AH471" s="1"/>
      <c r="AI471" s="1"/>
      <c r="AJ471" s="3">
        <v>1</v>
      </c>
      <c r="AK471" s="1" t="s">
        <v>89</v>
      </c>
      <c r="AL471" s="3">
        <v>4</v>
      </c>
      <c r="AM471" s="8">
        <v>8</v>
      </c>
      <c r="AN471" s="1"/>
      <c r="AO471" s="1" t="s">
        <v>2813</v>
      </c>
      <c r="AP471" s="1" t="s">
        <v>2814</v>
      </c>
      <c r="AQ471" s="1" t="s">
        <v>2815</v>
      </c>
      <c r="AR471" s="1" t="s">
        <v>2816</v>
      </c>
    </row>
    <row r="472">
      <c r="A472" s="2">
        <f ca="1">DATE(2000,05,22)</f>
        <v>0</v>
      </c>
      <c r="B472" s="2">
        <f ca="1">DATE(2000,08,14)</f>
        <v>0</v>
      </c>
      <c r="C472" s="1" t="s">
        <v>2817</v>
      </c>
      <c r="D472" s="3">
        <v>7375</v>
      </c>
      <c r="E472" s="1" t="s">
        <v>43</v>
      </c>
      <c r="F472" s="1" t="s">
        <v>2818</v>
      </c>
      <c r="G472" s="1" t="s">
        <v>411</v>
      </c>
      <c r="H472" s="4">
        <v>0.48999999999999999</v>
      </c>
      <c r="I472" s="8">
        <v>7</v>
      </c>
      <c r="J472" s="5">
        <v>35</v>
      </c>
      <c r="K472" s="4">
        <v>7</v>
      </c>
      <c r="L472" s="1" t="s">
        <v>46</v>
      </c>
      <c r="M472" s="1" t="s">
        <v>47</v>
      </c>
      <c r="N472" s="1" t="s">
        <v>2819</v>
      </c>
      <c r="O472" s="1" t="s">
        <v>48</v>
      </c>
      <c r="P472" s="1" t="s">
        <v>2820</v>
      </c>
      <c r="Q472" s="4">
        <v>1.4290000000000001</v>
      </c>
      <c r="R472" s="4">
        <v>1.286</v>
      </c>
      <c r="S472" s="6">
        <v>4.2857099999999999</v>
      </c>
      <c r="T472" s="1" t="s">
        <v>50</v>
      </c>
      <c r="U472" s="1"/>
      <c r="V472" s="1"/>
      <c r="W472" s="1"/>
      <c r="X472" s="5">
        <v>75</v>
      </c>
      <c r="Y472" s="7">
        <v>5000000</v>
      </c>
      <c r="Z472" s="1"/>
      <c r="AA472" s="2">
        <f ca="1">DATE(2001,02,10)</f>
        <v>0</v>
      </c>
      <c r="AB472" s="4">
        <v>63.226999999999997</v>
      </c>
      <c r="AC472" s="3">
        <v>180</v>
      </c>
      <c r="AD472" s="8">
        <v>17571327</v>
      </c>
      <c r="AE472" s="1" t="s">
        <v>51</v>
      </c>
      <c r="AF472" s="1" t="s">
        <v>51</v>
      </c>
      <c r="AG472" s="1" t="s">
        <v>47</v>
      </c>
      <c r="AH472" s="1"/>
      <c r="AI472" s="1"/>
      <c r="AJ472" s="3">
        <v>1</v>
      </c>
      <c r="AK472" s="1" t="s">
        <v>52</v>
      </c>
      <c r="AL472" s="3">
        <v>3</v>
      </c>
      <c r="AM472" s="8">
        <v>7</v>
      </c>
      <c r="AN472" s="1"/>
      <c r="AO472" s="1" t="s">
        <v>2821</v>
      </c>
      <c r="AP472" s="1" t="s">
        <v>411</v>
      </c>
      <c r="AQ472" s="1" t="s">
        <v>2822</v>
      </c>
      <c r="AR472" s="1" t="s">
        <v>2823</v>
      </c>
    </row>
    <row r="473">
      <c r="A473" s="2">
        <f ca="1">DATE(2000,05,10)</f>
        <v>0</v>
      </c>
      <c r="B473" s="2">
        <f ca="1">DATE(2000,08,15)</f>
        <v>0</v>
      </c>
      <c r="C473" s="1" t="s">
        <v>2824</v>
      </c>
      <c r="D473" s="3">
        <v>7389</v>
      </c>
      <c r="E473" s="1" t="s">
        <v>43</v>
      </c>
      <c r="F473" s="1"/>
      <c r="G473" s="1" t="s">
        <v>387</v>
      </c>
      <c r="H473" s="4">
        <v>0.83999999999999997</v>
      </c>
      <c r="I473" s="8">
        <v>7</v>
      </c>
      <c r="J473" s="5">
        <v>73.200000000000003</v>
      </c>
      <c r="K473" s="4">
        <v>12</v>
      </c>
      <c r="L473" s="1" t="s">
        <v>46</v>
      </c>
      <c r="M473" s="1" t="s">
        <v>47</v>
      </c>
      <c r="N473" s="3">
        <v>689803104</v>
      </c>
      <c r="O473" s="1"/>
      <c r="P473" s="1" t="s">
        <v>2825</v>
      </c>
      <c r="Q473" s="4">
        <v>1.417</v>
      </c>
      <c r="R473" s="4">
        <v>1.417</v>
      </c>
      <c r="S473" s="6">
        <v>4.1666699999999999</v>
      </c>
      <c r="T473" s="1" t="s">
        <v>50</v>
      </c>
      <c r="U473" s="1"/>
      <c r="V473" s="1"/>
      <c r="W473" s="1"/>
      <c r="X473" s="5">
        <v>86.299999999999997</v>
      </c>
      <c r="Y473" s="7">
        <v>5798623</v>
      </c>
      <c r="Z473" s="7">
        <v>301377</v>
      </c>
      <c r="AA473" s="2">
        <f ca="1">DATE(2001,02,12)</f>
        <v>0</v>
      </c>
      <c r="AB473" s="4">
        <v>70.808000000000007</v>
      </c>
      <c r="AC473" s="3">
        <v>180</v>
      </c>
      <c r="AD473" s="8">
        <v>15702498</v>
      </c>
      <c r="AE473" s="1" t="s">
        <v>51</v>
      </c>
      <c r="AF473" s="1" t="s">
        <v>51</v>
      </c>
      <c r="AG473" s="1" t="s">
        <v>47</v>
      </c>
      <c r="AH473" s="1"/>
      <c r="AI473" s="1"/>
      <c r="AJ473" s="3">
        <v>1</v>
      </c>
      <c r="AK473" s="1" t="s">
        <v>89</v>
      </c>
      <c r="AL473" s="3">
        <v>3</v>
      </c>
      <c r="AM473" s="8">
        <v>13.380000000000001</v>
      </c>
      <c r="AN473" s="1"/>
      <c r="AO473" s="1" t="s">
        <v>2826</v>
      </c>
      <c r="AP473" s="1" t="s">
        <v>2827</v>
      </c>
      <c r="AQ473" s="1" t="s">
        <v>2828</v>
      </c>
      <c r="AR473" s="1" t="s">
        <v>2829</v>
      </c>
    </row>
    <row r="474">
      <c r="A474" s="2">
        <f ca="1">DATE(2000,04,05)</f>
        <v>0</v>
      </c>
      <c r="B474" s="2">
        <f ca="1">DATE(2000,08,15)</f>
        <v>0</v>
      </c>
      <c r="C474" s="1" t="s">
        <v>2830</v>
      </c>
      <c r="D474" s="3">
        <v>7375</v>
      </c>
      <c r="E474" s="1" t="s">
        <v>43</v>
      </c>
      <c r="F474" s="1"/>
      <c r="G474" s="1" t="s">
        <v>387</v>
      </c>
      <c r="H474" s="4">
        <v>0.69999999999999996</v>
      </c>
      <c r="I474" s="8">
        <v>7</v>
      </c>
      <c r="J474" s="5">
        <v>85</v>
      </c>
      <c r="K474" s="4">
        <v>10</v>
      </c>
      <c r="L474" s="1" t="s">
        <v>46</v>
      </c>
      <c r="M474" s="1" t="s">
        <v>47</v>
      </c>
      <c r="N474" s="3">
        <v>709776108</v>
      </c>
      <c r="O474" s="1"/>
      <c r="P474" s="1" t="s">
        <v>2831</v>
      </c>
      <c r="Q474" s="4">
        <v>1.3999999999999999</v>
      </c>
      <c r="R474" s="4">
        <v>1.6000000000000001</v>
      </c>
      <c r="S474" s="8">
        <v>4</v>
      </c>
      <c r="T474" s="1" t="s">
        <v>50</v>
      </c>
      <c r="U474" s="1"/>
      <c r="V474" s="1"/>
      <c r="W474" s="1"/>
      <c r="X474" s="5">
        <v>100</v>
      </c>
      <c r="Y474" s="7">
        <v>8500000</v>
      </c>
      <c r="Z474" s="1"/>
      <c r="AA474" s="2">
        <f ca="1">DATE(2001,02,12)</f>
        <v>0</v>
      </c>
      <c r="AB474" s="4">
        <v>85.570999999999998</v>
      </c>
      <c r="AC474" s="3">
        <v>180</v>
      </c>
      <c r="AD474" s="8">
        <v>96891356</v>
      </c>
      <c r="AE474" s="1" t="s">
        <v>51</v>
      </c>
      <c r="AF474" s="1" t="s">
        <v>51</v>
      </c>
      <c r="AG474" s="1" t="s">
        <v>47</v>
      </c>
      <c r="AH474" s="1"/>
      <c r="AI474" s="1"/>
      <c r="AJ474" s="3">
        <v>1</v>
      </c>
      <c r="AK474" s="1" t="s">
        <v>52</v>
      </c>
      <c r="AL474" s="3">
        <v>4</v>
      </c>
      <c r="AM474" s="8">
        <v>8.8800000000000008</v>
      </c>
      <c r="AN474" s="1"/>
      <c r="AO474" s="1" t="s">
        <v>2832</v>
      </c>
      <c r="AP474" s="1" t="s">
        <v>387</v>
      </c>
      <c r="AQ474" s="1" t="s">
        <v>2833</v>
      </c>
      <c r="AR474" s="1" t="s">
        <v>2834</v>
      </c>
    </row>
    <row r="475">
      <c r="A475" s="2">
        <f ca="1">DATE(2000,06,09)</f>
        <v>0</v>
      </c>
      <c r="B475" s="2">
        <f ca="1">DATE(2000,08,17)</f>
        <v>0</v>
      </c>
      <c r="C475" s="1" t="s">
        <v>2835</v>
      </c>
      <c r="D475" s="3">
        <v>7372</v>
      </c>
      <c r="E475" s="1" t="s">
        <v>43</v>
      </c>
      <c r="F475" s="1" t="s">
        <v>2836</v>
      </c>
      <c r="G475" s="1" t="s">
        <v>387</v>
      </c>
      <c r="H475" s="4">
        <v>0.83999999999999997</v>
      </c>
      <c r="I475" s="8">
        <v>7</v>
      </c>
      <c r="J475" s="5">
        <v>36</v>
      </c>
      <c r="K475" s="4">
        <v>12</v>
      </c>
      <c r="L475" s="1" t="s">
        <v>46</v>
      </c>
      <c r="M475" s="1" t="s">
        <v>47</v>
      </c>
      <c r="N475" s="1" t="s">
        <v>2837</v>
      </c>
      <c r="O475" s="1" t="s">
        <v>48</v>
      </c>
      <c r="P475" s="1" t="s">
        <v>2838</v>
      </c>
      <c r="Q475" s="4">
        <v>1.417</v>
      </c>
      <c r="R475" s="4">
        <v>1.417</v>
      </c>
      <c r="S475" s="6">
        <v>4.1666699999999999</v>
      </c>
      <c r="T475" s="1" t="s">
        <v>50</v>
      </c>
      <c r="U475" s="1"/>
      <c r="V475" s="1"/>
      <c r="W475" s="1"/>
      <c r="X475" s="5">
        <v>57.5</v>
      </c>
      <c r="Y475" s="7">
        <v>3000000</v>
      </c>
      <c r="Z475" s="1"/>
      <c r="AA475" s="2">
        <f ca="1">DATE(2001,02,13)</f>
        <v>0</v>
      </c>
      <c r="AB475" s="4">
        <v>88.031999999999996</v>
      </c>
      <c r="AC475" s="3">
        <v>180</v>
      </c>
      <c r="AD475" s="8">
        <v>22066772</v>
      </c>
      <c r="AE475" s="1" t="s">
        <v>51</v>
      </c>
      <c r="AF475" s="1" t="s">
        <v>51</v>
      </c>
      <c r="AG475" s="1" t="s">
        <v>51</v>
      </c>
      <c r="AH475" s="1"/>
      <c r="AI475" s="1"/>
      <c r="AJ475" s="3">
        <v>1</v>
      </c>
      <c r="AK475" s="1" t="s">
        <v>52</v>
      </c>
      <c r="AL475" s="3">
        <v>3</v>
      </c>
      <c r="AM475" s="8">
        <v>9.3800000000000008</v>
      </c>
      <c r="AN475" s="1"/>
      <c r="AO475" s="1" t="s">
        <v>2839</v>
      </c>
      <c r="AP475" s="1" t="s">
        <v>387</v>
      </c>
      <c r="AQ475" s="1" t="s">
        <v>2840</v>
      </c>
      <c r="AR475" s="1" t="s">
        <v>2841</v>
      </c>
    </row>
    <row r="476">
      <c r="A476" s="2">
        <f ca="1">DATE(2000,06,13)</f>
        <v>0</v>
      </c>
      <c r="B476" s="2">
        <f ca="1">DATE(2000,08,17)</f>
        <v>0</v>
      </c>
      <c r="C476" s="1" t="s">
        <v>2842</v>
      </c>
      <c r="D476" s="3">
        <v>4899</v>
      </c>
      <c r="E476" s="1" t="s">
        <v>43</v>
      </c>
      <c r="F476" s="1" t="s">
        <v>2843</v>
      </c>
      <c r="G476" s="1" t="s">
        <v>813</v>
      </c>
      <c r="H476" s="4">
        <v>1.26</v>
      </c>
      <c r="I476" s="4">
        <v>7</v>
      </c>
      <c r="J476" s="5">
        <v>80.599999999999994</v>
      </c>
      <c r="K476" s="4">
        <v>18</v>
      </c>
      <c r="L476" s="1" t="s">
        <v>46</v>
      </c>
      <c r="M476" s="1" t="s">
        <v>47</v>
      </c>
      <c r="N476" s="1" t="s">
        <v>2844</v>
      </c>
      <c r="O476" s="1" t="s">
        <v>48</v>
      </c>
      <c r="P476" s="1" t="s">
        <v>2845</v>
      </c>
      <c r="Q476" s="4">
        <v>1.389</v>
      </c>
      <c r="R476" s="4">
        <v>1.389</v>
      </c>
      <c r="S476" s="6">
        <v>4.2222200000000001</v>
      </c>
      <c r="T476" s="1" t="s">
        <v>50</v>
      </c>
      <c r="U476" s="1"/>
      <c r="V476" s="1"/>
      <c r="W476" s="1"/>
      <c r="X476" s="5">
        <v>115</v>
      </c>
      <c r="Y476" s="7">
        <v>4480000</v>
      </c>
      <c r="Z476" s="1"/>
      <c r="AA476" s="1"/>
      <c r="AB476" s="1"/>
      <c r="AC476" s="1"/>
      <c r="AD476" s="1"/>
      <c r="AE476" s="1" t="s">
        <v>51</v>
      </c>
      <c r="AF476" s="1" t="s">
        <v>51</v>
      </c>
      <c r="AG476" s="1" t="s">
        <v>47</v>
      </c>
      <c r="AH476" s="1"/>
      <c r="AI476" s="1"/>
      <c r="AJ476" s="3">
        <v>1</v>
      </c>
      <c r="AK476" s="1" t="s">
        <v>52</v>
      </c>
      <c r="AL476" s="3">
        <v>4</v>
      </c>
      <c r="AM476" s="8">
        <v>24.879999999999999</v>
      </c>
      <c r="AN476" s="1"/>
      <c r="AO476" s="1" t="s">
        <v>2846</v>
      </c>
      <c r="AP476" s="1" t="s">
        <v>813</v>
      </c>
      <c r="AQ476" s="1" t="s">
        <v>2847</v>
      </c>
      <c r="AR476" s="1" t="s">
        <v>2848</v>
      </c>
    </row>
    <row r="477">
      <c r="A477" s="2">
        <f ca="1">DATE(2000,06,13)</f>
        <v>0</v>
      </c>
      <c r="B477" s="2">
        <f ca="1">DATE(2000,08,17)</f>
        <v>0</v>
      </c>
      <c r="C477" s="1" t="s">
        <v>2842</v>
      </c>
      <c r="D477" s="3">
        <v>4899</v>
      </c>
      <c r="E477" s="1" t="s">
        <v>43</v>
      </c>
      <c r="F477" s="1" t="s">
        <v>2843</v>
      </c>
      <c r="G477" s="1" t="s">
        <v>813</v>
      </c>
      <c r="H477" s="1" t="s">
        <v>57</v>
      </c>
      <c r="I477" s="1" t="s">
        <v>57</v>
      </c>
      <c r="J477" s="5">
        <v>17.5</v>
      </c>
      <c r="K477" s="8">
        <v>18</v>
      </c>
      <c r="L477" s="1" t="s">
        <v>58</v>
      </c>
      <c r="M477" s="1" t="s">
        <v>47</v>
      </c>
      <c r="N477" s="1"/>
      <c r="O477" s="1" t="s">
        <v>48</v>
      </c>
      <c r="P477" s="1" t="s">
        <v>2849</v>
      </c>
      <c r="Q477" s="1"/>
      <c r="R477" s="1"/>
      <c r="S477" s="1"/>
      <c r="T477" s="1" t="s">
        <v>60</v>
      </c>
      <c r="U477" s="1"/>
      <c r="V477" s="1"/>
      <c r="W477" s="1"/>
      <c r="X477" s="1"/>
      <c r="Y477" s="7">
        <v>973913</v>
      </c>
      <c r="Z477" s="1"/>
      <c r="AA477" s="1"/>
      <c r="AB477" s="1"/>
      <c r="AC477" s="1"/>
      <c r="AD477" s="1"/>
      <c r="AE477" s="1" t="s">
        <v>51</v>
      </c>
      <c r="AF477" s="1" t="s">
        <v>51</v>
      </c>
      <c r="AG477" s="1" t="s">
        <v>47</v>
      </c>
      <c r="AH477" s="1"/>
      <c r="AI477" s="1"/>
      <c r="AJ477" s="3">
        <v>1</v>
      </c>
      <c r="AK477" s="1" t="s">
        <v>52</v>
      </c>
      <c r="AL477" s="3">
        <v>3</v>
      </c>
      <c r="AM477" s="1"/>
      <c r="AN477" s="1"/>
      <c r="AO477" s="1" t="s">
        <v>2850</v>
      </c>
      <c r="AP477" s="1" t="s">
        <v>813</v>
      </c>
      <c r="AQ477" s="1" t="s">
        <v>2851</v>
      </c>
      <c r="AR477" s="1" t="s">
        <v>2852</v>
      </c>
    </row>
    <row r="478">
      <c r="A478" s="2">
        <f ca="1">DATE(2000,05,22)</f>
        <v>0</v>
      </c>
      <c r="B478" s="2">
        <f ca="1">DATE(2000,08,17)</f>
        <v>0</v>
      </c>
      <c r="C478" s="1" t="s">
        <v>2853</v>
      </c>
      <c r="D478" s="3">
        <v>3669</v>
      </c>
      <c r="E478" s="1" t="s">
        <v>43</v>
      </c>
      <c r="F478" s="1" t="s">
        <v>2854</v>
      </c>
      <c r="G478" s="1" t="s">
        <v>122</v>
      </c>
      <c r="H478" s="4">
        <v>1.05</v>
      </c>
      <c r="I478" s="4">
        <v>7</v>
      </c>
      <c r="J478" s="5">
        <v>75</v>
      </c>
      <c r="K478" s="4">
        <v>15</v>
      </c>
      <c r="L478" s="1" t="s">
        <v>46</v>
      </c>
      <c r="M478" s="1" t="s">
        <v>47</v>
      </c>
      <c r="N478" s="3">
        <v>705221109</v>
      </c>
      <c r="O478" s="1" t="s">
        <v>48</v>
      </c>
      <c r="P478" s="1" t="s">
        <v>2855</v>
      </c>
      <c r="Q478" s="4">
        <v>1.3999999999999999</v>
      </c>
      <c r="R478" s="4">
        <v>1.3999999999999999</v>
      </c>
      <c r="S478" s="8">
        <v>4.2000000000000002</v>
      </c>
      <c r="T478" s="1" t="s">
        <v>50</v>
      </c>
      <c r="U478" s="8">
        <v>16</v>
      </c>
      <c r="V478" s="8">
        <v>14</v>
      </c>
      <c r="W478" s="1"/>
      <c r="X478" s="5">
        <v>86.299999999999997</v>
      </c>
      <c r="Y478" s="7">
        <v>5000000</v>
      </c>
      <c r="Z478" s="1"/>
      <c r="AA478" s="2">
        <f ca="1">DATE(2001,02,13)</f>
        <v>0</v>
      </c>
      <c r="AB478" s="4">
        <v>71.939999999999998</v>
      </c>
      <c r="AC478" s="3">
        <v>180</v>
      </c>
      <c r="AD478" s="8">
        <v>14271400</v>
      </c>
      <c r="AE478" s="1" t="s">
        <v>51</v>
      </c>
      <c r="AF478" s="1" t="s">
        <v>51</v>
      </c>
      <c r="AG478" s="1" t="s">
        <v>51</v>
      </c>
      <c r="AH478" s="1"/>
      <c r="AI478" s="1"/>
      <c r="AJ478" s="3">
        <v>1</v>
      </c>
      <c r="AK478" s="1" t="s">
        <v>52</v>
      </c>
      <c r="AL478" s="3">
        <v>3</v>
      </c>
      <c r="AM478" s="8">
        <v>23</v>
      </c>
      <c r="AN478" s="1"/>
      <c r="AO478" s="1" t="s">
        <v>2856</v>
      </c>
      <c r="AP478" s="1" t="s">
        <v>122</v>
      </c>
      <c r="AQ478" s="1" t="s">
        <v>2857</v>
      </c>
      <c r="AR478" s="1" t="s">
        <v>2858</v>
      </c>
    </row>
    <row r="479">
      <c r="A479" s="2">
        <f ca="1">DATE(2000,05,30)</f>
        <v>0</v>
      </c>
      <c r="B479" s="2">
        <f ca="1">DATE(2000,08,18)</f>
        <v>0</v>
      </c>
      <c r="C479" s="1" t="s">
        <v>2859</v>
      </c>
      <c r="D479" s="3">
        <v>6021</v>
      </c>
      <c r="E479" s="1" t="s">
        <v>43</v>
      </c>
      <c r="F479" s="1" t="s">
        <v>2860</v>
      </c>
      <c r="G479" s="1" t="s">
        <v>2861</v>
      </c>
      <c r="H479" s="4">
        <v>0.69999999999999996</v>
      </c>
      <c r="I479" s="8">
        <v>7</v>
      </c>
      <c r="J479" s="5">
        <v>18.800000000000001</v>
      </c>
      <c r="K479" s="4">
        <v>10</v>
      </c>
      <c r="L479" s="1" t="s">
        <v>46</v>
      </c>
      <c r="M479" s="1" t="s">
        <v>47</v>
      </c>
      <c r="N479" s="1" t="s">
        <v>2862</v>
      </c>
      <c r="O479" s="1" t="s">
        <v>48</v>
      </c>
      <c r="P479" s="1" t="s">
        <v>2863</v>
      </c>
      <c r="Q479" s="4">
        <v>1.5</v>
      </c>
      <c r="R479" s="4">
        <v>1.5</v>
      </c>
      <c r="S479" s="8">
        <v>4</v>
      </c>
      <c r="T479" s="1" t="s">
        <v>50</v>
      </c>
      <c r="U479" s="8">
        <v>10</v>
      </c>
      <c r="V479" s="8">
        <v>10</v>
      </c>
      <c r="W479" s="7">
        <v>2500000</v>
      </c>
      <c r="X479" s="5">
        <v>25</v>
      </c>
      <c r="Y479" s="7">
        <v>1875000</v>
      </c>
      <c r="Z479" s="1"/>
      <c r="AA479" s="2">
        <f ca="1">DATE(2001,02,14)</f>
        <v>0</v>
      </c>
      <c r="AB479" s="4">
        <v>8.9619999999999997</v>
      </c>
      <c r="AC479" s="3">
        <v>180</v>
      </c>
      <c r="AD479" s="8">
        <v>336000</v>
      </c>
      <c r="AE479" s="1" t="s">
        <v>51</v>
      </c>
      <c r="AF479" s="1" t="s">
        <v>51</v>
      </c>
      <c r="AG479" s="1" t="s">
        <v>51</v>
      </c>
      <c r="AH479" s="1"/>
      <c r="AI479" s="1"/>
      <c r="AJ479" s="3">
        <v>1</v>
      </c>
      <c r="AK479" s="1" t="s">
        <v>52</v>
      </c>
      <c r="AL479" s="3">
        <v>1</v>
      </c>
      <c r="AM479" s="1"/>
      <c r="AN479" s="1"/>
      <c r="AO479" s="1" t="s">
        <v>2864</v>
      </c>
      <c r="AP479" s="1" t="s">
        <v>2861</v>
      </c>
      <c r="AQ479" s="1" t="s">
        <v>2861</v>
      </c>
      <c r="AR479" s="1" t="s">
        <v>2865</v>
      </c>
    </row>
    <row r="480">
      <c r="A480" s="2">
        <f ca="1">DATE(2000,06,02)</f>
        <v>0</v>
      </c>
      <c r="B480" s="2">
        <f ca="1">DATE(2000,08,18)</f>
        <v>0</v>
      </c>
      <c r="C480" s="1" t="s">
        <v>2866</v>
      </c>
      <c r="D480" s="3">
        <v>1731</v>
      </c>
      <c r="E480" s="1" t="s">
        <v>43</v>
      </c>
      <c r="F480" s="1" t="s">
        <v>2867</v>
      </c>
      <c r="G480" s="1" t="s">
        <v>151</v>
      </c>
      <c r="H480" s="4">
        <v>0.56000000000000005</v>
      </c>
      <c r="I480" s="4">
        <v>7</v>
      </c>
      <c r="J480" s="5">
        <v>40</v>
      </c>
      <c r="K480" s="4">
        <v>8</v>
      </c>
      <c r="L480" s="1" t="s">
        <v>46</v>
      </c>
      <c r="M480" s="1" t="s">
        <v>47</v>
      </c>
      <c r="N480" s="1" t="s">
        <v>2868</v>
      </c>
      <c r="O480" s="1" t="s">
        <v>48</v>
      </c>
      <c r="P480" s="1" t="s">
        <v>2869</v>
      </c>
      <c r="Q480" s="4">
        <v>1.375</v>
      </c>
      <c r="R480" s="4">
        <v>1.5</v>
      </c>
      <c r="S480" s="4">
        <v>4.125</v>
      </c>
      <c r="T480" s="1" t="s">
        <v>50</v>
      </c>
      <c r="U480" s="1"/>
      <c r="V480" s="1"/>
      <c r="W480" s="1"/>
      <c r="X480" s="5">
        <v>200</v>
      </c>
      <c r="Y480" s="7">
        <v>5000000</v>
      </c>
      <c r="Z480" s="1"/>
      <c r="AA480" s="2">
        <f ca="1">DATE(2001,02,14)</f>
        <v>0</v>
      </c>
      <c r="AB480" s="4">
        <v>84.055999999999997</v>
      </c>
      <c r="AC480" s="3">
        <v>180</v>
      </c>
      <c r="AD480" s="8">
        <v>35295490</v>
      </c>
      <c r="AE480" s="1" t="s">
        <v>51</v>
      </c>
      <c r="AF480" s="1" t="s">
        <v>51</v>
      </c>
      <c r="AG480" s="1" t="s">
        <v>51</v>
      </c>
      <c r="AH480" s="1"/>
      <c r="AI480" s="1"/>
      <c r="AJ480" s="3">
        <v>1</v>
      </c>
      <c r="AK480" s="1" t="s">
        <v>52</v>
      </c>
      <c r="AL480" s="3">
        <v>5</v>
      </c>
      <c r="AM480" s="8">
        <v>8</v>
      </c>
      <c r="AN480" s="1"/>
      <c r="AO480" s="1" t="s">
        <v>2870</v>
      </c>
      <c r="AP480" s="1" t="s">
        <v>151</v>
      </c>
      <c r="AQ480" s="1" t="s">
        <v>2871</v>
      </c>
      <c r="AR480" s="1" t="s">
        <v>2872</v>
      </c>
    </row>
    <row r="481">
      <c r="A481" s="2">
        <f ca="1">DATE(2000,06,02)</f>
        <v>0</v>
      </c>
      <c r="B481" s="2">
        <f ca="1">DATE(2000,08,18)</f>
        <v>0</v>
      </c>
      <c r="C481" s="1" t="s">
        <v>2873</v>
      </c>
      <c r="D481" s="3">
        <v>3674</v>
      </c>
      <c r="E481" s="1" t="s">
        <v>43</v>
      </c>
      <c r="F481" s="1" t="s">
        <v>2874</v>
      </c>
      <c r="G481" s="1" t="s">
        <v>387</v>
      </c>
      <c r="H481" s="4">
        <v>1.1200000000000001</v>
      </c>
      <c r="I481" s="4">
        <v>7</v>
      </c>
      <c r="J481" s="5">
        <v>86.400000000000006</v>
      </c>
      <c r="K481" s="4">
        <v>16</v>
      </c>
      <c r="L481" s="1" t="s">
        <v>46</v>
      </c>
      <c r="M481" s="1" t="s">
        <v>47</v>
      </c>
      <c r="N481" s="3">
        <v>929284107</v>
      </c>
      <c r="O481" s="1" t="s">
        <v>48</v>
      </c>
      <c r="P481" s="1" t="s">
        <v>2875</v>
      </c>
      <c r="Q481" s="4">
        <v>1.375</v>
      </c>
      <c r="R481" s="4">
        <v>1.375</v>
      </c>
      <c r="S481" s="8">
        <v>4.25</v>
      </c>
      <c r="T481" s="1" t="s">
        <v>50</v>
      </c>
      <c r="U481" s="1"/>
      <c r="V481" s="1"/>
      <c r="W481" s="1"/>
      <c r="X481" s="5">
        <v>100</v>
      </c>
      <c r="Y481" s="7">
        <v>5400000</v>
      </c>
      <c r="Z481" s="1"/>
      <c r="AA481" s="2">
        <f ca="1">DATE(2001,02,14)</f>
        <v>0</v>
      </c>
      <c r="AB481" s="4">
        <v>98</v>
      </c>
      <c r="AC481" s="3">
        <v>180</v>
      </c>
      <c r="AD481" s="8">
        <v>53356096</v>
      </c>
      <c r="AE481" s="1" t="s">
        <v>51</v>
      </c>
      <c r="AF481" s="1" t="s">
        <v>51</v>
      </c>
      <c r="AG481" s="1" t="s">
        <v>51</v>
      </c>
      <c r="AH481" s="1"/>
      <c r="AI481" s="1"/>
      <c r="AJ481" s="3">
        <v>1</v>
      </c>
      <c r="AK481" s="1" t="s">
        <v>52</v>
      </c>
      <c r="AL481" s="3">
        <v>3</v>
      </c>
      <c r="AM481" s="8">
        <v>32.25</v>
      </c>
      <c r="AN481" s="1"/>
      <c r="AO481" s="1" t="s">
        <v>2876</v>
      </c>
      <c r="AP481" s="1" t="s">
        <v>387</v>
      </c>
      <c r="AQ481" s="1" t="s">
        <v>2877</v>
      </c>
      <c r="AR481" s="1" t="s">
        <v>2878</v>
      </c>
    </row>
    <row r="482">
      <c r="A482" s="2">
        <f ca="1">DATE(2000,04,05)</f>
        <v>0</v>
      </c>
      <c r="B482" s="2">
        <f ca="1">DATE(2000,08,21)</f>
        <v>0</v>
      </c>
      <c r="C482" s="1" t="s">
        <v>2879</v>
      </c>
      <c r="D482" s="3">
        <v>2834</v>
      </c>
      <c r="E482" s="1" t="s">
        <v>43</v>
      </c>
      <c r="F482" s="1" t="s">
        <v>2880</v>
      </c>
      <c r="G482" s="1" t="s">
        <v>1056</v>
      </c>
      <c r="H482" s="4">
        <v>0.73499999999999999</v>
      </c>
      <c r="I482" s="8">
        <v>7</v>
      </c>
      <c r="J482" s="5">
        <v>31.5</v>
      </c>
      <c r="K482" s="4">
        <v>10.5</v>
      </c>
      <c r="L482" s="1" t="s">
        <v>46</v>
      </c>
      <c r="M482" s="1" t="s">
        <v>47</v>
      </c>
      <c r="N482" s="1" t="s">
        <v>2881</v>
      </c>
      <c r="O482" s="1" t="s">
        <v>48</v>
      </c>
      <c r="P482" s="1" t="s">
        <v>2882</v>
      </c>
      <c r="Q482" s="4">
        <v>1.381</v>
      </c>
      <c r="R482" s="4">
        <v>2.0950000000000002</v>
      </c>
      <c r="S482" s="6">
        <v>3.5238100000000001</v>
      </c>
      <c r="T482" s="1" t="s">
        <v>50</v>
      </c>
      <c r="U482" s="1"/>
      <c r="V482" s="1"/>
      <c r="W482" s="1"/>
      <c r="X482" s="5">
        <v>86.299999999999997</v>
      </c>
      <c r="Y482" s="7">
        <v>3000000</v>
      </c>
      <c r="Z482" s="1"/>
      <c r="AA482" s="2">
        <f ca="1">DATE(2001,02,17)</f>
        <v>0</v>
      </c>
      <c r="AB482" s="4">
        <v>75.569000000000003</v>
      </c>
      <c r="AC482" s="3">
        <v>180</v>
      </c>
      <c r="AD482" s="8">
        <v>11084022</v>
      </c>
      <c r="AE482" s="1" t="s">
        <v>51</v>
      </c>
      <c r="AF482" s="1" t="s">
        <v>51</v>
      </c>
      <c r="AG482" s="1" t="s">
        <v>47</v>
      </c>
      <c r="AH482" s="1"/>
      <c r="AI482" s="1"/>
      <c r="AJ482" s="3">
        <v>1</v>
      </c>
      <c r="AK482" s="1" t="s">
        <v>52</v>
      </c>
      <c r="AL482" s="3">
        <v>3</v>
      </c>
      <c r="AM482" s="8">
        <v>10.75</v>
      </c>
      <c r="AN482" s="1"/>
      <c r="AO482" s="1" t="s">
        <v>2883</v>
      </c>
      <c r="AP482" s="1" t="s">
        <v>1056</v>
      </c>
      <c r="AQ482" s="1" t="s">
        <v>2884</v>
      </c>
      <c r="AR482" s="1" t="s">
        <v>2885</v>
      </c>
    </row>
    <row r="483">
      <c r="A483" s="2">
        <f ca="1">DATE(2000,08,11)</f>
        <v>0</v>
      </c>
      <c r="B483" s="2">
        <f ca="1">DATE(2000,08,23)</f>
        <v>0</v>
      </c>
      <c r="C483" s="1" t="s">
        <v>2886</v>
      </c>
      <c r="D483" s="3">
        <v>3577</v>
      </c>
      <c r="E483" s="1" t="s">
        <v>2887</v>
      </c>
      <c r="F483" s="1" t="s">
        <v>2888</v>
      </c>
      <c r="G483" s="1" t="s">
        <v>122</v>
      </c>
      <c r="H483" s="4">
        <v>0.63</v>
      </c>
      <c r="I483" s="4">
        <v>7</v>
      </c>
      <c r="J483" s="5">
        <v>36</v>
      </c>
      <c r="K483" s="4">
        <v>9</v>
      </c>
      <c r="L483" s="1" t="s">
        <v>1057</v>
      </c>
      <c r="M483" s="1" t="s">
        <v>47</v>
      </c>
      <c r="N483" s="1" t="s">
        <v>2889</v>
      </c>
      <c r="O483" s="1" t="s">
        <v>48</v>
      </c>
      <c r="P483" s="1" t="s">
        <v>2890</v>
      </c>
      <c r="Q483" s="4">
        <v>1.222</v>
      </c>
      <c r="R483" s="4">
        <v>1.5560000000000001</v>
      </c>
      <c r="S483" s="6">
        <v>4.2222200000000001</v>
      </c>
      <c r="T483" s="1" t="s">
        <v>50</v>
      </c>
      <c r="U483" s="8">
        <v>9</v>
      </c>
      <c r="V483" s="8">
        <v>7</v>
      </c>
      <c r="W483" s="7">
        <v>4000000</v>
      </c>
      <c r="X483" s="5">
        <v>32</v>
      </c>
      <c r="Y483" s="7">
        <v>3450000</v>
      </c>
      <c r="Z483" s="7">
        <v>550000</v>
      </c>
      <c r="AA483" s="2">
        <f ca="1">DATE(2001,02,19)</f>
        <v>0</v>
      </c>
      <c r="AB483" s="4">
        <v>87.459999999999994</v>
      </c>
      <c r="AC483" s="3">
        <v>180</v>
      </c>
      <c r="AD483" s="8">
        <v>27898846</v>
      </c>
      <c r="AE483" s="1" t="s">
        <v>51</v>
      </c>
      <c r="AF483" s="1" t="s">
        <v>51</v>
      </c>
      <c r="AG483" s="1" t="s">
        <v>51</v>
      </c>
      <c r="AH483" s="1"/>
      <c r="AI483" s="1"/>
      <c r="AJ483" s="3">
        <v>1</v>
      </c>
      <c r="AK483" s="1" t="s">
        <v>52</v>
      </c>
      <c r="AL483" s="3">
        <v>3</v>
      </c>
      <c r="AM483" s="8">
        <v>20.77</v>
      </c>
      <c r="AN483" s="1"/>
      <c r="AO483" s="1" t="s">
        <v>2891</v>
      </c>
      <c r="AP483" s="1" t="s">
        <v>122</v>
      </c>
      <c r="AQ483" s="1" t="s">
        <v>2892</v>
      </c>
      <c r="AR483" s="1" t="s">
        <v>2893</v>
      </c>
    </row>
    <row r="484">
      <c r="A484" s="2">
        <f ca="1">DATE(2000,03,31)</f>
        <v>0</v>
      </c>
      <c r="B484" s="2">
        <f ca="1">DATE(2000,08,24)</f>
        <v>0</v>
      </c>
      <c r="C484" s="1" t="s">
        <v>2894</v>
      </c>
      <c r="D484" s="3">
        <v>7372</v>
      </c>
      <c r="E484" s="1" t="s">
        <v>43</v>
      </c>
      <c r="F484" s="1" t="s">
        <v>2895</v>
      </c>
      <c r="G484" s="1" t="s">
        <v>2896</v>
      </c>
      <c r="H484" s="4">
        <v>0.48999999999999999</v>
      </c>
      <c r="I484" s="8">
        <v>7</v>
      </c>
      <c r="J484" s="5">
        <v>31.5</v>
      </c>
      <c r="K484" s="4">
        <v>7</v>
      </c>
      <c r="L484" s="1" t="s">
        <v>46</v>
      </c>
      <c r="M484" s="1" t="s">
        <v>47</v>
      </c>
      <c r="N484" s="1" t="s">
        <v>2897</v>
      </c>
      <c r="O484" s="1" t="s">
        <v>48</v>
      </c>
      <c r="P484" s="1" t="s">
        <v>2898</v>
      </c>
      <c r="Q484" s="4">
        <v>1.4290000000000001</v>
      </c>
      <c r="R484" s="4">
        <v>1.4290000000000001</v>
      </c>
      <c r="S484" s="6">
        <v>4.1428599999999998</v>
      </c>
      <c r="T484" s="1" t="s">
        <v>50</v>
      </c>
      <c r="U484" s="1"/>
      <c r="V484" s="1"/>
      <c r="W484" s="1"/>
      <c r="X484" s="5">
        <v>86.299999999999997</v>
      </c>
      <c r="Y484" s="7">
        <v>4500000</v>
      </c>
      <c r="Z484" s="1"/>
      <c r="AA484" s="2">
        <f ca="1">DATE(2001,02,20)</f>
        <v>0</v>
      </c>
      <c r="AB484" s="4">
        <v>77.861000000000004</v>
      </c>
      <c r="AC484" s="3">
        <v>180</v>
      </c>
      <c r="AD484" s="8">
        <v>18328065</v>
      </c>
      <c r="AE484" s="1" t="s">
        <v>51</v>
      </c>
      <c r="AF484" s="1" t="s">
        <v>51</v>
      </c>
      <c r="AG484" s="1" t="s">
        <v>47</v>
      </c>
      <c r="AH484" s="1"/>
      <c r="AI484" s="1"/>
      <c r="AJ484" s="3">
        <v>1</v>
      </c>
      <c r="AK484" s="1" t="s">
        <v>52</v>
      </c>
      <c r="AL484" s="3">
        <v>1</v>
      </c>
      <c r="AM484" s="8">
        <v>8.75</v>
      </c>
      <c r="AN484" s="1"/>
      <c r="AO484" s="1" t="s">
        <v>2896</v>
      </c>
      <c r="AP484" s="1" t="s">
        <v>2896</v>
      </c>
      <c r="AQ484" s="1" t="s">
        <v>2896</v>
      </c>
      <c r="AR484" s="1" t="s">
        <v>2898</v>
      </c>
    </row>
    <row r="485">
      <c r="A485" s="2">
        <f ca="1">DATE(2000,06,15)</f>
        <v>0</v>
      </c>
      <c r="B485" s="2">
        <f ca="1">DATE(2000,09,18)</f>
        <v>0</v>
      </c>
      <c r="C485" s="1" t="s">
        <v>2899</v>
      </c>
      <c r="D485" s="3">
        <v>1381</v>
      </c>
      <c r="E485" s="1" t="s">
        <v>43</v>
      </c>
      <c r="F485" s="1" t="s">
        <v>2900</v>
      </c>
      <c r="G485" s="1" t="s">
        <v>239</v>
      </c>
      <c r="H485" s="4">
        <v>1.28</v>
      </c>
      <c r="I485" s="4">
        <v>6.7370000000000001</v>
      </c>
      <c r="J485" s="5">
        <v>104.90000000000001</v>
      </c>
      <c r="K485" s="4">
        <v>19</v>
      </c>
      <c r="L485" s="1" t="s">
        <v>46</v>
      </c>
      <c r="M485" s="1" t="s">
        <v>47</v>
      </c>
      <c r="N485" s="1" t="s">
        <v>2901</v>
      </c>
      <c r="O485" s="1" t="s">
        <v>87</v>
      </c>
      <c r="P485" s="1" t="s">
        <v>2902</v>
      </c>
      <c r="Q485" s="4">
        <v>1.3680000000000001</v>
      </c>
      <c r="R485" s="4">
        <v>1.3680000000000001</v>
      </c>
      <c r="S485" s="8">
        <v>4</v>
      </c>
      <c r="T485" s="1" t="s">
        <v>50</v>
      </c>
      <c r="U485" s="8">
        <v>19</v>
      </c>
      <c r="V485" s="8">
        <v>17</v>
      </c>
      <c r="W485" s="7">
        <v>8000000</v>
      </c>
      <c r="X485" s="5">
        <v>144</v>
      </c>
      <c r="Y485" s="7">
        <v>5520000</v>
      </c>
      <c r="Z485" s="1"/>
      <c r="AA485" s="1"/>
      <c r="AB485" s="1"/>
      <c r="AC485" s="1"/>
      <c r="AD485" s="1"/>
      <c r="AE485" s="1" t="s">
        <v>51</v>
      </c>
      <c r="AF485" s="1" t="s">
        <v>51</v>
      </c>
      <c r="AG485" s="1" t="s">
        <v>51</v>
      </c>
      <c r="AH485" s="1"/>
      <c r="AI485" s="1"/>
      <c r="AJ485" s="3">
        <v>1</v>
      </c>
      <c r="AK485" s="1" t="s">
        <v>89</v>
      </c>
      <c r="AL485" s="3">
        <v>4</v>
      </c>
      <c r="AM485" s="8">
        <v>21</v>
      </c>
      <c r="AN485" s="1"/>
      <c r="AO485" s="1" t="s">
        <v>2903</v>
      </c>
      <c r="AP485" s="1" t="s">
        <v>677</v>
      </c>
      <c r="AQ485" s="1" t="s">
        <v>2904</v>
      </c>
      <c r="AR485" s="1" t="s">
        <v>2905</v>
      </c>
    </row>
    <row r="486">
      <c r="A486" s="2">
        <f ca="1">DATE(2000,06,15)</f>
        <v>0</v>
      </c>
      <c r="B486" s="2">
        <f ca="1">DATE(2000,09,18)</f>
        <v>0</v>
      </c>
      <c r="C486" s="1" t="s">
        <v>2899</v>
      </c>
      <c r="D486" s="3">
        <v>1381</v>
      </c>
      <c r="E486" s="1" t="s">
        <v>43</v>
      </c>
      <c r="F486" s="1" t="s">
        <v>2900</v>
      </c>
      <c r="G486" s="1" t="s">
        <v>2906</v>
      </c>
      <c r="H486" s="8">
        <v>1.28</v>
      </c>
      <c r="I486" s="4">
        <v>6.7370000000000001</v>
      </c>
      <c r="J486" s="5">
        <v>37.700000000000003</v>
      </c>
      <c r="K486" s="8">
        <v>19</v>
      </c>
      <c r="L486" s="1" t="s">
        <v>58</v>
      </c>
      <c r="M486" s="1" t="s">
        <v>47</v>
      </c>
      <c r="N486" s="1" t="s">
        <v>2901</v>
      </c>
      <c r="O486" s="1" t="s">
        <v>87</v>
      </c>
      <c r="P486" s="1" t="s">
        <v>2907</v>
      </c>
      <c r="Q486" s="4">
        <v>1.3680000000000001</v>
      </c>
      <c r="R486" s="4">
        <v>1.3680000000000001</v>
      </c>
      <c r="S486" s="8">
        <v>4</v>
      </c>
      <c r="T486" s="1" t="s">
        <v>60</v>
      </c>
      <c r="U486" s="8">
        <v>19</v>
      </c>
      <c r="V486" s="8">
        <v>17</v>
      </c>
      <c r="W486" s="7">
        <v>8000000</v>
      </c>
      <c r="X486" s="5">
        <v>144</v>
      </c>
      <c r="Y486" s="7">
        <v>1982609</v>
      </c>
      <c r="Z486" s="1"/>
      <c r="AA486" s="1"/>
      <c r="AB486" s="1"/>
      <c r="AC486" s="1"/>
      <c r="AD486" s="1"/>
      <c r="AE486" s="1" t="s">
        <v>51</v>
      </c>
      <c r="AF486" s="1" t="s">
        <v>51</v>
      </c>
      <c r="AG486" s="1" t="s">
        <v>51</v>
      </c>
      <c r="AH486" s="1"/>
      <c r="AI486" s="1"/>
      <c r="AJ486" s="3">
        <v>2</v>
      </c>
      <c r="AK486" s="1" t="s">
        <v>89</v>
      </c>
      <c r="AL486" s="3">
        <v>3</v>
      </c>
      <c r="AM486" s="1"/>
      <c r="AN486" s="1"/>
      <c r="AO486" s="1" t="s">
        <v>2908</v>
      </c>
      <c r="AP486" s="1" t="s">
        <v>2909</v>
      </c>
      <c r="AQ486" s="1" t="s">
        <v>2910</v>
      </c>
      <c r="AR486" s="1" t="s">
        <v>2911</v>
      </c>
    </row>
    <row r="487">
      <c r="A487" s="2">
        <f ca="1">DATE(2000,07,25)</f>
        <v>0</v>
      </c>
      <c r="B487" s="2">
        <f ca="1">DATE(2000,09,19)</f>
        <v>0</v>
      </c>
      <c r="C487" s="1" t="s">
        <v>2912</v>
      </c>
      <c r="D487" s="3">
        <v>7372</v>
      </c>
      <c r="E487" s="1" t="s">
        <v>934</v>
      </c>
      <c r="F487" s="1" t="s">
        <v>2913</v>
      </c>
      <c r="G487" s="1" t="s">
        <v>387</v>
      </c>
      <c r="H487" s="4">
        <v>0.56000000000000005</v>
      </c>
      <c r="I487" s="4">
        <v>7</v>
      </c>
      <c r="J487" s="5">
        <v>32</v>
      </c>
      <c r="K487" s="4">
        <v>8</v>
      </c>
      <c r="L487" s="1" t="s">
        <v>46</v>
      </c>
      <c r="M487" s="1" t="s">
        <v>47</v>
      </c>
      <c r="N487" s="1" t="s">
        <v>2914</v>
      </c>
      <c r="O487" s="1" t="s">
        <v>48</v>
      </c>
      <c r="P487" s="1" t="s">
        <v>2915</v>
      </c>
      <c r="Q487" s="4">
        <v>1.375</v>
      </c>
      <c r="R487" s="4">
        <v>1.875</v>
      </c>
      <c r="S487" s="8">
        <v>3.75</v>
      </c>
      <c r="T487" s="1" t="s">
        <v>50</v>
      </c>
      <c r="U487" s="8">
        <v>12</v>
      </c>
      <c r="V487" s="8">
        <v>10</v>
      </c>
      <c r="W487" s="7">
        <v>4500000</v>
      </c>
      <c r="X487" s="5">
        <v>49.5</v>
      </c>
      <c r="Y487" s="7">
        <v>4000000</v>
      </c>
      <c r="Z487" s="1"/>
      <c r="AA487" s="2">
        <f ca="1">DATE(2001,03,18)</f>
        <v>0</v>
      </c>
      <c r="AB487" s="4">
        <v>81.225999999999999</v>
      </c>
      <c r="AC487" s="3">
        <v>180</v>
      </c>
      <c r="AD487" s="8">
        <v>17481154</v>
      </c>
      <c r="AE487" s="1" t="s">
        <v>51</v>
      </c>
      <c r="AF487" s="1" t="s">
        <v>51</v>
      </c>
      <c r="AG487" s="1" t="s">
        <v>47</v>
      </c>
      <c r="AH487" s="1"/>
      <c r="AI487" s="1"/>
      <c r="AJ487" s="3">
        <v>1</v>
      </c>
      <c r="AK487" s="1" t="s">
        <v>52</v>
      </c>
      <c r="AL487" s="3">
        <v>3</v>
      </c>
      <c r="AM487" s="8">
        <v>8.0600000000000005</v>
      </c>
      <c r="AN487" s="1"/>
      <c r="AO487" s="1" t="s">
        <v>2916</v>
      </c>
      <c r="AP487" s="1" t="s">
        <v>387</v>
      </c>
      <c r="AQ487" s="1" t="s">
        <v>2917</v>
      </c>
      <c r="AR487" s="1" t="s">
        <v>2918</v>
      </c>
    </row>
    <row r="488">
      <c r="A488" s="2">
        <f ca="1">DATE(2000,06,16)</f>
        <v>0</v>
      </c>
      <c r="B488" s="2">
        <f ca="1">DATE(2000,09,20)</f>
        <v>0</v>
      </c>
      <c r="C488" s="1" t="s">
        <v>2919</v>
      </c>
      <c r="D488" s="3">
        <v>4812</v>
      </c>
      <c r="E488" s="1" t="s">
        <v>43</v>
      </c>
      <c r="F488" s="1" t="s">
        <v>2920</v>
      </c>
      <c r="G488" s="1" t="s">
        <v>168</v>
      </c>
      <c r="H488" s="4">
        <v>0.83999999999999997</v>
      </c>
      <c r="I488" s="8">
        <v>7</v>
      </c>
      <c r="J488" s="5">
        <v>83</v>
      </c>
      <c r="K488" s="4">
        <v>12</v>
      </c>
      <c r="L488" s="1" t="s">
        <v>46</v>
      </c>
      <c r="M488" s="1" t="s">
        <v>47</v>
      </c>
      <c r="N488" s="1" t="s">
        <v>2921</v>
      </c>
      <c r="O488" s="1" t="s">
        <v>48</v>
      </c>
      <c r="P488" s="1" t="s">
        <v>2922</v>
      </c>
      <c r="Q488" s="4">
        <v>1.417</v>
      </c>
      <c r="R488" s="4">
        <v>1.417</v>
      </c>
      <c r="S488" s="6">
        <v>4.1666699999999999</v>
      </c>
      <c r="T488" s="1" t="s">
        <v>50</v>
      </c>
      <c r="U488" s="1"/>
      <c r="V488" s="1"/>
      <c r="W488" s="1"/>
      <c r="X488" s="5">
        <v>115</v>
      </c>
      <c r="Y488" s="7">
        <v>6916000</v>
      </c>
      <c r="Z488" s="1"/>
      <c r="AA488" s="1"/>
      <c r="AB488" s="1"/>
      <c r="AC488" s="1"/>
      <c r="AD488" s="1"/>
      <c r="AE488" s="1" t="s">
        <v>51</v>
      </c>
      <c r="AF488" s="1" t="s">
        <v>51</v>
      </c>
      <c r="AG488" s="1" t="s">
        <v>47</v>
      </c>
      <c r="AH488" s="1"/>
      <c r="AI488" s="1"/>
      <c r="AJ488" s="3">
        <v>1</v>
      </c>
      <c r="AK488" s="1" t="s">
        <v>52</v>
      </c>
      <c r="AL488" s="3">
        <v>5</v>
      </c>
      <c r="AM488" s="8">
        <v>17.640000000000001</v>
      </c>
      <c r="AN488" s="1"/>
      <c r="AO488" s="1" t="s">
        <v>2923</v>
      </c>
      <c r="AP488" s="1" t="s">
        <v>168</v>
      </c>
      <c r="AQ488" s="1" t="s">
        <v>2924</v>
      </c>
      <c r="AR488" s="1" t="s">
        <v>2925</v>
      </c>
    </row>
    <row r="489">
      <c r="A489" s="2">
        <f ca="1">DATE(2000,06,16)</f>
        <v>0</v>
      </c>
      <c r="B489" s="2">
        <f ca="1">DATE(2000,09,20)</f>
        <v>0</v>
      </c>
      <c r="C489" s="1" t="s">
        <v>2919</v>
      </c>
      <c r="D489" s="3">
        <v>4812</v>
      </c>
      <c r="E489" s="1" t="s">
        <v>43</v>
      </c>
      <c r="F489" s="1" t="s">
        <v>2920</v>
      </c>
      <c r="G489" s="1" t="s">
        <v>667</v>
      </c>
      <c r="H489" s="4">
        <v>0.83999999999999997</v>
      </c>
      <c r="I489" s="8">
        <v>7</v>
      </c>
      <c r="J489" s="5">
        <v>26.199999999999999</v>
      </c>
      <c r="K489" s="8">
        <v>12</v>
      </c>
      <c r="L489" s="1" t="s">
        <v>58</v>
      </c>
      <c r="M489" s="1" t="s">
        <v>47</v>
      </c>
      <c r="N489" s="1" t="s">
        <v>2921</v>
      </c>
      <c r="O489" s="1" t="s">
        <v>48</v>
      </c>
      <c r="P489" s="1" t="s">
        <v>2926</v>
      </c>
      <c r="Q489" s="1" t="s">
        <v>145</v>
      </c>
      <c r="R489" s="1" t="s">
        <v>145</v>
      </c>
      <c r="S489" s="1"/>
      <c r="T489" s="1" t="s">
        <v>60</v>
      </c>
      <c r="U489" s="1"/>
      <c r="V489" s="1"/>
      <c r="W489" s="1"/>
      <c r="X489" s="1"/>
      <c r="Y489" s="7">
        <v>2184000</v>
      </c>
      <c r="Z489" s="1"/>
      <c r="AA489" s="1"/>
      <c r="AB489" s="1"/>
      <c r="AC489" s="1"/>
      <c r="AD489" s="1"/>
      <c r="AE489" s="1" t="s">
        <v>51</v>
      </c>
      <c r="AF489" s="1" t="s">
        <v>51</v>
      </c>
      <c r="AG489" s="1" t="s">
        <v>47</v>
      </c>
      <c r="AH489" s="1"/>
      <c r="AI489" s="1"/>
      <c r="AJ489" s="3">
        <v>1</v>
      </c>
      <c r="AK489" s="1" t="s">
        <v>52</v>
      </c>
      <c r="AL489" s="3">
        <v>4</v>
      </c>
      <c r="AM489" s="1"/>
      <c r="AN489" s="1"/>
      <c r="AO489" s="1" t="s">
        <v>2927</v>
      </c>
      <c r="AP489" s="1" t="s">
        <v>667</v>
      </c>
      <c r="AQ489" s="1" t="s">
        <v>2928</v>
      </c>
      <c r="AR489" s="1" t="s">
        <v>2929</v>
      </c>
    </row>
    <row r="490">
      <c r="A490" s="2">
        <f ca="1">DATE(2000,06,22)</f>
        <v>0</v>
      </c>
      <c r="B490" s="2">
        <f ca="1">DATE(2000,09,20)</f>
        <v>0</v>
      </c>
      <c r="C490" s="1" t="s">
        <v>2930</v>
      </c>
      <c r="D490" s="3">
        <v>3672</v>
      </c>
      <c r="E490" s="1" t="s">
        <v>43</v>
      </c>
      <c r="F490" s="1"/>
      <c r="G490" s="1" t="s">
        <v>122</v>
      </c>
      <c r="H490" s="4">
        <v>1.1200000000000001</v>
      </c>
      <c r="I490" s="4">
        <v>7</v>
      </c>
      <c r="J490" s="5">
        <v>120</v>
      </c>
      <c r="K490" s="4">
        <v>16</v>
      </c>
      <c r="L490" s="1" t="s">
        <v>46</v>
      </c>
      <c r="M490" s="1" t="s">
        <v>47</v>
      </c>
      <c r="N490" s="1" t="s">
        <v>2931</v>
      </c>
      <c r="O490" s="1"/>
      <c r="P490" s="1" t="s">
        <v>2932</v>
      </c>
      <c r="Q490" s="4">
        <v>1.4379999999999999</v>
      </c>
      <c r="R490" s="4">
        <v>1.4379999999999999</v>
      </c>
      <c r="S490" s="4">
        <v>4.125</v>
      </c>
      <c r="T490" s="1" t="s">
        <v>50</v>
      </c>
      <c r="U490" s="1"/>
      <c r="V490" s="1"/>
      <c r="W490" s="1"/>
      <c r="X490" s="5">
        <v>115</v>
      </c>
      <c r="Y490" s="7">
        <v>5625000</v>
      </c>
      <c r="Z490" s="7">
        <v>1875000</v>
      </c>
      <c r="AA490" s="2">
        <f ca="1">DATE(2001,03,20)</f>
        <v>0</v>
      </c>
      <c r="AB490" s="4">
        <v>78.903000000000006</v>
      </c>
      <c r="AC490" s="3">
        <v>180</v>
      </c>
      <c r="AD490" s="8">
        <v>28050000</v>
      </c>
      <c r="AE490" s="1" t="s">
        <v>51</v>
      </c>
      <c r="AF490" s="1" t="s">
        <v>51</v>
      </c>
      <c r="AG490" s="1" t="s">
        <v>51</v>
      </c>
      <c r="AH490" s="1"/>
      <c r="AI490" s="1"/>
      <c r="AJ490" s="3">
        <v>1</v>
      </c>
      <c r="AK490" s="1" t="s">
        <v>52</v>
      </c>
      <c r="AL490" s="3">
        <v>4</v>
      </c>
      <c r="AM490" s="8">
        <v>20.940000000000001</v>
      </c>
      <c r="AN490" s="1"/>
      <c r="AO490" s="1" t="s">
        <v>2933</v>
      </c>
      <c r="AP490" s="1" t="s">
        <v>122</v>
      </c>
      <c r="AQ490" s="1" t="s">
        <v>2934</v>
      </c>
      <c r="AR490" s="1" t="s">
        <v>2935</v>
      </c>
    </row>
    <row r="491">
      <c r="A491" s="2">
        <f ca="1">DATE(2000,05,04)</f>
        <v>0</v>
      </c>
      <c r="B491" s="2">
        <f ca="1">DATE(2000,09,20)</f>
        <v>0</v>
      </c>
      <c r="C491" s="1" t="s">
        <v>2936</v>
      </c>
      <c r="D491" s="3">
        <v>7373</v>
      </c>
      <c r="E491" s="1" t="s">
        <v>43</v>
      </c>
      <c r="F491" s="1" t="s">
        <v>2937</v>
      </c>
      <c r="G491" s="1" t="s">
        <v>2938</v>
      </c>
      <c r="H491" s="4">
        <v>0.91000000000000003</v>
      </c>
      <c r="I491" s="4">
        <v>7</v>
      </c>
      <c r="J491" s="5">
        <v>50.700000000000003</v>
      </c>
      <c r="K491" s="4">
        <v>13</v>
      </c>
      <c r="L491" s="1" t="s">
        <v>46</v>
      </c>
      <c r="M491" s="1" t="s">
        <v>47</v>
      </c>
      <c r="N491" s="1" t="s">
        <v>2939</v>
      </c>
      <c r="O491" s="1" t="s">
        <v>48</v>
      </c>
      <c r="P491" s="1" t="s">
        <v>2940</v>
      </c>
      <c r="Q491" s="4">
        <v>1.462</v>
      </c>
      <c r="R491" s="4">
        <v>1.692</v>
      </c>
      <c r="S491" s="6">
        <v>3.8461500000000002</v>
      </c>
      <c r="T491" s="1" t="s">
        <v>50</v>
      </c>
      <c r="U491" s="1"/>
      <c r="V491" s="1"/>
      <c r="W491" s="1"/>
      <c r="X491" s="5">
        <v>60</v>
      </c>
      <c r="Y491" s="7">
        <v>3900000</v>
      </c>
      <c r="Z491" s="1"/>
      <c r="AA491" s="2">
        <f ca="1">DATE(2001,03,19)</f>
        <v>0</v>
      </c>
      <c r="AB491" s="4">
        <v>50.674999999999997</v>
      </c>
      <c r="AC491" s="3">
        <v>180</v>
      </c>
      <c r="AD491" s="8">
        <v>8347944</v>
      </c>
      <c r="AE491" s="1" t="s">
        <v>51</v>
      </c>
      <c r="AF491" s="1" t="s">
        <v>51</v>
      </c>
      <c r="AG491" s="1" t="s">
        <v>51</v>
      </c>
      <c r="AH491" s="1"/>
      <c r="AI491" s="1"/>
      <c r="AJ491" s="3">
        <v>1</v>
      </c>
      <c r="AK491" s="1" t="s">
        <v>52</v>
      </c>
      <c r="AL491" s="3">
        <v>4</v>
      </c>
      <c r="AM491" s="8">
        <v>14.130000000000001</v>
      </c>
      <c r="AN491" s="1"/>
      <c r="AO491" s="1" t="s">
        <v>2941</v>
      </c>
      <c r="AP491" s="1" t="s">
        <v>2938</v>
      </c>
      <c r="AQ491" s="1" t="s">
        <v>2942</v>
      </c>
      <c r="AR491" s="1" t="s">
        <v>2943</v>
      </c>
    </row>
    <row r="492">
      <c r="A492" s="2">
        <f ca="1">DATE(2000,05,25)</f>
        <v>0</v>
      </c>
      <c r="B492" s="2">
        <f ca="1">DATE(2000,09,21)</f>
        <v>0</v>
      </c>
      <c r="C492" s="1" t="s">
        <v>2944</v>
      </c>
      <c r="D492" s="3">
        <v>3845</v>
      </c>
      <c r="E492" s="1" t="s">
        <v>43</v>
      </c>
      <c r="F492" s="1" t="s">
        <v>2945</v>
      </c>
      <c r="G492" s="1" t="s">
        <v>1583</v>
      </c>
      <c r="H492" s="4">
        <v>0.77000000000000002</v>
      </c>
      <c r="I492" s="4">
        <v>7</v>
      </c>
      <c r="J492" s="5">
        <v>47.600000000000001</v>
      </c>
      <c r="K492" s="4">
        <v>11</v>
      </c>
      <c r="L492" s="1" t="s">
        <v>46</v>
      </c>
      <c r="M492" s="1" t="s">
        <v>47</v>
      </c>
      <c r="N492" s="3">
        <v>231292103</v>
      </c>
      <c r="O492" s="1" t="s">
        <v>48</v>
      </c>
      <c r="P492" s="1" t="s">
        <v>2946</v>
      </c>
      <c r="Q492" s="4">
        <v>1.4550000000000001</v>
      </c>
      <c r="R492" s="4">
        <v>1.3640000000000001</v>
      </c>
      <c r="S492" s="6">
        <v>4.1818200000000001</v>
      </c>
      <c r="T492" s="1" t="s">
        <v>50</v>
      </c>
      <c r="U492" s="1"/>
      <c r="V492" s="1"/>
      <c r="W492" s="1"/>
      <c r="X492" s="5">
        <v>60</v>
      </c>
      <c r="Y492" s="7">
        <v>4326000</v>
      </c>
      <c r="Z492" s="1"/>
      <c r="AA492" s="1"/>
      <c r="AB492" s="1"/>
      <c r="AC492" s="1"/>
      <c r="AD492" s="1"/>
      <c r="AE492" s="1" t="s">
        <v>51</v>
      </c>
      <c r="AF492" s="1" t="s">
        <v>51</v>
      </c>
      <c r="AG492" s="1" t="s">
        <v>47</v>
      </c>
      <c r="AH492" s="1"/>
      <c r="AI492" s="1"/>
      <c r="AJ492" s="3">
        <v>1</v>
      </c>
      <c r="AK492" s="1" t="s">
        <v>52</v>
      </c>
      <c r="AL492" s="3">
        <v>3</v>
      </c>
      <c r="AM492" s="8">
        <v>12</v>
      </c>
      <c r="AN492" s="1"/>
      <c r="AO492" s="1" t="s">
        <v>2947</v>
      </c>
      <c r="AP492" s="1" t="s">
        <v>1583</v>
      </c>
      <c r="AQ492" s="1" t="s">
        <v>2948</v>
      </c>
      <c r="AR492" s="1" t="s">
        <v>2949</v>
      </c>
    </row>
    <row r="493">
      <c r="A493" s="2">
        <f ca="1">DATE(2000,05,25)</f>
        <v>0</v>
      </c>
      <c r="B493" s="2">
        <f ca="1">DATE(2000,09,21)</f>
        <v>0</v>
      </c>
      <c r="C493" s="1" t="s">
        <v>2944</v>
      </c>
      <c r="D493" s="3">
        <v>3845</v>
      </c>
      <c r="E493" s="1" t="s">
        <v>43</v>
      </c>
      <c r="F493" s="1" t="s">
        <v>2945</v>
      </c>
      <c r="G493" s="1" t="s">
        <v>1844</v>
      </c>
      <c r="H493" s="1" t="s">
        <v>57</v>
      </c>
      <c r="I493" s="1" t="s">
        <v>57</v>
      </c>
      <c r="J493" s="5">
        <v>6.7999999999999998</v>
      </c>
      <c r="K493" s="8">
        <v>11</v>
      </c>
      <c r="L493" s="1" t="s">
        <v>58</v>
      </c>
      <c r="M493" s="1" t="s">
        <v>47</v>
      </c>
      <c r="N493" s="1"/>
      <c r="O493" s="1" t="s">
        <v>48</v>
      </c>
      <c r="P493" s="1" t="s">
        <v>1845</v>
      </c>
      <c r="Q493" s="1"/>
      <c r="R493" s="1"/>
      <c r="S493" s="1"/>
      <c r="T493" s="1" t="s">
        <v>60</v>
      </c>
      <c r="U493" s="1"/>
      <c r="V493" s="1"/>
      <c r="W493" s="1"/>
      <c r="X493" s="1"/>
      <c r="Y493" s="7">
        <v>615525</v>
      </c>
      <c r="Z493" s="1"/>
      <c r="AA493" s="1"/>
      <c r="AB493" s="1"/>
      <c r="AC493" s="1"/>
      <c r="AD493" s="1"/>
      <c r="AE493" s="1" t="s">
        <v>51</v>
      </c>
      <c r="AF493" s="1" t="s">
        <v>51</v>
      </c>
      <c r="AG493" s="1" t="s">
        <v>47</v>
      </c>
      <c r="AH493" s="1"/>
      <c r="AI493" s="1"/>
      <c r="AJ493" s="3">
        <v>1</v>
      </c>
      <c r="AK493" s="1" t="s">
        <v>52</v>
      </c>
      <c r="AL493" s="3">
        <v>1</v>
      </c>
      <c r="AM493" s="1"/>
      <c r="AN493" s="1"/>
      <c r="AO493" s="1" t="s">
        <v>1846</v>
      </c>
      <c r="AP493" s="1" t="s">
        <v>1844</v>
      </c>
      <c r="AQ493" s="1" t="s">
        <v>1844</v>
      </c>
      <c r="AR493" s="1" t="s">
        <v>1847</v>
      </c>
    </row>
    <row r="494">
      <c r="A494" s="2">
        <f ca="1">DATE(2000,06,05)</f>
        <v>0</v>
      </c>
      <c r="B494" s="2">
        <f ca="1">DATE(2000,09,21)</f>
        <v>0</v>
      </c>
      <c r="C494" s="1" t="s">
        <v>2950</v>
      </c>
      <c r="D494" s="3">
        <v>3663</v>
      </c>
      <c r="E494" s="1" t="s">
        <v>43</v>
      </c>
      <c r="F494" s="1" t="s">
        <v>2951</v>
      </c>
      <c r="G494" s="1" t="s">
        <v>204</v>
      </c>
      <c r="H494" s="4">
        <v>1.1200000000000001</v>
      </c>
      <c r="I494" s="4">
        <v>7</v>
      </c>
      <c r="J494" s="5">
        <v>123.2</v>
      </c>
      <c r="K494" s="4">
        <v>16</v>
      </c>
      <c r="L494" s="1" t="s">
        <v>2698</v>
      </c>
      <c r="M494" s="1" t="s">
        <v>47</v>
      </c>
      <c r="N494" s="1" t="s">
        <v>2952</v>
      </c>
      <c r="O494" s="1" t="s">
        <v>48</v>
      </c>
      <c r="P494" s="1" t="s">
        <v>2953</v>
      </c>
      <c r="Q494" s="4">
        <v>1.4379999999999999</v>
      </c>
      <c r="R494" s="4">
        <v>1.375</v>
      </c>
      <c r="S494" s="10">
        <v>4.1875</v>
      </c>
      <c r="T494" s="1" t="s">
        <v>50</v>
      </c>
      <c r="U494" s="1"/>
      <c r="V494" s="1"/>
      <c r="W494" s="1"/>
      <c r="X494" s="5">
        <v>100</v>
      </c>
      <c r="Y494" s="7">
        <v>7700000</v>
      </c>
      <c r="Z494" s="1"/>
      <c r="AA494" s="2">
        <f ca="1">DATE(2001,03,20)</f>
        <v>0</v>
      </c>
      <c r="AB494" s="1"/>
      <c r="AC494" s="3">
        <v>180</v>
      </c>
      <c r="AD494" s="1"/>
      <c r="AE494" s="1" t="s">
        <v>51</v>
      </c>
      <c r="AF494" s="1" t="s">
        <v>51</v>
      </c>
      <c r="AG494" s="1" t="s">
        <v>51</v>
      </c>
      <c r="AH494" s="1" t="s">
        <v>1794</v>
      </c>
      <c r="AI494" s="1" t="s">
        <v>1795</v>
      </c>
      <c r="AJ494" s="3">
        <v>1</v>
      </c>
      <c r="AK494" s="1" t="s">
        <v>52</v>
      </c>
      <c r="AL494" s="3">
        <v>3</v>
      </c>
      <c r="AM494" s="8">
        <v>46.25</v>
      </c>
      <c r="AN494" s="1"/>
      <c r="AO494" s="1" t="s">
        <v>2954</v>
      </c>
      <c r="AP494" s="1" t="s">
        <v>204</v>
      </c>
      <c r="AQ494" s="1" t="s">
        <v>2955</v>
      </c>
      <c r="AR494" s="1" t="s">
        <v>2956</v>
      </c>
    </row>
    <row r="495">
      <c r="A495" s="2">
        <f ca="1">DATE(2000,08,28)</f>
        <v>0</v>
      </c>
      <c r="B495" s="2">
        <f ca="1">DATE(2000,09,25)</f>
        <v>0</v>
      </c>
      <c r="C495" s="1" t="s">
        <v>2957</v>
      </c>
      <c r="D495" s="3">
        <v>3674</v>
      </c>
      <c r="E495" s="1" t="s">
        <v>2958</v>
      </c>
      <c r="F495" s="3">
        <v>2311</v>
      </c>
      <c r="G495" s="1" t="s">
        <v>2959</v>
      </c>
      <c r="H495" s="4">
        <v>0.27900000000000003</v>
      </c>
      <c r="I495" s="4">
        <v>3.98</v>
      </c>
      <c r="J495" s="5">
        <v>140</v>
      </c>
      <c r="K495" s="8">
        <v>7</v>
      </c>
      <c r="L495" s="1" t="s">
        <v>651</v>
      </c>
      <c r="M495" s="1" t="s">
        <v>47</v>
      </c>
      <c r="N495" s="1"/>
      <c r="O495" s="1" t="s">
        <v>2958</v>
      </c>
      <c r="P495" s="1" t="s">
        <v>2960</v>
      </c>
      <c r="Q495" s="4">
        <v>0.84999999999999998</v>
      </c>
      <c r="R495" s="4">
        <v>0.70999999999999996</v>
      </c>
      <c r="S495" s="8">
        <v>2.4199999999999999</v>
      </c>
      <c r="T495" s="1" t="s">
        <v>60</v>
      </c>
      <c r="U495" s="1"/>
      <c r="V495" s="1"/>
      <c r="W495" s="1"/>
      <c r="X495" s="1"/>
      <c r="Y495" s="7">
        <v>20000000</v>
      </c>
      <c r="Z495" s="1"/>
      <c r="AA495" s="1"/>
      <c r="AB495" s="1"/>
      <c r="AC495" s="1"/>
      <c r="AD495" s="1"/>
      <c r="AE495" s="1" t="s">
        <v>47</v>
      </c>
      <c r="AF495" s="1" t="s">
        <v>51</v>
      </c>
      <c r="AG495" s="1" t="s">
        <v>51</v>
      </c>
      <c r="AH495" s="1"/>
      <c r="AI495" s="1"/>
      <c r="AJ495" s="3">
        <v>3</v>
      </c>
      <c r="AK495" s="1" t="s">
        <v>110</v>
      </c>
      <c r="AL495" s="3">
        <v>4</v>
      </c>
      <c r="AM495" s="1"/>
      <c r="AN495" s="1"/>
      <c r="AO495" s="1" t="s">
        <v>2961</v>
      </c>
      <c r="AP495" s="1" t="s">
        <v>2962</v>
      </c>
      <c r="AQ495" s="1" t="s">
        <v>2963</v>
      </c>
      <c r="AR495" s="1" t="s">
        <v>2964</v>
      </c>
    </row>
    <row r="496">
      <c r="A496" s="2">
        <f ca="1">DATE(2000,04,28)</f>
        <v>0</v>
      </c>
      <c r="B496" s="2">
        <f ca="1">DATE(2000,09,25)</f>
        <v>0</v>
      </c>
      <c r="C496" s="1" t="s">
        <v>2965</v>
      </c>
      <c r="D496" s="3">
        <v>7372</v>
      </c>
      <c r="E496" s="1" t="s">
        <v>43</v>
      </c>
      <c r="F496" s="1" t="s">
        <v>2966</v>
      </c>
      <c r="G496" s="1" t="s">
        <v>160</v>
      </c>
      <c r="H496" s="4">
        <v>1.6100000000000001</v>
      </c>
      <c r="I496" s="4">
        <v>7</v>
      </c>
      <c r="J496" s="5">
        <v>201</v>
      </c>
      <c r="K496" s="4">
        <v>23</v>
      </c>
      <c r="L496" s="1" t="s">
        <v>46</v>
      </c>
      <c r="M496" s="1" t="s">
        <v>47</v>
      </c>
      <c r="N496" s="3">
        <v>221222102</v>
      </c>
      <c r="O496" s="1" t="s">
        <v>48</v>
      </c>
      <c r="P496" s="1" t="s">
        <v>2967</v>
      </c>
      <c r="Q496" s="4">
        <v>1.391</v>
      </c>
      <c r="R496" s="4">
        <v>1.4350000000000001</v>
      </c>
      <c r="S496" s="6">
        <v>4.1739100000000002</v>
      </c>
      <c r="T496" s="1" t="s">
        <v>50</v>
      </c>
      <c r="U496" s="1"/>
      <c r="V496" s="1"/>
      <c r="W496" s="1"/>
      <c r="X496" s="1"/>
      <c r="Y496" s="7">
        <v>8741000</v>
      </c>
      <c r="Z496" s="1"/>
      <c r="AA496" s="1"/>
      <c r="AB496" s="1"/>
      <c r="AC496" s="1"/>
      <c r="AD496" s="1"/>
      <c r="AE496" s="1" t="s">
        <v>51</v>
      </c>
      <c r="AF496" s="1" t="s">
        <v>51</v>
      </c>
      <c r="AG496" s="1" t="s">
        <v>47</v>
      </c>
      <c r="AH496" s="1"/>
      <c r="AI496" s="1"/>
      <c r="AJ496" s="3">
        <v>1</v>
      </c>
      <c r="AK496" s="1" t="s">
        <v>52</v>
      </c>
      <c r="AL496" s="3">
        <v>4</v>
      </c>
      <c r="AM496" s="8">
        <v>63.060000000000002</v>
      </c>
      <c r="AN496" s="1"/>
      <c r="AO496" s="1" t="s">
        <v>2968</v>
      </c>
      <c r="AP496" s="1" t="s">
        <v>160</v>
      </c>
      <c r="AQ496" s="1" t="s">
        <v>2969</v>
      </c>
      <c r="AR496" s="1" t="s">
        <v>2970</v>
      </c>
    </row>
    <row r="497">
      <c r="A497" s="2">
        <f ca="1">DATE(2000,04,28)</f>
        <v>0</v>
      </c>
      <c r="B497" s="2">
        <f ca="1">DATE(2000,09,25)</f>
        <v>0</v>
      </c>
      <c r="C497" s="1" t="s">
        <v>2965</v>
      </c>
      <c r="D497" s="3">
        <v>7372</v>
      </c>
      <c r="E497" s="1" t="s">
        <v>43</v>
      </c>
      <c r="F497" s="1" t="s">
        <v>2966</v>
      </c>
      <c r="G497" s="1" t="s">
        <v>160</v>
      </c>
      <c r="H497" s="4">
        <v>1.6100000000000001</v>
      </c>
      <c r="I497" s="4">
        <v>7</v>
      </c>
      <c r="J497" s="5">
        <v>25.199999999999999</v>
      </c>
      <c r="K497" s="8">
        <v>23</v>
      </c>
      <c r="L497" s="1" t="s">
        <v>58</v>
      </c>
      <c r="M497" s="1" t="s">
        <v>47</v>
      </c>
      <c r="N497" s="3">
        <v>221222102</v>
      </c>
      <c r="O497" s="1" t="s">
        <v>48</v>
      </c>
      <c r="P497" s="1" t="s">
        <v>2971</v>
      </c>
      <c r="Q497" s="4">
        <v>1.391</v>
      </c>
      <c r="R497" s="4">
        <v>1.4350000000000001</v>
      </c>
      <c r="S497" s="6">
        <v>4.1739100000000002</v>
      </c>
      <c r="T497" s="1" t="s">
        <v>60</v>
      </c>
      <c r="U497" s="1"/>
      <c r="V497" s="1"/>
      <c r="W497" s="1"/>
      <c r="X497" s="1"/>
      <c r="Y497" s="7">
        <v>1094783</v>
      </c>
      <c r="Z497" s="1"/>
      <c r="AA497" s="1"/>
      <c r="AB497" s="1"/>
      <c r="AC497" s="1"/>
      <c r="AD497" s="1"/>
      <c r="AE497" s="1" t="s">
        <v>51</v>
      </c>
      <c r="AF497" s="1" t="s">
        <v>51</v>
      </c>
      <c r="AG497" s="1" t="s">
        <v>47</v>
      </c>
      <c r="AH497" s="1"/>
      <c r="AI497" s="1"/>
      <c r="AJ497" s="3">
        <v>1</v>
      </c>
      <c r="AK497" s="1" t="s">
        <v>52</v>
      </c>
      <c r="AL497" s="3">
        <v>1</v>
      </c>
      <c r="AM497" s="1"/>
      <c r="AN497" s="1"/>
      <c r="AO497" s="1" t="s">
        <v>2972</v>
      </c>
      <c r="AP497" s="1" t="s">
        <v>160</v>
      </c>
      <c r="AQ497" s="1" t="s">
        <v>160</v>
      </c>
      <c r="AR497" s="1" t="s">
        <v>187</v>
      </c>
    </row>
    <row r="498">
      <c r="A498" s="2">
        <f ca="1">DATE(2000,07,07)</f>
        <v>0</v>
      </c>
      <c r="B498" s="2">
        <f ca="1">DATE(2000,09,26)</f>
        <v>0</v>
      </c>
      <c r="C498" s="1" t="s">
        <v>2973</v>
      </c>
      <c r="D498" s="3">
        <v>2879</v>
      </c>
      <c r="E498" s="1" t="s">
        <v>43</v>
      </c>
      <c r="F498" s="1" t="s">
        <v>2974</v>
      </c>
      <c r="G498" s="1" t="s">
        <v>45</v>
      </c>
      <c r="H498" s="4">
        <v>1.05</v>
      </c>
      <c r="I498" s="4">
        <v>7</v>
      </c>
      <c r="J498" s="5">
        <v>77.599999999999994</v>
      </c>
      <c r="K498" s="4">
        <v>15</v>
      </c>
      <c r="L498" s="1" t="s">
        <v>46</v>
      </c>
      <c r="M498" s="1" t="s">
        <v>47</v>
      </c>
      <c r="N498" s="3">
        <v>279445100</v>
      </c>
      <c r="O498" s="1" t="s">
        <v>48</v>
      </c>
      <c r="P498" s="1" t="s">
        <v>2975</v>
      </c>
      <c r="Q498" s="4">
        <v>1.3999999999999999</v>
      </c>
      <c r="R498" s="4">
        <v>1.3999999999999999</v>
      </c>
      <c r="S498" s="8">
        <v>4.2000000000000002</v>
      </c>
      <c r="T498" s="1" t="s">
        <v>50</v>
      </c>
      <c r="U498" s="1"/>
      <c r="V498" s="1"/>
      <c r="W498" s="1"/>
      <c r="X498" s="5">
        <v>86.299999999999997</v>
      </c>
      <c r="Y498" s="7">
        <v>5175650</v>
      </c>
      <c r="Z498" s="1"/>
      <c r="AA498" s="2">
        <f ca="1">DATE(2001,03,25)</f>
        <v>0</v>
      </c>
      <c r="AB498" s="4">
        <v>66.227999999999994</v>
      </c>
      <c r="AC498" s="3">
        <v>180</v>
      </c>
      <c r="AD498" s="8">
        <v>15055435</v>
      </c>
      <c r="AE498" s="1" t="s">
        <v>51</v>
      </c>
      <c r="AF498" s="1" t="s">
        <v>51</v>
      </c>
      <c r="AG498" s="1" t="s">
        <v>51</v>
      </c>
      <c r="AH498" s="1"/>
      <c r="AI498" s="1"/>
      <c r="AJ498" s="3">
        <v>1</v>
      </c>
      <c r="AK498" s="1" t="s">
        <v>89</v>
      </c>
      <c r="AL498" s="3">
        <v>4</v>
      </c>
      <c r="AM498" s="8">
        <v>30</v>
      </c>
      <c r="AN498" s="1"/>
      <c r="AO498" s="1" t="s">
        <v>2976</v>
      </c>
      <c r="AP498" s="1" t="s">
        <v>2977</v>
      </c>
      <c r="AQ498" s="1" t="s">
        <v>2978</v>
      </c>
      <c r="AR498" s="1" t="s">
        <v>2979</v>
      </c>
    </row>
    <row r="499">
      <c r="A499" s="2">
        <f ca="1">DATE(2000,07,07)</f>
        <v>0</v>
      </c>
      <c r="B499" s="2">
        <f ca="1">DATE(2000,09,26)</f>
        <v>0</v>
      </c>
      <c r="C499" s="1" t="s">
        <v>2973</v>
      </c>
      <c r="D499" s="3">
        <v>2879</v>
      </c>
      <c r="E499" s="1" t="s">
        <v>43</v>
      </c>
      <c r="F499" s="1" t="s">
        <v>2974</v>
      </c>
      <c r="G499" s="1" t="s">
        <v>45</v>
      </c>
      <c r="H499" s="4">
        <v>1.05</v>
      </c>
      <c r="I499" s="4">
        <v>7</v>
      </c>
      <c r="J499" s="5">
        <v>9.4000000000000004</v>
      </c>
      <c r="K499" s="8">
        <v>15</v>
      </c>
      <c r="L499" s="1" t="s">
        <v>46</v>
      </c>
      <c r="M499" s="1" t="s">
        <v>47</v>
      </c>
      <c r="N499" s="3">
        <v>279445100</v>
      </c>
      <c r="O499" s="1" t="s">
        <v>48</v>
      </c>
      <c r="P499" s="1" t="s">
        <v>2975</v>
      </c>
      <c r="Q499" s="4">
        <v>1.3999999999999999</v>
      </c>
      <c r="R499" s="4">
        <v>1.3999999999999999</v>
      </c>
      <c r="S499" s="8">
        <v>4.2000000000000002</v>
      </c>
      <c r="T499" s="1" t="s">
        <v>60</v>
      </c>
      <c r="U499" s="1"/>
      <c r="V499" s="1"/>
      <c r="W499" s="1"/>
      <c r="X499" s="1"/>
      <c r="Y499" s="7">
        <v>624350</v>
      </c>
      <c r="Z499" s="1"/>
      <c r="AA499" s="1"/>
      <c r="AB499" s="1"/>
      <c r="AC499" s="3">
        <v>180</v>
      </c>
      <c r="AD499" s="8">
        <v>15055435</v>
      </c>
      <c r="AE499" s="1" t="s">
        <v>51</v>
      </c>
      <c r="AF499" s="1" t="s">
        <v>51</v>
      </c>
      <c r="AG499" s="1" t="s">
        <v>51</v>
      </c>
      <c r="AH499" s="1"/>
      <c r="AI499" s="1"/>
      <c r="AJ499" s="3">
        <v>1</v>
      </c>
      <c r="AK499" s="1" t="s">
        <v>89</v>
      </c>
      <c r="AL499" s="3">
        <v>2</v>
      </c>
      <c r="AM499" s="1"/>
      <c r="AN499" s="1"/>
      <c r="AO499" s="1" t="s">
        <v>2980</v>
      </c>
      <c r="AP499" s="1" t="s">
        <v>2977</v>
      </c>
      <c r="AQ499" s="1" t="s">
        <v>2981</v>
      </c>
      <c r="AR499" s="1" t="s">
        <v>2982</v>
      </c>
    </row>
    <row r="500">
      <c r="A500" s="2">
        <f ca="1">DATE(2000,04,21)</f>
        <v>0</v>
      </c>
      <c r="B500" s="2">
        <f ca="1">DATE(2000,09,26)</f>
        <v>0</v>
      </c>
      <c r="C500" s="1" t="s">
        <v>2983</v>
      </c>
      <c r="D500" s="3">
        <v>4911</v>
      </c>
      <c r="E500" s="1" t="s">
        <v>43</v>
      </c>
      <c r="F500" s="1" t="s">
        <v>2984</v>
      </c>
      <c r="G500" s="1" t="s">
        <v>2985</v>
      </c>
      <c r="H500" s="4">
        <v>1.0449999999999999</v>
      </c>
      <c r="I500" s="8">
        <v>4.75</v>
      </c>
      <c r="J500" s="9">
        <v>1202.5999999999999</v>
      </c>
      <c r="K500" s="4">
        <v>22</v>
      </c>
      <c r="L500" s="1" t="s">
        <v>46</v>
      </c>
      <c r="M500" s="1" t="s">
        <v>47</v>
      </c>
      <c r="N500" s="3">
        <v>842816100</v>
      </c>
      <c r="O500" s="1" t="s">
        <v>108</v>
      </c>
      <c r="P500" s="1" t="s">
        <v>2986</v>
      </c>
      <c r="Q500" s="4">
        <v>0.95499999999999996</v>
      </c>
      <c r="R500" s="4">
        <v>0.93200000000000005</v>
      </c>
      <c r="S500" s="6">
        <v>2.8636400000000002</v>
      </c>
      <c r="T500" s="1" t="s">
        <v>50</v>
      </c>
      <c r="U500" s="1"/>
      <c r="V500" s="1"/>
      <c r="W500" s="1"/>
      <c r="X500" s="5">
        <v>100</v>
      </c>
      <c r="Y500" s="7">
        <v>54664000</v>
      </c>
      <c r="Z500" s="1"/>
      <c r="AA500" s="1"/>
      <c r="AB500" s="1"/>
      <c r="AC500" s="1"/>
      <c r="AD500" s="1"/>
      <c r="AE500" s="1" t="s">
        <v>51</v>
      </c>
      <c r="AF500" s="1" t="s">
        <v>51</v>
      </c>
      <c r="AG500" s="1" t="s">
        <v>51</v>
      </c>
      <c r="AH500" s="1" t="s">
        <v>2987</v>
      </c>
      <c r="AI500" s="1" t="s">
        <v>2988</v>
      </c>
      <c r="AJ500" s="3">
        <v>2</v>
      </c>
      <c r="AK500" s="1" t="s">
        <v>89</v>
      </c>
      <c r="AL500" s="3">
        <v>7</v>
      </c>
      <c r="AM500" s="8">
        <v>28.879999999999999</v>
      </c>
      <c r="AN500" s="1"/>
      <c r="AO500" s="1" t="s">
        <v>2989</v>
      </c>
      <c r="AP500" s="1" t="s">
        <v>736</v>
      </c>
      <c r="AQ500" s="1" t="s">
        <v>2990</v>
      </c>
      <c r="AR500" s="1" t="s">
        <v>2991</v>
      </c>
    </row>
    <row r="501">
      <c r="A501" s="2">
        <f ca="1">DATE(2000,08,20)</f>
        <v>0</v>
      </c>
      <c r="B501" s="2">
        <f ca="1">DATE(2000,09,26)</f>
        <v>0</v>
      </c>
      <c r="C501" s="1" t="s">
        <v>2983</v>
      </c>
      <c r="D501" s="3">
        <v>4911</v>
      </c>
      <c r="E501" s="1" t="s">
        <v>43</v>
      </c>
      <c r="F501" s="1" t="s">
        <v>2984</v>
      </c>
      <c r="G501" s="1" t="s">
        <v>2985</v>
      </c>
      <c r="H501" s="4">
        <v>1.0449999999999999</v>
      </c>
      <c r="I501" s="8">
        <v>4.75</v>
      </c>
      <c r="J501" s="5">
        <v>73.400000000000006</v>
      </c>
      <c r="K501" s="8">
        <v>22</v>
      </c>
      <c r="L501" s="1" t="s">
        <v>58</v>
      </c>
      <c r="M501" s="1" t="s">
        <v>47</v>
      </c>
      <c r="N501" s="3">
        <v>842816100</v>
      </c>
      <c r="O501" s="1" t="s">
        <v>108</v>
      </c>
      <c r="P501" s="1" t="s">
        <v>2992</v>
      </c>
      <c r="Q501" s="4">
        <v>0.95499999999999996</v>
      </c>
      <c r="R501" s="4">
        <v>0.93200000000000005</v>
      </c>
      <c r="S501" s="6">
        <v>2.8635899999999999</v>
      </c>
      <c r="T501" s="1" t="s">
        <v>60</v>
      </c>
      <c r="U501" s="1"/>
      <c r="V501" s="1"/>
      <c r="W501" s="1"/>
      <c r="X501" s="1"/>
      <c r="Y501" s="7">
        <v>3336000</v>
      </c>
      <c r="Z501" s="1"/>
      <c r="AA501" s="1"/>
      <c r="AB501" s="1"/>
      <c r="AC501" s="1"/>
      <c r="AD501" s="1"/>
      <c r="AE501" s="1" t="s">
        <v>51</v>
      </c>
      <c r="AF501" s="1" t="s">
        <v>51</v>
      </c>
      <c r="AG501" s="1" t="s">
        <v>51</v>
      </c>
      <c r="AH501" s="1" t="s">
        <v>2987</v>
      </c>
      <c r="AI501" s="1" t="s">
        <v>2988</v>
      </c>
      <c r="AJ501" s="3">
        <v>2</v>
      </c>
      <c r="AK501" s="1" t="s">
        <v>89</v>
      </c>
      <c r="AL501" s="3">
        <v>2</v>
      </c>
      <c r="AM501" s="1"/>
      <c r="AN501" s="1"/>
      <c r="AO501" s="1" t="s">
        <v>2993</v>
      </c>
      <c r="AP501" s="1" t="s">
        <v>736</v>
      </c>
      <c r="AQ501" s="1" t="s">
        <v>2994</v>
      </c>
      <c r="AR501" s="1" t="s">
        <v>742</v>
      </c>
    </row>
    <row r="502">
      <c r="A502" s="2">
        <f ca="1">DATE(2000,06,08)</f>
        <v>0</v>
      </c>
      <c r="B502" s="2">
        <f ca="1">DATE(2000,09,27)</f>
        <v>0</v>
      </c>
      <c r="C502" s="1" t="s">
        <v>2995</v>
      </c>
      <c r="D502" s="3">
        <v>7371</v>
      </c>
      <c r="E502" s="1" t="s">
        <v>43</v>
      </c>
      <c r="F502" s="1" t="s">
        <v>2996</v>
      </c>
      <c r="G502" s="1" t="s">
        <v>239</v>
      </c>
      <c r="H502" s="4">
        <v>0.83999999999999997</v>
      </c>
      <c r="I502" s="8">
        <v>7</v>
      </c>
      <c r="J502" s="5">
        <v>50.799999999999997</v>
      </c>
      <c r="K502" s="4">
        <v>12</v>
      </c>
      <c r="L502" s="1" t="s">
        <v>46</v>
      </c>
      <c r="M502" s="1" t="s">
        <v>47</v>
      </c>
      <c r="N502" s="1" t="s">
        <v>2997</v>
      </c>
      <c r="O502" s="1" t="s">
        <v>48</v>
      </c>
      <c r="P502" s="1" t="s">
        <v>2998</v>
      </c>
      <c r="Q502" s="4">
        <v>1.417</v>
      </c>
      <c r="R502" s="4">
        <v>1.417</v>
      </c>
      <c r="S502" s="6">
        <v>4.1666699999999999</v>
      </c>
      <c r="T502" s="1" t="s">
        <v>50</v>
      </c>
      <c r="U502" s="1"/>
      <c r="V502" s="1"/>
      <c r="W502" s="1"/>
      <c r="X502" s="5">
        <v>100</v>
      </c>
      <c r="Y502" s="7">
        <v>4235000</v>
      </c>
      <c r="Z502" s="1"/>
      <c r="AA502" s="1"/>
      <c r="AB502" s="1"/>
      <c r="AC502" s="1"/>
      <c r="AD502" s="1"/>
      <c r="AE502" s="1" t="s">
        <v>51</v>
      </c>
      <c r="AF502" s="1" t="s">
        <v>51</v>
      </c>
      <c r="AG502" s="1" t="s">
        <v>47</v>
      </c>
      <c r="AH502" s="1"/>
      <c r="AI502" s="1"/>
      <c r="AJ502" s="3">
        <v>1</v>
      </c>
      <c r="AK502" s="1" t="s">
        <v>52</v>
      </c>
      <c r="AL502" s="3">
        <v>3</v>
      </c>
      <c r="AM502" s="8">
        <v>20</v>
      </c>
      <c r="AN502" s="1"/>
      <c r="AO502" s="1" t="s">
        <v>2999</v>
      </c>
      <c r="AP502" s="1" t="s">
        <v>239</v>
      </c>
      <c r="AQ502" s="1" t="s">
        <v>3000</v>
      </c>
      <c r="AR502" s="1" t="s">
        <v>3001</v>
      </c>
    </row>
    <row r="503">
      <c r="A503" s="2">
        <f ca="1">DATE(2000,06,08)</f>
        <v>0</v>
      </c>
      <c r="B503" s="2">
        <f ca="1">DATE(2000,09,27)</f>
        <v>0</v>
      </c>
      <c r="C503" s="1" t="s">
        <v>2995</v>
      </c>
      <c r="D503" s="3">
        <v>7371</v>
      </c>
      <c r="E503" s="1" t="s">
        <v>43</v>
      </c>
      <c r="F503" s="1" t="s">
        <v>2996</v>
      </c>
      <c r="G503" s="1" t="s">
        <v>179</v>
      </c>
      <c r="H503" s="4">
        <v>0.83999999999999997</v>
      </c>
      <c r="I503" s="8">
        <v>7</v>
      </c>
      <c r="J503" s="5">
        <v>13.199999999999999</v>
      </c>
      <c r="K503" s="8">
        <v>12</v>
      </c>
      <c r="L503" s="1" t="s">
        <v>58</v>
      </c>
      <c r="M503" s="1" t="s">
        <v>47</v>
      </c>
      <c r="N503" s="1" t="s">
        <v>2997</v>
      </c>
      <c r="O503" s="1" t="s">
        <v>48</v>
      </c>
      <c r="P503" s="1" t="s">
        <v>3002</v>
      </c>
      <c r="Q503" s="4">
        <v>1.417</v>
      </c>
      <c r="R503" s="4">
        <v>1.417</v>
      </c>
      <c r="S503" s="6">
        <v>4.1666699999999999</v>
      </c>
      <c r="T503" s="1" t="s">
        <v>60</v>
      </c>
      <c r="U503" s="1"/>
      <c r="V503" s="1"/>
      <c r="W503" s="1"/>
      <c r="X503" s="1"/>
      <c r="Y503" s="7">
        <v>1100000</v>
      </c>
      <c r="Z503" s="1"/>
      <c r="AA503" s="1"/>
      <c r="AB503" s="1"/>
      <c r="AC503" s="1"/>
      <c r="AD503" s="1"/>
      <c r="AE503" s="1" t="s">
        <v>51</v>
      </c>
      <c r="AF503" s="1" t="s">
        <v>51</v>
      </c>
      <c r="AG503" s="1" t="s">
        <v>47</v>
      </c>
      <c r="AH503" s="1"/>
      <c r="AI503" s="1"/>
      <c r="AJ503" s="3">
        <v>1</v>
      </c>
      <c r="AK503" s="1" t="s">
        <v>52</v>
      </c>
      <c r="AL503" s="3">
        <v>3</v>
      </c>
      <c r="AM503" s="1"/>
      <c r="AN503" s="1"/>
      <c r="AO503" s="1" t="s">
        <v>3003</v>
      </c>
      <c r="AP503" s="1" t="s">
        <v>179</v>
      </c>
      <c r="AQ503" s="1" t="s">
        <v>3004</v>
      </c>
      <c r="AR503" s="1" t="s">
        <v>3005</v>
      </c>
    </row>
    <row r="504">
      <c r="A504" s="2">
        <f ca="1">DATE(2000,04,20)</f>
        <v>0</v>
      </c>
      <c r="B504" s="2">
        <f ca="1">DATE(2000,09,27)</f>
        <v>0</v>
      </c>
      <c r="C504" s="1" t="s">
        <v>3006</v>
      </c>
      <c r="D504" s="3">
        <v>2834</v>
      </c>
      <c r="E504" s="1" t="s">
        <v>43</v>
      </c>
      <c r="F504" s="1" t="s">
        <v>3007</v>
      </c>
      <c r="G504" s="1" t="s">
        <v>106</v>
      </c>
      <c r="H504" s="4">
        <v>0.83999999999999997</v>
      </c>
      <c r="I504" s="8">
        <v>7</v>
      </c>
      <c r="J504" s="5">
        <v>84</v>
      </c>
      <c r="K504" s="4">
        <v>12</v>
      </c>
      <c r="L504" s="1" t="s">
        <v>46</v>
      </c>
      <c r="M504" s="1" t="s">
        <v>47</v>
      </c>
      <c r="N504" s="3">
        <v>266605104</v>
      </c>
      <c r="O504" s="1" t="s">
        <v>48</v>
      </c>
      <c r="P504" s="1" t="s">
        <v>3008</v>
      </c>
      <c r="Q504" s="4">
        <v>1.417</v>
      </c>
      <c r="R504" s="4">
        <v>1.083</v>
      </c>
      <c r="S504" s="8">
        <v>4.5</v>
      </c>
      <c r="T504" s="1" t="s">
        <v>50</v>
      </c>
      <c r="U504" s="1"/>
      <c r="V504" s="1"/>
      <c r="W504" s="1"/>
      <c r="X504" s="5">
        <v>115</v>
      </c>
      <c r="Y504" s="7">
        <v>7000000</v>
      </c>
      <c r="Z504" s="1"/>
      <c r="AA504" s="2">
        <f ca="1">DATE(2001,03,26)</f>
        <v>0</v>
      </c>
      <c r="AB504" s="4">
        <v>74.596000000000004</v>
      </c>
      <c r="AC504" s="3">
        <v>180</v>
      </c>
      <c r="AD504" s="8">
        <v>34173026</v>
      </c>
      <c r="AE504" s="1" t="s">
        <v>51</v>
      </c>
      <c r="AF504" s="1" t="s">
        <v>51</v>
      </c>
      <c r="AG504" s="1" t="s">
        <v>47</v>
      </c>
      <c r="AH504" s="1"/>
      <c r="AI504" s="1"/>
      <c r="AJ504" s="3">
        <v>1</v>
      </c>
      <c r="AK504" s="1" t="s">
        <v>52</v>
      </c>
      <c r="AL504" s="3">
        <v>3</v>
      </c>
      <c r="AM504" s="8">
        <v>14.41</v>
      </c>
      <c r="AN504" s="1"/>
      <c r="AO504" s="1" t="s">
        <v>3009</v>
      </c>
      <c r="AP504" s="1" t="s">
        <v>106</v>
      </c>
      <c r="AQ504" s="1" t="s">
        <v>3010</v>
      </c>
      <c r="AR504" s="1" t="s">
        <v>3011</v>
      </c>
    </row>
    <row r="505">
      <c r="A505" s="2">
        <f ca="1">DATE(1999,01,01)</f>
        <v>0</v>
      </c>
      <c r="B505" s="2">
        <f ca="1">DATE(2000,09,27)</f>
        <v>0</v>
      </c>
      <c r="C505" s="1" t="s">
        <v>3012</v>
      </c>
      <c r="D505" s="3">
        <v>4581</v>
      </c>
      <c r="E505" s="1" t="s">
        <v>3013</v>
      </c>
      <c r="F505" s="1" t="s">
        <v>3014</v>
      </c>
      <c r="G505" s="1" t="s">
        <v>1583</v>
      </c>
      <c r="H505" s="1" t="s">
        <v>57</v>
      </c>
      <c r="I505" s="1" t="s">
        <v>57</v>
      </c>
      <c r="J505" s="5">
        <v>307.19999999999999</v>
      </c>
      <c r="K505" s="8">
        <v>15.119999999999999</v>
      </c>
      <c r="L505" s="1" t="s">
        <v>651</v>
      </c>
      <c r="M505" s="1" t="s">
        <v>47</v>
      </c>
      <c r="N505" s="1"/>
      <c r="O505" s="1" t="s">
        <v>108</v>
      </c>
      <c r="P505" s="1" t="s">
        <v>3015</v>
      </c>
      <c r="Q505" s="1"/>
      <c r="R505" s="1"/>
      <c r="S505" s="1"/>
      <c r="T505" s="1" t="s">
        <v>60</v>
      </c>
      <c r="U505" s="1"/>
      <c r="V505" s="1"/>
      <c r="W505" s="1"/>
      <c r="X505" s="1"/>
      <c r="Y505" s="1"/>
      <c r="Z505" s="7">
        <v>20311978</v>
      </c>
      <c r="AA505" s="1"/>
      <c r="AB505" s="1"/>
      <c r="AC505" s="1"/>
      <c r="AD505" s="1"/>
      <c r="AE505" s="1" t="s">
        <v>47</v>
      </c>
      <c r="AF505" s="1" t="s">
        <v>51</v>
      </c>
      <c r="AG505" s="1" t="s">
        <v>51</v>
      </c>
      <c r="AH505" s="1"/>
      <c r="AI505" s="1" t="s">
        <v>3016</v>
      </c>
      <c r="AJ505" s="3">
        <v>1</v>
      </c>
      <c r="AK505" s="1" t="s">
        <v>52</v>
      </c>
      <c r="AL505" s="3">
        <v>3</v>
      </c>
      <c r="AM505" s="1"/>
      <c r="AN505" s="1"/>
      <c r="AO505" s="1" t="s">
        <v>3017</v>
      </c>
      <c r="AP505" s="1" t="s">
        <v>1583</v>
      </c>
      <c r="AQ505" s="1" t="s">
        <v>3018</v>
      </c>
      <c r="AR505" s="1" t="s">
        <v>3019</v>
      </c>
    </row>
    <row r="506">
      <c r="A506" s="2">
        <f ca="1">DATE(2000,06,09)</f>
        <v>0</v>
      </c>
      <c r="B506" s="2">
        <f ca="1">DATE(2000,09,27)</f>
        <v>0</v>
      </c>
      <c r="C506" s="1" t="s">
        <v>3020</v>
      </c>
      <c r="D506" s="3">
        <v>3533</v>
      </c>
      <c r="E506" s="1" t="s">
        <v>43</v>
      </c>
      <c r="F506" s="1" t="s">
        <v>3021</v>
      </c>
      <c r="G506" s="1" t="s">
        <v>204</v>
      </c>
      <c r="H506" s="4">
        <v>1.19</v>
      </c>
      <c r="I506" s="8">
        <v>7</v>
      </c>
      <c r="J506" s="5">
        <v>127.5</v>
      </c>
      <c r="K506" s="4">
        <v>17</v>
      </c>
      <c r="L506" s="1" t="s">
        <v>46</v>
      </c>
      <c r="M506" s="1" t="s">
        <v>47</v>
      </c>
      <c r="N506" s="3">
        <v>448774109</v>
      </c>
      <c r="O506" s="1" t="s">
        <v>48</v>
      </c>
      <c r="P506" s="1" t="s">
        <v>3022</v>
      </c>
      <c r="Q506" s="4">
        <v>1.3819999999999999</v>
      </c>
      <c r="R506" s="4">
        <v>1.3819999999999999</v>
      </c>
      <c r="S506" s="6">
        <v>4.23529</v>
      </c>
      <c r="T506" s="1" t="s">
        <v>50</v>
      </c>
      <c r="U506" s="1"/>
      <c r="V506" s="1"/>
      <c r="W506" s="7">
        <v>7500000</v>
      </c>
      <c r="X506" s="5">
        <v>155</v>
      </c>
      <c r="Y506" s="7">
        <v>2323932</v>
      </c>
      <c r="Z506" s="7">
        <v>5176068</v>
      </c>
      <c r="AA506" s="2">
        <f ca="1">DATE(2001,04,25)</f>
        <v>0</v>
      </c>
      <c r="AB506" s="1"/>
      <c r="AC506" s="3">
        <v>210</v>
      </c>
      <c r="AD506" s="1"/>
      <c r="AE506" s="1" t="s">
        <v>51</v>
      </c>
      <c r="AF506" s="1" t="s">
        <v>51</v>
      </c>
      <c r="AG506" s="1" t="s">
        <v>51</v>
      </c>
      <c r="AH506" s="1"/>
      <c r="AI506" s="1"/>
      <c r="AJ506" s="3">
        <v>1</v>
      </c>
      <c r="AK506" s="1" t="s">
        <v>89</v>
      </c>
      <c r="AL506" s="3">
        <v>4</v>
      </c>
      <c r="AM506" s="8">
        <v>20.379999999999999</v>
      </c>
      <c r="AN506" s="1"/>
      <c r="AO506" s="1" t="s">
        <v>3023</v>
      </c>
      <c r="AP506" s="1" t="s">
        <v>3024</v>
      </c>
      <c r="AQ506" s="1" t="s">
        <v>3025</v>
      </c>
      <c r="AR506" s="1" t="s">
        <v>3026</v>
      </c>
    </row>
    <row r="507">
      <c r="A507" s="2">
        <f ca="1">DATE(2000,03,28)</f>
        <v>0</v>
      </c>
      <c r="B507" s="2">
        <f ca="1">DATE(2000,09,27)</f>
        <v>0</v>
      </c>
      <c r="C507" s="1" t="s">
        <v>3027</v>
      </c>
      <c r="D507" s="3">
        <v>8221</v>
      </c>
      <c r="E507" s="1" t="s">
        <v>43</v>
      </c>
      <c r="F507" s="1" t="s">
        <v>3028</v>
      </c>
      <c r="G507" s="1" t="s">
        <v>239</v>
      </c>
      <c r="H507" s="4">
        <v>0.97999999999999998</v>
      </c>
      <c r="I507" s="8">
        <v>7</v>
      </c>
      <c r="J507" s="5">
        <v>53.899999999999999</v>
      </c>
      <c r="K507" s="4">
        <v>14</v>
      </c>
      <c r="L507" s="1" t="s">
        <v>46</v>
      </c>
      <c r="M507" s="1" t="s">
        <v>47</v>
      </c>
      <c r="N507" s="1" t="s">
        <v>3029</v>
      </c>
      <c r="O507" s="1" t="s">
        <v>48</v>
      </c>
      <c r="P507" s="1" t="s">
        <v>3030</v>
      </c>
      <c r="Q507" s="4">
        <v>1.4290000000000001</v>
      </c>
      <c r="R507" s="4">
        <v>1.357</v>
      </c>
      <c r="S507" s="6">
        <v>4.2142900000000001</v>
      </c>
      <c r="T507" s="1" t="s">
        <v>50</v>
      </c>
      <c r="U507" s="1"/>
      <c r="V507" s="1"/>
      <c r="W507" s="1"/>
      <c r="X507" s="5">
        <v>86.299999999999997</v>
      </c>
      <c r="Y507" s="7">
        <v>3850000</v>
      </c>
      <c r="Z507" s="1"/>
      <c r="AA507" s="1"/>
      <c r="AB507" s="1"/>
      <c r="AC507" s="1"/>
      <c r="AD507" s="1"/>
      <c r="AE507" s="1" t="s">
        <v>51</v>
      </c>
      <c r="AF507" s="1" t="s">
        <v>51</v>
      </c>
      <c r="AG507" s="1" t="s">
        <v>51</v>
      </c>
      <c r="AH507" s="1"/>
      <c r="AI507" s="1"/>
      <c r="AJ507" s="3">
        <v>1</v>
      </c>
      <c r="AK507" s="1" t="s">
        <v>89</v>
      </c>
      <c r="AL507" s="3">
        <v>3</v>
      </c>
      <c r="AM507" s="1"/>
      <c r="AN507" s="1"/>
      <c r="AO507" s="1" t="s">
        <v>3031</v>
      </c>
      <c r="AP507" s="1" t="s">
        <v>3032</v>
      </c>
      <c r="AQ507" s="1" t="s">
        <v>3033</v>
      </c>
      <c r="AR507" s="1" t="s">
        <v>3034</v>
      </c>
    </row>
    <row r="508">
      <c r="A508" s="2">
        <f ca="1">DATE(2000,03,28)</f>
        <v>0</v>
      </c>
      <c r="B508" s="2">
        <f ca="1">DATE(2000,09,27)</f>
        <v>0</v>
      </c>
      <c r="C508" s="1" t="s">
        <v>3027</v>
      </c>
      <c r="D508" s="3">
        <v>8221</v>
      </c>
      <c r="E508" s="1" t="s">
        <v>43</v>
      </c>
      <c r="F508" s="1" t="s">
        <v>3028</v>
      </c>
      <c r="G508" s="1" t="s">
        <v>179</v>
      </c>
      <c r="H508" s="4">
        <v>0.97999999999999998</v>
      </c>
      <c r="I508" s="8">
        <v>7</v>
      </c>
      <c r="J508" s="5">
        <v>16.100000000000001</v>
      </c>
      <c r="K508" s="8">
        <v>14</v>
      </c>
      <c r="L508" s="1" t="s">
        <v>58</v>
      </c>
      <c r="M508" s="1" t="s">
        <v>47</v>
      </c>
      <c r="N508" s="1"/>
      <c r="O508" s="1" t="s">
        <v>48</v>
      </c>
      <c r="P508" s="1" t="s">
        <v>3035</v>
      </c>
      <c r="Q508" s="4">
        <v>1.4290000000000001</v>
      </c>
      <c r="R508" s="4">
        <v>1.357</v>
      </c>
      <c r="S508" s="6">
        <v>4.2142900000000001</v>
      </c>
      <c r="T508" s="1" t="s">
        <v>60</v>
      </c>
      <c r="U508" s="1"/>
      <c r="V508" s="1"/>
      <c r="W508" s="1"/>
      <c r="X508" s="1"/>
      <c r="Y508" s="7">
        <v>1150000</v>
      </c>
      <c r="Z508" s="1"/>
      <c r="AA508" s="1"/>
      <c r="AB508" s="1"/>
      <c r="AC508" s="1"/>
      <c r="AD508" s="1"/>
      <c r="AE508" s="1" t="s">
        <v>51</v>
      </c>
      <c r="AF508" s="1" t="s">
        <v>51</v>
      </c>
      <c r="AG508" s="1" t="s">
        <v>51</v>
      </c>
      <c r="AH508" s="1"/>
      <c r="AI508" s="1"/>
      <c r="AJ508" s="3">
        <v>1</v>
      </c>
      <c r="AK508" s="1" t="s">
        <v>52</v>
      </c>
      <c r="AL508" s="3">
        <v>3</v>
      </c>
      <c r="AM508" s="1"/>
      <c r="AN508" s="1"/>
      <c r="AO508" s="1" t="s">
        <v>3036</v>
      </c>
      <c r="AP508" s="1" t="s">
        <v>179</v>
      </c>
      <c r="AQ508" s="1" t="s">
        <v>3037</v>
      </c>
      <c r="AR508" s="1" t="s">
        <v>3038</v>
      </c>
    </row>
    <row r="509">
      <c r="A509" s="2">
        <f ca="1">DATE(2000,07,13)</f>
        <v>0</v>
      </c>
      <c r="B509" s="2">
        <f ca="1">DATE(2000,09,28)</f>
        <v>0</v>
      </c>
      <c r="C509" s="1" t="s">
        <v>3039</v>
      </c>
      <c r="D509" s="3">
        <v>7372</v>
      </c>
      <c r="E509" s="1" t="s">
        <v>43</v>
      </c>
      <c r="F509" s="1" t="s">
        <v>3040</v>
      </c>
      <c r="G509" s="1" t="s">
        <v>239</v>
      </c>
      <c r="H509" s="4">
        <v>0.63</v>
      </c>
      <c r="I509" s="4">
        <v>7</v>
      </c>
      <c r="J509" s="5">
        <v>47.299999999999997</v>
      </c>
      <c r="K509" s="4">
        <v>9</v>
      </c>
      <c r="L509" s="1" t="s">
        <v>46</v>
      </c>
      <c r="M509" s="1" t="s">
        <v>47</v>
      </c>
      <c r="N509" s="1" t="s">
        <v>3041</v>
      </c>
      <c r="O509" s="1" t="s">
        <v>48</v>
      </c>
      <c r="P509" s="1" t="s">
        <v>3042</v>
      </c>
      <c r="Q509" s="4">
        <v>1.444</v>
      </c>
      <c r="R509" s="4">
        <v>1.333</v>
      </c>
      <c r="S509" s="6">
        <v>4.2222200000000001</v>
      </c>
      <c r="T509" s="1" t="s">
        <v>50</v>
      </c>
      <c r="U509" s="1"/>
      <c r="V509" s="1"/>
      <c r="W509" s="1"/>
      <c r="X509" s="5">
        <v>88.599999999999994</v>
      </c>
      <c r="Y509" s="7">
        <v>5250000</v>
      </c>
      <c r="Z509" s="1"/>
      <c r="AA509" s="1"/>
      <c r="AB509" s="1"/>
      <c r="AC509" s="1"/>
      <c r="AD509" s="1"/>
      <c r="AE509" s="1" t="s">
        <v>51</v>
      </c>
      <c r="AF509" s="1" t="s">
        <v>51</v>
      </c>
      <c r="AG509" s="1" t="s">
        <v>47</v>
      </c>
      <c r="AH509" s="1"/>
      <c r="AI509" s="1"/>
      <c r="AJ509" s="3">
        <v>1</v>
      </c>
      <c r="AK509" s="1" t="s">
        <v>52</v>
      </c>
      <c r="AL509" s="3">
        <v>3</v>
      </c>
      <c r="AM509" s="8">
        <v>7.1900000000000004</v>
      </c>
      <c r="AN509" s="1"/>
      <c r="AO509" s="1" t="s">
        <v>3043</v>
      </c>
      <c r="AP509" s="1" t="s">
        <v>239</v>
      </c>
      <c r="AQ509" s="1" t="s">
        <v>3044</v>
      </c>
      <c r="AR509" s="1" t="s">
        <v>3045</v>
      </c>
    </row>
    <row r="510">
      <c r="A510" s="2">
        <f ca="1">DATE(2000,07,13)</f>
        <v>0</v>
      </c>
      <c r="B510" s="2">
        <f ca="1">DATE(2000,09,28)</f>
        <v>0</v>
      </c>
      <c r="C510" s="1" t="s">
        <v>3039</v>
      </c>
      <c r="D510" s="3">
        <v>7372</v>
      </c>
      <c r="E510" s="1" t="s">
        <v>43</v>
      </c>
      <c r="F510" s="1" t="s">
        <v>3040</v>
      </c>
      <c r="G510" s="1" t="s">
        <v>179</v>
      </c>
      <c r="H510" s="4">
        <v>0.63</v>
      </c>
      <c r="I510" s="4">
        <v>7</v>
      </c>
      <c r="J510" s="5">
        <v>15.800000000000001</v>
      </c>
      <c r="K510" s="8">
        <v>9</v>
      </c>
      <c r="L510" s="1" t="s">
        <v>58</v>
      </c>
      <c r="M510" s="1" t="s">
        <v>47</v>
      </c>
      <c r="N510" s="1" t="s">
        <v>3041</v>
      </c>
      <c r="O510" s="1" t="s">
        <v>48</v>
      </c>
      <c r="P510" s="1" t="s">
        <v>3046</v>
      </c>
      <c r="Q510" s="4">
        <v>1.444</v>
      </c>
      <c r="R510" s="4">
        <v>1.333</v>
      </c>
      <c r="S510" s="6">
        <v>4.2222200000000001</v>
      </c>
      <c r="T510" s="1" t="s">
        <v>60</v>
      </c>
      <c r="U510" s="1"/>
      <c r="V510" s="1"/>
      <c r="W510" s="1"/>
      <c r="X510" s="1"/>
      <c r="Y510" s="7">
        <v>1750000</v>
      </c>
      <c r="Z510" s="1"/>
      <c r="AA510" s="1"/>
      <c r="AB510" s="1"/>
      <c r="AC510" s="1"/>
      <c r="AD510" s="1"/>
      <c r="AE510" s="1" t="s">
        <v>51</v>
      </c>
      <c r="AF510" s="1" t="s">
        <v>51</v>
      </c>
      <c r="AG510" s="1" t="s">
        <v>47</v>
      </c>
      <c r="AH510" s="1"/>
      <c r="AI510" s="1"/>
      <c r="AJ510" s="3">
        <v>1</v>
      </c>
      <c r="AK510" s="1" t="s">
        <v>52</v>
      </c>
      <c r="AL510" s="3">
        <v>3</v>
      </c>
      <c r="AM510" s="1"/>
      <c r="AN510" s="1"/>
      <c r="AO510" s="1" t="s">
        <v>3047</v>
      </c>
      <c r="AP510" s="1" t="s">
        <v>179</v>
      </c>
      <c r="AQ510" s="1" t="s">
        <v>3048</v>
      </c>
      <c r="AR510" s="1" t="s">
        <v>3049</v>
      </c>
    </row>
    <row r="511">
      <c r="A511" s="2">
        <f ca="1">DATE(2000,03,20)</f>
        <v>0</v>
      </c>
      <c r="B511" s="2">
        <f ca="1">DATE(2000,09,28)</f>
        <v>0</v>
      </c>
      <c r="C511" s="1" t="s">
        <v>3050</v>
      </c>
      <c r="D511" s="3">
        <v>2836</v>
      </c>
      <c r="E511" s="1" t="s">
        <v>43</v>
      </c>
      <c r="F511" s="1" t="s">
        <v>3051</v>
      </c>
      <c r="G511" s="1" t="s">
        <v>75</v>
      </c>
      <c r="H511" s="4">
        <v>1.1200000000000001</v>
      </c>
      <c r="I511" s="4">
        <v>7</v>
      </c>
      <c r="J511" s="5">
        <v>88</v>
      </c>
      <c r="K511" s="4">
        <v>16</v>
      </c>
      <c r="L511" s="1" t="s">
        <v>46</v>
      </c>
      <c r="M511" s="1" t="s">
        <v>47</v>
      </c>
      <c r="N511" s="1" t="s">
        <v>3052</v>
      </c>
      <c r="O511" s="1" t="s">
        <v>48</v>
      </c>
      <c r="P511" s="1" t="s">
        <v>3053</v>
      </c>
      <c r="Q511" s="4">
        <v>1.375</v>
      </c>
      <c r="R511" s="4">
        <v>1.4379999999999999</v>
      </c>
      <c r="S511" s="10">
        <v>4.1875</v>
      </c>
      <c r="T511" s="1" t="s">
        <v>50</v>
      </c>
      <c r="U511" s="8">
        <v>16</v>
      </c>
      <c r="V511" s="8">
        <v>14</v>
      </c>
      <c r="W511" s="1"/>
      <c r="X511" s="5">
        <v>86.299999999999997</v>
      </c>
      <c r="Y511" s="7">
        <v>5500000</v>
      </c>
      <c r="Z511" s="1"/>
      <c r="AA511" s="2">
        <f ca="1">DATE(2001,03,27)</f>
        <v>0</v>
      </c>
      <c r="AB511" s="4">
        <v>78.540999999999997</v>
      </c>
      <c r="AC511" s="3">
        <v>180</v>
      </c>
      <c r="AD511" s="8">
        <v>20130567</v>
      </c>
      <c r="AE511" s="1" t="s">
        <v>51</v>
      </c>
      <c r="AF511" s="1" t="s">
        <v>51</v>
      </c>
      <c r="AG511" s="1" t="s">
        <v>47</v>
      </c>
      <c r="AH511" s="1"/>
      <c r="AI511" s="1"/>
      <c r="AJ511" s="3">
        <v>1</v>
      </c>
      <c r="AK511" s="1" t="s">
        <v>52</v>
      </c>
      <c r="AL511" s="3">
        <v>3</v>
      </c>
      <c r="AM511" s="8">
        <v>32</v>
      </c>
      <c r="AN511" s="1"/>
      <c r="AO511" s="1" t="s">
        <v>3054</v>
      </c>
      <c r="AP511" s="1" t="s">
        <v>75</v>
      </c>
      <c r="AQ511" s="1" t="s">
        <v>3055</v>
      </c>
      <c r="AR511" s="1" t="s">
        <v>3056</v>
      </c>
    </row>
    <row r="512">
      <c r="A512" s="2">
        <f ca="1">DATE(2000,04,11)</f>
        <v>0</v>
      </c>
      <c r="B512" s="2">
        <f ca="1">DATE(2000,09,28)</f>
        <v>0</v>
      </c>
      <c r="C512" s="1" t="s">
        <v>3057</v>
      </c>
      <c r="D512" s="3">
        <v>7372</v>
      </c>
      <c r="E512" s="1" t="s">
        <v>43</v>
      </c>
      <c r="F512" s="1"/>
      <c r="G512" s="1" t="s">
        <v>765</v>
      </c>
      <c r="H512" s="4">
        <v>0.77000000000000002</v>
      </c>
      <c r="I512" s="4">
        <v>7</v>
      </c>
      <c r="J512" s="5">
        <v>22</v>
      </c>
      <c r="K512" s="8">
        <v>11</v>
      </c>
      <c r="L512" s="1" t="s">
        <v>58</v>
      </c>
      <c r="M512" s="1" t="s">
        <v>47</v>
      </c>
      <c r="N512" s="1" t="s">
        <v>3058</v>
      </c>
      <c r="O512" s="1"/>
      <c r="P512" s="1" t="s">
        <v>3059</v>
      </c>
      <c r="Q512" s="1" t="s">
        <v>145</v>
      </c>
      <c r="R512" s="1" t="s">
        <v>145</v>
      </c>
      <c r="S512" s="1"/>
      <c r="T512" s="1" t="s">
        <v>60</v>
      </c>
      <c r="U512" s="1"/>
      <c r="V512" s="1"/>
      <c r="W512" s="1"/>
      <c r="X512" s="1"/>
      <c r="Y512" s="7">
        <v>2000000</v>
      </c>
      <c r="Z512" s="1"/>
      <c r="AA512" s="1"/>
      <c r="AB512" s="1"/>
      <c r="AC512" s="1"/>
      <c r="AD512" s="1"/>
      <c r="AE512" s="1" t="s">
        <v>51</v>
      </c>
      <c r="AF512" s="1" t="s">
        <v>51</v>
      </c>
      <c r="AG512" s="1" t="s">
        <v>47</v>
      </c>
      <c r="AH512" s="1"/>
      <c r="AI512" s="1"/>
      <c r="AJ512" s="3">
        <v>1</v>
      </c>
      <c r="AK512" s="1" t="s">
        <v>52</v>
      </c>
      <c r="AL512" s="3">
        <v>1</v>
      </c>
      <c r="AM512" s="1"/>
      <c r="AN512" s="1"/>
      <c r="AO512" s="1" t="s">
        <v>3060</v>
      </c>
      <c r="AP512" s="1" t="s">
        <v>765</v>
      </c>
      <c r="AQ512" s="1" t="s">
        <v>765</v>
      </c>
      <c r="AR512" s="1" t="s">
        <v>768</v>
      </c>
    </row>
    <row r="513">
      <c r="A513" s="2">
        <f ca="1">DATE(2000,06,29)</f>
        <v>0</v>
      </c>
      <c r="B513" s="2">
        <f ca="1">DATE(2000,09,28)</f>
        <v>0</v>
      </c>
      <c r="C513" s="1" t="s">
        <v>3061</v>
      </c>
      <c r="D513" s="3">
        <v>3661</v>
      </c>
      <c r="E513" s="1" t="s">
        <v>43</v>
      </c>
      <c r="F513" s="1" t="s">
        <v>3062</v>
      </c>
      <c r="G513" s="1" t="s">
        <v>387</v>
      </c>
      <c r="H513" s="4">
        <v>0.91000000000000003</v>
      </c>
      <c r="I513" s="4">
        <v>7</v>
      </c>
      <c r="J513" s="5">
        <v>101.40000000000001</v>
      </c>
      <c r="K513" s="4">
        <v>13</v>
      </c>
      <c r="L513" s="1" t="s">
        <v>46</v>
      </c>
      <c r="M513" s="1" t="s">
        <v>47</v>
      </c>
      <c r="N513" s="3">
        <v>284159100</v>
      </c>
      <c r="O513" s="1" t="s">
        <v>48</v>
      </c>
      <c r="P513" s="1" t="s">
        <v>3063</v>
      </c>
      <c r="Q513" s="4">
        <v>1.385</v>
      </c>
      <c r="R513" s="4">
        <v>1.462</v>
      </c>
      <c r="S513" s="6">
        <v>4.1538500000000003</v>
      </c>
      <c r="T513" s="1" t="s">
        <v>50</v>
      </c>
      <c r="U513" s="1"/>
      <c r="V513" s="1"/>
      <c r="W513" s="1"/>
      <c r="X513" s="5">
        <v>75</v>
      </c>
      <c r="Y513" s="7">
        <v>6800000</v>
      </c>
      <c r="Z513" s="7">
        <v>1000000</v>
      </c>
      <c r="AA513" s="2">
        <f ca="1">DATE(2000,12,27)</f>
        <v>0</v>
      </c>
      <c r="AB513" s="4">
        <v>75.073999999999998</v>
      </c>
      <c r="AC513" s="3">
        <v>90</v>
      </c>
      <c r="AD513" s="8">
        <v>23492821</v>
      </c>
      <c r="AE513" s="1" t="s">
        <v>51</v>
      </c>
      <c r="AF513" s="1" t="s">
        <v>51</v>
      </c>
      <c r="AG513" s="1" t="s">
        <v>47</v>
      </c>
      <c r="AH513" s="1"/>
      <c r="AI513" s="1"/>
      <c r="AJ513" s="3">
        <v>1</v>
      </c>
      <c r="AK513" s="1" t="s">
        <v>89</v>
      </c>
      <c r="AL513" s="3">
        <v>3</v>
      </c>
      <c r="AM513" s="8">
        <v>13.94</v>
      </c>
      <c r="AN513" s="1"/>
      <c r="AO513" s="1" t="s">
        <v>3064</v>
      </c>
      <c r="AP513" s="1" t="s">
        <v>3065</v>
      </c>
      <c r="AQ513" s="1" t="s">
        <v>3066</v>
      </c>
      <c r="AR513" s="1" t="s">
        <v>3067</v>
      </c>
    </row>
    <row r="514">
      <c r="A514" s="2">
        <f ca="1">DATE(2000,06,21)</f>
        <v>0</v>
      </c>
      <c r="B514" s="2">
        <f ca="1">DATE(2000,09,28)</f>
        <v>0</v>
      </c>
      <c r="C514" s="1" t="s">
        <v>3068</v>
      </c>
      <c r="D514" s="3">
        <v>3629</v>
      </c>
      <c r="E514" s="1" t="s">
        <v>43</v>
      </c>
      <c r="F514" s="1" t="s">
        <v>3069</v>
      </c>
      <c r="G514" s="1" t="s">
        <v>106</v>
      </c>
      <c r="H514" s="4">
        <v>1.19</v>
      </c>
      <c r="I514" s="8">
        <v>7</v>
      </c>
      <c r="J514" s="5">
        <v>119</v>
      </c>
      <c r="K514" s="4">
        <v>17</v>
      </c>
      <c r="L514" s="1" t="s">
        <v>46</v>
      </c>
      <c r="M514" s="1" t="s">
        <v>47</v>
      </c>
      <c r="N514" s="1" t="s">
        <v>3070</v>
      </c>
      <c r="O514" s="1" t="s">
        <v>48</v>
      </c>
      <c r="P514" s="1" t="s">
        <v>3071</v>
      </c>
      <c r="Q514" s="4">
        <v>1.4119999999999999</v>
      </c>
      <c r="R514" s="4">
        <v>1.0589999999999999</v>
      </c>
      <c r="S514" s="6">
        <v>4.5294100000000004</v>
      </c>
      <c r="T514" s="1" t="s">
        <v>50</v>
      </c>
      <c r="U514" s="1"/>
      <c r="V514" s="1"/>
      <c r="W514" s="1"/>
      <c r="X514" s="5">
        <v>86.299999999999997</v>
      </c>
      <c r="Y514" s="7">
        <v>7000000</v>
      </c>
      <c r="Z514" s="1"/>
      <c r="AA514" s="2">
        <f ca="1">DATE(2001,03,27)</f>
        <v>0</v>
      </c>
      <c r="AB514" s="4">
        <v>31.707000000000001</v>
      </c>
      <c r="AC514" s="3">
        <v>180</v>
      </c>
      <c r="AD514" s="8">
        <v>10151029</v>
      </c>
      <c r="AE514" s="1" t="s">
        <v>51</v>
      </c>
      <c r="AF514" s="1" t="s">
        <v>51</v>
      </c>
      <c r="AG514" s="1" t="s">
        <v>47</v>
      </c>
      <c r="AH514" s="1"/>
      <c r="AI514" s="1"/>
      <c r="AJ514" s="3">
        <v>1</v>
      </c>
      <c r="AK514" s="1" t="s">
        <v>52</v>
      </c>
      <c r="AL514" s="3">
        <v>3</v>
      </c>
      <c r="AM514" s="8">
        <v>28.629999999999999</v>
      </c>
      <c r="AN514" s="1"/>
      <c r="AO514" s="1" t="s">
        <v>3072</v>
      </c>
      <c r="AP514" s="1" t="s">
        <v>106</v>
      </c>
      <c r="AQ514" s="1" t="s">
        <v>3073</v>
      </c>
      <c r="AR514" s="1" t="s">
        <v>3074</v>
      </c>
    </row>
    <row r="515">
      <c r="A515" s="2">
        <f ca="1">DATE(2000,03,15)</f>
        <v>0</v>
      </c>
      <c r="B515" s="2">
        <f ca="1">DATE(2000,09,28)</f>
        <v>0</v>
      </c>
      <c r="C515" s="1" t="s">
        <v>3075</v>
      </c>
      <c r="D515" s="3">
        <v>5045</v>
      </c>
      <c r="E515" s="1" t="s">
        <v>43</v>
      </c>
      <c r="F515" s="1" t="s">
        <v>3076</v>
      </c>
      <c r="G515" s="1" t="s">
        <v>813</v>
      </c>
      <c r="H515" s="4">
        <v>0.77000000000000002</v>
      </c>
      <c r="I515" s="4">
        <v>7</v>
      </c>
      <c r="J515" s="5">
        <v>18.899999999999999</v>
      </c>
      <c r="K515" s="8">
        <v>11</v>
      </c>
      <c r="L515" s="1" t="s">
        <v>58</v>
      </c>
      <c r="M515" s="1" t="s">
        <v>47</v>
      </c>
      <c r="N515" s="3">
        <v>828820100</v>
      </c>
      <c r="O515" s="1" t="s">
        <v>48</v>
      </c>
      <c r="P515" s="1" t="s">
        <v>3077</v>
      </c>
      <c r="Q515" s="4">
        <v>1.3640000000000001</v>
      </c>
      <c r="R515" s="4">
        <v>1.546</v>
      </c>
      <c r="S515" s="6">
        <v>4.09091</v>
      </c>
      <c r="T515" s="1" t="s">
        <v>60</v>
      </c>
      <c r="U515" s="1"/>
      <c r="V515" s="1"/>
      <c r="W515" s="1"/>
      <c r="X515" s="1"/>
      <c r="Y515" s="7">
        <v>1718280</v>
      </c>
      <c r="Z515" s="1"/>
      <c r="AA515" s="1"/>
      <c r="AB515" s="1"/>
      <c r="AC515" s="1"/>
      <c r="AD515" s="1"/>
      <c r="AE515" s="1" t="s">
        <v>51</v>
      </c>
      <c r="AF515" s="1" t="s">
        <v>51</v>
      </c>
      <c r="AG515" s="1" t="s">
        <v>51</v>
      </c>
      <c r="AH515" s="1"/>
      <c r="AI515" s="1"/>
      <c r="AJ515" s="3">
        <v>1</v>
      </c>
      <c r="AK515" s="1" t="s">
        <v>52</v>
      </c>
      <c r="AL515" s="3">
        <v>1</v>
      </c>
      <c r="AM515" s="1"/>
      <c r="AN515" s="1"/>
      <c r="AO515" s="1" t="s">
        <v>3078</v>
      </c>
      <c r="AP515" s="1" t="s">
        <v>813</v>
      </c>
      <c r="AQ515" s="1" t="s">
        <v>813</v>
      </c>
      <c r="AR515" s="1" t="s">
        <v>1607</v>
      </c>
    </row>
    <row r="516">
      <c r="A516" s="2">
        <f ca="1">DATE(2000,04,06)</f>
        <v>0</v>
      </c>
      <c r="B516" s="2">
        <f ca="1">DATE(2000,09,28)</f>
        <v>0</v>
      </c>
      <c r="C516" s="1" t="s">
        <v>3079</v>
      </c>
      <c r="D516" s="3">
        <v>7373</v>
      </c>
      <c r="E516" s="1" t="s">
        <v>43</v>
      </c>
      <c r="F516" s="1" t="s">
        <v>3080</v>
      </c>
      <c r="G516" s="1" t="s">
        <v>96</v>
      </c>
      <c r="H516" s="4">
        <v>0.97999999999999998</v>
      </c>
      <c r="I516" s="8">
        <v>7</v>
      </c>
      <c r="J516" s="5">
        <v>63</v>
      </c>
      <c r="K516" s="4">
        <v>14</v>
      </c>
      <c r="L516" s="1" t="s">
        <v>46</v>
      </c>
      <c r="M516" s="1" t="s">
        <v>47</v>
      </c>
      <c r="N516" s="1" t="s">
        <v>3081</v>
      </c>
      <c r="O516" s="1" t="s">
        <v>48</v>
      </c>
      <c r="P516" s="1" t="s">
        <v>3082</v>
      </c>
      <c r="Q516" s="4">
        <v>1.4290000000000001</v>
      </c>
      <c r="R516" s="4">
        <v>1.4290000000000001</v>
      </c>
      <c r="S516" s="6">
        <v>4.1428599999999998</v>
      </c>
      <c r="T516" s="1" t="s">
        <v>50</v>
      </c>
      <c r="U516" s="1"/>
      <c r="V516" s="1"/>
      <c r="W516" s="1"/>
      <c r="X516" s="5">
        <v>70</v>
      </c>
      <c r="Y516" s="7">
        <v>4500000</v>
      </c>
      <c r="Z516" s="1"/>
      <c r="AA516" s="1"/>
      <c r="AB516" s="1"/>
      <c r="AC516" s="1"/>
      <c r="AD516" s="1"/>
      <c r="AE516" s="1" t="s">
        <v>51</v>
      </c>
      <c r="AF516" s="1" t="s">
        <v>51</v>
      </c>
      <c r="AG516" s="1" t="s">
        <v>47</v>
      </c>
      <c r="AH516" s="1"/>
      <c r="AI516" s="1"/>
      <c r="AJ516" s="3">
        <v>1</v>
      </c>
      <c r="AK516" s="1" t="s">
        <v>52</v>
      </c>
      <c r="AL516" s="3">
        <v>3</v>
      </c>
      <c r="AM516" s="8">
        <v>17.25</v>
      </c>
      <c r="AN516" s="1"/>
      <c r="AO516" s="1" t="s">
        <v>3083</v>
      </c>
      <c r="AP516" s="1" t="s">
        <v>96</v>
      </c>
      <c r="AQ516" s="1" t="s">
        <v>3084</v>
      </c>
      <c r="AR516" s="1" t="s">
        <v>3085</v>
      </c>
    </row>
    <row r="517">
      <c r="A517" s="2">
        <f ca="1">DATE(2000,04,06)</f>
        <v>0</v>
      </c>
      <c r="B517" s="2">
        <f ca="1">DATE(2000,09,28)</f>
        <v>0</v>
      </c>
      <c r="C517" s="1" t="s">
        <v>3079</v>
      </c>
      <c r="D517" s="3">
        <v>7373</v>
      </c>
      <c r="E517" s="1" t="s">
        <v>43</v>
      </c>
      <c r="F517" s="1" t="s">
        <v>3080</v>
      </c>
      <c r="G517" s="1" t="s">
        <v>765</v>
      </c>
      <c r="H517" s="1" t="s">
        <v>57</v>
      </c>
      <c r="I517" s="1" t="s">
        <v>57</v>
      </c>
      <c r="J517" s="5">
        <v>21</v>
      </c>
      <c r="K517" s="8">
        <v>14</v>
      </c>
      <c r="L517" s="1" t="s">
        <v>58</v>
      </c>
      <c r="M517" s="1" t="s">
        <v>47</v>
      </c>
      <c r="N517" s="1" t="s">
        <v>3081</v>
      </c>
      <c r="O517" s="1" t="s">
        <v>48</v>
      </c>
      <c r="P517" s="1" t="s">
        <v>3086</v>
      </c>
      <c r="Q517" s="1"/>
      <c r="R517" s="1"/>
      <c r="S517" s="1"/>
      <c r="T517" s="1" t="s">
        <v>60</v>
      </c>
      <c r="U517" s="1"/>
      <c r="V517" s="1"/>
      <c r="W517" s="1"/>
      <c r="X517" s="1"/>
      <c r="Y517" s="7">
        <v>1500000</v>
      </c>
      <c r="Z517" s="1"/>
      <c r="AA517" s="1"/>
      <c r="AB517" s="1"/>
      <c r="AC517" s="1"/>
      <c r="AD517" s="1"/>
      <c r="AE517" s="1" t="s">
        <v>51</v>
      </c>
      <c r="AF517" s="1" t="s">
        <v>51</v>
      </c>
      <c r="AG517" s="1" t="s">
        <v>47</v>
      </c>
      <c r="AH517" s="1"/>
      <c r="AI517" s="1"/>
      <c r="AJ517" s="3">
        <v>1</v>
      </c>
      <c r="AK517" s="1" t="s">
        <v>52</v>
      </c>
      <c r="AL517" s="3">
        <v>1</v>
      </c>
      <c r="AM517" s="1"/>
      <c r="AN517" s="1"/>
      <c r="AO517" s="1" t="s">
        <v>3087</v>
      </c>
      <c r="AP517" s="1" t="s">
        <v>765</v>
      </c>
      <c r="AQ517" s="1" t="s">
        <v>765</v>
      </c>
      <c r="AR517" s="1" t="s">
        <v>768</v>
      </c>
    </row>
    <row r="518">
      <c r="A518" s="2">
        <f ca="1">DATE(2000,04,11)</f>
        <v>0</v>
      </c>
      <c r="B518" s="2">
        <f ca="1">DATE(2000,09,29)</f>
        <v>0</v>
      </c>
      <c r="C518" s="1" t="s">
        <v>3057</v>
      </c>
      <c r="D518" s="3">
        <v>7372</v>
      </c>
      <c r="E518" s="1" t="s">
        <v>43</v>
      </c>
      <c r="F518" s="1" t="s">
        <v>3088</v>
      </c>
      <c r="G518" s="1" t="s">
        <v>765</v>
      </c>
      <c r="H518" s="4">
        <v>0.77000000000000002</v>
      </c>
      <c r="I518" s="4">
        <v>7</v>
      </c>
      <c r="J518" s="5">
        <v>66</v>
      </c>
      <c r="K518" s="4">
        <v>11</v>
      </c>
      <c r="L518" s="1" t="s">
        <v>46</v>
      </c>
      <c r="M518" s="1" t="s">
        <v>47</v>
      </c>
      <c r="N518" s="1" t="s">
        <v>3058</v>
      </c>
      <c r="O518" s="1" t="s">
        <v>48</v>
      </c>
      <c r="P518" s="1" t="s">
        <v>3059</v>
      </c>
      <c r="Q518" s="4">
        <v>1.3640000000000001</v>
      </c>
      <c r="R518" s="4">
        <v>1.4550000000000001</v>
      </c>
      <c r="S518" s="6">
        <v>4.1818200000000001</v>
      </c>
      <c r="T518" s="1" t="s">
        <v>50</v>
      </c>
      <c r="U518" s="1"/>
      <c r="V518" s="1"/>
      <c r="W518" s="1"/>
      <c r="X518" s="5">
        <v>80</v>
      </c>
      <c r="Y518" s="7">
        <v>6000000</v>
      </c>
      <c r="Z518" s="1"/>
      <c r="AA518" s="1"/>
      <c r="AB518" s="1"/>
      <c r="AC518" s="1"/>
      <c r="AD518" s="1"/>
      <c r="AE518" s="1" t="s">
        <v>51</v>
      </c>
      <c r="AF518" s="1" t="s">
        <v>51</v>
      </c>
      <c r="AG518" s="1" t="s">
        <v>47</v>
      </c>
      <c r="AH518" s="1"/>
      <c r="AI518" s="1"/>
      <c r="AJ518" s="3">
        <v>1</v>
      </c>
      <c r="AK518" s="1" t="s">
        <v>52</v>
      </c>
      <c r="AL518" s="3">
        <v>3</v>
      </c>
      <c r="AM518" s="8">
        <v>18.309999999999999</v>
      </c>
      <c r="AN518" s="1"/>
      <c r="AO518" s="1" t="s">
        <v>3060</v>
      </c>
      <c r="AP518" s="1" t="s">
        <v>765</v>
      </c>
      <c r="AQ518" s="1" t="s">
        <v>3089</v>
      </c>
      <c r="AR518" s="1" t="s">
        <v>3090</v>
      </c>
    </row>
    <row r="519">
      <c r="A519" s="2">
        <f ca="1">DATE(2000,03,15)</f>
        <v>0</v>
      </c>
      <c r="B519" s="2">
        <f ca="1">DATE(2000,09,29)</f>
        <v>0</v>
      </c>
      <c r="C519" s="1" t="s">
        <v>3091</v>
      </c>
      <c r="D519" s="3">
        <v>7371</v>
      </c>
      <c r="E519" s="1" t="s">
        <v>43</v>
      </c>
      <c r="F519" s="1" t="s">
        <v>3092</v>
      </c>
      <c r="G519" s="1" t="s">
        <v>1056</v>
      </c>
      <c r="H519" s="4">
        <v>1.3300000000000001</v>
      </c>
      <c r="I519" s="4">
        <v>7</v>
      </c>
      <c r="J519" s="5">
        <v>122.40000000000001</v>
      </c>
      <c r="K519" s="4">
        <v>19</v>
      </c>
      <c r="L519" s="1" t="s">
        <v>46</v>
      </c>
      <c r="M519" s="1" t="s">
        <v>47</v>
      </c>
      <c r="N519" s="1" t="s">
        <v>3093</v>
      </c>
      <c r="O519" s="1" t="s">
        <v>48</v>
      </c>
      <c r="P519" s="1" t="s">
        <v>3094</v>
      </c>
      <c r="Q519" s="4">
        <v>1.421</v>
      </c>
      <c r="R519" s="4">
        <v>1.3680000000000001</v>
      </c>
      <c r="S519" s="6">
        <v>4.2105300000000003</v>
      </c>
      <c r="T519" s="1" t="s">
        <v>50</v>
      </c>
      <c r="U519" s="8">
        <v>17</v>
      </c>
      <c r="V519" s="8">
        <v>15</v>
      </c>
      <c r="W519" s="7">
        <v>6000000</v>
      </c>
      <c r="X519" s="5">
        <v>96</v>
      </c>
      <c r="Y519" s="7">
        <v>6440000</v>
      </c>
      <c r="Z519" s="1"/>
      <c r="AA519" s="2">
        <f ca="1">DATE(2001,03,28)</f>
        <v>0</v>
      </c>
      <c r="AB519" s="4">
        <v>70.995000000000005</v>
      </c>
      <c r="AC519" s="3">
        <v>180</v>
      </c>
      <c r="AD519" s="8">
        <v>15923627</v>
      </c>
      <c r="AE519" s="1" t="s">
        <v>51</v>
      </c>
      <c r="AF519" s="1" t="s">
        <v>51</v>
      </c>
      <c r="AG519" s="1" t="s">
        <v>47</v>
      </c>
      <c r="AH519" s="1"/>
      <c r="AI519" s="1"/>
      <c r="AJ519" s="3">
        <v>1</v>
      </c>
      <c r="AK519" s="1" t="s">
        <v>52</v>
      </c>
      <c r="AL519" s="3">
        <v>3</v>
      </c>
      <c r="AM519" s="8">
        <v>19.440000000000001</v>
      </c>
      <c r="AN519" s="1"/>
      <c r="AO519" s="1" t="s">
        <v>3095</v>
      </c>
      <c r="AP519" s="1" t="s">
        <v>1056</v>
      </c>
      <c r="AQ519" s="1" t="s">
        <v>3096</v>
      </c>
      <c r="AR519" s="1" t="s">
        <v>3097</v>
      </c>
    </row>
    <row r="520">
      <c r="A520" s="2">
        <f ca="1">DATE(2000,03,15)</f>
        <v>0</v>
      </c>
      <c r="B520" s="2">
        <f ca="1">DATE(2000,09,29)</f>
        <v>0</v>
      </c>
      <c r="C520" s="1" t="s">
        <v>3075</v>
      </c>
      <c r="D520" s="3">
        <v>5045</v>
      </c>
      <c r="E520" s="1" t="s">
        <v>43</v>
      </c>
      <c r="F520" s="1" t="s">
        <v>3076</v>
      </c>
      <c r="G520" s="1" t="s">
        <v>3098</v>
      </c>
      <c r="H520" s="4">
        <v>0.77000000000000002</v>
      </c>
      <c r="I520" s="4">
        <v>7</v>
      </c>
      <c r="J520" s="5">
        <v>51.100000000000001</v>
      </c>
      <c r="K520" s="4">
        <v>11</v>
      </c>
      <c r="L520" s="1" t="s">
        <v>46</v>
      </c>
      <c r="M520" s="1" t="s">
        <v>47</v>
      </c>
      <c r="N520" s="3">
        <v>828820100</v>
      </c>
      <c r="O520" s="1" t="s">
        <v>48</v>
      </c>
      <c r="P520" s="1" t="s">
        <v>3099</v>
      </c>
      <c r="Q520" s="4">
        <v>1.3640000000000001</v>
      </c>
      <c r="R520" s="4">
        <v>1.5449999999999999</v>
      </c>
      <c r="S520" s="6">
        <v>4.09091</v>
      </c>
      <c r="T520" s="1" t="s">
        <v>50</v>
      </c>
      <c r="U520" s="1"/>
      <c r="V520" s="1"/>
      <c r="W520" s="1"/>
      <c r="X520" s="5">
        <v>57.5</v>
      </c>
      <c r="Y520" s="7">
        <v>4645720</v>
      </c>
      <c r="Z520" s="1"/>
      <c r="AA520" s="1"/>
      <c r="AB520" s="1"/>
      <c r="AC520" s="1"/>
      <c r="AD520" s="1"/>
      <c r="AE520" s="1" t="s">
        <v>51</v>
      </c>
      <c r="AF520" s="1" t="s">
        <v>51</v>
      </c>
      <c r="AG520" s="1" t="s">
        <v>51</v>
      </c>
      <c r="AH520" s="1"/>
      <c r="AI520" s="1"/>
      <c r="AJ520" s="3">
        <v>2</v>
      </c>
      <c r="AK520" s="1" t="s">
        <v>89</v>
      </c>
      <c r="AL520" s="3">
        <v>4</v>
      </c>
      <c r="AM520" s="8">
        <v>9.6899999999999995</v>
      </c>
      <c r="AN520" s="1"/>
      <c r="AO520" s="1" t="s">
        <v>3100</v>
      </c>
      <c r="AP520" s="1" t="s">
        <v>3101</v>
      </c>
      <c r="AQ520" s="1" t="s">
        <v>3102</v>
      </c>
      <c r="AR520" s="1" t="s">
        <v>3103</v>
      </c>
    </row>
    <row r="521">
      <c r="A521" s="2">
        <f ca="1">DATE(2000,05,22)</f>
        <v>0</v>
      </c>
      <c r="B521" s="2">
        <f ca="1">DATE(2000,09,29)</f>
        <v>0</v>
      </c>
      <c r="C521" s="1" t="s">
        <v>3104</v>
      </c>
      <c r="D521" s="3">
        <v>3692</v>
      </c>
      <c r="E521" s="1" t="s">
        <v>43</v>
      </c>
      <c r="F521" s="1" t="s">
        <v>3105</v>
      </c>
      <c r="G521" s="1" t="s">
        <v>3106</v>
      </c>
      <c r="H521" s="4">
        <v>1.1200000000000001</v>
      </c>
      <c r="I521" s="4">
        <v>7</v>
      </c>
      <c r="J521" s="5">
        <v>73.400000000000006</v>
      </c>
      <c r="K521" s="4">
        <v>16</v>
      </c>
      <c r="L521" s="1" t="s">
        <v>46</v>
      </c>
      <c r="M521" s="1" t="s">
        <v>47</v>
      </c>
      <c r="N521" s="3">
        <v>972232102</v>
      </c>
      <c r="O521" s="1" t="s">
        <v>108</v>
      </c>
      <c r="P521" s="1" t="s">
        <v>3107</v>
      </c>
      <c r="Q521" s="4">
        <v>1.4379999999999999</v>
      </c>
      <c r="R521" s="4">
        <v>1.4379999999999999</v>
      </c>
      <c r="S521" s="4">
        <v>4.125</v>
      </c>
      <c r="T521" s="1" t="s">
        <v>50</v>
      </c>
      <c r="U521" s="1"/>
      <c r="V521" s="1"/>
      <c r="W521" s="1"/>
      <c r="X521" s="5">
        <v>115</v>
      </c>
      <c r="Y521" s="7">
        <v>4589260</v>
      </c>
      <c r="Z521" s="1"/>
      <c r="AA521" s="1"/>
      <c r="AB521" s="1"/>
      <c r="AC521" s="1"/>
      <c r="AD521" s="1"/>
      <c r="AE521" s="1" t="s">
        <v>51</v>
      </c>
      <c r="AF521" s="1" t="s">
        <v>51</v>
      </c>
      <c r="AG521" s="1" t="s">
        <v>51</v>
      </c>
      <c r="AH521" s="1"/>
      <c r="AI521" s="1"/>
      <c r="AJ521" s="3">
        <v>2</v>
      </c>
      <c r="AK521" s="1" t="s">
        <v>89</v>
      </c>
      <c r="AL521" s="3">
        <v>5</v>
      </c>
      <c r="AM521" s="8">
        <v>22.879999999999999</v>
      </c>
      <c r="AN521" s="1"/>
      <c r="AO521" s="1" t="s">
        <v>3108</v>
      </c>
      <c r="AP521" s="1" t="s">
        <v>3109</v>
      </c>
      <c r="AQ521" s="1" t="s">
        <v>3110</v>
      </c>
      <c r="AR521" s="1" t="s">
        <v>3111</v>
      </c>
    </row>
    <row r="522">
      <c r="A522" s="2">
        <f ca="1">DATE(2000,05,22)</f>
        <v>0</v>
      </c>
      <c r="B522" s="2">
        <f ca="1">DATE(2000,09,29)</f>
        <v>0</v>
      </c>
      <c r="C522" s="1" t="s">
        <v>3104</v>
      </c>
      <c r="D522" s="3">
        <v>3692</v>
      </c>
      <c r="E522" s="1" t="s">
        <v>43</v>
      </c>
      <c r="F522" s="1" t="s">
        <v>3105</v>
      </c>
      <c r="G522" s="1" t="s">
        <v>3112</v>
      </c>
      <c r="H522" s="4">
        <v>1.1200000000000001</v>
      </c>
      <c r="I522" s="4">
        <v>7</v>
      </c>
      <c r="J522" s="5">
        <v>6.4000000000000004</v>
      </c>
      <c r="K522" s="8">
        <v>16</v>
      </c>
      <c r="L522" s="1" t="s">
        <v>58</v>
      </c>
      <c r="M522" s="1" t="s">
        <v>47</v>
      </c>
      <c r="N522" s="3">
        <v>972232102</v>
      </c>
      <c r="O522" s="1" t="s">
        <v>108</v>
      </c>
      <c r="P522" s="1" t="s">
        <v>3113</v>
      </c>
      <c r="Q522" s="4">
        <v>1.4379999999999999</v>
      </c>
      <c r="R522" s="4">
        <v>1.4379999999999999</v>
      </c>
      <c r="S522" s="4">
        <v>4.125</v>
      </c>
      <c r="T522" s="1" t="s">
        <v>60</v>
      </c>
      <c r="U522" s="1"/>
      <c r="V522" s="1"/>
      <c r="W522" s="1"/>
      <c r="X522" s="1"/>
      <c r="Y522" s="7">
        <v>401739</v>
      </c>
      <c r="Z522" s="1"/>
      <c r="AA522" s="1"/>
      <c r="AB522" s="1"/>
      <c r="AC522" s="1"/>
      <c r="AD522" s="1"/>
      <c r="AE522" s="1" t="s">
        <v>51</v>
      </c>
      <c r="AF522" s="1" t="s">
        <v>51</v>
      </c>
      <c r="AG522" s="1" t="s">
        <v>51</v>
      </c>
      <c r="AH522" s="1"/>
      <c r="AI522" s="1"/>
      <c r="AJ522" s="3">
        <v>2</v>
      </c>
      <c r="AK522" s="1" t="s">
        <v>89</v>
      </c>
      <c r="AL522" s="3">
        <v>2</v>
      </c>
      <c r="AM522" s="1"/>
      <c r="AN522" s="1"/>
      <c r="AO522" s="1" t="s">
        <v>3114</v>
      </c>
      <c r="AP522" s="1" t="s">
        <v>3115</v>
      </c>
      <c r="AQ522" s="1" t="s">
        <v>3116</v>
      </c>
      <c r="AR522" s="1" t="s">
        <v>3117</v>
      </c>
    </row>
    <row r="523">
      <c r="A523" s="2">
        <f ca="1">DATE(2000,07,11)</f>
        <v>0</v>
      </c>
      <c r="B523" s="2">
        <f ca="1">DATE(2000,10,02)</f>
        <v>0</v>
      </c>
      <c r="C523" s="1" t="s">
        <v>3118</v>
      </c>
      <c r="D523" s="3">
        <v>7372</v>
      </c>
      <c r="E523" s="1" t="s">
        <v>43</v>
      </c>
      <c r="F523" s="1" t="s">
        <v>3119</v>
      </c>
      <c r="G523" s="1" t="s">
        <v>3120</v>
      </c>
      <c r="H523" s="4">
        <v>1.1200000000000001</v>
      </c>
      <c r="I523" s="4">
        <v>7</v>
      </c>
      <c r="J523" s="5">
        <v>80</v>
      </c>
      <c r="K523" s="4">
        <v>16</v>
      </c>
      <c r="L523" s="1" t="s">
        <v>46</v>
      </c>
      <c r="M523" s="1" t="s">
        <v>47</v>
      </c>
      <c r="N523" s="1" t="s">
        <v>3121</v>
      </c>
      <c r="O523" s="1" t="s">
        <v>48</v>
      </c>
      <c r="P523" s="1" t="s">
        <v>3122</v>
      </c>
      <c r="Q523" s="4">
        <v>1.4059999999999999</v>
      </c>
      <c r="R523" s="4">
        <v>1.4059999999999999</v>
      </c>
      <c r="S523" s="10">
        <v>4.1875</v>
      </c>
      <c r="T523" s="1" t="s">
        <v>50</v>
      </c>
      <c r="U523" s="1"/>
      <c r="V523" s="1"/>
      <c r="W523" s="1"/>
      <c r="X523" s="5">
        <v>75</v>
      </c>
      <c r="Y523" s="7">
        <v>5000000</v>
      </c>
      <c r="Z523" s="1"/>
      <c r="AA523" s="2">
        <f ca="1">DATE(2001,03,31)</f>
        <v>0</v>
      </c>
      <c r="AB523" s="1"/>
      <c r="AC523" s="3">
        <v>180</v>
      </c>
      <c r="AD523" s="1"/>
      <c r="AE523" s="1" t="s">
        <v>51</v>
      </c>
      <c r="AF523" s="1" t="s">
        <v>51</v>
      </c>
      <c r="AG523" s="1" t="s">
        <v>47</v>
      </c>
      <c r="AH523" s="1"/>
      <c r="AI523" s="1"/>
      <c r="AJ523" s="3">
        <v>1</v>
      </c>
      <c r="AK523" s="1" t="s">
        <v>52</v>
      </c>
      <c r="AL523" s="3">
        <v>3</v>
      </c>
      <c r="AM523" s="8">
        <v>21.25</v>
      </c>
      <c r="AN523" s="1"/>
      <c r="AO523" s="1" t="s">
        <v>3123</v>
      </c>
      <c r="AP523" s="1" t="s">
        <v>3120</v>
      </c>
      <c r="AQ523" s="1" t="s">
        <v>3124</v>
      </c>
      <c r="AR523" s="1" t="s">
        <v>3125</v>
      </c>
    </row>
    <row r="524">
      <c r="A524" s="2">
        <f ca="1">DATE(2000,06,30)</f>
        <v>0</v>
      </c>
      <c r="B524" s="2">
        <f ca="1">DATE(2000,10,04)</f>
        <v>0</v>
      </c>
      <c r="C524" s="1" t="s">
        <v>3126</v>
      </c>
      <c r="D524" s="3">
        <v>4899</v>
      </c>
      <c r="E524" s="1" t="s">
        <v>43</v>
      </c>
      <c r="F524" s="1" t="s">
        <v>3127</v>
      </c>
      <c r="G524" s="1" t="s">
        <v>106</v>
      </c>
      <c r="H524" s="4">
        <v>1.05</v>
      </c>
      <c r="I524" s="4">
        <v>7</v>
      </c>
      <c r="J524" s="5">
        <v>79.599999999999994</v>
      </c>
      <c r="K524" s="4">
        <v>15</v>
      </c>
      <c r="L524" s="1" t="s">
        <v>46</v>
      </c>
      <c r="M524" s="1" t="s">
        <v>47</v>
      </c>
      <c r="N524" s="1" t="s">
        <v>3128</v>
      </c>
      <c r="O524" s="1" t="s">
        <v>48</v>
      </c>
      <c r="P524" s="1" t="s">
        <v>3129</v>
      </c>
      <c r="Q524" s="4">
        <v>1.3999999999999999</v>
      </c>
      <c r="R524" s="4">
        <v>1.067</v>
      </c>
      <c r="S524" s="6">
        <v>4.5333300000000003</v>
      </c>
      <c r="T524" s="1" t="s">
        <v>50</v>
      </c>
      <c r="U524" s="1"/>
      <c r="V524" s="1"/>
      <c r="W524" s="1"/>
      <c r="X524" s="5">
        <v>86.299999999999997</v>
      </c>
      <c r="Y524" s="7">
        <v>5309500</v>
      </c>
      <c r="Z524" s="1"/>
      <c r="AA524" s="1"/>
      <c r="AB524" s="1"/>
      <c r="AC524" s="1"/>
      <c r="AD524" s="1"/>
      <c r="AE524" s="1" t="s">
        <v>51</v>
      </c>
      <c r="AF524" s="1" t="s">
        <v>51</v>
      </c>
      <c r="AG524" s="1" t="s">
        <v>47</v>
      </c>
      <c r="AH524" s="1"/>
      <c r="AI524" s="1"/>
      <c r="AJ524" s="3">
        <v>1</v>
      </c>
      <c r="AK524" s="1" t="s">
        <v>52</v>
      </c>
      <c r="AL524" s="3">
        <v>3</v>
      </c>
      <c r="AM524" s="8">
        <v>18</v>
      </c>
      <c r="AN524" s="1"/>
      <c r="AO524" s="1" t="s">
        <v>3130</v>
      </c>
      <c r="AP524" s="1" t="s">
        <v>106</v>
      </c>
      <c r="AQ524" s="1" t="s">
        <v>3131</v>
      </c>
      <c r="AR524" s="1" t="s">
        <v>3132</v>
      </c>
    </row>
    <row r="525">
      <c r="A525" s="2">
        <f ca="1">DATE(2000,06,30)</f>
        <v>0</v>
      </c>
      <c r="B525" s="2">
        <f ca="1">DATE(2000,10,04)</f>
        <v>0</v>
      </c>
      <c r="C525" s="1" t="s">
        <v>3126</v>
      </c>
      <c r="D525" s="3">
        <v>4899</v>
      </c>
      <c r="E525" s="1" t="s">
        <v>43</v>
      </c>
      <c r="F525" s="1" t="s">
        <v>3127</v>
      </c>
      <c r="G525" s="1" t="s">
        <v>106</v>
      </c>
      <c r="H525" s="4">
        <v>1.05</v>
      </c>
      <c r="I525" s="4">
        <v>7</v>
      </c>
      <c r="J525" s="5">
        <v>14.1</v>
      </c>
      <c r="K525" s="8">
        <v>15</v>
      </c>
      <c r="L525" s="1" t="s">
        <v>58</v>
      </c>
      <c r="M525" s="1" t="s">
        <v>47</v>
      </c>
      <c r="N525" s="1" t="s">
        <v>3128</v>
      </c>
      <c r="O525" s="1" t="s">
        <v>48</v>
      </c>
      <c r="P525" s="1" t="s">
        <v>3133</v>
      </c>
      <c r="Q525" s="1" t="s">
        <v>145</v>
      </c>
      <c r="R525" s="1" t="s">
        <v>145</v>
      </c>
      <c r="S525" s="1"/>
      <c r="T525" s="1" t="s">
        <v>60</v>
      </c>
      <c r="U525" s="1"/>
      <c r="V525" s="1"/>
      <c r="W525" s="1"/>
      <c r="X525" s="5">
        <v>86.299999999999997</v>
      </c>
      <c r="Y525" s="7">
        <v>940500</v>
      </c>
      <c r="Z525" s="1"/>
      <c r="AA525" s="1"/>
      <c r="AB525" s="1"/>
      <c r="AC525" s="1"/>
      <c r="AD525" s="1"/>
      <c r="AE525" s="1" t="s">
        <v>51</v>
      </c>
      <c r="AF525" s="1" t="s">
        <v>51</v>
      </c>
      <c r="AG525" s="1" t="s">
        <v>47</v>
      </c>
      <c r="AH525" s="1"/>
      <c r="AI525" s="1"/>
      <c r="AJ525" s="3">
        <v>1</v>
      </c>
      <c r="AK525" s="1" t="s">
        <v>52</v>
      </c>
      <c r="AL525" s="3">
        <v>1</v>
      </c>
      <c r="AM525" s="1"/>
      <c r="AN525" s="1"/>
      <c r="AO525" s="1" t="s">
        <v>3134</v>
      </c>
      <c r="AP525" s="1" t="s">
        <v>106</v>
      </c>
      <c r="AQ525" s="1" t="s">
        <v>106</v>
      </c>
      <c r="AR525" s="1" t="s">
        <v>214</v>
      </c>
    </row>
    <row r="526">
      <c r="A526" s="2">
        <f ca="1">DATE(2000,06,16)</f>
        <v>0</v>
      </c>
      <c r="B526" s="2">
        <f ca="1">DATE(2000,10,04)</f>
        <v>0</v>
      </c>
      <c r="C526" s="1" t="s">
        <v>3135</v>
      </c>
      <c r="D526" s="3">
        <v>5947</v>
      </c>
      <c r="E526" s="1" t="s">
        <v>43</v>
      </c>
      <c r="F526" s="1" t="s">
        <v>3136</v>
      </c>
      <c r="G526" s="1" t="s">
        <v>160</v>
      </c>
      <c r="H526" s="4">
        <v>1.1200000000000001</v>
      </c>
      <c r="I526" s="4">
        <v>7</v>
      </c>
      <c r="J526" s="5">
        <v>102.2</v>
      </c>
      <c r="K526" s="4">
        <v>16</v>
      </c>
      <c r="L526" s="1" t="s">
        <v>46</v>
      </c>
      <c r="M526" s="1" t="s">
        <v>47</v>
      </c>
      <c r="N526" s="3">
        <v>189754104</v>
      </c>
      <c r="O526" s="1" t="s">
        <v>108</v>
      </c>
      <c r="P526" s="1" t="s">
        <v>3137</v>
      </c>
      <c r="Q526" s="4">
        <v>1.375</v>
      </c>
      <c r="R526" s="4">
        <v>1.375</v>
      </c>
      <c r="S526" s="8">
        <v>4.25</v>
      </c>
      <c r="T526" s="1" t="s">
        <v>50</v>
      </c>
      <c r="U526" s="1"/>
      <c r="V526" s="1"/>
      <c r="W526" s="1"/>
      <c r="X526" s="5">
        <v>140</v>
      </c>
      <c r="Y526" s="7">
        <v>6385000</v>
      </c>
      <c r="Z526" s="1"/>
      <c r="AA526" s="1"/>
      <c r="AB526" s="1"/>
      <c r="AC526" s="1"/>
      <c r="AD526" s="1"/>
      <c r="AE526" s="1" t="s">
        <v>51</v>
      </c>
      <c r="AF526" s="1" t="s">
        <v>51</v>
      </c>
      <c r="AG526" s="1" t="s">
        <v>51</v>
      </c>
      <c r="AH526" s="1" t="s">
        <v>3138</v>
      </c>
      <c r="AI526" s="1" t="s">
        <v>3139</v>
      </c>
      <c r="AJ526" s="3">
        <v>1</v>
      </c>
      <c r="AK526" s="1" t="s">
        <v>89</v>
      </c>
      <c r="AL526" s="3">
        <v>3</v>
      </c>
      <c r="AM526" s="8">
        <v>20.309999999999999</v>
      </c>
      <c r="AN526" s="1"/>
      <c r="AO526" s="1" t="s">
        <v>3140</v>
      </c>
      <c r="AP526" s="1" t="s">
        <v>736</v>
      </c>
      <c r="AQ526" s="1" t="s">
        <v>3141</v>
      </c>
      <c r="AR526" s="1" t="s">
        <v>3142</v>
      </c>
    </row>
    <row r="527">
      <c r="A527" s="2">
        <f ca="1">DATE(2000,06,16)</f>
        <v>0</v>
      </c>
      <c r="B527" s="2">
        <f ca="1">DATE(2000,10,04)</f>
        <v>0</v>
      </c>
      <c r="C527" s="1" t="s">
        <v>3135</v>
      </c>
      <c r="D527" s="3">
        <v>5947</v>
      </c>
      <c r="E527" s="1" t="s">
        <v>43</v>
      </c>
      <c r="F527" s="1" t="s">
        <v>3136</v>
      </c>
      <c r="G527" s="1" t="s">
        <v>160</v>
      </c>
      <c r="H527" s="4">
        <v>1.1200000000000001</v>
      </c>
      <c r="I527" s="4">
        <v>7</v>
      </c>
      <c r="J527" s="5">
        <v>13.800000000000001</v>
      </c>
      <c r="K527" s="8">
        <v>16</v>
      </c>
      <c r="L527" s="1" t="s">
        <v>58</v>
      </c>
      <c r="M527" s="1" t="s">
        <v>47</v>
      </c>
      <c r="N527" s="1"/>
      <c r="O527" s="1" t="s">
        <v>108</v>
      </c>
      <c r="P527" s="1" t="s">
        <v>3143</v>
      </c>
      <c r="Q527" s="4">
        <v>1.3</v>
      </c>
      <c r="R527" s="4">
        <v>1.3</v>
      </c>
      <c r="S527" s="1"/>
      <c r="T527" s="1" t="s">
        <v>60</v>
      </c>
      <c r="U527" s="1"/>
      <c r="V527" s="1"/>
      <c r="W527" s="1"/>
      <c r="X527" s="1"/>
      <c r="Y527" s="7">
        <v>865217</v>
      </c>
      <c r="Z527" s="1"/>
      <c r="AA527" s="1"/>
      <c r="AB527" s="1"/>
      <c r="AC527" s="1"/>
      <c r="AD527" s="1"/>
      <c r="AE527" s="1" t="s">
        <v>51</v>
      </c>
      <c r="AF527" s="1" t="s">
        <v>51</v>
      </c>
      <c r="AG527" s="1" t="s">
        <v>51</v>
      </c>
      <c r="AH527" s="1" t="s">
        <v>3138</v>
      </c>
      <c r="AI527" s="1" t="s">
        <v>3139</v>
      </c>
      <c r="AJ527" s="3">
        <v>1</v>
      </c>
      <c r="AK527" s="1" t="s">
        <v>89</v>
      </c>
      <c r="AL527" s="3">
        <v>2</v>
      </c>
      <c r="AM527" s="1"/>
      <c r="AN527" s="1"/>
      <c r="AO527" s="1" t="s">
        <v>3144</v>
      </c>
      <c r="AP527" s="1" t="s">
        <v>736</v>
      </c>
      <c r="AQ527" s="1" t="s">
        <v>741</v>
      </c>
      <c r="AR527" s="1" t="s">
        <v>742</v>
      </c>
    </row>
    <row r="528">
      <c r="A528" s="2">
        <f ca="1">DATE(2000,07,14)</f>
        <v>0</v>
      </c>
      <c r="B528" s="2">
        <f ca="1">DATE(2000,10,04)</f>
        <v>0</v>
      </c>
      <c r="C528" s="1" t="s">
        <v>3145</v>
      </c>
      <c r="D528" s="3">
        <v>3661</v>
      </c>
      <c r="E528" s="1" t="s">
        <v>43</v>
      </c>
      <c r="F528" s="1" t="s">
        <v>3146</v>
      </c>
      <c r="G528" s="1" t="s">
        <v>122</v>
      </c>
      <c r="H528" s="4">
        <v>1.26</v>
      </c>
      <c r="I528" s="4">
        <v>7</v>
      </c>
      <c r="J528" s="5">
        <v>246.59999999999999</v>
      </c>
      <c r="K528" s="4">
        <v>18</v>
      </c>
      <c r="L528" s="1" t="s">
        <v>46</v>
      </c>
      <c r="M528" s="1" t="s">
        <v>47</v>
      </c>
      <c r="N528" s="1" t="s">
        <v>3147</v>
      </c>
      <c r="O528" s="1" t="s">
        <v>48</v>
      </c>
      <c r="P528" s="1" t="s">
        <v>3148</v>
      </c>
      <c r="Q528" s="4">
        <v>1.389</v>
      </c>
      <c r="R528" s="4">
        <v>1.389</v>
      </c>
      <c r="S528" s="6">
        <v>4.2222200000000001</v>
      </c>
      <c r="T528" s="1" t="s">
        <v>50</v>
      </c>
      <c r="U528" s="1"/>
      <c r="V528" s="1"/>
      <c r="W528" s="1"/>
      <c r="X528" s="5">
        <v>172.5</v>
      </c>
      <c r="Y528" s="7">
        <v>13700000</v>
      </c>
      <c r="Z528" s="1"/>
      <c r="AA528" s="2">
        <f ca="1">DATE(2001,04,02)</f>
        <v>0</v>
      </c>
      <c r="AB528" s="4">
        <v>87.070999999999998</v>
      </c>
      <c r="AC528" s="3">
        <v>180</v>
      </c>
      <c r="AD528" s="8">
        <v>133883838</v>
      </c>
      <c r="AE528" s="1" t="s">
        <v>51</v>
      </c>
      <c r="AF528" s="1" t="s">
        <v>51</v>
      </c>
      <c r="AG528" s="1" t="s">
        <v>47</v>
      </c>
      <c r="AH528" s="1"/>
      <c r="AI528" s="1"/>
      <c r="AJ528" s="3">
        <v>1</v>
      </c>
      <c r="AK528" s="1" t="s">
        <v>52</v>
      </c>
      <c r="AL528" s="3">
        <v>4</v>
      </c>
      <c r="AM528" s="8">
        <v>33.630000000000003</v>
      </c>
      <c r="AN528" s="1"/>
      <c r="AO528" s="1" t="s">
        <v>3149</v>
      </c>
      <c r="AP528" s="1" t="s">
        <v>122</v>
      </c>
      <c r="AQ528" s="1" t="s">
        <v>3150</v>
      </c>
      <c r="AR528" s="1" t="s">
        <v>3151</v>
      </c>
    </row>
    <row r="529">
      <c r="A529" s="2">
        <f ca="1">DATE(2000,07,14)</f>
        <v>0</v>
      </c>
      <c r="B529" s="2">
        <f ca="1">DATE(2000,10,04)</f>
        <v>0</v>
      </c>
      <c r="C529" s="1" t="s">
        <v>3152</v>
      </c>
      <c r="D529" s="3">
        <v>4931</v>
      </c>
      <c r="E529" s="1" t="s">
        <v>43</v>
      </c>
      <c r="F529" s="1" t="s">
        <v>3153</v>
      </c>
      <c r="G529" s="1" t="s">
        <v>3154</v>
      </c>
      <c r="H529" s="4">
        <v>1.21</v>
      </c>
      <c r="I529" s="4">
        <v>5.7619999999999996</v>
      </c>
      <c r="J529" s="5">
        <v>370.69999999999999</v>
      </c>
      <c r="K529" s="4">
        <v>21</v>
      </c>
      <c r="L529" s="1" t="s">
        <v>46</v>
      </c>
      <c r="M529" s="1" t="s">
        <v>47</v>
      </c>
      <c r="N529" s="1" t="s">
        <v>3155</v>
      </c>
      <c r="O529" s="1" t="s">
        <v>108</v>
      </c>
      <c r="P529" s="1" t="s">
        <v>3156</v>
      </c>
      <c r="Q529" s="4">
        <v>1.143</v>
      </c>
      <c r="R529" s="4">
        <v>1.143</v>
      </c>
      <c r="S529" s="6">
        <v>3.4761899999999999</v>
      </c>
      <c r="T529" s="1" t="s">
        <v>50</v>
      </c>
      <c r="U529" s="1"/>
      <c r="V529" s="1"/>
      <c r="W529" s="1"/>
      <c r="X529" s="5">
        <v>400</v>
      </c>
      <c r="Y529" s="7">
        <v>17652000</v>
      </c>
      <c r="Z529" s="1"/>
      <c r="AA529" s="2">
        <f ca="1">DATE(2001,04,02)</f>
        <v>0</v>
      </c>
      <c r="AB529" s="1"/>
      <c r="AC529" s="3">
        <v>180</v>
      </c>
      <c r="AD529" s="1"/>
      <c r="AE529" s="1" t="s">
        <v>51</v>
      </c>
      <c r="AF529" s="1" t="s">
        <v>51</v>
      </c>
      <c r="AG529" s="1" t="s">
        <v>47</v>
      </c>
      <c r="AH529" s="1"/>
      <c r="AI529" s="1"/>
      <c r="AJ529" s="3">
        <v>2</v>
      </c>
      <c r="AK529" s="1" t="s">
        <v>89</v>
      </c>
      <c r="AL529" s="3">
        <v>7</v>
      </c>
      <c r="AM529" s="8">
        <v>27</v>
      </c>
      <c r="AN529" s="1"/>
      <c r="AO529" s="1" t="s">
        <v>3157</v>
      </c>
      <c r="AP529" s="1" t="s">
        <v>3158</v>
      </c>
      <c r="AQ529" s="1" t="s">
        <v>3159</v>
      </c>
      <c r="AR529" s="1" t="s">
        <v>3160</v>
      </c>
    </row>
    <row r="530">
      <c r="A530" s="2">
        <f ca="1">DATE(2000,07,14)</f>
        <v>0</v>
      </c>
      <c r="B530" s="2">
        <f ca="1">DATE(2000,10,04)</f>
        <v>0</v>
      </c>
      <c r="C530" s="1" t="s">
        <v>3152</v>
      </c>
      <c r="D530" s="3">
        <v>4931</v>
      </c>
      <c r="E530" s="1" t="s">
        <v>43</v>
      </c>
      <c r="F530" s="1" t="s">
        <v>3153</v>
      </c>
      <c r="G530" s="1" t="s">
        <v>3154</v>
      </c>
      <c r="H530" s="4">
        <v>1.21</v>
      </c>
      <c r="I530" s="4">
        <v>5.7619999999999996</v>
      </c>
      <c r="J530" s="5">
        <v>133.30000000000001</v>
      </c>
      <c r="K530" s="8">
        <v>21</v>
      </c>
      <c r="L530" s="1" t="s">
        <v>46</v>
      </c>
      <c r="M530" s="1" t="s">
        <v>47</v>
      </c>
      <c r="N530" s="1" t="s">
        <v>3155</v>
      </c>
      <c r="O530" s="1" t="s">
        <v>108</v>
      </c>
      <c r="P530" s="1" t="s">
        <v>3156</v>
      </c>
      <c r="Q530" s="4">
        <v>1.143</v>
      </c>
      <c r="R530" s="4">
        <v>1.143</v>
      </c>
      <c r="S530" s="6">
        <v>3.4761899999999999</v>
      </c>
      <c r="T530" s="1" t="s">
        <v>60</v>
      </c>
      <c r="U530" s="1"/>
      <c r="V530" s="1"/>
      <c r="W530" s="1"/>
      <c r="X530" s="1"/>
      <c r="Y530" s="7">
        <v>6348000</v>
      </c>
      <c r="Z530" s="1"/>
      <c r="AA530" s="1"/>
      <c r="AB530" s="1"/>
      <c r="AC530" s="3">
        <v>180</v>
      </c>
      <c r="AD530" s="1"/>
      <c r="AE530" s="1" t="s">
        <v>51</v>
      </c>
      <c r="AF530" s="1" t="s">
        <v>51</v>
      </c>
      <c r="AG530" s="1" t="s">
        <v>47</v>
      </c>
      <c r="AH530" s="1"/>
      <c r="AI530" s="1"/>
      <c r="AJ530" s="3">
        <v>2</v>
      </c>
      <c r="AK530" s="1" t="s">
        <v>89</v>
      </c>
      <c r="AL530" s="3">
        <v>2</v>
      </c>
      <c r="AM530" s="1"/>
      <c r="AN530" s="1"/>
      <c r="AO530" s="1" t="s">
        <v>3161</v>
      </c>
      <c r="AP530" s="1" t="s">
        <v>3158</v>
      </c>
      <c r="AQ530" s="1" t="s">
        <v>3162</v>
      </c>
      <c r="AR530" s="1" t="s">
        <v>3163</v>
      </c>
    </row>
    <row r="531">
      <c r="A531" s="2">
        <f ca="1">DATE(2000,03,31)</f>
        <v>0</v>
      </c>
      <c r="B531" s="2">
        <f ca="1">DATE(2000,10,05)</f>
        <v>0</v>
      </c>
      <c r="C531" s="1" t="s">
        <v>3164</v>
      </c>
      <c r="D531" s="3">
        <v>8731</v>
      </c>
      <c r="E531" s="1" t="s">
        <v>43</v>
      </c>
      <c r="F531" s="1" t="s">
        <v>3165</v>
      </c>
      <c r="G531" s="1" t="s">
        <v>813</v>
      </c>
      <c r="H531" s="4">
        <v>0.97999999999999998</v>
      </c>
      <c r="I531" s="8">
        <v>7</v>
      </c>
      <c r="J531" s="5">
        <v>70</v>
      </c>
      <c r="K531" s="4">
        <v>14</v>
      </c>
      <c r="L531" s="1" t="s">
        <v>46</v>
      </c>
      <c r="M531" s="1" t="s">
        <v>47</v>
      </c>
      <c r="N531" s="1" t="s">
        <v>3166</v>
      </c>
      <c r="O531" s="1" t="s">
        <v>48</v>
      </c>
      <c r="P531" s="1" t="s">
        <v>3167</v>
      </c>
      <c r="Q531" s="4">
        <v>1.4290000000000001</v>
      </c>
      <c r="R531" s="4">
        <v>1.571</v>
      </c>
      <c r="S531" s="8">
        <v>4</v>
      </c>
      <c r="T531" s="1" t="s">
        <v>50</v>
      </c>
      <c r="U531" s="1"/>
      <c r="V531" s="1"/>
      <c r="W531" s="1"/>
      <c r="X531" s="5">
        <v>80</v>
      </c>
      <c r="Y531" s="7">
        <v>5000000</v>
      </c>
      <c r="Z531" s="1"/>
      <c r="AA531" s="2">
        <f ca="1">DATE(2001,04,03)</f>
        <v>0</v>
      </c>
      <c r="AB531" s="1"/>
      <c r="AC531" s="3">
        <v>180</v>
      </c>
      <c r="AD531" s="1"/>
      <c r="AE531" s="1" t="s">
        <v>51</v>
      </c>
      <c r="AF531" s="1" t="s">
        <v>51</v>
      </c>
      <c r="AG531" s="1" t="s">
        <v>47</v>
      </c>
      <c r="AH531" s="1"/>
      <c r="AI531" s="1"/>
      <c r="AJ531" s="3">
        <v>1</v>
      </c>
      <c r="AK531" s="1" t="s">
        <v>52</v>
      </c>
      <c r="AL531" s="3">
        <v>4</v>
      </c>
      <c r="AM531" s="8">
        <v>14</v>
      </c>
      <c r="AN531" s="1"/>
      <c r="AO531" s="1" t="s">
        <v>3168</v>
      </c>
      <c r="AP531" s="1" t="s">
        <v>813</v>
      </c>
      <c r="AQ531" s="1" t="s">
        <v>1871</v>
      </c>
      <c r="AR531" s="1" t="s">
        <v>1872</v>
      </c>
    </row>
    <row r="532">
      <c r="A532" s="2">
        <f ca="1">DATE(2000,08,30)</f>
        <v>0</v>
      </c>
      <c r="B532" s="2">
        <f ca="1">DATE(2000,10,06)</f>
        <v>0</v>
      </c>
      <c r="C532" s="1" t="s">
        <v>3169</v>
      </c>
      <c r="D532" s="3">
        <v>1041</v>
      </c>
      <c r="E532" s="1" t="s">
        <v>166</v>
      </c>
      <c r="F532" s="1" t="s">
        <v>3170</v>
      </c>
      <c r="G532" s="1" t="s">
        <v>173</v>
      </c>
      <c r="H532" s="4">
        <v>0.47499999999999998</v>
      </c>
      <c r="I532" s="4">
        <v>5</v>
      </c>
      <c r="J532" s="5">
        <v>220</v>
      </c>
      <c r="K532" s="4">
        <v>9.5</v>
      </c>
      <c r="L532" s="1" t="s">
        <v>46</v>
      </c>
      <c r="M532" s="1" t="s">
        <v>47</v>
      </c>
      <c r="N532" s="3">
        <v>656912102</v>
      </c>
      <c r="O532" s="1" t="s">
        <v>3171</v>
      </c>
      <c r="P532" s="1" t="s">
        <v>3172</v>
      </c>
      <c r="Q532" s="4">
        <v>1</v>
      </c>
      <c r="R532" s="4">
        <v>1</v>
      </c>
      <c r="S532" s="8">
        <v>3</v>
      </c>
      <c r="T532" s="1" t="s">
        <v>50</v>
      </c>
      <c r="U532" s="1"/>
      <c r="V532" s="1"/>
      <c r="W532" s="1"/>
      <c r="X532" s="5">
        <v>54</v>
      </c>
      <c r="Y532" s="7">
        <v>23157895</v>
      </c>
      <c r="Z532" s="1"/>
      <c r="AA532" s="1"/>
      <c r="AB532" s="1"/>
      <c r="AC532" s="1"/>
      <c r="AD532" s="1"/>
      <c r="AE532" s="1" t="s">
        <v>51</v>
      </c>
      <c r="AF532" s="1" t="s">
        <v>51</v>
      </c>
      <c r="AG532" s="1" t="s">
        <v>51</v>
      </c>
      <c r="AH532" s="1"/>
      <c r="AI532" s="1"/>
      <c r="AJ532" s="3">
        <v>1</v>
      </c>
      <c r="AK532" s="1" t="s">
        <v>52</v>
      </c>
      <c r="AL532" s="3">
        <v>5</v>
      </c>
      <c r="AM532" s="8">
        <v>1.77</v>
      </c>
      <c r="AN532" s="1"/>
      <c r="AO532" s="1" t="s">
        <v>3173</v>
      </c>
      <c r="AP532" s="1" t="s">
        <v>173</v>
      </c>
      <c r="AQ532" s="1" t="s">
        <v>3174</v>
      </c>
      <c r="AR532" s="1" t="s">
        <v>3175</v>
      </c>
    </row>
    <row r="533">
      <c r="A533" s="2">
        <f ca="1">DATE(2000,05,23)</f>
        <v>0</v>
      </c>
      <c r="B533" s="2">
        <f ca="1">DATE(2000,10,06)</f>
        <v>0</v>
      </c>
      <c r="C533" s="1" t="s">
        <v>3176</v>
      </c>
      <c r="D533" s="3">
        <v>4813</v>
      </c>
      <c r="E533" s="1" t="s">
        <v>517</v>
      </c>
      <c r="F533" s="1" t="s">
        <v>3177</v>
      </c>
      <c r="G533" s="1" t="s">
        <v>3178</v>
      </c>
      <c r="H533" s="4">
        <v>0.34999999999999998</v>
      </c>
      <c r="I533" s="4">
        <v>5</v>
      </c>
      <c r="J533" s="5">
        <v>138</v>
      </c>
      <c r="K533" s="8">
        <v>7</v>
      </c>
      <c r="L533" s="1" t="s">
        <v>58</v>
      </c>
      <c r="M533" s="1" t="s">
        <v>47</v>
      </c>
      <c r="N533" s="1"/>
      <c r="O533" s="1" t="s">
        <v>48</v>
      </c>
      <c r="P533" s="1" t="s">
        <v>3179</v>
      </c>
      <c r="Q533" s="4">
        <v>1</v>
      </c>
      <c r="R533" s="4">
        <v>1</v>
      </c>
      <c r="S533" s="8">
        <v>3</v>
      </c>
      <c r="T533" s="1" t="s">
        <v>3180</v>
      </c>
      <c r="U533" s="1"/>
      <c r="V533" s="1"/>
      <c r="W533" s="1"/>
      <c r="X533" s="1"/>
      <c r="Y533" s="7">
        <v>19714284</v>
      </c>
      <c r="Z533" s="1"/>
      <c r="AA533" s="1"/>
      <c r="AB533" s="1"/>
      <c r="AC533" s="1"/>
      <c r="AD533" s="1"/>
      <c r="AE533" s="1" t="s">
        <v>51</v>
      </c>
      <c r="AF533" s="1" t="s">
        <v>51</v>
      </c>
      <c r="AG533" s="1" t="s">
        <v>51</v>
      </c>
      <c r="AH533" s="1"/>
      <c r="AI533" s="1"/>
      <c r="AJ533" s="3">
        <v>2</v>
      </c>
      <c r="AK533" s="1" t="s">
        <v>110</v>
      </c>
      <c r="AL533" s="3">
        <v>3</v>
      </c>
      <c r="AM533" s="1"/>
      <c r="AN533" s="1"/>
      <c r="AO533" s="1" t="s">
        <v>3181</v>
      </c>
      <c r="AP533" s="1" t="s">
        <v>3182</v>
      </c>
      <c r="AQ533" s="1" t="s">
        <v>3183</v>
      </c>
      <c r="AR533" s="1" t="s">
        <v>3184</v>
      </c>
    </row>
    <row r="534">
      <c r="A534" s="2">
        <f ca="1">DATE(2000,05,23)</f>
        <v>0</v>
      </c>
      <c r="B534" s="2">
        <f ca="1">DATE(2000,10,06)</f>
        <v>0</v>
      </c>
      <c r="C534" s="1" t="s">
        <v>3176</v>
      </c>
      <c r="D534" s="3">
        <v>4813</v>
      </c>
      <c r="E534" s="1" t="s">
        <v>517</v>
      </c>
      <c r="F534" s="1" t="s">
        <v>3177</v>
      </c>
      <c r="G534" s="1" t="s">
        <v>130</v>
      </c>
      <c r="H534" s="4">
        <v>0.34999999999999998</v>
      </c>
      <c r="I534" s="4">
        <v>5</v>
      </c>
      <c r="J534" s="5">
        <v>338</v>
      </c>
      <c r="K534" s="8">
        <v>7</v>
      </c>
      <c r="L534" s="1" t="s">
        <v>58</v>
      </c>
      <c r="M534" s="1" t="s">
        <v>47</v>
      </c>
      <c r="N534" s="1"/>
      <c r="O534" s="1" t="s">
        <v>48</v>
      </c>
      <c r="P534" s="1" t="s">
        <v>3185</v>
      </c>
      <c r="Q534" s="4">
        <v>1</v>
      </c>
      <c r="R534" s="4">
        <v>1</v>
      </c>
      <c r="S534" s="8">
        <v>3</v>
      </c>
      <c r="T534" s="1" t="s">
        <v>60</v>
      </c>
      <c r="U534" s="1"/>
      <c r="V534" s="1"/>
      <c r="W534" s="1"/>
      <c r="X534" s="5">
        <v>100</v>
      </c>
      <c r="Y534" s="7">
        <v>48285716</v>
      </c>
      <c r="Z534" s="1"/>
      <c r="AA534" s="1"/>
      <c r="AB534" s="1"/>
      <c r="AC534" s="1"/>
      <c r="AD534" s="1"/>
      <c r="AE534" s="1" t="s">
        <v>51</v>
      </c>
      <c r="AF534" s="1" t="s">
        <v>51</v>
      </c>
      <c r="AG534" s="1" t="s">
        <v>51</v>
      </c>
      <c r="AH534" s="1"/>
      <c r="AI534" s="1"/>
      <c r="AJ534" s="3">
        <v>2</v>
      </c>
      <c r="AK534" s="1" t="s">
        <v>110</v>
      </c>
      <c r="AL534" s="3">
        <v>3</v>
      </c>
      <c r="AM534" s="1"/>
      <c r="AN534" s="1"/>
      <c r="AO534" s="1" t="s">
        <v>3186</v>
      </c>
      <c r="AP534" s="1" t="s">
        <v>2273</v>
      </c>
      <c r="AQ534" s="1" t="s">
        <v>2278</v>
      </c>
      <c r="AR534" s="1" t="s">
        <v>2279</v>
      </c>
    </row>
    <row r="535">
      <c r="A535" s="2">
        <f ca="1">DATE(2000,04,28)</f>
        <v>0</v>
      </c>
      <c r="B535" s="2">
        <f ca="1">DATE(2000,10,10)</f>
        <v>0</v>
      </c>
      <c r="C535" s="1" t="s">
        <v>3187</v>
      </c>
      <c r="D535" s="3">
        <v>2834</v>
      </c>
      <c r="E535" s="1" t="s">
        <v>43</v>
      </c>
      <c r="F535" s="1" t="s">
        <v>3188</v>
      </c>
      <c r="G535" s="1" t="s">
        <v>282</v>
      </c>
      <c r="H535" s="4">
        <v>1.05</v>
      </c>
      <c r="I535" s="4">
        <v>7</v>
      </c>
      <c r="J535" s="5">
        <v>75</v>
      </c>
      <c r="K535" s="4">
        <v>15</v>
      </c>
      <c r="L535" s="1" t="s">
        <v>46</v>
      </c>
      <c r="M535" s="1" t="s">
        <v>47</v>
      </c>
      <c r="N535" s="1" t="s">
        <v>3189</v>
      </c>
      <c r="O535" s="1" t="s">
        <v>48</v>
      </c>
      <c r="P535" s="1" t="s">
        <v>3190</v>
      </c>
      <c r="Q535" s="4">
        <v>1.3999999999999999</v>
      </c>
      <c r="R535" s="4">
        <v>1.3999999999999999</v>
      </c>
      <c r="S535" s="8">
        <v>4.2000000000000002</v>
      </c>
      <c r="T535" s="1" t="s">
        <v>50</v>
      </c>
      <c r="U535" s="1"/>
      <c r="V535" s="1"/>
      <c r="W535" s="1"/>
      <c r="X535" s="5">
        <v>85</v>
      </c>
      <c r="Y535" s="7">
        <v>5000000</v>
      </c>
      <c r="Z535" s="1"/>
      <c r="AA535" s="2">
        <f ca="1">DATE(2001,04,08)</f>
        <v>0</v>
      </c>
      <c r="AB535" s="4">
        <v>81.081000000000003</v>
      </c>
      <c r="AC535" s="3">
        <v>180</v>
      </c>
      <c r="AD535" s="8">
        <v>21428361</v>
      </c>
      <c r="AE535" s="1" t="s">
        <v>51</v>
      </c>
      <c r="AF535" s="1" t="s">
        <v>51</v>
      </c>
      <c r="AG535" s="1" t="s">
        <v>47</v>
      </c>
      <c r="AH535" s="1"/>
      <c r="AI535" s="1"/>
      <c r="AJ535" s="3">
        <v>1</v>
      </c>
      <c r="AK535" s="1" t="s">
        <v>52</v>
      </c>
      <c r="AL535" s="3">
        <v>3</v>
      </c>
      <c r="AM535" s="8">
        <v>15.25</v>
      </c>
      <c r="AN535" s="1"/>
      <c r="AO535" s="1" t="s">
        <v>3191</v>
      </c>
      <c r="AP535" s="1" t="s">
        <v>282</v>
      </c>
      <c r="AQ535" s="1" t="s">
        <v>3192</v>
      </c>
      <c r="AR535" s="1" t="s">
        <v>3193</v>
      </c>
    </row>
    <row r="536">
      <c r="A536" s="2">
        <f ca="1">DATE(1997,12,29)</f>
        <v>0</v>
      </c>
      <c r="B536" s="2">
        <f ca="1">DATE(2000,10,10)</f>
        <v>0</v>
      </c>
      <c r="C536" s="1" t="s">
        <v>3194</v>
      </c>
      <c r="D536" s="3">
        <v>7359</v>
      </c>
      <c r="E536" s="1" t="s">
        <v>43</v>
      </c>
      <c r="F536" s="1" t="s">
        <v>3195</v>
      </c>
      <c r="G536" s="1" t="s">
        <v>3196</v>
      </c>
      <c r="H536" s="4">
        <v>1.155</v>
      </c>
      <c r="I536" s="4">
        <v>7</v>
      </c>
      <c r="J536" s="5">
        <v>165</v>
      </c>
      <c r="K536" s="4">
        <v>16.5</v>
      </c>
      <c r="L536" s="1" t="s">
        <v>46</v>
      </c>
      <c r="M536" s="1" t="s">
        <v>47</v>
      </c>
      <c r="N536" s="1" t="s">
        <v>3197</v>
      </c>
      <c r="O536" s="1" t="s">
        <v>48</v>
      </c>
      <c r="P536" s="1" t="s">
        <v>3198</v>
      </c>
      <c r="Q536" s="4">
        <v>1.4239999999999999</v>
      </c>
      <c r="R536" s="4">
        <v>1.333</v>
      </c>
      <c r="S536" s="6">
        <v>4.2424200000000001</v>
      </c>
      <c r="T536" s="1" t="s">
        <v>50</v>
      </c>
      <c r="U536" s="1"/>
      <c r="V536" s="1"/>
      <c r="W536" s="1"/>
      <c r="X536" s="5">
        <v>80.5</v>
      </c>
      <c r="Y536" s="7">
        <v>10000000</v>
      </c>
      <c r="Z536" s="1"/>
      <c r="AA536" s="1"/>
      <c r="AB536" s="1"/>
      <c r="AC536" s="1"/>
      <c r="AD536" s="1"/>
      <c r="AE536" s="1" t="s">
        <v>51</v>
      </c>
      <c r="AF536" s="1" t="s">
        <v>51</v>
      </c>
      <c r="AG536" s="1" t="s">
        <v>51</v>
      </c>
      <c r="AH536" s="1"/>
      <c r="AI536" s="1"/>
      <c r="AJ536" s="3">
        <v>2</v>
      </c>
      <c r="AK536" s="1" t="s">
        <v>89</v>
      </c>
      <c r="AL536" s="3">
        <v>6</v>
      </c>
      <c r="AM536" s="8">
        <v>14.25</v>
      </c>
      <c r="AN536" s="1"/>
      <c r="AO536" s="1" t="s">
        <v>3199</v>
      </c>
      <c r="AP536" s="1" t="s">
        <v>3200</v>
      </c>
      <c r="AQ536" s="1" t="s">
        <v>3201</v>
      </c>
      <c r="AR536" s="1" t="s">
        <v>3202</v>
      </c>
    </row>
    <row r="537">
      <c r="A537" s="2">
        <f ca="1">DATE(2000,01,19)</f>
        <v>0</v>
      </c>
      <c r="B537" s="2">
        <f ca="1">DATE(2000,10,10)</f>
        <v>0</v>
      </c>
      <c r="C537" s="1" t="s">
        <v>3203</v>
      </c>
      <c r="D537" s="3">
        <v>8742</v>
      </c>
      <c r="E537" s="1" t="s">
        <v>43</v>
      </c>
      <c r="F537" s="1" t="s">
        <v>3204</v>
      </c>
      <c r="G537" s="1" t="s">
        <v>96</v>
      </c>
      <c r="H537" s="4">
        <v>0.875</v>
      </c>
      <c r="I537" s="4">
        <v>7</v>
      </c>
      <c r="J537" s="5">
        <v>17.5</v>
      </c>
      <c r="K537" s="8">
        <v>12.5</v>
      </c>
      <c r="L537" s="1" t="s">
        <v>58</v>
      </c>
      <c r="M537" s="1" t="s">
        <v>47</v>
      </c>
      <c r="N537" s="1"/>
      <c r="O537" s="1" t="s">
        <v>108</v>
      </c>
      <c r="P537" s="1" t="s">
        <v>3205</v>
      </c>
      <c r="Q537" s="1" t="s">
        <v>145</v>
      </c>
      <c r="R537" s="1" t="s">
        <v>145</v>
      </c>
      <c r="S537" s="1"/>
      <c r="T537" s="1" t="s">
        <v>60</v>
      </c>
      <c r="U537" s="1"/>
      <c r="V537" s="1"/>
      <c r="W537" s="1"/>
      <c r="X537" s="1"/>
      <c r="Y537" s="7">
        <v>1400000</v>
      </c>
      <c r="Z537" s="1"/>
      <c r="AA537" s="1"/>
      <c r="AB537" s="1"/>
      <c r="AC537" s="1"/>
      <c r="AD537" s="1"/>
      <c r="AE537" s="1" t="s">
        <v>51</v>
      </c>
      <c r="AF537" s="1" t="s">
        <v>51</v>
      </c>
      <c r="AG537" s="1" t="s">
        <v>51</v>
      </c>
      <c r="AH537" s="1"/>
      <c r="AI537" s="1" t="s">
        <v>3206</v>
      </c>
      <c r="AJ537" s="3">
        <v>1</v>
      </c>
      <c r="AK537" s="1" t="s">
        <v>52</v>
      </c>
      <c r="AL537" s="3">
        <v>1</v>
      </c>
      <c r="AM537" s="1"/>
      <c r="AN537" s="1"/>
      <c r="AO537" s="1" t="s">
        <v>3207</v>
      </c>
      <c r="AP537" s="1" t="s">
        <v>96</v>
      </c>
      <c r="AQ537" s="1" t="s">
        <v>96</v>
      </c>
      <c r="AR537" s="1" t="s">
        <v>103</v>
      </c>
    </row>
    <row r="538">
      <c r="A538" s="2">
        <f ca="1">DATE(2000,02,17)</f>
        <v>0</v>
      </c>
      <c r="B538" s="2">
        <f ca="1">DATE(2000,10,11)</f>
        <v>0</v>
      </c>
      <c r="C538" s="1" t="s">
        <v>3208</v>
      </c>
      <c r="D538" s="3">
        <v>2836</v>
      </c>
      <c r="E538" s="1" t="s">
        <v>43</v>
      </c>
      <c r="F538" s="1" t="s">
        <v>3209</v>
      </c>
      <c r="G538" s="1" t="s">
        <v>75</v>
      </c>
      <c r="H538" s="4">
        <v>0.56000000000000005</v>
      </c>
      <c r="I538" s="4">
        <v>7</v>
      </c>
      <c r="J538" s="5">
        <v>32</v>
      </c>
      <c r="K538" s="4">
        <v>8</v>
      </c>
      <c r="L538" s="1" t="s">
        <v>46</v>
      </c>
      <c r="M538" s="1" t="s">
        <v>47</v>
      </c>
      <c r="N538" s="1" t="s">
        <v>3210</v>
      </c>
      <c r="O538" s="1" t="s">
        <v>48</v>
      </c>
      <c r="P538" s="1" t="s">
        <v>3211</v>
      </c>
      <c r="Q538" s="4">
        <v>1.375</v>
      </c>
      <c r="R538" s="4">
        <v>1.625</v>
      </c>
      <c r="S538" s="8">
        <v>4</v>
      </c>
      <c r="T538" s="1" t="s">
        <v>50</v>
      </c>
      <c r="U538" s="8">
        <v>14</v>
      </c>
      <c r="V538" s="8">
        <v>12</v>
      </c>
      <c r="W538" s="1"/>
      <c r="X538" s="5">
        <v>92</v>
      </c>
      <c r="Y538" s="7">
        <v>4000000</v>
      </c>
      <c r="Z538" s="1"/>
      <c r="AA538" s="2">
        <f ca="1">DATE(2001,04,09)</f>
        <v>0</v>
      </c>
      <c r="AB538" s="4">
        <v>80.450000000000003</v>
      </c>
      <c r="AC538" s="3">
        <v>180</v>
      </c>
      <c r="AD538" s="8">
        <v>16460353</v>
      </c>
      <c r="AE538" s="1" t="s">
        <v>51</v>
      </c>
      <c r="AF538" s="1" t="s">
        <v>51</v>
      </c>
      <c r="AG538" s="1" t="s">
        <v>47</v>
      </c>
      <c r="AH538" s="1"/>
      <c r="AI538" s="1"/>
      <c r="AJ538" s="3">
        <v>1</v>
      </c>
      <c r="AK538" s="1" t="s">
        <v>52</v>
      </c>
      <c r="AL538" s="3">
        <v>3</v>
      </c>
      <c r="AM538" s="8">
        <v>8.5</v>
      </c>
      <c r="AN538" s="1"/>
      <c r="AO538" s="1" t="s">
        <v>3212</v>
      </c>
      <c r="AP538" s="1" t="s">
        <v>75</v>
      </c>
      <c r="AQ538" s="1" t="s">
        <v>3213</v>
      </c>
      <c r="AR538" s="1" t="s">
        <v>3214</v>
      </c>
    </row>
    <row r="539">
      <c r="A539" s="2">
        <f ca="1">DATE(1999,08,17)</f>
        <v>0</v>
      </c>
      <c r="B539" s="2">
        <f ca="1">DATE(2000,10,11)</f>
        <v>0</v>
      </c>
      <c r="C539" s="1" t="s">
        <v>3215</v>
      </c>
      <c r="D539" s="3">
        <v>8731</v>
      </c>
      <c r="E539" s="1" t="s">
        <v>43</v>
      </c>
      <c r="F539" s="1" t="s">
        <v>3216</v>
      </c>
      <c r="G539" s="1" t="s">
        <v>3217</v>
      </c>
      <c r="H539" s="4">
        <v>0.80000000000000004</v>
      </c>
      <c r="I539" s="4">
        <v>10</v>
      </c>
      <c r="J539" s="5">
        <v>10</v>
      </c>
      <c r="K539" s="4">
        <v>8</v>
      </c>
      <c r="L539" s="1" t="s">
        <v>46</v>
      </c>
      <c r="M539" s="1" t="s">
        <v>47</v>
      </c>
      <c r="N539" s="3">
        <v>784121105</v>
      </c>
      <c r="O539" s="1" t="s">
        <v>48</v>
      </c>
      <c r="P539" s="1" t="s">
        <v>3218</v>
      </c>
      <c r="Q539" s="4">
        <v>2.5</v>
      </c>
      <c r="R539" s="4">
        <v>2.5</v>
      </c>
      <c r="S539" s="8">
        <v>5</v>
      </c>
      <c r="T539" s="1" t="s">
        <v>50</v>
      </c>
      <c r="U539" s="8">
        <v>6.5</v>
      </c>
      <c r="V539" s="8">
        <v>5.5</v>
      </c>
      <c r="W539" s="7">
        <v>1150000</v>
      </c>
      <c r="X539" s="5">
        <v>6.9000000000000004</v>
      </c>
      <c r="Y539" s="7">
        <v>1250000</v>
      </c>
      <c r="Z539" s="1"/>
      <c r="AA539" s="2">
        <f ca="1">DATE(2001,01,09)</f>
        <v>0</v>
      </c>
      <c r="AB539" s="4">
        <v>27.506</v>
      </c>
      <c r="AC539" s="3">
        <v>90</v>
      </c>
      <c r="AD539" s="8">
        <v>642475</v>
      </c>
      <c r="AE539" s="1" t="s">
        <v>51</v>
      </c>
      <c r="AF539" s="1" t="s">
        <v>51</v>
      </c>
      <c r="AG539" s="1" t="s">
        <v>51</v>
      </c>
      <c r="AH539" s="1"/>
      <c r="AI539" s="1"/>
      <c r="AJ539" s="3">
        <v>1</v>
      </c>
      <c r="AK539" s="1" t="s">
        <v>89</v>
      </c>
      <c r="AL539" s="3">
        <v>3</v>
      </c>
      <c r="AM539" s="8">
        <v>7.5599999999999996</v>
      </c>
      <c r="AN539" s="1"/>
      <c r="AO539" s="1" t="s">
        <v>3219</v>
      </c>
      <c r="AP539" s="1" t="s">
        <v>3220</v>
      </c>
      <c r="AQ539" s="1" t="s">
        <v>3221</v>
      </c>
      <c r="AR539" s="1" t="s">
        <v>3222</v>
      </c>
    </row>
    <row r="540">
      <c r="A540" s="2">
        <f ca="1">DATE(2000,01,19)</f>
        <v>0</v>
      </c>
      <c r="B540" s="2">
        <f ca="1">DATE(2000,10,11)</f>
        <v>0</v>
      </c>
      <c r="C540" s="1" t="s">
        <v>3203</v>
      </c>
      <c r="D540" s="3">
        <v>8742</v>
      </c>
      <c r="E540" s="1" t="s">
        <v>43</v>
      </c>
      <c r="F540" s="1" t="s">
        <v>3204</v>
      </c>
      <c r="G540" s="1" t="s">
        <v>96</v>
      </c>
      <c r="H540" s="4">
        <v>0.875</v>
      </c>
      <c r="I540" s="4">
        <v>7</v>
      </c>
      <c r="J540" s="5">
        <v>52.5</v>
      </c>
      <c r="K540" s="4">
        <v>12.5</v>
      </c>
      <c r="L540" s="1" t="s">
        <v>152</v>
      </c>
      <c r="M540" s="1" t="s">
        <v>47</v>
      </c>
      <c r="N540" s="3">
        <v>942712100</v>
      </c>
      <c r="O540" s="1" t="s">
        <v>108</v>
      </c>
      <c r="P540" s="1" t="s">
        <v>3223</v>
      </c>
      <c r="Q540" s="4">
        <v>1.44</v>
      </c>
      <c r="R540" s="4">
        <v>1.44</v>
      </c>
      <c r="S540" s="8">
        <v>4.1200000000000001</v>
      </c>
      <c r="T540" s="1" t="s">
        <v>50</v>
      </c>
      <c r="U540" s="1"/>
      <c r="V540" s="1"/>
      <c r="W540" s="1"/>
      <c r="X540" s="5">
        <v>50</v>
      </c>
      <c r="Y540" s="7">
        <v>2100000</v>
      </c>
      <c r="Z540" s="7">
        <v>2100000</v>
      </c>
      <c r="AA540" s="1"/>
      <c r="AB540" s="1"/>
      <c r="AC540" s="1"/>
      <c r="AD540" s="1"/>
      <c r="AE540" s="1" t="s">
        <v>51</v>
      </c>
      <c r="AF540" s="1" t="s">
        <v>51</v>
      </c>
      <c r="AG540" s="1" t="s">
        <v>51</v>
      </c>
      <c r="AH540" s="1"/>
      <c r="AI540" s="1" t="s">
        <v>3206</v>
      </c>
      <c r="AJ540" s="3">
        <v>1</v>
      </c>
      <c r="AK540" s="1" t="s">
        <v>52</v>
      </c>
      <c r="AL540" s="3">
        <v>3</v>
      </c>
      <c r="AM540" s="8">
        <v>16.379999999999999</v>
      </c>
      <c r="AN540" s="1"/>
      <c r="AO540" s="1" t="s">
        <v>3224</v>
      </c>
      <c r="AP540" s="1" t="s">
        <v>96</v>
      </c>
      <c r="AQ540" s="1" t="s">
        <v>3225</v>
      </c>
      <c r="AR540" s="1" t="s">
        <v>3226</v>
      </c>
    </row>
    <row r="541">
      <c r="A541" s="2">
        <f ca="1">DATE(2000,07,25)</f>
        <v>0</v>
      </c>
      <c r="B541" s="2">
        <f ca="1">DATE(2000,10,12)</f>
        <v>0</v>
      </c>
      <c r="C541" s="1" t="s">
        <v>3227</v>
      </c>
      <c r="D541" s="3">
        <v>7372</v>
      </c>
      <c r="E541" s="1" t="s">
        <v>43</v>
      </c>
      <c r="F541" s="1" t="s">
        <v>3228</v>
      </c>
      <c r="G541" s="1" t="s">
        <v>122</v>
      </c>
      <c r="H541" s="4">
        <v>0.56000000000000005</v>
      </c>
      <c r="I541" s="4">
        <v>7</v>
      </c>
      <c r="J541" s="5">
        <v>34.399999999999999</v>
      </c>
      <c r="K541" s="4">
        <v>8</v>
      </c>
      <c r="L541" s="1" t="s">
        <v>46</v>
      </c>
      <c r="M541" s="1" t="s">
        <v>47</v>
      </c>
      <c r="N541" s="1" t="s">
        <v>3229</v>
      </c>
      <c r="O541" s="1" t="s">
        <v>48</v>
      </c>
      <c r="P541" s="1" t="s">
        <v>3230</v>
      </c>
      <c r="Q541" s="4">
        <v>1.125</v>
      </c>
      <c r="R541" s="4">
        <v>1.625</v>
      </c>
      <c r="S541" s="8">
        <v>4.25</v>
      </c>
      <c r="T541" s="1" t="s">
        <v>50</v>
      </c>
      <c r="U541" s="1"/>
      <c r="V541" s="1"/>
      <c r="W541" s="1"/>
      <c r="X541" s="5">
        <v>59.299999999999997</v>
      </c>
      <c r="Y541" s="7">
        <v>4300000</v>
      </c>
      <c r="Z541" s="1"/>
      <c r="AA541" s="2">
        <f ca="1">DATE(2001,04,10)</f>
        <v>0</v>
      </c>
      <c r="AB541" s="4">
        <v>80.846999999999994</v>
      </c>
      <c r="AC541" s="3">
        <v>180</v>
      </c>
      <c r="AD541" s="8">
        <v>18994582</v>
      </c>
      <c r="AE541" s="1" t="s">
        <v>51</v>
      </c>
      <c r="AF541" s="1" t="s">
        <v>51</v>
      </c>
      <c r="AG541" s="1" t="s">
        <v>47</v>
      </c>
      <c r="AH541" s="1"/>
      <c r="AI541" s="1"/>
      <c r="AJ541" s="3">
        <v>1</v>
      </c>
      <c r="AK541" s="1" t="s">
        <v>52</v>
      </c>
      <c r="AL541" s="3">
        <v>3</v>
      </c>
      <c r="AM541" s="8">
        <v>11.380000000000001</v>
      </c>
      <c r="AN541" s="1"/>
      <c r="AO541" s="1" t="s">
        <v>3231</v>
      </c>
      <c r="AP541" s="1" t="s">
        <v>122</v>
      </c>
      <c r="AQ541" s="1" t="s">
        <v>3232</v>
      </c>
      <c r="AR541" s="1" t="s">
        <v>3233</v>
      </c>
    </row>
    <row r="542">
      <c r="A542" s="2">
        <f ca="1">DATE(2000,06,23)</f>
        <v>0</v>
      </c>
      <c r="B542" s="2">
        <f ca="1">DATE(2000,10,12)</f>
        <v>0</v>
      </c>
      <c r="C542" s="1" t="s">
        <v>3234</v>
      </c>
      <c r="D542" s="3">
        <v>6035</v>
      </c>
      <c r="E542" s="1" t="s">
        <v>43</v>
      </c>
      <c r="F542" s="1" t="s">
        <v>3235</v>
      </c>
      <c r="G542" s="1" t="s">
        <v>3236</v>
      </c>
      <c r="H542" s="4">
        <v>0.69999999999999996</v>
      </c>
      <c r="I542" s="8">
        <v>7</v>
      </c>
      <c r="J542" s="5">
        <v>111.40000000000001</v>
      </c>
      <c r="K542" s="4">
        <v>10</v>
      </c>
      <c r="L542" s="1" t="s">
        <v>46</v>
      </c>
      <c r="M542" s="1" t="s">
        <v>47</v>
      </c>
      <c r="N542" s="3">
        <v>946756103</v>
      </c>
      <c r="O542" s="1" t="s">
        <v>48</v>
      </c>
      <c r="P542" s="1" t="s">
        <v>3237</v>
      </c>
      <c r="Q542" s="4">
        <v>1.6000000000000001</v>
      </c>
      <c r="R542" s="4">
        <v>1.3999999999999999</v>
      </c>
      <c r="S542" s="8">
        <v>4</v>
      </c>
      <c r="T542" s="1" t="s">
        <v>50</v>
      </c>
      <c r="U542" s="8">
        <v>10</v>
      </c>
      <c r="V542" s="8">
        <v>10</v>
      </c>
      <c r="W542" s="7">
        <v>30417500</v>
      </c>
      <c r="X542" s="5">
        <v>304.19999999999999</v>
      </c>
      <c r="Y542" s="7">
        <v>11135140</v>
      </c>
      <c r="Z542" s="1"/>
      <c r="AA542" s="2">
        <f ca="1">DATE(2001,04,10)</f>
        <v>0</v>
      </c>
      <c r="AB542" s="1"/>
      <c r="AC542" s="3">
        <v>180</v>
      </c>
      <c r="AD542" s="1"/>
      <c r="AE542" s="1" t="s">
        <v>51</v>
      </c>
      <c r="AF542" s="1" t="s">
        <v>51</v>
      </c>
      <c r="AG542" s="1" t="s">
        <v>51</v>
      </c>
      <c r="AH542" s="1"/>
      <c r="AI542" s="1"/>
      <c r="AJ542" s="3">
        <v>1</v>
      </c>
      <c r="AK542" s="1" t="s">
        <v>52</v>
      </c>
      <c r="AL542" s="3">
        <v>2</v>
      </c>
      <c r="AM542" s="8">
        <v>9.75</v>
      </c>
      <c r="AN542" s="1"/>
      <c r="AO542" s="1" t="s">
        <v>3238</v>
      </c>
      <c r="AP542" s="1" t="s">
        <v>3236</v>
      </c>
      <c r="AQ542" s="1" t="s">
        <v>3239</v>
      </c>
      <c r="AR542" s="1" t="s">
        <v>3237</v>
      </c>
    </row>
    <row r="543">
      <c r="A543" s="2">
        <f ca="1">DATE(2000,07,12)</f>
        <v>0</v>
      </c>
      <c r="B543" s="2">
        <f ca="1">DATE(2000,10,17)</f>
        <v>0</v>
      </c>
      <c r="C543" s="1" t="s">
        <v>3240</v>
      </c>
      <c r="D543" s="3">
        <v>3663</v>
      </c>
      <c r="E543" s="1" t="s">
        <v>43</v>
      </c>
      <c r="F543" s="1" t="s">
        <v>3241</v>
      </c>
      <c r="G543" s="1" t="s">
        <v>96</v>
      </c>
      <c r="H543" s="4">
        <v>0.97999999999999998</v>
      </c>
      <c r="I543" s="8">
        <v>7</v>
      </c>
      <c r="J543" s="5">
        <v>63</v>
      </c>
      <c r="K543" s="4">
        <v>14</v>
      </c>
      <c r="L543" s="1" t="s">
        <v>46</v>
      </c>
      <c r="M543" s="1" t="s">
        <v>47</v>
      </c>
      <c r="N543" s="1" t="s">
        <v>3242</v>
      </c>
      <c r="O543" s="1" t="s">
        <v>48</v>
      </c>
      <c r="P543" s="1" t="s">
        <v>3243</v>
      </c>
      <c r="Q543" s="4">
        <v>1.286</v>
      </c>
      <c r="R543" s="4">
        <v>1.5</v>
      </c>
      <c r="S543" s="6">
        <v>4.2142900000000001</v>
      </c>
      <c r="T543" s="1" t="s">
        <v>50</v>
      </c>
      <c r="U543" s="1"/>
      <c r="V543" s="1"/>
      <c r="W543" s="7">
        <v>6000000</v>
      </c>
      <c r="X543" s="5">
        <v>115</v>
      </c>
      <c r="Y543" s="7">
        <v>4500000</v>
      </c>
      <c r="Z543" s="1"/>
      <c r="AA543" s="2">
        <f ca="1">DATE(2001,04,15)</f>
        <v>0</v>
      </c>
      <c r="AB543" s="4">
        <v>79.606999999999999</v>
      </c>
      <c r="AC543" s="3">
        <v>180</v>
      </c>
      <c r="AD543" s="8">
        <v>25906808</v>
      </c>
      <c r="AE543" s="1" t="s">
        <v>51</v>
      </c>
      <c r="AF543" s="1" t="s">
        <v>51</v>
      </c>
      <c r="AG543" s="1" t="s">
        <v>47</v>
      </c>
      <c r="AH543" s="1"/>
      <c r="AI543" s="1"/>
      <c r="AJ543" s="3">
        <v>1</v>
      </c>
      <c r="AK543" s="1" t="s">
        <v>52</v>
      </c>
      <c r="AL543" s="3">
        <v>4</v>
      </c>
      <c r="AM543" s="8">
        <v>14.060000000000001</v>
      </c>
      <c r="AN543" s="1"/>
      <c r="AO543" s="1" t="s">
        <v>3244</v>
      </c>
      <c r="AP543" s="1" t="s">
        <v>96</v>
      </c>
      <c r="AQ543" s="1" t="s">
        <v>3245</v>
      </c>
      <c r="AR543" s="1" t="s">
        <v>3246</v>
      </c>
    </row>
    <row r="544">
      <c r="A544" s="2">
        <f ca="1">DATE(2000,07,31)</f>
        <v>0</v>
      </c>
      <c r="B544" s="2">
        <f ca="1">DATE(2000,10,17)</f>
        <v>0</v>
      </c>
      <c r="C544" s="1" t="s">
        <v>3247</v>
      </c>
      <c r="D544" s="3">
        <v>3825</v>
      </c>
      <c r="E544" s="1" t="s">
        <v>43</v>
      </c>
      <c r="F544" s="1" t="s">
        <v>3248</v>
      </c>
      <c r="G544" s="1" t="s">
        <v>45</v>
      </c>
      <c r="H544" s="4">
        <v>0.91000000000000003</v>
      </c>
      <c r="I544" s="4">
        <v>7</v>
      </c>
      <c r="J544" s="5">
        <v>62.200000000000003</v>
      </c>
      <c r="K544" s="4">
        <v>13</v>
      </c>
      <c r="L544" s="1" t="s">
        <v>46</v>
      </c>
      <c r="M544" s="1" t="s">
        <v>47</v>
      </c>
      <c r="N544" s="1" t="s">
        <v>3249</v>
      </c>
      <c r="O544" s="1" t="s">
        <v>48</v>
      </c>
      <c r="P544" s="1" t="s">
        <v>3250</v>
      </c>
      <c r="Q544" s="4">
        <v>1.462</v>
      </c>
      <c r="R544" s="4">
        <v>1.385</v>
      </c>
      <c r="S544" s="6">
        <v>4.1538500000000003</v>
      </c>
      <c r="T544" s="1" t="s">
        <v>50</v>
      </c>
      <c r="U544" s="1"/>
      <c r="V544" s="1"/>
      <c r="W544" s="1"/>
      <c r="X544" s="5">
        <v>57.5</v>
      </c>
      <c r="Y544" s="7">
        <v>4783040</v>
      </c>
      <c r="Z544" s="1"/>
      <c r="AA544" s="1"/>
      <c r="AB544" s="1"/>
      <c r="AC544" s="1"/>
      <c r="AD544" s="1"/>
      <c r="AE544" s="1" t="s">
        <v>51</v>
      </c>
      <c r="AF544" s="1" t="s">
        <v>51</v>
      </c>
      <c r="AG544" s="1" t="s">
        <v>51</v>
      </c>
      <c r="AH544" s="1"/>
      <c r="AI544" s="1"/>
      <c r="AJ544" s="3">
        <v>1</v>
      </c>
      <c r="AK544" s="1" t="s">
        <v>52</v>
      </c>
      <c r="AL544" s="3">
        <v>3</v>
      </c>
      <c r="AM544" s="8">
        <v>20.5</v>
      </c>
      <c r="AN544" s="1"/>
      <c r="AO544" s="1" t="s">
        <v>3251</v>
      </c>
      <c r="AP544" s="1" t="s">
        <v>45</v>
      </c>
      <c r="AQ544" s="1" t="s">
        <v>3252</v>
      </c>
      <c r="AR544" s="1" t="s">
        <v>3253</v>
      </c>
    </row>
    <row r="545">
      <c r="A545" s="2">
        <f ca="1">DATE(2000,07,31)</f>
        <v>0</v>
      </c>
      <c r="B545" s="2">
        <f ca="1">DATE(2000,10,17)</f>
        <v>0</v>
      </c>
      <c r="C545" s="1" t="s">
        <v>3247</v>
      </c>
      <c r="D545" s="3">
        <v>3825</v>
      </c>
      <c r="E545" s="1" t="s">
        <v>43</v>
      </c>
      <c r="F545" s="1" t="s">
        <v>3248</v>
      </c>
      <c r="G545" s="1" t="s">
        <v>45</v>
      </c>
      <c r="H545" s="4">
        <v>0.91000000000000003</v>
      </c>
      <c r="I545" s="4">
        <v>7</v>
      </c>
      <c r="J545" s="5">
        <v>9.3000000000000007</v>
      </c>
      <c r="K545" s="8">
        <v>13</v>
      </c>
      <c r="L545" s="1" t="s">
        <v>58</v>
      </c>
      <c r="M545" s="1" t="s">
        <v>47</v>
      </c>
      <c r="N545" s="1" t="s">
        <v>3249</v>
      </c>
      <c r="O545" s="1" t="s">
        <v>48</v>
      </c>
      <c r="P545" s="1" t="s">
        <v>3254</v>
      </c>
      <c r="Q545" s="4">
        <v>1.462</v>
      </c>
      <c r="R545" s="4">
        <v>1.385</v>
      </c>
      <c r="S545" s="6">
        <v>4.1537699999999997</v>
      </c>
      <c r="T545" s="1" t="s">
        <v>60</v>
      </c>
      <c r="U545" s="1"/>
      <c r="V545" s="1"/>
      <c r="W545" s="1"/>
      <c r="X545" s="1"/>
      <c r="Y545" s="7">
        <v>716960</v>
      </c>
      <c r="Z545" s="1"/>
      <c r="AA545" s="1"/>
      <c r="AB545" s="1"/>
      <c r="AC545" s="1"/>
      <c r="AD545" s="1"/>
      <c r="AE545" s="1" t="s">
        <v>51</v>
      </c>
      <c r="AF545" s="1" t="s">
        <v>51</v>
      </c>
      <c r="AG545" s="1" t="s">
        <v>51</v>
      </c>
      <c r="AH545" s="1"/>
      <c r="AI545" s="1"/>
      <c r="AJ545" s="3">
        <v>1</v>
      </c>
      <c r="AK545" s="1" t="s">
        <v>52</v>
      </c>
      <c r="AL545" s="3">
        <v>1</v>
      </c>
      <c r="AM545" s="1"/>
      <c r="AN545" s="1"/>
      <c r="AO545" s="1" t="s">
        <v>3255</v>
      </c>
      <c r="AP545" s="1" t="s">
        <v>45</v>
      </c>
      <c r="AQ545" s="1" t="s">
        <v>45</v>
      </c>
      <c r="AR545" s="1" t="s">
        <v>786</v>
      </c>
    </row>
    <row r="546">
      <c r="A546" s="2">
        <f ca="1">DATE(2000,05,12)</f>
        <v>0</v>
      </c>
      <c r="B546" s="2">
        <f ca="1">DATE(2000,10,17)</f>
        <v>0</v>
      </c>
      <c r="C546" s="1" t="s">
        <v>3256</v>
      </c>
      <c r="D546" s="3">
        <v>2879</v>
      </c>
      <c r="E546" s="1" t="s">
        <v>43</v>
      </c>
      <c r="F546" s="1" t="s">
        <v>3257</v>
      </c>
      <c r="G546" s="1" t="s">
        <v>130</v>
      </c>
      <c r="H546" s="4">
        <v>1</v>
      </c>
      <c r="I546" s="4">
        <v>5</v>
      </c>
      <c r="J546" s="5">
        <v>700</v>
      </c>
      <c r="K546" s="8">
        <v>20</v>
      </c>
      <c r="L546" s="1" t="s">
        <v>46</v>
      </c>
      <c r="M546" s="1" t="s">
        <v>47</v>
      </c>
      <c r="N546" s="1" t="s">
        <v>3258</v>
      </c>
      <c r="O546" s="1" t="s">
        <v>108</v>
      </c>
      <c r="P546" s="1" t="s">
        <v>3259</v>
      </c>
      <c r="Q546" s="4">
        <v>1</v>
      </c>
      <c r="R546" s="4">
        <v>1</v>
      </c>
      <c r="S546" s="8">
        <v>3</v>
      </c>
      <c r="T546" s="1" t="s">
        <v>60</v>
      </c>
      <c r="U546" s="1"/>
      <c r="V546" s="1"/>
      <c r="W546" s="1"/>
      <c r="X546" s="5">
        <v>100</v>
      </c>
      <c r="Y546" s="7">
        <v>35000000</v>
      </c>
      <c r="Z546" s="1"/>
      <c r="AA546" s="1"/>
      <c r="AB546" s="1"/>
      <c r="AC546" s="1"/>
      <c r="AD546" s="1"/>
      <c r="AE546" s="1" t="s">
        <v>51</v>
      </c>
      <c r="AF546" s="1" t="s">
        <v>51</v>
      </c>
      <c r="AG546" s="1" t="s">
        <v>51</v>
      </c>
      <c r="AH546" s="1" t="s">
        <v>3260</v>
      </c>
      <c r="AI546" s="1" t="s">
        <v>3261</v>
      </c>
      <c r="AJ546" s="3">
        <v>2</v>
      </c>
      <c r="AK546" s="1" t="s">
        <v>89</v>
      </c>
      <c r="AL546" s="3">
        <v>2</v>
      </c>
      <c r="AM546" s="1"/>
      <c r="AN546" s="1"/>
      <c r="AO546" s="1" t="s">
        <v>3262</v>
      </c>
      <c r="AP546" s="1" t="s">
        <v>134</v>
      </c>
      <c r="AQ546" s="1" t="s">
        <v>857</v>
      </c>
      <c r="AR546" s="1" t="s">
        <v>858</v>
      </c>
    </row>
    <row r="547">
      <c r="A547" s="2">
        <f ca="1">DATE(2000,06,16)</f>
        <v>0</v>
      </c>
      <c r="B547" s="2">
        <f ca="1">DATE(2000,10,18)</f>
        <v>0</v>
      </c>
      <c r="C547" s="1" t="s">
        <v>3263</v>
      </c>
      <c r="D547" s="3">
        <v>3841</v>
      </c>
      <c r="E547" s="1" t="s">
        <v>43</v>
      </c>
      <c r="F547" s="1" t="s">
        <v>3264</v>
      </c>
      <c r="G547" s="1" t="s">
        <v>3265</v>
      </c>
      <c r="H547" s="4">
        <v>0.59999999999999998</v>
      </c>
      <c r="I547" s="4">
        <v>10</v>
      </c>
      <c r="J547" s="5">
        <v>7.2000000000000002</v>
      </c>
      <c r="K547" s="4">
        <v>6</v>
      </c>
      <c r="L547" s="1" t="s">
        <v>31</v>
      </c>
      <c r="M547" s="1" t="s">
        <v>47</v>
      </c>
      <c r="N547" s="1" t="s">
        <v>3266</v>
      </c>
      <c r="O547" s="1" t="s">
        <v>48</v>
      </c>
      <c r="P547" s="1" t="s">
        <v>3267</v>
      </c>
      <c r="Q547" s="1" t="s">
        <v>145</v>
      </c>
      <c r="R547" s="1" t="s">
        <v>145</v>
      </c>
      <c r="S547" s="8">
        <v>4</v>
      </c>
      <c r="T547" s="1" t="s">
        <v>50</v>
      </c>
      <c r="U547" s="8">
        <v>6</v>
      </c>
      <c r="V547" s="8">
        <v>6</v>
      </c>
      <c r="W547" s="7">
        <v>2000000</v>
      </c>
      <c r="X547" s="5">
        <v>12</v>
      </c>
      <c r="Y547" s="7">
        <v>1200000</v>
      </c>
      <c r="Z547" s="1"/>
      <c r="AA547" s="2">
        <f ca="1">DATE(2001,01,16)</f>
        <v>0</v>
      </c>
      <c r="AB547" s="4">
        <v>28.529</v>
      </c>
      <c r="AC547" s="3">
        <v>90</v>
      </c>
      <c r="AD547" s="8">
        <v>1112634</v>
      </c>
      <c r="AE547" s="1" t="s">
        <v>51</v>
      </c>
      <c r="AF547" s="1" t="s">
        <v>47</v>
      </c>
      <c r="AG547" s="1" t="s">
        <v>47</v>
      </c>
      <c r="AH547" s="1"/>
      <c r="AI547" s="1"/>
      <c r="AJ547" s="3">
        <v>1</v>
      </c>
      <c r="AK547" s="1" t="s">
        <v>52</v>
      </c>
      <c r="AL547" s="3">
        <v>1</v>
      </c>
      <c r="AM547" s="1"/>
      <c r="AN547" s="1"/>
      <c r="AO547" s="1" t="s">
        <v>3268</v>
      </c>
      <c r="AP547" s="1" t="s">
        <v>3265</v>
      </c>
      <c r="AQ547" s="1" t="s">
        <v>3265</v>
      </c>
      <c r="AR547" s="1" t="s">
        <v>3269</v>
      </c>
    </row>
    <row r="548">
      <c r="A548" s="2">
        <f ca="1">DATE(2000,09,29)</f>
        <v>0</v>
      </c>
      <c r="B548" s="2">
        <f ca="1">DATE(2000,10,19)</f>
        <v>0</v>
      </c>
      <c r="C548" s="1" t="s">
        <v>3270</v>
      </c>
      <c r="D548" s="3">
        <v>7372</v>
      </c>
      <c r="E548" s="1" t="s">
        <v>834</v>
      </c>
      <c r="F548" s="1"/>
      <c r="G548" s="1" t="s">
        <v>179</v>
      </c>
      <c r="H548" s="4">
        <v>0.40400000000000003</v>
      </c>
      <c r="I548" s="4">
        <v>7</v>
      </c>
      <c r="J548" s="5">
        <v>52.200000000000003</v>
      </c>
      <c r="K548" s="4">
        <v>6.8399999999999999</v>
      </c>
      <c r="L548" s="1" t="s">
        <v>58</v>
      </c>
      <c r="M548" s="1" t="s">
        <v>47</v>
      </c>
      <c r="N548" s="1"/>
      <c r="O548" s="1"/>
      <c r="P548" s="1" t="s">
        <v>3271</v>
      </c>
      <c r="Q548" s="4">
        <v>1.3999999999999999</v>
      </c>
      <c r="R548" s="4">
        <v>1.3999999999999999</v>
      </c>
      <c r="S548" s="8">
        <v>4.2000000000000002</v>
      </c>
      <c r="T548" s="1" t="s">
        <v>836</v>
      </c>
      <c r="U548" s="1"/>
      <c r="V548" s="1"/>
      <c r="W548" s="1"/>
      <c r="X548" s="1"/>
      <c r="Y548" s="7">
        <v>8415469</v>
      </c>
      <c r="Z548" s="7">
        <v>638531</v>
      </c>
      <c r="AA548" s="1"/>
      <c r="AB548" s="1"/>
      <c r="AC548" s="1"/>
      <c r="AD548" s="1"/>
      <c r="AE548" s="1" t="s">
        <v>51</v>
      </c>
      <c r="AF548" s="1" t="s">
        <v>51</v>
      </c>
      <c r="AG548" s="1" t="s">
        <v>51</v>
      </c>
      <c r="AH548" s="1"/>
      <c r="AI548" s="1"/>
      <c r="AJ548" s="3">
        <v>1</v>
      </c>
      <c r="AK548" s="1" t="s">
        <v>52</v>
      </c>
      <c r="AL548" s="3">
        <v>3</v>
      </c>
      <c r="AM548" s="1"/>
      <c r="AN548" s="1"/>
      <c r="AO548" s="1" t="s">
        <v>3272</v>
      </c>
      <c r="AP548" s="1" t="s">
        <v>179</v>
      </c>
      <c r="AQ548" s="1" t="s">
        <v>3273</v>
      </c>
      <c r="AR548" s="1" t="s">
        <v>3274</v>
      </c>
    </row>
    <row r="549">
      <c r="A549" s="2">
        <f ca="1">DATE(2000,09,29)</f>
        <v>0</v>
      </c>
      <c r="B549" s="2">
        <f ca="1">DATE(2000,10,19)</f>
        <v>0</v>
      </c>
      <c r="C549" s="1" t="s">
        <v>3270</v>
      </c>
      <c r="D549" s="3">
        <v>7372</v>
      </c>
      <c r="E549" s="1" t="s">
        <v>834</v>
      </c>
      <c r="F549" s="1"/>
      <c r="G549" s="1" t="s">
        <v>179</v>
      </c>
      <c r="H549" s="4">
        <v>0.80500000000000005</v>
      </c>
      <c r="I549" s="4">
        <v>7</v>
      </c>
      <c r="J549" s="5">
        <v>45.799999999999997</v>
      </c>
      <c r="K549" s="8">
        <v>11.5</v>
      </c>
      <c r="L549" s="1" t="s">
        <v>58</v>
      </c>
      <c r="M549" s="1" t="s">
        <v>47</v>
      </c>
      <c r="N549" s="1"/>
      <c r="O549" s="1"/>
      <c r="P549" s="1" t="s">
        <v>3275</v>
      </c>
      <c r="Q549" s="4">
        <v>1.3999999999999999</v>
      </c>
      <c r="R549" s="4">
        <v>1.3999999999999999</v>
      </c>
      <c r="S549" s="8">
        <v>4.2000000000000002</v>
      </c>
      <c r="T549" s="1" t="s">
        <v>60</v>
      </c>
      <c r="U549" s="1"/>
      <c r="V549" s="1"/>
      <c r="W549" s="1"/>
      <c r="X549" s="5">
        <v>25</v>
      </c>
      <c r="Y549" s="7">
        <v>3704888</v>
      </c>
      <c r="Z549" s="7">
        <v>281112</v>
      </c>
      <c r="AA549" s="1"/>
      <c r="AB549" s="1"/>
      <c r="AC549" s="1"/>
      <c r="AD549" s="1"/>
      <c r="AE549" s="1" t="s">
        <v>51</v>
      </c>
      <c r="AF549" s="1" t="s">
        <v>51</v>
      </c>
      <c r="AG549" s="1" t="s">
        <v>51</v>
      </c>
      <c r="AH549" s="1"/>
      <c r="AI549" s="1"/>
      <c r="AJ549" s="3">
        <v>1</v>
      </c>
      <c r="AK549" s="1" t="s">
        <v>52</v>
      </c>
      <c r="AL549" s="3">
        <v>3</v>
      </c>
      <c r="AM549" s="1"/>
      <c r="AN549" s="1"/>
      <c r="AO549" s="1" t="s">
        <v>3276</v>
      </c>
      <c r="AP549" s="1" t="s">
        <v>179</v>
      </c>
      <c r="AQ549" s="1" t="s">
        <v>3277</v>
      </c>
      <c r="AR549" s="1" t="s">
        <v>3278</v>
      </c>
    </row>
    <row r="550">
      <c r="A550" s="2">
        <f ca="1">DATE(2000,06,29)</f>
        <v>0</v>
      </c>
      <c r="B550" s="2">
        <f ca="1">DATE(2000,10,19)</f>
        <v>0</v>
      </c>
      <c r="C550" s="1" t="s">
        <v>3279</v>
      </c>
      <c r="D550" s="3">
        <v>1311</v>
      </c>
      <c r="E550" s="1" t="s">
        <v>43</v>
      </c>
      <c r="F550" s="1" t="s">
        <v>3280</v>
      </c>
      <c r="G550" s="1" t="s">
        <v>3281</v>
      </c>
      <c r="H550" s="4">
        <v>1.0129999999999999</v>
      </c>
      <c r="I550" s="8">
        <v>6.75</v>
      </c>
      <c r="J550" s="5">
        <v>104.3</v>
      </c>
      <c r="K550" s="4">
        <v>15</v>
      </c>
      <c r="L550" s="1" t="s">
        <v>46</v>
      </c>
      <c r="M550" s="1" t="s">
        <v>47</v>
      </c>
      <c r="N550" s="3">
        <v>961415106</v>
      </c>
      <c r="O550" s="1" t="s">
        <v>108</v>
      </c>
      <c r="P550" s="1" t="s">
        <v>3282</v>
      </c>
      <c r="Q550" s="4">
        <v>1.3500000000000001</v>
      </c>
      <c r="R550" s="4">
        <v>1.3500000000000001</v>
      </c>
      <c r="S550" s="8">
        <v>4.0499999999999998</v>
      </c>
      <c r="T550" s="1" t="s">
        <v>50</v>
      </c>
      <c r="U550" s="1"/>
      <c r="V550" s="1"/>
      <c r="W550" s="1"/>
      <c r="X550" s="5">
        <v>100</v>
      </c>
      <c r="Y550" s="7">
        <v>4940000</v>
      </c>
      <c r="Z550" s="7">
        <v>2014000</v>
      </c>
      <c r="AA550" s="1"/>
      <c r="AB550" s="1"/>
      <c r="AC550" s="1"/>
      <c r="AD550" s="1"/>
      <c r="AE550" s="1" t="s">
        <v>51</v>
      </c>
      <c r="AF550" s="1" t="s">
        <v>51</v>
      </c>
      <c r="AG550" s="1" t="s">
        <v>51</v>
      </c>
      <c r="AH550" s="1"/>
      <c r="AI550" s="1"/>
      <c r="AJ550" s="3">
        <v>1</v>
      </c>
      <c r="AK550" s="1" t="s">
        <v>52</v>
      </c>
      <c r="AL550" s="3">
        <v>5</v>
      </c>
      <c r="AM550" s="8">
        <v>17.129999999999999</v>
      </c>
      <c r="AN550" s="1"/>
      <c r="AO550" s="1" t="s">
        <v>3283</v>
      </c>
      <c r="AP550" s="1" t="s">
        <v>3281</v>
      </c>
      <c r="AQ550" s="1" t="s">
        <v>3284</v>
      </c>
      <c r="AR550" s="1" t="s">
        <v>3285</v>
      </c>
    </row>
    <row r="551">
      <c r="A551" s="2">
        <f ca="1">DATE(2000,06,29)</f>
        <v>0</v>
      </c>
      <c r="B551" s="2">
        <f ca="1">DATE(2000,10,19)</f>
        <v>0</v>
      </c>
      <c r="C551" s="1" t="s">
        <v>3279</v>
      </c>
      <c r="D551" s="3">
        <v>1311</v>
      </c>
      <c r="E551" s="1" t="s">
        <v>43</v>
      </c>
      <c r="F551" s="1" t="s">
        <v>3280</v>
      </c>
      <c r="G551" s="1" t="s">
        <v>667</v>
      </c>
      <c r="H551" s="4">
        <v>1.0129999999999999</v>
      </c>
      <c r="I551" s="8">
        <v>6.75</v>
      </c>
      <c r="J551" s="5">
        <v>32.899999999999999</v>
      </c>
      <c r="K551" s="8">
        <v>15</v>
      </c>
      <c r="L551" s="1" t="s">
        <v>58</v>
      </c>
      <c r="M551" s="1" t="s">
        <v>47</v>
      </c>
      <c r="N551" s="1"/>
      <c r="O551" s="1" t="s">
        <v>108</v>
      </c>
      <c r="P551" s="1" t="s">
        <v>3286</v>
      </c>
      <c r="Q551" s="4">
        <v>1.3500000000000001</v>
      </c>
      <c r="R551" s="4">
        <v>1.3500000000000001</v>
      </c>
      <c r="S551" s="8">
        <v>4.0499999999999998</v>
      </c>
      <c r="T551" s="1" t="s">
        <v>60</v>
      </c>
      <c r="U551" s="1"/>
      <c r="V551" s="1"/>
      <c r="W551" s="1"/>
      <c r="X551" s="5">
        <v>100</v>
      </c>
      <c r="Y551" s="7">
        <v>2196000</v>
      </c>
      <c r="Z551" s="1"/>
      <c r="AA551" s="1"/>
      <c r="AB551" s="1"/>
      <c r="AC551" s="1"/>
      <c r="AD551" s="1"/>
      <c r="AE551" s="1" t="s">
        <v>51</v>
      </c>
      <c r="AF551" s="1" t="s">
        <v>51</v>
      </c>
      <c r="AG551" s="1" t="s">
        <v>51</v>
      </c>
      <c r="AH551" s="1"/>
      <c r="AI551" s="1"/>
      <c r="AJ551" s="3">
        <v>1</v>
      </c>
      <c r="AK551" s="1" t="s">
        <v>52</v>
      </c>
      <c r="AL551" s="3">
        <v>5</v>
      </c>
      <c r="AM551" s="1"/>
      <c r="AN551" s="1"/>
      <c r="AO551" s="1" t="s">
        <v>3287</v>
      </c>
      <c r="AP551" s="1" t="s">
        <v>667</v>
      </c>
      <c r="AQ551" s="1" t="s">
        <v>3288</v>
      </c>
      <c r="AR551" s="1" t="s">
        <v>3289</v>
      </c>
    </row>
    <row r="552">
      <c r="A552" s="2">
        <f ca="1">DATE(2000,10,02)</f>
        <v>0</v>
      </c>
      <c r="B552" s="2">
        <f ca="1">DATE(2000,10,19)</f>
        <v>0</v>
      </c>
      <c r="C552" s="1" t="s">
        <v>3290</v>
      </c>
      <c r="D552" s="3">
        <v>7371</v>
      </c>
      <c r="E552" s="1" t="s">
        <v>1806</v>
      </c>
      <c r="F552" s="1" t="s">
        <v>3291</v>
      </c>
      <c r="G552" s="1" t="s">
        <v>106</v>
      </c>
      <c r="H552" s="4">
        <v>1.8620000000000001</v>
      </c>
      <c r="I552" s="4">
        <v>4.5</v>
      </c>
      <c r="J552" s="5">
        <v>113.8</v>
      </c>
      <c r="K552" s="8">
        <v>41.369999999999997</v>
      </c>
      <c r="L552" s="1" t="s">
        <v>1207</v>
      </c>
      <c r="M552" s="1" t="s">
        <v>47</v>
      </c>
      <c r="N552" s="1" t="s">
        <v>3292</v>
      </c>
      <c r="O552" s="1" t="s">
        <v>108</v>
      </c>
      <c r="P552" s="1" t="s">
        <v>3293</v>
      </c>
      <c r="Q552" s="4">
        <v>0.90000000000000002</v>
      </c>
      <c r="R552" s="4">
        <v>0.67500000000000004</v>
      </c>
      <c r="S552" s="4">
        <v>2.9249999999999998</v>
      </c>
      <c r="T552" s="1" t="s">
        <v>60</v>
      </c>
      <c r="U552" s="1"/>
      <c r="V552" s="1"/>
      <c r="W552" s="1"/>
      <c r="X552" s="1"/>
      <c r="Y552" s="7">
        <v>2750000</v>
      </c>
      <c r="Z552" s="1"/>
      <c r="AA552" s="1"/>
      <c r="AB552" s="1"/>
      <c r="AC552" s="1"/>
      <c r="AD552" s="1"/>
      <c r="AE552" s="1" t="s">
        <v>47</v>
      </c>
      <c r="AF552" s="1" t="s">
        <v>51</v>
      </c>
      <c r="AG552" s="1" t="s">
        <v>51</v>
      </c>
      <c r="AH552" s="1"/>
      <c r="AI552" s="1"/>
      <c r="AJ552" s="3">
        <v>1</v>
      </c>
      <c r="AK552" s="1" t="s">
        <v>52</v>
      </c>
      <c r="AL552" s="3">
        <v>3</v>
      </c>
      <c r="AM552" s="1"/>
      <c r="AN552" s="1"/>
      <c r="AO552" s="1" t="s">
        <v>3294</v>
      </c>
      <c r="AP552" s="1" t="s">
        <v>106</v>
      </c>
      <c r="AQ552" s="1" t="s">
        <v>3295</v>
      </c>
      <c r="AR552" s="1" t="s">
        <v>3296</v>
      </c>
    </row>
    <row r="553">
      <c r="A553" s="2">
        <f ca="1">DATE(2000,01,04)</f>
        <v>0</v>
      </c>
      <c r="B553" s="2">
        <f ca="1">DATE(2000,10,25)</f>
        <v>0</v>
      </c>
      <c r="C553" s="1" t="s">
        <v>3297</v>
      </c>
      <c r="D553" s="3">
        <v>6726</v>
      </c>
      <c r="E553" s="1" t="s">
        <v>43</v>
      </c>
      <c r="F553" s="1" t="s">
        <v>3298</v>
      </c>
      <c r="G553" s="1" t="s">
        <v>3299</v>
      </c>
      <c r="H553" s="4">
        <v>0.59999999999999998</v>
      </c>
      <c r="I553" s="4">
        <v>10</v>
      </c>
      <c r="J553" s="5">
        <v>6</v>
      </c>
      <c r="K553" s="4">
        <v>6</v>
      </c>
      <c r="L553" s="1" t="s">
        <v>46</v>
      </c>
      <c r="M553" s="1" t="s">
        <v>47</v>
      </c>
      <c r="N553" s="1" t="s">
        <v>3300</v>
      </c>
      <c r="O553" s="1" t="s">
        <v>698</v>
      </c>
      <c r="P553" s="1" t="s">
        <v>3301</v>
      </c>
      <c r="Q553" s="4">
        <v>1.667</v>
      </c>
      <c r="R553" s="4">
        <v>3.3330000000000002</v>
      </c>
      <c r="S553" s="8">
        <v>5</v>
      </c>
      <c r="T553" s="1" t="s">
        <v>50</v>
      </c>
      <c r="U553" s="8">
        <v>6</v>
      </c>
      <c r="V553" s="8">
        <v>6</v>
      </c>
      <c r="W553" s="7">
        <v>1000000</v>
      </c>
      <c r="X553" s="5">
        <v>6</v>
      </c>
      <c r="Y553" s="7">
        <v>1000000</v>
      </c>
      <c r="Z553" s="1"/>
      <c r="AA553" s="1"/>
      <c r="AB553" s="1"/>
      <c r="AC553" s="1"/>
      <c r="AD553" s="1"/>
      <c r="AE553" s="1" t="s">
        <v>51</v>
      </c>
      <c r="AF553" s="1" t="s">
        <v>51</v>
      </c>
      <c r="AG553" s="1" t="s">
        <v>51</v>
      </c>
      <c r="AH553" s="1"/>
      <c r="AI553" s="1"/>
      <c r="AJ553" s="3">
        <v>1</v>
      </c>
      <c r="AK553" s="1" t="s">
        <v>52</v>
      </c>
      <c r="AL553" s="3">
        <v>1</v>
      </c>
      <c r="AM553" s="8">
        <v>6.1900000000000004</v>
      </c>
      <c r="AN553" s="1"/>
      <c r="AO553" s="1" t="s">
        <v>3302</v>
      </c>
      <c r="AP553" s="1" t="s">
        <v>3299</v>
      </c>
      <c r="AQ553" s="1" t="s">
        <v>3299</v>
      </c>
      <c r="AR553" s="1" t="s">
        <v>3303</v>
      </c>
    </row>
    <row r="554">
      <c r="A554" s="2">
        <f ca="1">DATE(2000,10,11)</f>
        <v>0</v>
      </c>
      <c r="B554" s="2">
        <f ca="1">DATE(2000,10,26)</f>
        <v>0</v>
      </c>
      <c r="C554" s="1" t="s">
        <v>3304</v>
      </c>
      <c r="D554" s="3">
        <v>8731</v>
      </c>
      <c r="E554" s="1" t="s">
        <v>510</v>
      </c>
      <c r="F554" s="1" t="s">
        <v>3305</v>
      </c>
      <c r="G554" s="1" t="s">
        <v>1725</v>
      </c>
      <c r="H554" s="4">
        <v>1.0449999999999999</v>
      </c>
      <c r="I554" s="4">
        <v>7</v>
      </c>
      <c r="J554" s="5">
        <v>6</v>
      </c>
      <c r="K554" s="4">
        <v>18</v>
      </c>
      <c r="L554" s="1" t="s">
        <v>58</v>
      </c>
      <c r="M554" s="1" t="s">
        <v>47</v>
      </c>
      <c r="N554" s="1"/>
      <c r="O554" s="1" t="s">
        <v>3306</v>
      </c>
      <c r="P554" s="1" t="s">
        <v>3307</v>
      </c>
      <c r="Q554" s="4">
        <v>1.3999999999999999</v>
      </c>
      <c r="R554" s="4">
        <v>1.3999999999999999</v>
      </c>
      <c r="S554" s="8">
        <v>4.2000000000000002</v>
      </c>
      <c r="T554" s="1" t="s">
        <v>3308</v>
      </c>
      <c r="U554" s="10">
        <v>17.8186</v>
      </c>
      <c r="V554" s="10">
        <v>14.776400000000001</v>
      </c>
      <c r="W554" s="1"/>
      <c r="X554" s="1"/>
      <c r="Y554" s="7">
        <v>400000</v>
      </c>
      <c r="Z554" s="1"/>
      <c r="AA554" s="1"/>
      <c r="AB554" s="1"/>
      <c r="AC554" s="1"/>
      <c r="AD554" s="1"/>
      <c r="AE554" s="1" t="s">
        <v>51</v>
      </c>
      <c r="AF554" s="1" t="s">
        <v>51</v>
      </c>
      <c r="AG554" s="1" t="s">
        <v>51</v>
      </c>
      <c r="AH554" s="1"/>
      <c r="AI554" s="1"/>
      <c r="AJ554" s="3">
        <v>1</v>
      </c>
      <c r="AK554" s="1" t="s">
        <v>52</v>
      </c>
      <c r="AL554" s="3">
        <v>3</v>
      </c>
      <c r="AM554" s="1"/>
      <c r="AN554" s="1"/>
      <c r="AO554" s="1" t="s">
        <v>3309</v>
      </c>
      <c r="AP554" s="1" t="s">
        <v>1725</v>
      </c>
      <c r="AQ554" s="1" t="s">
        <v>3310</v>
      </c>
      <c r="AR554" s="1" t="s">
        <v>3311</v>
      </c>
    </row>
    <row r="555">
      <c r="A555" s="2">
        <f ca="1">DATE(2000,10,11)</f>
        <v>0</v>
      </c>
      <c r="B555" s="2">
        <f ca="1">DATE(2000,10,26)</f>
        <v>0</v>
      </c>
      <c r="C555" s="1" t="s">
        <v>3304</v>
      </c>
      <c r="D555" s="3">
        <v>8731</v>
      </c>
      <c r="E555" s="1" t="s">
        <v>510</v>
      </c>
      <c r="F555" s="1" t="s">
        <v>3305</v>
      </c>
      <c r="G555" s="1" t="s">
        <v>1725</v>
      </c>
      <c r="H555" s="4">
        <v>1.0449999999999999</v>
      </c>
      <c r="I555" s="4">
        <v>7</v>
      </c>
      <c r="J555" s="5">
        <v>113.40000000000001</v>
      </c>
      <c r="K555" s="8">
        <v>18</v>
      </c>
      <c r="L555" s="1" t="s">
        <v>58</v>
      </c>
      <c r="M555" s="1" t="s">
        <v>47</v>
      </c>
      <c r="N555" s="1"/>
      <c r="O555" s="1" t="s">
        <v>3306</v>
      </c>
      <c r="P555" s="1" t="s">
        <v>3307</v>
      </c>
      <c r="Q555" s="4">
        <v>1.3999999999999999</v>
      </c>
      <c r="R555" s="4">
        <v>1.3999999999999999</v>
      </c>
      <c r="S555" s="8">
        <v>4.2000000000000002</v>
      </c>
      <c r="T555" s="1" t="s">
        <v>60</v>
      </c>
      <c r="U555" s="10">
        <v>17.8186</v>
      </c>
      <c r="V555" s="10">
        <v>14.776400000000001</v>
      </c>
      <c r="W555" s="7">
        <v>8000000</v>
      </c>
      <c r="X555" s="5">
        <v>130.40000000000001</v>
      </c>
      <c r="Y555" s="7">
        <v>7600000</v>
      </c>
      <c r="Z555" s="1"/>
      <c r="AA555" s="1"/>
      <c r="AB555" s="1"/>
      <c r="AC555" s="1"/>
      <c r="AD555" s="1"/>
      <c r="AE555" s="1" t="s">
        <v>51</v>
      </c>
      <c r="AF555" s="1" t="s">
        <v>51</v>
      </c>
      <c r="AG555" s="1" t="s">
        <v>51</v>
      </c>
      <c r="AH555" s="1"/>
      <c r="AI555" s="1"/>
      <c r="AJ555" s="3">
        <v>1</v>
      </c>
      <c r="AK555" s="1" t="s">
        <v>52</v>
      </c>
      <c r="AL555" s="3">
        <v>3</v>
      </c>
      <c r="AM555" s="1"/>
      <c r="AN555" s="1"/>
      <c r="AO555" s="1" t="s">
        <v>3309</v>
      </c>
      <c r="AP555" s="1" t="s">
        <v>1725</v>
      </c>
      <c r="AQ555" s="1" t="s">
        <v>3310</v>
      </c>
      <c r="AR555" s="1" t="s">
        <v>3311</v>
      </c>
    </row>
    <row r="556">
      <c r="A556" s="2">
        <f ca="1">DATE(2000,07,21)</f>
        <v>0</v>
      </c>
      <c r="B556" s="2">
        <f ca="1">DATE(2000,10,26)</f>
        <v>0</v>
      </c>
      <c r="C556" s="1" t="s">
        <v>3312</v>
      </c>
      <c r="D556" s="3">
        <v>1311</v>
      </c>
      <c r="E556" s="1" t="s">
        <v>43</v>
      </c>
      <c r="F556" s="1" t="s">
        <v>3313</v>
      </c>
      <c r="G556" s="1" t="s">
        <v>84</v>
      </c>
      <c r="H556" s="4">
        <v>0.34999999999999998</v>
      </c>
      <c r="I556" s="4">
        <v>5</v>
      </c>
      <c r="J556" s="5">
        <v>70</v>
      </c>
      <c r="K556" s="4">
        <v>7</v>
      </c>
      <c r="L556" s="1" t="s">
        <v>46</v>
      </c>
      <c r="M556" s="1" t="s">
        <v>47</v>
      </c>
      <c r="N556" s="1" t="s">
        <v>3314</v>
      </c>
      <c r="O556" s="1" t="s">
        <v>77</v>
      </c>
      <c r="P556" s="1" t="s">
        <v>3315</v>
      </c>
      <c r="Q556" s="4">
        <v>1</v>
      </c>
      <c r="R556" s="4">
        <v>1</v>
      </c>
      <c r="S556" s="8">
        <v>3</v>
      </c>
      <c r="T556" s="1" t="s">
        <v>50</v>
      </c>
      <c r="U556" s="8">
        <v>9</v>
      </c>
      <c r="V556" s="8">
        <v>7</v>
      </c>
      <c r="W556" s="7">
        <v>10000000</v>
      </c>
      <c r="X556" s="5">
        <v>80</v>
      </c>
      <c r="Y556" s="7">
        <v>10000000</v>
      </c>
      <c r="Z556" s="1"/>
      <c r="AA556" s="2">
        <f ca="1">DATE(2001,01,24)</f>
        <v>0</v>
      </c>
      <c r="AB556" s="4">
        <v>0.93100000000000005</v>
      </c>
      <c r="AC556" s="3">
        <v>90</v>
      </c>
      <c r="AD556" s="8">
        <v>104686</v>
      </c>
      <c r="AE556" s="1" t="s">
        <v>51</v>
      </c>
      <c r="AF556" s="1" t="s">
        <v>51</v>
      </c>
      <c r="AG556" s="1" t="s">
        <v>51</v>
      </c>
      <c r="AH556" s="1"/>
      <c r="AI556" s="1"/>
      <c r="AJ556" s="3">
        <v>1</v>
      </c>
      <c r="AK556" s="1" t="s">
        <v>52</v>
      </c>
      <c r="AL556" s="3">
        <v>2</v>
      </c>
      <c r="AM556" s="1"/>
      <c r="AN556" s="1"/>
      <c r="AO556" s="1" t="s">
        <v>3316</v>
      </c>
      <c r="AP556" s="1" t="s">
        <v>84</v>
      </c>
      <c r="AQ556" s="1" t="s">
        <v>3317</v>
      </c>
      <c r="AR556" s="1" t="s">
        <v>3318</v>
      </c>
    </row>
    <row r="557">
      <c r="A557" s="2">
        <f ca="1">DATE(2000,07,31)</f>
        <v>0</v>
      </c>
      <c r="B557" s="2">
        <f ca="1">DATE(2000,10,26)</f>
        <v>0</v>
      </c>
      <c r="C557" s="1" t="s">
        <v>3319</v>
      </c>
      <c r="D557" s="3">
        <v>3621</v>
      </c>
      <c r="E557" s="1" t="s">
        <v>166</v>
      </c>
      <c r="F557" s="1" t="s">
        <v>3320</v>
      </c>
      <c r="G557" s="1" t="s">
        <v>204</v>
      </c>
      <c r="H557" s="4">
        <v>0.83999999999999997</v>
      </c>
      <c r="I557" s="8">
        <v>7</v>
      </c>
      <c r="J557" s="5">
        <v>84</v>
      </c>
      <c r="K557" s="8">
        <v>12</v>
      </c>
      <c r="L557" s="1" t="s">
        <v>58</v>
      </c>
      <c r="M557" s="1" t="s">
        <v>47</v>
      </c>
      <c r="N557" s="3">
        <v>448882100</v>
      </c>
      <c r="O557" s="1" t="s">
        <v>48</v>
      </c>
      <c r="P557" s="1" t="s">
        <v>3321</v>
      </c>
      <c r="Q557" s="1" t="s">
        <v>145</v>
      </c>
      <c r="R557" s="1" t="s">
        <v>145</v>
      </c>
      <c r="S557" s="1"/>
      <c r="T557" s="1" t="s">
        <v>60</v>
      </c>
      <c r="U557" s="1"/>
      <c r="V557" s="1"/>
      <c r="W557" s="1"/>
      <c r="X557" s="5">
        <v>100</v>
      </c>
      <c r="Y557" s="7">
        <v>7000000</v>
      </c>
      <c r="Z557" s="1"/>
      <c r="AA557" s="1"/>
      <c r="AB557" s="1"/>
      <c r="AC557" s="1"/>
      <c r="AD557" s="1"/>
      <c r="AE557" s="1" t="s">
        <v>51</v>
      </c>
      <c r="AF557" s="1" t="s">
        <v>51</v>
      </c>
      <c r="AG557" s="1" t="s">
        <v>51</v>
      </c>
      <c r="AH557" s="1"/>
      <c r="AI557" s="1"/>
      <c r="AJ557" s="3">
        <v>1</v>
      </c>
      <c r="AK557" s="1" t="s">
        <v>52</v>
      </c>
      <c r="AL557" s="3">
        <v>1</v>
      </c>
      <c r="AM557" s="1"/>
      <c r="AN557" s="1"/>
      <c r="AO557" s="1" t="s">
        <v>3322</v>
      </c>
      <c r="AP557" s="1" t="s">
        <v>204</v>
      </c>
      <c r="AQ557" s="1" t="s">
        <v>204</v>
      </c>
      <c r="AR557" s="1" t="s">
        <v>3323</v>
      </c>
    </row>
    <row r="558">
      <c r="A558" s="2">
        <f ca="1">DATE(2000,06,16)</f>
        <v>0</v>
      </c>
      <c r="B558" s="2">
        <f ca="1">DATE(2000,10,26)</f>
        <v>0</v>
      </c>
      <c r="C558" s="1" t="s">
        <v>3324</v>
      </c>
      <c r="D558" s="3">
        <v>8731</v>
      </c>
      <c r="E558" s="1" t="s">
        <v>43</v>
      </c>
      <c r="F558" s="1" t="s">
        <v>3325</v>
      </c>
      <c r="G558" s="1" t="s">
        <v>1583</v>
      </c>
      <c r="H558" s="4">
        <v>0.48999999999999999</v>
      </c>
      <c r="I558" s="8">
        <v>7</v>
      </c>
      <c r="J558" s="5">
        <v>44.799999999999997</v>
      </c>
      <c r="K558" s="4">
        <v>7</v>
      </c>
      <c r="L558" s="1" t="s">
        <v>46</v>
      </c>
      <c r="M558" s="1" t="s">
        <v>47</v>
      </c>
      <c r="N558" s="3">
        <v>584662100</v>
      </c>
      <c r="O558" s="1" t="s">
        <v>48</v>
      </c>
      <c r="P558" s="1" t="s">
        <v>3326</v>
      </c>
      <c r="Q558" s="4">
        <v>1.4290000000000001</v>
      </c>
      <c r="R558" s="4">
        <v>1.571</v>
      </c>
      <c r="S558" s="8">
        <v>4</v>
      </c>
      <c r="T558" s="1" t="s">
        <v>50</v>
      </c>
      <c r="U558" s="1"/>
      <c r="V558" s="1"/>
      <c r="W558" s="1"/>
      <c r="X558" s="5">
        <v>50</v>
      </c>
      <c r="Y558" s="7">
        <v>6400000</v>
      </c>
      <c r="Z558" s="1"/>
      <c r="AA558" s="1"/>
      <c r="AB558" s="1"/>
      <c r="AC558" s="1"/>
      <c r="AD558" s="1"/>
      <c r="AE558" s="1" t="s">
        <v>51</v>
      </c>
      <c r="AF558" s="1" t="s">
        <v>51</v>
      </c>
      <c r="AG558" s="1" t="s">
        <v>47</v>
      </c>
      <c r="AH558" s="1"/>
      <c r="AI558" s="1"/>
      <c r="AJ558" s="3">
        <v>1</v>
      </c>
      <c r="AK558" s="1" t="s">
        <v>52</v>
      </c>
      <c r="AL558" s="3">
        <v>3</v>
      </c>
      <c r="AM558" s="8">
        <v>7.6900000000000004</v>
      </c>
      <c r="AN558" s="1"/>
      <c r="AO558" s="1" t="s">
        <v>3327</v>
      </c>
      <c r="AP558" s="1" t="s">
        <v>1583</v>
      </c>
      <c r="AQ558" s="1" t="s">
        <v>3328</v>
      </c>
      <c r="AR558" s="1" t="s">
        <v>3329</v>
      </c>
    </row>
    <row r="559">
      <c r="A559" s="2">
        <f ca="1">DATE(2000,02,11)</f>
        <v>0</v>
      </c>
      <c r="B559" s="2">
        <f ca="1">DATE(2000,10,27)</f>
        <v>0</v>
      </c>
      <c r="C559" s="1" t="s">
        <v>3330</v>
      </c>
      <c r="D559" s="3">
        <v>6021</v>
      </c>
      <c r="E559" s="1" t="s">
        <v>43</v>
      </c>
      <c r="F559" s="1" t="s">
        <v>3331</v>
      </c>
      <c r="G559" s="1" t="s">
        <v>3332</v>
      </c>
      <c r="H559" s="4">
        <v>0.75</v>
      </c>
      <c r="I559" s="4">
        <v>7.5</v>
      </c>
      <c r="J559" s="5">
        <v>7.2000000000000002</v>
      </c>
      <c r="K559" s="4">
        <v>10</v>
      </c>
      <c r="L559" s="1" t="s">
        <v>46</v>
      </c>
      <c r="M559" s="1" t="s">
        <v>47</v>
      </c>
      <c r="N559" s="1" t="s">
        <v>3333</v>
      </c>
      <c r="O559" s="1" t="s">
        <v>77</v>
      </c>
      <c r="P559" s="1" t="s">
        <v>3334</v>
      </c>
      <c r="Q559" s="4">
        <v>1.5</v>
      </c>
      <c r="R559" s="4">
        <v>1.5</v>
      </c>
      <c r="S559" s="8">
        <v>4.5</v>
      </c>
      <c r="T559" s="1" t="s">
        <v>50</v>
      </c>
      <c r="U559" s="8">
        <v>10</v>
      </c>
      <c r="V559" s="8">
        <v>10</v>
      </c>
      <c r="W559" s="7">
        <v>1000000</v>
      </c>
      <c r="X559" s="5">
        <v>10</v>
      </c>
      <c r="Y559" s="7">
        <v>715000</v>
      </c>
      <c r="Z559" s="1"/>
      <c r="AA559" s="2">
        <f ca="1">DATE(2001,04,25)</f>
        <v>0</v>
      </c>
      <c r="AB559" s="4">
        <v>48.826999999999998</v>
      </c>
      <c r="AC559" s="3">
        <v>180</v>
      </c>
      <c r="AD559" s="8">
        <v>349110</v>
      </c>
      <c r="AE559" s="1" t="s">
        <v>51</v>
      </c>
      <c r="AF559" s="1" t="s">
        <v>51</v>
      </c>
      <c r="AG559" s="1" t="s">
        <v>51</v>
      </c>
      <c r="AH559" s="1"/>
      <c r="AI559" s="1"/>
      <c r="AJ559" s="3">
        <v>1</v>
      </c>
      <c r="AK559" s="1" t="s">
        <v>52</v>
      </c>
      <c r="AL559" s="3">
        <v>1</v>
      </c>
      <c r="AM559" s="1"/>
      <c r="AN559" s="1"/>
      <c r="AO559" s="1" t="s">
        <v>3335</v>
      </c>
      <c r="AP559" s="1" t="s">
        <v>3332</v>
      </c>
      <c r="AQ559" s="1" t="s">
        <v>3332</v>
      </c>
      <c r="AR559" s="1" t="s">
        <v>3336</v>
      </c>
    </row>
    <row r="560">
      <c r="A560" s="2">
        <f ca="1">DATE(2000,08,02)</f>
        <v>0</v>
      </c>
      <c r="B560" s="2">
        <f ca="1">DATE(2000,11,01)</f>
        <v>0</v>
      </c>
      <c r="C560" s="1" t="s">
        <v>3337</v>
      </c>
      <c r="D560" s="3">
        <v>1311</v>
      </c>
      <c r="E560" s="1" t="s">
        <v>43</v>
      </c>
      <c r="F560" s="1" t="s">
        <v>3338</v>
      </c>
      <c r="G560" s="1" t="s">
        <v>45</v>
      </c>
      <c r="H560" s="4">
        <v>1.05</v>
      </c>
      <c r="I560" s="4">
        <v>7</v>
      </c>
      <c r="J560" s="5">
        <v>66.400000000000006</v>
      </c>
      <c r="K560" s="4">
        <v>15</v>
      </c>
      <c r="L560" s="1" t="s">
        <v>46</v>
      </c>
      <c r="M560" s="1" t="s">
        <v>47</v>
      </c>
      <c r="N560" s="1" t="s">
        <v>3339</v>
      </c>
      <c r="O560" s="1" t="s">
        <v>77</v>
      </c>
      <c r="P560" s="1" t="s">
        <v>3340</v>
      </c>
      <c r="Q560" s="4">
        <v>1.3999999999999999</v>
      </c>
      <c r="R560" s="4">
        <v>1.6000000000000001</v>
      </c>
      <c r="S560" s="8">
        <v>4</v>
      </c>
      <c r="T560" s="1" t="s">
        <v>50</v>
      </c>
      <c r="U560" s="1"/>
      <c r="V560" s="1"/>
      <c r="W560" s="1"/>
      <c r="X560" s="1"/>
      <c r="Y560" s="7">
        <v>4427500</v>
      </c>
      <c r="Z560" s="1"/>
      <c r="AA560" s="1"/>
      <c r="AB560" s="1"/>
      <c r="AC560" s="1"/>
      <c r="AD560" s="1"/>
      <c r="AE560" s="1" t="s">
        <v>51</v>
      </c>
      <c r="AF560" s="1" t="s">
        <v>51</v>
      </c>
      <c r="AG560" s="1" t="s">
        <v>47</v>
      </c>
      <c r="AH560" s="1"/>
      <c r="AI560" s="1"/>
      <c r="AJ560" s="3">
        <v>1</v>
      </c>
      <c r="AK560" s="1" t="s">
        <v>89</v>
      </c>
      <c r="AL560" s="3">
        <v>4</v>
      </c>
      <c r="AM560" s="8">
        <v>14.5</v>
      </c>
      <c r="AN560" s="1"/>
      <c r="AO560" s="1" t="s">
        <v>3341</v>
      </c>
      <c r="AP560" s="1" t="s">
        <v>3342</v>
      </c>
      <c r="AQ560" s="1" t="s">
        <v>3343</v>
      </c>
      <c r="AR560" s="1" t="s">
        <v>3344</v>
      </c>
    </row>
    <row r="561">
      <c r="A561" s="2">
        <f ca="1">DATE(2000,08,02)</f>
        <v>0</v>
      </c>
      <c r="B561" s="2">
        <f ca="1">DATE(2000,11,01)</f>
        <v>0</v>
      </c>
      <c r="C561" s="1" t="s">
        <v>3337</v>
      </c>
      <c r="D561" s="3">
        <v>1311</v>
      </c>
      <c r="E561" s="1" t="s">
        <v>43</v>
      </c>
      <c r="F561" s="1" t="s">
        <v>3338</v>
      </c>
      <c r="G561" s="1" t="s">
        <v>482</v>
      </c>
      <c r="H561" s="4">
        <v>1.05</v>
      </c>
      <c r="I561" s="4">
        <v>7</v>
      </c>
      <c r="J561" s="5">
        <v>16.699999999999999</v>
      </c>
      <c r="K561" s="8">
        <v>15</v>
      </c>
      <c r="L561" s="1" t="s">
        <v>58</v>
      </c>
      <c r="M561" s="1" t="s">
        <v>47</v>
      </c>
      <c r="N561" s="1" t="s">
        <v>3339</v>
      </c>
      <c r="O561" s="1" t="s">
        <v>77</v>
      </c>
      <c r="P561" s="1" t="s">
        <v>3345</v>
      </c>
      <c r="Q561" s="4">
        <v>1.3999999999999999</v>
      </c>
      <c r="R561" s="4">
        <v>1.6000000000000001</v>
      </c>
      <c r="S561" s="8">
        <v>4</v>
      </c>
      <c r="T561" s="1" t="s">
        <v>60</v>
      </c>
      <c r="U561" s="1"/>
      <c r="V561" s="1"/>
      <c r="W561" s="1"/>
      <c r="X561" s="1"/>
      <c r="Y561" s="7">
        <v>1115500</v>
      </c>
      <c r="Z561" s="1"/>
      <c r="AA561" s="1"/>
      <c r="AB561" s="1"/>
      <c r="AC561" s="1"/>
      <c r="AD561" s="1"/>
      <c r="AE561" s="1" t="s">
        <v>51</v>
      </c>
      <c r="AF561" s="1" t="s">
        <v>51</v>
      </c>
      <c r="AG561" s="1" t="s">
        <v>47</v>
      </c>
      <c r="AH561" s="1"/>
      <c r="AI561" s="1"/>
      <c r="AJ561" s="3">
        <v>1</v>
      </c>
      <c r="AK561" s="1" t="s">
        <v>52</v>
      </c>
      <c r="AL561" s="3">
        <v>3</v>
      </c>
      <c r="AM561" s="1"/>
      <c r="AN561" s="1"/>
      <c r="AO561" s="1" t="s">
        <v>3346</v>
      </c>
      <c r="AP561" s="1" t="s">
        <v>482</v>
      </c>
      <c r="AQ561" s="1" t="s">
        <v>3347</v>
      </c>
      <c r="AR561" s="1" t="s">
        <v>3348</v>
      </c>
    </row>
    <row r="562">
      <c r="A562" s="2">
        <f ca="1">DATE(2000,08,04)</f>
        <v>0</v>
      </c>
      <c r="B562" s="2">
        <f ca="1">DATE(2000,11,01)</f>
        <v>0</v>
      </c>
      <c r="C562" s="1" t="s">
        <v>3349</v>
      </c>
      <c r="D562" s="3">
        <v>3674</v>
      </c>
      <c r="E562" s="1" t="s">
        <v>43</v>
      </c>
      <c r="F562" s="1" t="s">
        <v>3350</v>
      </c>
      <c r="G562" s="1" t="s">
        <v>1297</v>
      </c>
      <c r="H562" s="4">
        <v>0.97999999999999998</v>
      </c>
      <c r="I562" s="8">
        <v>7</v>
      </c>
      <c r="J562" s="5">
        <v>42</v>
      </c>
      <c r="K562" s="4">
        <v>14</v>
      </c>
      <c r="L562" s="1" t="s">
        <v>46</v>
      </c>
      <c r="M562" s="1" t="s">
        <v>47</v>
      </c>
      <c r="N562" s="1" t="s">
        <v>3351</v>
      </c>
      <c r="O562" s="1" t="s">
        <v>48</v>
      </c>
      <c r="P562" s="1" t="s">
        <v>3352</v>
      </c>
      <c r="Q562" s="4">
        <v>1.4290000000000001</v>
      </c>
      <c r="R562" s="4">
        <v>1.643</v>
      </c>
      <c r="S562" s="6">
        <v>3.9285700000000001</v>
      </c>
      <c r="T562" s="1" t="s">
        <v>50</v>
      </c>
      <c r="U562" s="1"/>
      <c r="V562" s="1"/>
      <c r="W562" s="1"/>
      <c r="X562" s="5">
        <v>40</v>
      </c>
      <c r="Y562" s="7">
        <v>3000000</v>
      </c>
      <c r="Z562" s="1"/>
      <c r="AA562" s="2">
        <f ca="1">DATE(2001,04,30)</f>
        <v>0</v>
      </c>
      <c r="AB562" s="4">
        <v>72.870000000000005</v>
      </c>
      <c r="AC562" s="3">
        <v>180</v>
      </c>
      <c r="AD562" s="8">
        <v>8057705</v>
      </c>
      <c r="AE562" s="1" t="s">
        <v>51</v>
      </c>
      <c r="AF562" s="1" t="s">
        <v>51</v>
      </c>
      <c r="AG562" s="1" t="s">
        <v>47</v>
      </c>
      <c r="AH562" s="1"/>
      <c r="AI562" s="1"/>
      <c r="AJ562" s="3">
        <v>1</v>
      </c>
      <c r="AK562" s="1" t="s">
        <v>52</v>
      </c>
      <c r="AL562" s="3">
        <v>3</v>
      </c>
      <c r="AM562" s="8">
        <v>19</v>
      </c>
      <c r="AN562" s="1"/>
      <c r="AO562" s="1" t="s">
        <v>3353</v>
      </c>
      <c r="AP562" s="1" t="s">
        <v>1297</v>
      </c>
      <c r="AQ562" s="1" t="s">
        <v>3354</v>
      </c>
      <c r="AR562" s="1" t="s">
        <v>3355</v>
      </c>
    </row>
    <row r="563">
      <c r="A563" s="2">
        <f ca="1">DATE(2000,10,10)</f>
        <v>0</v>
      </c>
      <c r="B563" s="2">
        <f ca="1">DATE(2000,11,02)</f>
        <v>0</v>
      </c>
      <c r="C563" s="1" t="s">
        <v>3356</v>
      </c>
      <c r="D563" s="3">
        <v>4731</v>
      </c>
      <c r="E563" s="1" t="s">
        <v>43</v>
      </c>
      <c r="F563" s="1" t="s">
        <v>3357</v>
      </c>
      <c r="G563" s="1" t="s">
        <v>411</v>
      </c>
      <c r="H563" s="4">
        <v>1.05</v>
      </c>
      <c r="I563" s="4">
        <v>7</v>
      </c>
      <c r="J563" s="5">
        <v>70.5</v>
      </c>
      <c r="K563" s="4">
        <v>15</v>
      </c>
      <c r="L563" s="1" t="s">
        <v>1057</v>
      </c>
      <c r="M563" s="1" t="s">
        <v>47</v>
      </c>
      <c r="N563" s="1" t="s">
        <v>3358</v>
      </c>
      <c r="O563" s="1" t="s">
        <v>48</v>
      </c>
      <c r="P563" s="1" t="s">
        <v>3359</v>
      </c>
      <c r="Q563" s="4">
        <v>1.3999999999999999</v>
      </c>
      <c r="R563" s="4">
        <v>1.3999999999999999</v>
      </c>
      <c r="S563" s="8">
        <v>4.2000000000000002</v>
      </c>
      <c r="T563" s="1" t="s">
        <v>50</v>
      </c>
      <c r="U563" s="8">
        <v>17</v>
      </c>
      <c r="V563" s="8">
        <v>15</v>
      </c>
      <c r="W563" s="7">
        <v>4700000</v>
      </c>
      <c r="X563" s="5">
        <v>75.200000000000003</v>
      </c>
      <c r="Y563" s="7">
        <v>4700000</v>
      </c>
      <c r="Z563" s="1"/>
      <c r="AA563" s="2">
        <f ca="1">DATE(2001,05,01)</f>
        <v>0</v>
      </c>
      <c r="AB563" s="4">
        <v>64.772999999999996</v>
      </c>
      <c r="AC563" s="3">
        <v>180</v>
      </c>
      <c r="AD563" s="8">
        <v>16180889</v>
      </c>
      <c r="AE563" s="1" t="s">
        <v>51</v>
      </c>
      <c r="AF563" s="1" t="s">
        <v>51</v>
      </c>
      <c r="AG563" s="1" t="s">
        <v>51</v>
      </c>
      <c r="AH563" s="1"/>
      <c r="AI563" s="1"/>
      <c r="AJ563" s="3">
        <v>1</v>
      </c>
      <c r="AK563" s="1" t="s">
        <v>52</v>
      </c>
      <c r="AL563" s="3">
        <v>3</v>
      </c>
      <c r="AM563" s="8">
        <v>17.5</v>
      </c>
      <c r="AN563" s="1"/>
      <c r="AO563" s="1" t="s">
        <v>3360</v>
      </c>
      <c r="AP563" s="1" t="s">
        <v>411</v>
      </c>
      <c r="AQ563" s="1" t="s">
        <v>3361</v>
      </c>
      <c r="AR563" s="1" t="s">
        <v>3362</v>
      </c>
    </row>
    <row r="564">
      <c r="A564" s="2">
        <f ca="1">DATE(2000,08,31)</f>
        <v>0</v>
      </c>
      <c r="B564" s="2">
        <f ca="1">DATE(2000,11,03)</f>
        <v>0</v>
      </c>
      <c r="C564" s="1" t="s">
        <v>3363</v>
      </c>
      <c r="D564" s="3">
        <v>3679</v>
      </c>
      <c r="E564" s="1" t="s">
        <v>43</v>
      </c>
      <c r="F564" s="1" t="s">
        <v>3363</v>
      </c>
      <c r="G564" s="1" t="s">
        <v>1583</v>
      </c>
      <c r="H564" s="4">
        <v>0.77000000000000002</v>
      </c>
      <c r="I564" s="4">
        <v>7</v>
      </c>
      <c r="J564" s="5">
        <v>115.5</v>
      </c>
      <c r="K564" s="4">
        <v>11</v>
      </c>
      <c r="L564" s="1" t="s">
        <v>152</v>
      </c>
      <c r="M564" s="1" t="s">
        <v>47</v>
      </c>
      <c r="N564" s="1" t="s">
        <v>3364</v>
      </c>
      <c r="O564" s="1" t="s">
        <v>48</v>
      </c>
      <c r="P564" s="1" t="s">
        <v>3365</v>
      </c>
      <c r="Q564" s="4">
        <v>1.4550000000000001</v>
      </c>
      <c r="R564" s="4">
        <v>1.3640000000000001</v>
      </c>
      <c r="S564" s="6">
        <v>4.1818200000000001</v>
      </c>
      <c r="T564" s="1" t="s">
        <v>50</v>
      </c>
      <c r="U564" s="1"/>
      <c r="V564" s="1"/>
      <c r="W564" s="1"/>
      <c r="X564" s="5">
        <v>115</v>
      </c>
      <c r="Y564" s="7">
        <v>10500000</v>
      </c>
      <c r="Z564" s="1"/>
      <c r="AA564" s="2">
        <f ca="1">DATE(2001,05,02)</f>
        <v>0</v>
      </c>
      <c r="AB564" s="4">
        <v>73.620999999999995</v>
      </c>
      <c r="AC564" s="3">
        <v>180</v>
      </c>
      <c r="AD564" s="8">
        <v>29305040</v>
      </c>
      <c r="AE564" s="1" t="s">
        <v>51</v>
      </c>
      <c r="AF564" s="1" t="s">
        <v>51</v>
      </c>
      <c r="AG564" s="1" t="s">
        <v>51</v>
      </c>
      <c r="AH564" s="1"/>
      <c r="AI564" s="1" t="s">
        <v>3366</v>
      </c>
      <c r="AJ564" s="3">
        <v>1</v>
      </c>
      <c r="AK564" s="1" t="s">
        <v>89</v>
      </c>
      <c r="AL564" s="3">
        <v>4</v>
      </c>
      <c r="AM564" s="8">
        <v>17.879999999999999</v>
      </c>
      <c r="AN564" s="1"/>
      <c r="AO564" s="1" t="s">
        <v>3367</v>
      </c>
      <c r="AP564" s="1" t="s">
        <v>3368</v>
      </c>
      <c r="AQ564" s="1" t="s">
        <v>3369</v>
      </c>
      <c r="AR564" s="1" t="s">
        <v>3370</v>
      </c>
    </row>
    <row r="565">
      <c r="A565" s="2">
        <f ca="1">DATE(2000,08,17)</f>
        <v>0</v>
      </c>
      <c r="B565" s="2">
        <f ca="1">DATE(2000,11,06)</f>
        <v>0</v>
      </c>
      <c r="C565" s="1" t="s">
        <v>3371</v>
      </c>
      <c r="D565" s="3">
        <v>3674</v>
      </c>
      <c r="E565" s="1" t="s">
        <v>43</v>
      </c>
      <c r="F565" s="1" t="s">
        <v>3372</v>
      </c>
      <c r="G565" s="1" t="s">
        <v>106</v>
      </c>
      <c r="H565" s="4">
        <v>1.47</v>
      </c>
      <c r="I565" s="8">
        <v>7</v>
      </c>
      <c r="J565" s="5">
        <v>231</v>
      </c>
      <c r="K565" s="4">
        <v>21</v>
      </c>
      <c r="L565" s="1" t="s">
        <v>46</v>
      </c>
      <c r="M565" s="1" t="s">
        <v>47</v>
      </c>
      <c r="N565" s="1" t="s">
        <v>3373</v>
      </c>
      <c r="O565" s="1" t="s">
        <v>48</v>
      </c>
      <c r="P565" s="1" t="s">
        <v>3374</v>
      </c>
      <c r="Q565" s="4">
        <v>1.381</v>
      </c>
      <c r="R565" s="4">
        <v>1.048</v>
      </c>
      <c r="S565" s="6">
        <v>4.5714300000000003</v>
      </c>
      <c r="T565" s="1" t="s">
        <v>50</v>
      </c>
      <c r="U565" s="1"/>
      <c r="V565" s="1"/>
      <c r="W565" s="1"/>
      <c r="X565" s="1"/>
      <c r="Y565" s="7">
        <v>11000000</v>
      </c>
      <c r="Z565" s="1"/>
      <c r="AA565" s="1"/>
      <c r="AB565" s="1"/>
      <c r="AC565" s="1"/>
      <c r="AD565" s="1"/>
      <c r="AE565" s="1" t="s">
        <v>51</v>
      </c>
      <c r="AF565" s="1" t="s">
        <v>51</v>
      </c>
      <c r="AG565" s="1" t="s">
        <v>47</v>
      </c>
      <c r="AH565" s="1"/>
      <c r="AI565" s="1"/>
      <c r="AJ565" s="3">
        <v>1</v>
      </c>
      <c r="AK565" s="1" t="s">
        <v>89</v>
      </c>
      <c r="AL565" s="3">
        <v>5</v>
      </c>
      <c r="AM565" s="8">
        <v>45.25</v>
      </c>
      <c r="AN565" s="1"/>
      <c r="AO565" s="1" t="s">
        <v>3375</v>
      </c>
      <c r="AP565" s="1" t="s">
        <v>3376</v>
      </c>
      <c r="AQ565" s="1" t="s">
        <v>3377</v>
      </c>
      <c r="AR565" s="1" t="s">
        <v>3378</v>
      </c>
    </row>
    <row r="566">
      <c r="A566" s="2">
        <f ca="1">DATE(2000,08,17)</f>
        <v>0</v>
      </c>
      <c r="B566" s="2">
        <f ca="1">DATE(2000,11,06)</f>
        <v>0</v>
      </c>
      <c r="C566" s="1" t="s">
        <v>3371</v>
      </c>
      <c r="D566" s="3">
        <v>3674</v>
      </c>
      <c r="E566" s="1" t="s">
        <v>43</v>
      </c>
      <c r="F566" s="1" t="s">
        <v>3372</v>
      </c>
      <c r="G566" s="1" t="s">
        <v>106</v>
      </c>
      <c r="H566" s="4">
        <v>1.47</v>
      </c>
      <c r="I566" s="8">
        <v>7</v>
      </c>
      <c r="J566" s="5">
        <v>42</v>
      </c>
      <c r="K566" s="8">
        <v>21</v>
      </c>
      <c r="L566" s="1" t="s">
        <v>58</v>
      </c>
      <c r="M566" s="1" t="s">
        <v>47</v>
      </c>
      <c r="N566" s="1" t="s">
        <v>3379</v>
      </c>
      <c r="O566" s="1" t="s">
        <v>48</v>
      </c>
      <c r="P566" s="1" t="s">
        <v>3380</v>
      </c>
      <c r="Q566" s="1" t="s">
        <v>145</v>
      </c>
      <c r="R566" s="1" t="s">
        <v>145</v>
      </c>
      <c r="S566" s="1"/>
      <c r="T566" s="1" t="s">
        <v>60</v>
      </c>
      <c r="U566" s="1"/>
      <c r="V566" s="1"/>
      <c r="W566" s="1"/>
      <c r="X566" s="1"/>
      <c r="Y566" s="7">
        <v>2000000</v>
      </c>
      <c r="Z566" s="1"/>
      <c r="AA566" s="1"/>
      <c r="AB566" s="1"/>
      <c r="AC566" s="1"/>
      <c r="AD566" s="1"/>
      <c r="AE566" s="1" t="s">
        <v>51</v>
      </c>
      <c r="AF566" s="1" t="s">
        <v>51</v>
      </c>
      <c r="AG566" s="1" t="s">
        <v>47</v>
      </c>
      <c r="AH566" s="1"/>
      <c r="AI566" s="1"/>
      <c r="AJ566" s="3">
        <v>1</v>
      </c>
      <c r="AK566" s="1" t="s">
        <v>52</v>
      </c>
      <c r="AL566" s="3">
        <v>2</v>
      </c>
      <c r="AM566" s="1"/>
      <c r="AN566" s="1"/>
      <c r="AO566" s="1" t="s">
        <v>3381</v>
      </c>
      <c r="AP566" s="1" t="s">
        <v>106</v>
      </c>
      <c r="AQ566" s="1" t="s">
        <v>3382</v>
      </c>
      <c r="AR566" s="1" t="s">
        <v>3383</v>
      </c>
    </row>
    <row r="567">
      <c r="A567" s="2">
        <f ca="1">DATE(2000,10,23)</f>
        <v>0</v>
      </c>
      <c r="B567" s="2">
        <f ca="1">DATE(2000,11,08)</f>
        <v>0</v>
      </c>
      <c r="C567" s="1" t="s">
        <v>3384</v>
      </c>
      <c r="D567" s="3">
        <v>3823</v>
      </c>
      <c r="E567" s="1" t="s">
        <v>3385</v>
      </c>
      <c r="F567" s="1" t="s">
        <v>3386</v>
      </c>
      <c r="G567" s="1" t="s">
        <v>239</v>
      </c>
      <c r="H567" s="4">
        <v>0.88600000000000001</v>
      </c>
      <c r="I567" s="8">
        <v>7</v>
      </c>
      <c r="J567" s="5">
        <v>29.5</v>
      </c>
      <c r="K567" s="4">
        <v>12.66</v>
      </c>
      <c r="L567" s="1" t="s">
        <v>651</v>
      </c>
      <c r="M567" s="1" t="s">
        <v>47</v>
      </c>
      <c r="N567" s="1" t="s">
        <v>3387</v>
      </c>
      <c r="O567" s="1" t="s">
        <v>48</v>
      </c>
      <c r="P567" s="1" t="s">
        <v>3388</v>
      </c>
      <c r="Q567" s="4">
        <v>1.3999999999999999</v>
      </c>
      <c r="R567" s="4">
        <v>1.3999999999999999</v>
      </c>
      <c r="S567" s="8">
        <v>4.2000000000000002</v>
      </c>
      <c r="T567" s="1" t="s">
        <v>50</v>
      </c>
      <c r="U567" s="1"/>
      <c r="V567" s="1"/>
      <c r="W567" s="7">
        <v>1500000</v>
      </c>
      <c r="X567" s="5">
        <v>50</v>
      </c>
      <c r="Y567" s="7">
        <v>422782</v>
      </c>
      <c r="Z567" s="7">
        <v>1907218</v>
      </c>
      <c r="AA567" s="2">
        <f ca="1">DATE(2001,11,08)</f>
        <v>0</v>
      </c>
      <c r="AB567" s="1"/>
      <c r="AC567" s="3">
        <v>365</v>
      </c>
      <c r="AD567" s="1"/>
      <c r="AE567" s="1" t="s">
        <v>47</v>
      </c>
      <c r="AF567" s="1" t="s">
        <v>51</v>
      </c>
      <c r="AG567" s="1" t="s">
        <v>51</v>
      </c>
      <c r="AH567" s="1" t="s">
        <v>3389</v>
      </c>
      <c r="AI567" s="1" t="s">
        <v>3390</v>
      </c>
      <c r="AJ567" s="3">
        <v>1</v>
      </c>
      <c r="AK567" s="1" t="s">
        <v>52</v>
      </c>
      <c r="AL567" s="3">
        <v>2</v>
      </c>
      <c r="AM567" s="8">
        <v>12.5</v>
      </c>
      <c r="AN567" s="1"/>
      <c r="AO567" s="1" t="s">
        <v>3391</v>
      </c>
      <c r="AP567" s="1" t="s">
        <v>239</v>
      </c>
      <c r="AQ567" s="1" t="s">
        <v>3392</v>
      </c>
      <c r="AR567" s="1" t="s">
        <v>3393</v>
      </c>
    </row>
    <row r="568">
      <c r="A568" s="2">
        <f ca="1">DATE(1999,12,15)</f>
        <v>0</v>
      </c>
      <c r="B568" s="2">
        <f ca="1">DATE(2000,11,09)</f>
        <v>0</v>
      </c>
      <c r="C568" s="1" t="s">
        <v>3394</v>
      </c>
      <c r="D568" s="3">
        <v>5961</v>
      </c>
      <c r="E568" s="1" t="s">
        <v>43</v>
      </c>
      <c r="F568" s="1" t="s">
        <v>3395</v>
      </c>
      <c r="G568" s="1" t="s">
        <v>3396</v>
      </c>
      <c r="H568" s="4">
        <v>0.78800000000000003</v>
      </c>
      <c r="I568" s="4">
        <v>10</v>
      </c>
      <c r="J568" s="5">
        <v>7.9000000000000004</v>
      </c>
      <c r="K568" s="4">
        <v>7.875</v>
      </c>
      <c r="L568" s="1" t="s">
        <v>46</v>
      </c>
      <c r="M568" s="1" t="s">
        <v>47</v>
      </c>
      <c r="N568" s="3">
        <v>380193102</v>
      </c>
      <c r="O568" s="1" t="s">
        <v>698</v>
      </c>
      <c r="P568" s="1" t="s">
        <v>3397</v>
      </c>
      <c r="Q568" s="1" t="s">
        <v>145</v>
      </c>
      <c r="R568" s="1" t="s">
        <v>145</v>
      </c>
      <c r="S568" s="1"/>
      <c r="T568" s="1" t="s">
        <v>50</v>
      </c>
      <c r="U568" s="8">
        <v>7</v>
      </c>
      <c r="V568" s="8">
        <v>6</v>
      </c>
      <c r="W568" s="7">
        <v>1000000</v>
      </c>
      <c r="X568" s="5">
        <v>6.5</v>
      </c>
      <c r="Y568" s="7">
        <v>1000000</v>
      </c>
      <c r="Z568" s="1"/>
      <c r="AA568" s="2">
        <f ca="1">DATE(2002,05,03)</f>
        <v>0</v>
      </c>
      <c r="AB568" s="4">
        <v>49.875</v>
      </c>
      <c r="AC568" s="3">
        <v>540</v>
      </c>
      <c r="AD568" s="8">
        <v>3000000</v>
      </c>
      <c r="AE568" s="1" t="s">
        <v>51</v>
      </c>
      <c r="AF568" s="1" t="s">
        <v>51</v>
      </c>
      <c r="AG568" s="1" t="s">
        <v>51</v>
      </c>
      <c r="AH568" s="1"/>
      <c r="AI568" s="1"/>
      <c r="AJ568" s="3">
        <v>1</v>
      </c>
      <c r="AK568" s="1" t="s">
        <v>52</v>
      </c>
      <c r="AL568" s="3">
        <v>1</v>
      </c>
      <c r="AM568" s="8">
        <v>7.25</v>
      </c>
      <c r="AN568" s="1"/>
      <c r="AO568" s="1" t="s">
        <v>3398</v>
      </c>
      <c r="AP568" s="1" t="s">
        <v>3396</v>
      </c>
      <c r="AQ568" s="1" t="s">
        <v>3396</v>
      </c>
      <c r="AR568" s="1" t="s">
        <v>3399</v>
      </c>
    </row>
    <row r="569">
      <c r="A569" s="2">
        <f ca="1">DATE(2000,07,26)</f>
        <v>0</v>
      </c>
      <c r="B569" s="2">
        <f ca="1">DATE(2000,11,09)</f>
        <v>0</v>
      </c>
      <c r="C569" s="1" t="s">
        <v>3400</v>
      </c>
      <c r="D569" s="3">
        <v>3674</v>
      </c>
      <c r="E569" s="1" t="s">
        <v>43</v>
      </c>
      <c r="F569" s="1"/>
      <c r="G569" s="1" t="s">
        <v>239</v>
      </c>
      <c r="H569" s="4">
        <v>0.83999999999999997</v>
      </c>
      <c r="I569" s="8">
        <v>7</v>
      </c>
      <c r="J569" s="5">
        <v>112.3</v>
      </c>
      <c r="K569" s="4">
        <v>12</v>
      </c>
      <c r="L569" s="1" t="s">
        <v>46</v>
      </c>
      <c r="M569" s="1" t="s">
        <v>47</v>
      </c>
      <c r="N569" s="1" t="s">
        <v>3401</v>
      </c>
      <c r="O569" s="1"/>
      <c r="P569" s="1" t="s">
        <v>3402</v>
      </c>
      <c r="Q569" s="4">
        <v>1.417</v>
      </c>
      <c r="R569" s="4">
        <v>1.417</v>
      </c>
      <c r="S569" s="6">
        <v>4.1666699999999999</v>
      </c>
      <c r="T569" s="1" t="s">
        <v>50</v>
      </c>
      <c r="U569" s="1"/>
      <c r="V569" s="1"/>
      <c r="W569" s="1"/>
      <c r="X569" s="5">
        <v>207</v>
      </c>
      <c r="Y569" s="7">
        <v>9360000</v>
      </c>
      <c r="Z569" s="1"/>
      <c r="AA569" s="1"/>
      <c r="AB569" s="1"/>
      <c r="AC569" s="1"/>
      <c r="AD569" s="1"/>
      <c r="AE569" s="1" t="s">
        <v>51</v>
      </c>
      <c r="AF569" s="1" t="s">
        <v>51</v>
      </c>
      <c r="AG569" s="1" t="s">
        <v>51</v>
      </c>
      <c r="AH569" s="1" t="s">
        <v>3403</v>
      </c>
      <c r="AI569" s="1" t="s">
        <v>3404</v>
      </c>
      <c r="AJ569" s="3">
        <v>1</v>
      </c>
      <c r="AK569" s="1" t="s">
        <v>52</v>
      </c>
      <c r="AL569" s="3">
        <v>5</v>
      </c>
      <c r="AM569" s="8">
        <v>12.130000000000001</v>
      </c>
      <c r="AN569" s="1"/>
      <c r="AO569" s="1" t="s">
        <v>3405</v>
      </c>
      <c r="AP569" s="1" t="s">
        <v>239</v>
      </c>
      <c r="AQ569" s="1" t="s">
        <v>3406</v>
      </c>
      <c r="AR569" s="1" t="s">
        <v>3407</v>
      </c>
    </row>
    <row r="570">
      <c r="A570" s="2">
        <f ca="1">DATE(2000,10,05)</f>
        <v>0</v>
      </c>
      <c r="B570" s="2">
        <f ca="1">DATE(2000,11,09)</f>
        <v>0</v>
      </c>
      <c r="C570" s="1" t="s">
        <v>3400</v>
      </c>
      <c r="D570" s="3">
        <v>3674</v>
      </c>
      <c r="E570" s="1" t="s">
        <v>43</v>
      </c>
      <c r="F570" s="1"/>
      <c r="G570" s="1" t="s">
        <v>667</v>
      </c>
      <c r="H570" s="4">
        <v>0.83999999999999997</v>
      </c>
      <c r="I570" s="8">
        <v>7</v>
      </c>
      <c r="J570" s="5">
        <v>31.699999999999999</v>
      </c>
      <c r="K570" s="8">
        <v>12</v>
      </c>
      <c r="L570" s="1" t="s">
        <v>58</v>
      </c>
      <c r="M570" s="1" t="s">
        <v>47</v>
      </c>
      <c r="N570" s="1"/>
      <c r="O570" s="1"/>
      <c r="P570" s="1" t="s">
        <v>3408</v>
      </c>
      <c r="Q570" s="4">
        <v>1.4159999999999999</v>
      </c>
      <c r="R570" s="4">
        <v>1.4159999999999999</v>
      </c>
      <c r="S570" s="8">
        <v>4.1600000000000001</v>
      </c>
      <c r="T570" s="1" t="s">
        <v>60</v>
      </c>
      <c r="U570" s="1"/>
      <c r="V570" s="1"/>
      <c r="W570" s="1"/>
      <c r="X570" s="1"/>
      <c r="Y570" s="7">
        <v>2640000</v>
      </c>
      <c r="Z570" s="1"/>
      <c r="AA570" s="1"/>
      <c r="AB570" s="1"/>
      <c r="AC570" s="1"/>
      <c r="AD570" s="1"/>
      <c r="AE570" s="1" t="s">
        <v>51</v>
      </c>
      <c r="AF570" s="1" t="s">
        <v>51</v>
      </c>
      <c r="AG570" s="1" t="s">
        <v>51</v>
      </c>
      <c r="AH570" s="1" t="s">
        <v>3403</v>
      </c>
      <c r="AI570" s="1" t="s">
        <v>3404</v>
      </c>
      <c r="AJ570" s="3">
        <v>1</v>
      </c>
      <c r="AK570" s="1" t="s">
        <v>52</v>
      </c>
      <c r="AL570" s="3">
        <v>1</v>
      </c>
      <c r="AM570" s="1"/>
      <c r="AN570" s="1"/>
      <c r="AO570" s="1" t="s">
        <v>3409</v>
      </c>
      <c r="AP570" s="1" t="s">
        <v>667</v>
      </c>
      <c r="AQ570" s="1" t="s">
        <v>667</v>
      </c>
      <c r="AR570" s="1" t="s">
        <v>1580</v>
      </c>
    </row>
    <row r="571">
      <c r="A571" s="2">
        <f ca="1">DATE(2000,08,25)</f>
        <v>0</v>
      </c>
      <c r="B571" s="2">
        <f ca="1">DATE(2000,11,10)</f>
        <v>0</v>
      </c>
      <c r="C571" s="1" t="s">
        <v>3410</v>
      </c>
      <c r="D571" s="3">
        <v>3841</v>
      </c>
      <c r="E571" s="1" t="s">
        <v>43</v>
      </c>
      <c r="F571" s="1" t="s">
        <v>3411</v>
      </c>
      <c r="G571" s="1" t="s">
        <v>387</v>
      </c>
      <c r="H571" s="4">
        <v>0.83999999999999997</v>
      </c>
      <c r="I571" s="8">
        <v>7</v>
      </c>
      <c r="J571" s="5">
        <v>43.200000000000003</v>
      </c>
      <c r="K571" s="4">
        <v>12</v>
      </c>
      <c r="L571" s="1" t="s">
        <v>46</v>
      </c>
      <c r="M571" s="1" t="s">
        <v>47</v>
      </c>
      <c r="N571" s="1" t="s">
        <v>3412</v>
      </c>
      <c r="O571" s="1" t="s">
        <v>48</v>
      </c>
      <c r="P571" s="1" t="s">
        <v>3413</v>
      </c>
      <c r="Q571" s="4">
        <v>1.417</v>
      </c>
      <c r="R571" s="4">
        <v>1.417</v>
      </c>
      <c r="S571" s="6">
        <v>4.1666699999999999</v>
      </c>
      <c r="T571" s="1" t="s">
        <v>50</v>
      </c>
      <c r="U571" s="1"/>
      <c r="V571" s="1"/>
      <c r="W571" s="1"/>
      <c r="X571" s="5">
        <v>57.5</v>
      </c>
      <c r="Y571" s="7">
        <v>3600000</v>
      </c>
      <c r="Z571" s="1"/>
      <c r="AA571" s="2">
        <f ca="1">DATE(2001,02,08)</f>
        <v>0</v>
      </c>
      <c r="AB571" s="4">
        <v>81.513999999999996</v>
      </c>
      <c r="AC571" s="3">
        <v>90</v>
      </c>
      <c r="AD571" s="8">
        <v>15794683</v>
      </c>
      <c r="AE571" s="1" t="s">
        <v>51</v>
      </c>
      <c r="AF571" s="1" t="s">
        <v>51</v>
      </c>
      <c r="AG571" s="1" t="s">
        <v>47</v>
      </c>
      <c r="AH571" s="1"/>
      <c r="AI571" s="1"/>
      <c r="AJ571" s="3">
        <v>1</v>
      </c>
      <c r="AK571" s="1" t="s">
        <v>52</v>
      </c>
      <c r="AL571" s="3">
        <v>3</v>
      </c>
      <c r="AM571" s="8">
        <v>12</v>
      </c>
      <c r="AN571" s="1"/>
      <c r="AO571" s="1" t="s">
        <v>3414</v>
      </c>
      <c r="AP571" s="1" t="s">
        <v>387</v>
      </c>
      <c r="AQ571" s="1" t="s">
        <v>3415</v>
      </c>
      <c r="AR571" s="1" t="s">
        <v>3416</v>
      </c>
    </row>
    <row r="572">
      <c r="A572" s="2">
        <f ca="1">DATE(2000,08,16)</f>
        <v>0</v>
      </c>
      <c r="B572" s="2">
        <f ca="1">DATE(2000,11,10)</f>
        <v>0</v>
      </c>
      <c r="C572" s="1" t="s">
        <v>3417</v>
      </c>
      <c r="D572" s="3">
        <v>3825</v>
      </c>
      <c r="E572" s="1" t="s">
        <v>43</v>
      </c>
      <c r="F572" s="1" t="s">
        <v>3418</v>
      </c>
      <c r="G572" s="1" t="s">
        <v>122</v>
      </c>
      <c r="H572" s="4">
        <v>0.83999999999999997</v>
      </c>
      <c r="I572" s="8">
        <v>7</v>
      </c>
      <c r="J572" s="5">
        <v>42</v>
      </c>
      <c r="K572" s="4">
        <v>12</v>
      </c>
      <c r="L572" s="1" t="s">
        <v>46</v>
      </c>
      <c r="M572" s="1" t="s">
        <v>47</v>
      </c>
      <c r="N572" s="3">
        <v>204853105</v>
      </c>
      <c r="O572" s="1" t="s">
        <v>48</v>
      </c>
      <c r="P572" s="1" t="s">
        <v>3419</v>
      </c>
      <c r="Q572" s="4">
        <v>1.417</v>
      </c>
      <c r="R572" s="4">
        <v>1.417</v>
      </c>
      <c r="S572" s="6">
        <v>4.1666699999999999</v>
      </c>
      <c r="T572" s="1" t="s">
        <v>50</v>
      </c>
      <c r="U572" s="1"/>
      <c r="V572" s="1"/>
      <c r="W572" s="1"/>
      <c r="X572" s="5">
        <v>52.299999999999997</v>
      </c>
      <c r="Y572" s="7">
        <v>3500000</v>
      </c>
      <c r="Z572" s="1"/>
      <c r="AA572" s="2">
        <f ca="1">DATE(2001,05,09)</f>
        <v>0</v>
      </c>
      <c r="AB572" s="4">
        <v>80.959999999999994</v>
      </c>
      <c r="AC572" s="3">
        <v>180</v>
      </c>
      <c r="AD572" s="8">
        <v>14882254</v>
      </c>
      <c r="AE572" s="1" t="s">
        <v>51</v>
      </c>
      <c r="AF572" s="1" t="s">
        <v>51</v>
      </c>
      <c r="AG572" s="1" t="s">
        <v>51</v>
      </c>
      <c r="AH572" s="1"/>
      <c r="AI572" s="1"/>
      <c r="AJ572" s="3">
        <v>1</v>
      </c>
      <c r="AK572" s="1" t="s">
        <v>52</v>
      </c>
      <c r="AL572" s="3">
        <v>4</v>
      </c>
      <c r="AM572" s="8">
        <v>15.44</v>
      </c>
      <c r="AN572" s="1"/>
      <c r="AO572" s="1" t="s">
        <v>3420</v>
      </c>
      <c r="AP572" s="1" t="s">
        <v>122</v>
      </c>
      <c r="AQ572" s="1" t="s">
        <v>3421</v>
      </c>
      <c r="AR572" s="1" t="s">
        <v>3422</v>
      </c>
    </row>
    <row r="573">
      <c r="A573" s="2">
        <f ca="1">DATE(2000,02,08)</f>
        <v>0</v>
      </c>
      <c r="B573" s="2">
        <f ca="1">DATE(2000,11,13)</f>
        <v>0</v>
      </c>
      <c r="C573" s="1" t="s">
        <v>3423</v>
      </c>
      <c r="D573" s="3">
        <v>2836</v>
      </c>
      <c r="E573" s="1" t="s">
        <v>43</v>
      </c>
      <c r="F573" s="1" t="s">
        <v>3424</v>
      </c>
      <c r="G573" s="1" t="s">
        <v>45</v>
      </c>
      <c r="H573" s="4">
        <v>1.05</v>
      </c>
      <c r="I573" s="4">
        <v>7</v>
      </c>
      <c r="J573" s="5">
        <v>81</v>
      </c>
      <c r="K573" s="4">
        <v>15</v>
      </c>
      <c r="L573" s="1" t="s">
        <v>46</v>
      </c>
      <c r="M573" s="1" t="s">
        <v>47</v>
      </c>
      <c r="N573" s="1" t="s">
        <v>3425</v>
      </c>
      <c r="O573" s="1" t="s">
        <v>48</v>
      </c>
      <c r="P573" s="1" t="s">
        <v>3426</v>
      </c>
      <c r="Q573" s="4">
        <v>1.3999999999999999</v>
      </c>
      <c r="R573" s="4">
        <v>1.3999999999999999</v>
      </c>
      <c r="S573" s="8">
        <v>4.2000000000000002</v>
      </c>
      <c r="T573" s="1" t="s">
        <v>50</v>
      </c>
      <c r="U573" s="8">
        <v>14</v>
      </c>
      <c r="V573" s="8">
        <v>12</v>
      </c>
      <c r="W573" s="7">
        <v>6000000</v>
      </c>
      <c r="X573" s="5">
        <v>78</v>
      </c>
      <c r="Y573" s="7">
        <v>5401770</v>
      </c>
      <c r="Z573" s="1"/>
      <c r="AA573" s="1"/>
      <c r="AB573" s="1"/>
      <c r="AC573" s="1"/>
      <c r="AD573" s="1"/>
      <c r="AE573" s="1" t="s">
        <v>51</v>
      </c>
      <c r="AF573" s="1" t="s">
        <v>51</v>
      </c>
      <c r="AG573" s="1" t="s">
        <v>47</v>
      </c>
      <c r="AH573" s="1"/>
      <c r="AI573" s="1"/>
      <c r="AJ573" s="3">
        <v>1</v>
      </c>
      <c r="AK573" s="1" t="s">
        <v>89</v>
      </c>
      <c r="AL573" s="3">
        <v>3</v>
      </c>
      <c r="AM573" s="8">
        <v>17.379999999999999</v>
      </c>
      <c r="AN573" s="1"/>
      <c r="AO573" s="1" t="s">
        <v>3427</v>
      </c>
      <c r="AP573" s="1" t="s">
        <v>3428</v>
      </c>
      <c r="AQ573" s="1" t="s">
        <v>3429</v>
      </c>
      <c r="AR573" s="1" t="s">
        <v>3430</v>
      </c>
    </row>
    <row r="574">
      <c r="A574" s="2">
        <f ca="1">DATE(2000,11,01)</f>
        <v>0</v>
      </c>
      <c r="B574" s="2">
        <f ca="1">DATE(2000,11,13)</f>
        <v>0</v>
      </c>
      <c r="C574" s="1" t="s">
        <v>3423</v>
      </c>
      <c r="D574" s="3">
        <v>2836</v>
      </c>
      <c r="E574" s="1" t="s">
        <v>43</v>
      </c>
      <c r="F574" s="1" t="s">
        <v>3424</v>
      </c>
      <c r="G574" s="1" t="s">
        <v>45</v>
      </c>
      <c r="H574" s="4">
        <v>1.05</v>
      </c>
      <c r="I574" s="4">
        <v>7</v>
      </c>
      <c r="J574" s="5">
        <v>9</v>
      </c>
      <c r="K574" s="8">
        <v>15</v>
      </c>
      <c r="L574" s="1" t="s">
        <v>58</v>
      </c>
      <c r="M574" s="1" t="s">
        <v>47</v>
      </c>
      <c r="N574" s="1" t="s">
        <v>3425</v>
      </c>
      <c r="O574" s="1" t="s">
        <v>48</v>
      </c>
      <c r="P574" s="1" t="s">
        <v>3431</v>
      </c>
      <c r="Q574" s="4">
        <v>1.3999999999999999</v>
      </c>
      <c r="R574" s="4">
        <v>1.3999999999999999</v>
      </c>
      <c r="S574" s="8">
        <v>4.2000000000000002</v>
      </c>
      <c r="T574" s="1" t="s">
        <v>60</v>
      </c>
      <c r="U574" s="8">
        <v>14</v>
      </c>
      <c r="V574" s="8">
        <v>12</v>
      </c>
      <c r="W574" s="1"/>
      <c r="X574" s="1"/>
      <c r="Y574" s="7">
        <v>598230</v>
      </c>
      <c r="Z574" s="1"/>
      <c r="AA574" s="1"/>
      <c r="AB574" s="1"/>
      <c r="AC574" s="1"/>
      <c r="AD574" s="1"/>
      <c r="AE574" s="1" t="s">
        <v>51</v>
      </c>
      <c r="AF574" s="1" t="s">
        <v>51</v>
      </c>
      <c r="AG574" s="1" t="s">
        <v>47</v>
      </c>
      <c r="AH574" s="1"/>
      <c r="AI574" s="1"/>
      <c r="AJ574" s="3">
        <v>1</v>
      </c>
      <c r="AK574" s="1" t="s">
        <v>89</v>
      </c>
      <c r="AL574" s="3">
        <v>2</v>
      </c>
      <c r="AM574" s="1"/>
      <c r="AN574" s="1"/>
      <c r="AO574" s="1" t="s">
        <v>3432</v>
      </c>
      <c r="AP574" s="1" t="s">
        <v>3428</v>
      </c>
      <c r="AQ574" s="1" t="s">
        <v>3433</v>
      </c>
      <c r="AR574" s="1" t="s">
        <v>3434</v>
      </c>
    </row>
    <row r="575">
      <c r="A575" s="2">
        <f ca="1">DATE(2000,08,18)</f>
        <v>0</v>
      </c>
      <c r="B575" s="2">
        <f ca="1">DATE(2000,11,13)</f>
        <v>0</v>
      </c>
      <c r="C575" s="1" t="s">
        <v>3435</v>
      </c>
      <c r="D575" s="3">
        <v>4911</v>
      </c>
      <c r="E575" s="1" t="s">
        <v>43</v>
      </c>
      <c r="F575" s="1" t="s">
        <v>3436</v>
      </c>
      <c r="G575" s="1" t="s">
        <v>160</v>
      </c>
      <c r="H575" s="4">
        <v>1.25</v>
      </c>
      <c r="I575" s="4">
        <v>6.25</v>
      </c>
      <c r="J575" s="5">
        <v>481.19999999999999</v>
      </c>
      <c r="K575" s="4">
        <v>20</v>
      </c>
      <c r="L575" s="1" t="s">
        <v>46</v>
      </c>
      <c r="M575" s="1" t="s">
        <v>47</v>
      </c>
      <c r="N575" s="3">
        <v>686286105</v>
      </c>
      <c r="O575" s="1" t="s">
        <v>108</v>
      </c>
      <c r="P575" s="1" t="s">
        <v>3437</v>
      </c>
      <c r="Q575" s="4">
        <v>1.25</v>
      </c>
      <c r="R575" s="4">
        <v>1.25</v>
      </c>
      <c r="S575" s="8">
        <v>3.75</v>
      </c>
      <c r="T575" s="1" t="s">
        <v>50</v>
      </c>
      <c r="U575" s="1"/>
      <c r="V575" s="1"/>
      <c r="W575" s="1"/>
      <c r="X575" s="5">
        <v>287.5</v>
      </c>
      <c r="Y575" s="7">
        <v>21242829</v>
      </c>
      <c r="Z575" s="7">
        <v>2818171</v>
      </c>
      <c r="AA575" s="1"/>
      <c r="AB575" s="1"/>
      <c r="AC575" s="1"/>
      <c r="AD575" s="1"/>
      <c r="AE575" s="1" t="s">
        <v>51</v>
      </c>
      <c r="AF575" s="1" t="s">
        <v>51</v>
      </c>
      <c r="AG575" s="1" t="s">
        <v>51</v>
      </c>
      <c r="AH575" s="1"/>
      <c r="AI575" s="1"/>
      <c r="AJ575" s="3">
        <v>1</v>
      </c>
      <c r="AK575" s="1" t="s">
        <v>52</v>
      </c>
      <c r="AL575" s="3">
        <v>5</v>
      </c>
      <c r="AM575" s="8">
        <v>20</v>
      </c>
      <c r="AN575" s="1"/>
      <c r="AO575" s="1" t="s">
        <v>3438</v>
      </c>
      <c r="AP575" s="1" t="s">
        <v>160</v>
      </c>
      <c r="AQ575" s="1" t="s">
        <v>3439</v>
      </c>
      <c r="AR575" s="1" t="s">
        <v>3440</v>
      </c>
    </row>
    <row r="576">
      <c r="A576" s="2">
        <f ca="1">DATE(2000,08,18)</f>
        <v>0</v>
      </c>
      <c r="B576" s="2">
        <f ca="1">DATE(2000,11,13)</f>
        <v>0</v>
      </c>
      <c r="C576" s="1" t="s">
        <v>3435</v>
      </c>
      <c r="D576" s="3">
        <v>4911</v>
      </c>
      <c r="E576" s="1" t="s">
        <v>43</v>
      </c>
      <c r="F576" s="1" t="s">
        <v>3436</v>
      </c>
      <c r="G576" s="1" t="s">
        <v>160</v>
      </c>
      <c r="H576" s="4">
        <v>1.25</v>
      </c>
      <c r="I576" s="4">
        <v>6.25</v>
      </c>
      <c r="J576" s="5">
        <v>68.799999999999997</v>
      </c>
      <c r="K576" s="8">
        <v>20</v>
      </c>
      <c r="L576" s="1" t="s">
        <v>58</v>
      </c>
      <c r="M576" s="1" t="s">
        <v>47</v>
      </c>
      <c r="N576" s="3">
        <v>686286105</v>
      </c>
      <c r="O576" s="1" t="s">
        <v>108</v>
      </c>
      <c r="P576" s="1" t="s">
        <v>3441</v>
      </c>
      <c r="Q576" s="4">
        <v>1.25</v>
      </c>
      <c r="R576" s="4">
        <v>1.25</v>
      </c>
      <c r="S576" s="4">
        <v>0.375</v>
      </c>
      <c r="T576" s="1" t="s">
        <v>60</v>
      </c>
      <c r="U576" s="1"/>
      <c r="V576" s="1"/>
      <c r="W576" s="1"/>
      <c r="X576" s="1"/>
      <c r="Y576" s="7">
        <v>3036203</v>
      </c>
      <c r="Z576" s="7">
        <v>402797</v>
      </c>
      <c r="AA576" s="1"/>
      <c r="AB576" s="1"/>
      <c r="AC576" s="1"/>
      <c r="AD576" s="1"/>
      <c r="AE576" s="1" t="s">
        <v>51</v>
      </c>
      <c r="AF576" s="1" t="s">
        <v>51</v>
      </c>
      <c r="AG576" s="1" t="s">
        <v>51</v>
      </c>
      <c r="AH576" s="1"/>
      <c r="AI576" s="1"/>
      <c r="AJ576" s="3">
        <v>1</v>
      </c>
      <c r="AK576" s="1" t="s">
        <v>52</v>
      </c>
      <c r="AL576" s="3">
        <v>1</v>
      </c>
      <c r="AM576" s="1"/>
      <c r="AN576" s="1"/>
      <c r="AO576" s="1" t="s">
        <v>3442</v>
      </c>
      <c r="AP576" s="1" t="s">
        <v>160</v>
      </c>
      <c r="AQ576" s="1" t="s">
        <v>160</v>
      </c>
      <c r="AR576" s="1" t="s">
        <v>187</v>
      </c>
    </row>
    <row r="577">
      <c r="A577" s="2">
        <f ca="1">DATE(2000,07,28)</f>
        <v>0</v>
      </c>
      <c r="B577" s="2">
        <f ca="1">DATE(2000,11,15)</f>
        <v>0</v>
      </c>
      <c r="C577" s="1" t="s">
        <v>3443</v>
      </c>
      <c r="D577" s="3">
        <v>3661</v>
      </c>
      <c r="E577" s="1" t="s">
        <v>43</v>
      </c>
      <c r="F577" s="1" t="s">
        <v>3444</v>
      </c>
      <c r="G577" s="1" t="s">
        <v>239</v>
      </c>
      <c r="H577" s="4">
        <v>0.56000000000000005</v>
      </c>
      <c r="I577" s="4">
        <v>7</v>
      </c>
      <c r="J577" s="5">
        <v>43.100000000000001</v>
      </c>
      <c r="K577" s="4">
        <v>8</v>
      </c>
      <c r="L577" s="1" t="s">
        <v>46</v>
      </c>
      <c r="M577" s="1" t="s">
        <v>47</v>
      </c>
      <c r="N577" s="1" t="s">
        <v>3445</v>
      </c>
      <c r="O577" s="1" t="s">
        <v>48</v>
      </c>
      <c r="P577" s="1" t="s">
        <v>3446</v>
      </c>
      <c r="Q577" s="4">
        <v>1.375</v>
      </c>
      <c r="R577" s="4">
        <v>1.375</v>
      </c>
      <c r="S577" s="8">
        <v>4.25</v>
      </c>
      <c r="T577" s="1" t="s">
        <v>50</v>
      </c>
      <c r="U577" s="1"/>
      <c r="V577" s="1"/>
      <c r="W577" s="1"/>
      <c r="X577" s="5">
        <v>105</v>
      </c>
      <c r="Y577" s="7">
        <v>5390000</v>
      </c>
      <c r="Z577" s="1"/>
      <c r="AA577" s="1"/>
      <c r="AB577" s="1"/>
      <c r="AC577" s="1"/>
      <c r="AD577" s="1"/>
      <c r="AE577" s="1" t="s">
        <v>51</v>
      </c>
      <c r="AF577" s="1" t="s">
        <v>51</v>
      </c>
      <c r="AG577" s="1" t="s">
        <v>47</v>
      </c>
      <c r="AH577" s="1"/>
      <c r="AI577" s="1"/>
      <c r="AJ577" s="3">
        <v>1</v>
      </c>
      <c r="AK577" s="1" t="s">
        <v>52</v>
      </c>
      <c r="AL577" s="3">
        <v>3</v>
      </c>
      <c r="AM577" s="8">
        <v>9</v>
      </c>
      <c r="AN577" s="1"/>
      <c r="AO577" s="1" t="s">
        <v>3447</v>
      </c>
      <c r="AP577" s="1" t="s">
        <v>239</v>
      </c>
      <c r="AQ577" s="1" t="s">
        <v>3448</v>
      </c>
      <c r="AR577" s="1" t="s">
        <v>3449</v>
      </c>
    </row>
    <row r="578">
      <c r="A578" s="2">
        <f ca="1">DATE(2000,07,28)</f>
        <v>0</v>
      </c>
      <c r="B578" s="2">
        <f ca="1">DATE(2000,11,15)</f>
        <v>0</v>
      </c>
      <c r="C578" s="1" t="s">
        <v>3443</v>
      </c>
      <c r="D578" s="3">
        <v>3661</v>
      </c>
      <c r="E578" s="1" t="s">
        <v>43</v>
      </c>
      <c r="F578" s="1" t="s">
        <v>3444</v>
      </c>
      <c r="G578" s="1" t="s">
        <v>667</v>
      </c>
      <c r="H578" s="4">
        <v>0.56000000000000005</v>
      </c>
      <c r="I578" s="4">
        <v>7</v>
      </c>
      <c r="J578" s="5">
        <v>12.9</v>
      </c>
      <c r="K578" s="8">
        <v>8</v>
      </c>
      <c r="L578" s="1" t="s">
        <v>58</v>
      </c>
      <c r="M578" s="1" t="s">
        <v>47</v>
      </c>
      <c r="N578" s="1" t="s">
        <v>3445</v>
      </c>
      <c r="O578" s="1" t="s">
        <v>48</v>
      </c>
      <c r="P578" s="1" t="s">
        <v>3450</v>
      </c>
      <c r="Q578" s="4">
        <v>1.375</v>
      </c>
      <c r="R578" s="4">
        <v>1.375</v>
      </c>
      <c r="S578" s="8">
        <v>4.25</v>
      </c>
      <c r="T578" s="1" t="s">
        <v>60</v>
      </c>
      <c r="U578" s="1"/>
      <c r="V578" s="1"/>
      <c r="W578" s="1"/>
      <c r="X578" s="1"/>
      <c r="Y578" s="7">
        <v>1610000</v>
      </c>
      <c r="Z578" s="1"/>
      <c r="AA578" s="1"/>
      <c r="AB578" s="1"/>
      <c r="AC578" s="1"/>
      <c r="AD578" s="1"/>
      <c r="AE578" s="1" t="s">
        <v>51</v>
      </c>
      <c r="AF578" s="1" t="s">
        <v>51</v>
      </c>
      <c r="AG578" s="1" t="s">
        <v>47</v>
      </c>
      <c r="AH578" s="1"/>
      <c r="AI578" s="1"/>
      <c r="AJ578" s="3">
        <v>1</v>
      </c>
      <c r="AK578" s="1" t="s">
        <v>52</v>
      </c>
      <c r="AL578" s="3">
        <v>3</v>
      </c>
      <c r="AM578" s="1"/>
      <c r="AN578" s="1"/>
      <c r="AO578" s="1" t="s">
        <v>3451</v>
      </c>
      <c r="AP578" s="1" t="s">
        <v>667</v>
      </c>
      <c r="AQ578" s="1" t="s">
        <v>3452</v>
      </c>
      <c r="AR578" s="1" t="s">
        <v>3453</v>
      </c>
    </row>
    <row r="579">
      <c r="A579" s="2">
        <f ca="1">DATE(2000,08,09)</f>
        <v>0</v>
      </c>
      <c r="B579" s="2">
        <f ca="1">DATE(2000,11,16)</f>
        <v>0</v>
      </c>
      <c r="C579" s="1" t="s">
        <v>3454</v>
      </c>
      <c r="D579" s="3">
        <v>8711</v>
      </c>
      <c r="E579" s="1" t="s">
        <v>43</v>
      </c>
      <c r="F579" s="1" t="s">
        <v>3455</v>
      </c>
      <c r="G579" s="1" t="s">
        <v>204</v>
      </c>
      <c r="H579" s="4">
        <v>0.41999999999999998</v>
      </c>
      <c r="I579" s="8">
        <v>7</v>
      </c>
      <c r="J579" s="5">
        <v>48</v>
      </c>
      <c r="K579" s="4">
        <v>6</v>
      </c>
      <c r="L579" s="1" t="s">
        <v>46</v>
      </c>
      <c r="M579" s="1" t="s">
        <v>47</v>
      </c>
      <c r="N579" s="1" t="s">
        <v>3456</v>
      </c>
      <c r="O579" s="1" t="s">
        <v>48</v>
      </c>
      <c r="P579" s="1" t="s">
        <v>3457</v>
      </c>
      <c r="Q579" s="4">
        <v>1.333</v>
      </c>
      <c r="R579" s="4">
        <v>1.5</v>
      </c>
      <c r="S579" s="6">
        <v>4.1666699999999999</v>
      </c>
      <c r="T579" s="1" t="s">
        <v>50</v>
      </c>
      <c r="U579" s="1"/>
      <c r="V579" s="1"/>
      <c r="W579" s="1"/>
      <c r="X579" s="5">
        <v>115</v>
      </c>
      <c r="Y579" s="7">
        <v>8000000</v>
      </c>
      <c r="Z579" s="1"/>
      <c r="AA579" s="2">
        <f ca="1">DATE(2001,05,15)</f>
        <v>0</v>
      </c>
      <c r="AB579" s="4">
        <v>33.524999999999999</v>
      </c>
      <c r="AC579" s="3">
        <v>180</v>
      </c>
      <c r="AD579" s="8">
        <v>12929186</v>
      </c>
      <c r="AE579" s="1" t="s">
        <v>51</v>
      </c>
      <c r="AF579" s="1" t="s">
        <v>51</v>
      </c>
      <c r="AG579" s="1" t="s">
        <v>47</v>
      </c>
      <c r="AH579" s="1"/>
      <c r="AI579" s="1"/>
      <c r="AJ579" s="3">
        <v>1</v>
      </c>
      <c r="AK579" s="1" t="s">
        <v>52</v>
      </c>
      <c r="AL579" s="3">
        <v>3</v>
      </c>
      <c r="AM579" s="8">
        <v>6.7199999999999998</v>
      </c>
      <c r="AN579" s="1"/>
      <c r="AO579" s="1" t="s">
        <v>3458</v>
      </c>
      <c r="AP579" s="1" t="s">
        <v>204</v>
      </c>
      <c r="AQ579" s="1" t="s">
        <v>3459</v>
      </c>
      <c r="AR579" s="1" t="s">
        <v>3460</v>
      </c>
    </row>
    <row r="580">
      <c r="A580" s="2">
        <f ca="1">DATE(2000,09,15)</f>
        <v>0</v>
      </c>
      <c r="B580" s="2">
        <f ca="1">DATE(2000,11,17)</f>
        <v>0</v>
      </c>
      <c r="C580" s="1" t="s">
        <v>3461</v>
      </c>
      <c r="D580" s="3">
        <v>2834</v>
      </c>
      <c r="E580" s="1" t="s">
        <v>43</v>
      </c>
      <c r="F580" s="1" t="s">
        <v>3462</v>
      </c>
      <c r="G580" s="1" t="s">
        <v>813</v>
      </c>
      <c r="H580" s="4">
        <v>0.52500000000000002</v>
      </c>
      <c r="I580" s="4">
        <v>7</v>
      </c>
      <c r="J580" s="5">
        <v>33</v>
      </c>
      <c r="K580" s="4">
        <v>7.5</v>
      </c>
      <c r="L580" s="1" t="s">
        <v>46</v>
      </c>
      <c r="M580" s="1" t="s">
        <v>47</v>
      </c>
      <c r="N580" s="1" t="s">
        <v>3463</v>
      </c>
      <c r="O580" s="1" t="s">
        <v>48</v>
      </c>
      <c r="P580" s="1" t="s">
        <v>3464</v>
      </c>
      <c r="Q580" s="4">
        <v>1.3999999999999999</v>
      </c>
      <c r="R580" s="4">
        <v>1.3999999999999999</v>
      </c>
      <c r="S580" s="8">
        <v>4.2000000000000002</v>
      </c>
      <c r="T580" s="1" t="s">
        <v>50</v>
      </c>
      <c r="U580" s="8">
        <v>12</v>
      </c>
      <c r="V580" s="8">
        <v>10</v>
      </c>
      <c r="W580" s="7">
        <v>6000000</v>
      </c>
      <c r="X580" s="5">
        <v>66</v>
      </c>
      <c r="Y580" s="7">
        <v>4400000</v>
      </c>
      <c r="Z580" s="1"/>
      <c r="AA580" s="1"/>
      <c r="AB580" s="1"/>
      <c r="AC580" s="1"/>
      <c r="AD580" s="1"/>
      <c r="AE580" s="1" t="s">
        <v>51</v>
      </c>
      <c r="AF580" s="1" t="s">
        <v>51</v>
      </c>
      <c r="AG580" s="1" t="s">
        <v>47</v>
      </c>
      <c r="AH580" s="1"/>
      <c r="AI580" s="1"/>
      <c r="AJ580" s="3">
        <v>1</v>
      </c>
      <c r="AK580" s="1" t="s">
        <v>52</v>
      </c>
      <c r="AL580" s="3">
        <v>3</v>
      </c>
      <c r="AM580" s="8">
        <v>8.75</v>
      </c>
      <c r="AN580" s="1"/>
      <c r="AO580" s="1" t="s">
        <v>3465</v>
      </c>
      <c r="AP580" s="1" t="s">
        <v>813</v>
      </c>
      <c r="AQ580" s="1" t="s">
        <v>3466</v>
      </c>
      <c r="AR580" s="1" t="s">
        <v>3467</v>
      </c>
    </row>
    <row r="581">
      <c r="A581" s="2">
        <f ca="1">DATE(2000,09,15)</f>
        <v>0</v>
      </c>
      <c r="B581" s="2">
        <f ca="1">DATE(2000,11,17)</f>
        <v>0</v>
      </c>
      <c r="C581" s="1" t="s">
        <v>3461</v>
      </c>
      <c r="D581" s="3">
        <v>2834</v>
      </c>
      <c r="E581" s="1" t="s">
        <v>43</v>
      </c>
      <c r="F581" s="1" t="s">
        <v>3462</v>
      </c>
      <c r="G581" s="1" t="s">
        <v>813</v>
      </c>
      <c r="H581" s="4">
        <v>0.52500000000000002</v>
      </c>
      <c r="I581" s="4">
        <v>7</v>
      </c>
      <c r="J581" s="5">
        <v>15.800000000000001</v>
      </c>
      <c r="K581" s="8">
        <v>7.5</v>
      </c>
      <c r="L581" s="1" t="s">
        <v>58</v>
      </c>
      <c r="M581" s="1" t="s">
        <v>47</v>
      </c>
      <c r="N581" s="1" t="s">
        <v>3463</v>
      </c>
      <c r="O581" s="1" t="s">
        <v>48</v>
      </c>
      <c r="P581" s="1" t="s">
        <v>3468</v>
      </c>
      <c r="Q581" s="4">
        <v>1.3999999999999999</v>
      </c>
      <c r="R581" s="4">
        <v>1.3999999999999999</v>
      </c>
      <c r="S581" s="8">
        <v>4.2000000000000002</v>
      </c>
      <c r="T581" s="1" t="s">
        <v>60</v>
      </c>
      <c r="U581" s="8">
        <v>12</v>
      </c>
      <c r="V581" s="8">
        <v>10</v>
      </c>
      <c r="W581" s="1"/>
      <c r="X581" s="1"/>
      <c r="Y581" s="7">
        <v>2100000</v>
      </c>
      <c r="Z581" s="1"/>
      <c r="AA581" s="1"/>
      <c r="AB581" s="1"/>
      <c r="AC581" s="1"/>
      <c r="AD581" s="1"/>
      <c r="AE581" s="1" t="s">
        <v>51</v>
      </c>
      <c r="AF581" s="1" t="s">
        <v>51</v>
      </c>
      <c r="AG581" s="1" t="s">
        <v>47</v>
      </c>
      <c r="AH581" s="1"/>
      <c r="AI581" s="1"/>
      <c r="AJ581" s="3">
        <v>1</v>
      </c>
      <c r="AK581" s="1" t="s">
        <v>52</v>
      </c>
      <c r="AL581" s="3">
        <v>1</v>
      </c>
      <c r="AM581" s="1"/>
      <c r="AN581" s="1"/>
      <c r="AO581" s="1" t="s">
        <v>3469</v>
      </c>
      <c r="AP581" s="1" t="s">
        <v>813</v>
      </c>
      <c r="AQ581" s="1" t="s">
        <v>813</v>
      </c>
      <c r="AR581" s="1" t="s">
        <v>1607</v>
      </c>
    </row>
    <row r="582">
      <c r="A582" s="2">
        <f ca="1">DATE(2000,09,29)</f>
        <v>0</v>
      </c>
      <c r="B582" s="2">
        <f ca="1">DATE(2000,11,17)</f>
        <v>0</v>
      </c>
      <c r="C582" s="1" t="s">
        <v>3470</v>
      </c>
      <c r="D582" s="3">
        <v>8071</v>
      </c>
      <c r="E582" s="1" t="s">
        <v>43</v>
      </c>
      <c r="F582" s="1" t="s">
        <v>3471</v>
      </c>
      <c r="G582" s="1" t="s">
        <v>1583</v>
      </c>
      <c r="H582" s="4">
        <v>0.69999999999999996</v>
      </c>
      <c r="I582" s="8">
        <v>7</v>
      </c>
      <c r="J582" s="5">
        <v>38.600000000000001</v>
      </c>
      <c r="K582" s="4">
        <v>10</v>
      </c>
      <c r="L582" s="1" t="s">
        <v>46</v>
      </c>
      <c r="M582" s="1" t="s">
        <v>47</v>
      </c>
      <c r="N582" s="3">
        <v>267920205</v>
      </c>
      <c r="O582" s="1" t="s">
        <v>48</v>
      </c>
      <c r="P582" s="1" t="s">
        <v>3472</v>
      </c>
      <c r="Q582" s="4">
        <v>1.3999999999999999</v>
      </c>
      <c r="R582" s="4">
        <v>1.3999999999999999</v>
      </c>
      <c r="S582" s="8">
        <v>4.2000000000000002</v>
      </c>
      <c r="T582" s="1" t="s">
        <v>50</v>
      </c>
      <c r="U582" s="8">
        <v>15</v>
      </c>
      <c r="V582" s="8">
        <v>13</v>
      </c>
      <c r="W582" s="7">
        <v>7000000</v>
      </c>
      <c r="X582" s="5">
        <v>98</v>
      </c>
      <c r="Y582" s="7">
        <v>3860000</v>
      </c>
      <c r="Z582" s="1"/>
      <c r="AA582" s="1"/>
      <c r="AB582" s="1"/>
      <c r="AC582" s="1"/>
      <c r="AD582" s="1"/>
      <c r="AE582" s="1" t="s">
        <v>51</v>
      </c>
      <c r="AF582" s="1" t="s">
        <v>51</v>
      </c>
      <c r="AG582" s="1" t="s">
        <v>47</v>
      </c>
      <c r="AH582" s="1"/>
      <c r="AI582" s="1"/>
      <c r="AJ582" s="3">
        <v>1</v>
      </c>
      <c r="AK582" s="1" t="s">
        <v>52</v>
      </c>
      <c r="AL582" s="3">
        <v>3</v>
      </c>
      <c r="AM582" s="8">
        <v>10.310000000000001</v>
      </c>
      <c r="AN582" s="1"/>
      <c r="AO582" s="1" t="s">
        <v>3473</v>
      </c>
      <c r="AP582" s="1" t="s">
        <v>1583</v>
      </c>
      <c r="AQ582" s="1" t="s">
        <v>3474</v>
      </c>
      <c r="AR582" s="1" t="s">
        <v>3475</v>
      </c>
    </row>
    <row r="583">
      <c r="A583" s="2">
        <f ca="1">DATE(2000,09,29)</f>
        <v>0</v>
      </c>
      <c r="B583" s="2">
        <f ca="1">DATE(2000,11,17)</f>
        <v>0</v>
      </c>
      <c r="C583" s="1" t="s">
        <v>3470</v>
      </c>
      <c r="D583" s="3">
        <v>8071</v>
      </c>
      <c r="E583" s="1" t="s">
        <v>43</v>
      </c>
      <c r="F583" s="1" t="s">
        <v>3471</v>
      </c>
      <c r="G583" s="1" t="s">
        <v>1844</v>
      </c>
      <c r="H583" s="1" t="s">
        <v>57</v>
      </c>
      <c r="I583" s="1" t="s">
        <v>57</v>
      </c>
      <c r="J583" s="5">
        <v>11.4</v>
      </c>
      <c r="K583" s="8">
        <v>10</v>
      </c>
      <c r="L583" s="1" t="s">
        <v>58</v>
      </c>
      <c r="M583" s="1" t="s">
        <v>47</v>
      </c>
      <c r="N583" s="3">
        <v>267920205</v>
      </c>
      <c r="O583" s="1" t="s">
        <v>48</v>
      </c>
      <c r="P583" s="1" t="s">
        <v>1845</v>
      </c>
      <c r="Q583" s="1"/>
      <c r="R583" s="1"/>
      <c r="S583" s="1"/>
      <c r="T583" s="1" t="s">
        <v>60</v>
      </c>
      <c r="U583" s="8">
        <v>15</v>
      </c>
      <c r="V583" s="8">
        <v>13</v>
      </c>
      <c r="W583" s="1"/>
      <c r="X583" s="1"/>
      <c r="Y583" s="7">
        <v>1140000</v>
      </c>
      <c r="Z583" s="1"/>
      <c r="AA583" s="1"/>
      <c r="AB583" s="1"/>
      <c r="AC583" s="1"/>
      <c r="AD583" s="1"/>
      <c r="AE583" s="1" t="s">
        <v>51</v>
      </c>
      <c r="AF583" s="1" t="s">
        <v>51</v>
      </c>
      <c r="AG583" s="1" t="s">
        <v>47</v>
      </c>
      <c r="AH583" s="1"/>
      <c r="AI583" s="1"/>
      <c r="AJ583" s="3">
        <v>1</v>
      </c>
      <c r="AK583" s="1" t="s">
        <v>52</v>
      </c>
      <c r="AL583" s="3">
        <v>1</v>
      </c>
      <c r="AM583" s="1"/>
      <c r="AN583" s="1"/>
      <c r="AO583" s="1" t="s">
        <v>1846</v>
      </c>
      <c r="AP583" s="1" t="s">
        <v>1844</v>
      </c>
      <c r="AQ583" s="1" t="s">
        <v>1844</v>
      </c>
      <c r="AR583" s="1" t="s">
        <v>1847</v>
      </c>
    </row>
    <row r="584">
      <c r="A584" s="2">
        <f ca="1">DATE(2000,09,08)</f>
        <v>0</v>
      </c>
      <c r="B584" s="2">
        <f ca="1">DATE(2000,11,20)</f>
        <v>0</v>
      </c>
      <c r="C584" s="1" t="s">
        <v>3476</v>
      </c>
      <c r="D584" s="3">
        <v>3674</v>
      </c>
      <c r="E584" s="1" t="s">
        <v>43</v>
      </c>
      <c r="F584" s="1" t="s">
        <v>3477</v>
      </c>
      <c r="G584" s="1" t="s">
        <v>45</v>
      </c>
      <c r="H584" s="4">
        <v>0.77000000000000002</v>
      </c>
      <c r="I584" s="4">
        <v>7</v>
      </c>
      <c r="J584" s="5">
        <v>44.600000000000001</v>
      </c>
      <c r="K584" s="4">
        <v>11</v>
      </c>
      <c r="L584" s="1" t="s">
        <v>46</v>
      </c>
      <c r="M584" s="1" t="s">
        <v>47</v>
      </c>
      <c r="N584" s="1" t="s">
        <v>3478</v>
      </c>
      <c r="O584" s="1" t="s">
        <v>48</v>
      </c>
      <c r="P584" s="1" t="s">
        <v>3479</v>
      </c>
      <c r="Q584" s="4">
        <v>1.4550000000000001</v>
      </c>
      <c r="R584" s="4">
        <v>1.4550000000000001</v>
      </c>
      <c r="S584" s="6">
        <v>4.09091</v>
      </c>
      <c r="T584" s="1" t="s">
        <v>50</v>
      </c>
      <c r="U584" s="1"/>
      <c r="V584" s="1"/>
      <c r="W584" s="1"/>
      <c r="X584" s="5">
        <v>86.299999999999997</v>
      </c>
      <c r="Y584" s="7">
        <v>4050000</v>
      </c>
      <c r="Z584" s="1"/>
      <c r="AA584" s="1"/>
      <c r="AB584" s="1"/>
      <c r="AC584" s="1"/>
      <c r="AD584" s="1"/>
      <c r="AE584" s="1" t="s">
        <v>51</v>
      </c>
      <c r="AF584" s="1" t="s">
        <v>51</v>
      </c>
      <c r="AG584" s="1" t="s">
        <v>51</v>
      </c>
      <c r="AH584" s="1"/>
      <c r="AI584" s="1"/>
      <c r="AJ584" s="3">
        <v>1</v>
      </c>
      <c r="AK584" s="1" t="s">
        <v>52</v>
      </c>
      <c r="AL584" s="3">
        <v>4</v>
      </c>
      <c r="AM584" s="8">
        <v>10.130000000000001</v>
      </c>
      <c r="AN584" s="1"/>
      <c r="AO584" s="1" t="s">
        <v>3480</v>
      </c>
      <c r="AP584" s="1" t="s">
        <v>45</v>
      </c>
      <c r="AQ584" s="1" t="s">
        <v>3481</v>
      </c>
      <c r="AR584" s="1" t="s">
        <v>3482</v>
      </c>
    </row>
    <row r="585">
      <c r="A585" s="2">
        <f ca="1">DATE(2000,09,08)</f>
        <v>0</v>
      </c>
      <c r="B585" s="2">
        <f ca="1">DATE(2000,11,20)</f>
        <v>0</v>
      </c>
      <c r="C585" s="1" t="s">
        <v>3476</v>
      </c>
      <c r="D585" s="3">
        <v>3674</v>
      </c>
      <c r="E585" s="1" t="s">
        <v>43</v>
      </c>
      <c r="F585" s="1" t="s">
        <v>3477</v>
      </c>
      <c r="G585" s="1" t="s">
        <v>482</v>
      </c>
      <c r="H585" s="4">
        <v>0.77000000000000002</v>
      </c>
      <c r="I585" s="4">
        <v>7</v>
      </c>
      <c r="J585" s="5">
        <v>5</v>
      </c>
      <c r="K585" s="8">
        <v>11</v>
      </c>
      <c r="L585" s="1" t="s">
        <v>58</v>
      </c>
      <c r="M585" s="1" t="s">
        <v>47</v>
      </c>
      <c r="N585" s="1" t="s">
        <v>3478</v>
      </c>
      <c r="O585" s="1" t="s">
        <v>48</v>
      </c>
      <c r="P585" s="1" t="s">
        <v>3483</v>
      </c>
      <c r="Q585" s="4">
        <v>1.4550000000000001</v>
      </c>
      <c r="R585" s="4">
        <v>1.4550000000000001</v>
      </c>
      <c r="S585" s="6">
        <v>4.09091</v>
      </c>
      <c r="T585" s="1" t="s">
        <v>60</v>
      </c>
      <c r="U585" s="1"/>
      <c r="V585" s="1"/>
      <c r="W585" s="1"/>
      <c r="X585" s="1"/>
      <c r="Y585" s="7">
        <v>450000</v>
      </c>
      <c r="Z585" s="1"/>
      <c r="AA585" s="1"/>
      <c r="AB585" s="1"/>
      <c r="AC585" s="1"/>
      <c r="AD585" s="1"/>
      <c r="AE585" s="1" t="s">
        <v>51</v>
      </c>
      <c r="AF585" s="1" t="s">
        <v>51</v>
      </c>
      <c r="AG585" s="1" t="s">
        <v>51</v>
      </c>
      <c r="AH585" s="1"/>
      <c r="AI585" s="1"/>
      <c r="AJ585" s="3">
        <v>1</v>
      </c>
      <c r="AK585" s="1" t="s">
        <v>52</v>
      </c>
      <c r="AL585" s="3">
        <v>1</v>
      </c>
      <c r="AM585" s="1"/>
      <c r="AN585" s="1"/>
      <c r="AO585" s="1" t="s">
        <v>3484</v>
      </c>
      <c r="AP585" s="1" t="s">
        <v>482</v>
      </c>
      <c r="AQ585" s="1" t="s">
        <v>482</v>
      </c>
      <c r="AR585" s="1" t="s">
        <v>1996</v>
      </c>
    </row>
    <row r="586">
      <c r="A586" s="2">
        <f ca="1">DATE(2000,10,23)</f>
        <v>0</v>
      </c>
      <c r="B586" s="2">
        <f ca="1">DATE(2000,11,20)</f>
        <v>0</v>
      </c>
      <c r="C586" s="1" t="s">
        <v>3485</v>
      </c>
      <c r="D586" s="3">
        <v>7373</v>
      </c>
      <c r="E586" s="1" t="s">
        <v>166</v>
      </c>
      <c r="F586" s="1" t="s">
        <v>3486</v>
      </c>
      <c r="G586" s="1" t="s">
        <v>45</v>
      </c>
      <c r="H586" s="4">
        <v>0.77000000000000002</v>
      </c>
      <c r="I586" s="4">
        <v>7</v>
      </c>
      <c r="J586" s="5">
        <v>20.399999999999999</v>
      </c>
      <c r="K586" s="4">
        <v>11</v>
      </c>
      <c r="L586" s="1" t="s">
        <v>46</v>
      </c>
      <c r="M586" s="1" t="s">
        <v>47</v>
      </c>
      <c r="N586" s="1" t="s">
        <v>3487</v>
      </c>
      <c r="O586" s="1" t="s">
        <v>48</v>
      </c>
      <c r="P586" s="1" t="s">
        <v>3488</v>
      </c>
      <c r="Q586" s="4">
        <v>1.4550000000000001</v>
      </c>
      <c r="R586" s="4">
        <v>1.4550000000000001</v>
      </c>
      <c r="S586" s="6">
        <v>4.09091</v>
      </c>
      <c r="T586" s="1" t="s">
        <v>50</v>
      </c>
      <c r="U586" s="8">
        <v>13</v>
      </c>
      <c r="V586" s="8">
        <v>11</v>
      </c>
      <c r="W586" s="7">
        <v>4750000</v>
      </c>
      <c r="X586" s="5">
        <v>57</v>
      </c>
      <c r="Y586" s="7">
        <v>1853000</v>
      </c>
      <c r="Z586" s="1"/>
      <c r="AA586" s="1"/>
      <c r="AB586" s="1"/>
      <c r="AC586" s="1"/>
      <c r="AD586" s="1"/>
      <c r="AE586" s="1" t="s">
        <v>51</v>
      </c>
      <c r="AF586" s="1" t="s">
        <v>51</v>
      </c>
      <c r="AG586" s="1" t="s">
        <v>47</v>
      </c>
      <c r="AH586" s="1"/>
      <c r="AI586" s="1"/>
      <c r="AJ586" s="3">
        <v>1</v>
      </c>
      <c r="AK586" s="1" t="s">
        <v>52</v>
      </c>
      <c r="AL586" s="3">
        <v>3</v>
      </c>
      <c r="AM586" s="8">
        <v>9</v>
      </c>
      <c r="AN586" s="1"/>
      <c r="AO586" s="1" t="s">
        <v>3489</v>
      </c>
      <c r="AP586" s="1" t="s">
        <v>45</v>
      </c>
      <c r="AQ586" s="1" t="s">
        <v>3490</v>
      </c>
      <c r="AR586" s="1" t="s">
        <v>3491</v>
      </c>
    </row>
    <row r="587">
      <c r="A587" s="2">
        <f ca="1">DATE(2000,10,23)</f>
        <v>0</v>
      </c>
      <c r="B587" s="2">
        <f ca="1">DATE(2000,11,20)</f>
        <v>0</v>
      </c>
      <c r="C587" s="1" t="s">
        <v>3485</v>
      </c>
      <c r="D587" s="3">
        <v>7373</v>
      </c>
      <c r="E587" s="1" t="s">
        <v>166</v>
      </c>
      <c r="F587" s="1" t="s">
        <v>3486</v>
      </c>
      <c r="G587" s="1" t="s">
        <v>482</v>
      </c>
      <c r="H587" s="4">
        <v>0.77000000000000002</v>
      </c>
      <c r="I587" s="4">
        <v>7</v>
      </c>
      <c r="J587" s="5">
        <v>31.899999999999999</v>
      </c>
      <c r="K587" s="8">
        <v>11</v>
      </c>
      <c r="L587" s="1" t="s">
        <v>58</v>
      </c>
      <c r="M587" s="1" t="s">
        <v>47</v>
      </c>
      <c r="N587" s="1" t="s">
        <v>3487</v>
      </c>
      <c r="O587" s="1" t="s">
        <v>48</v>
      </c>
      <c r="P587" s="1" t="s">
        <v>3492</v>
      </c>
      <c r="Q587" s="1" t="s">
        <v>145</v>
      </c>
      <c r="R587" s="1" t="s">
        <v>145</v>
      </c>
      <c r="S587" s="1"/>
      <c r="T587" s="1" t="s">
        <v>60</v>
      </c>
      <c r="U587" s="8">
        <v>13</v>
      </c>
      <c r="V587" s="8">
        <v>11</v>
      </c>
      <c r="W587" s="1"/>
      <c r="X587" s="1"/>
      <c r="Y587" s="7">
        <v>2897000</v>
      </c>
      <c r="Z587" s="1"/>
      <c r="AA587" s="1"/>
      <c r="AB587" s="1"/>
      <c r="AC587" s="1"/>
      <c r="AD587" s="1"/>
      <c r="AE587" s="1" t="s">
        <v>51</v>
      </c>
      <c r="AF587" s="1" t="s">
        <v>51</v>
      </c>
      <c r="AG587" s="1" t="s">
        <v>47</v>
      </c>
      <c r="AH587" s="1"/>
      <c r="AI587" s="1"/>
      <c r="AJ587" s="3">
        <v>1</v>
      </c>
      <c r="AK587" s="1" t="s">
        <v>52</v>
      </c>
      <c r="AL587" s="3">
        <v>1</v>
      </c>
      <c r="AM587" s="1"/>
      <c r="AN587" s="1"/>
      <c r="AO587" s="1" t="s">
        <v>3493</v>
      </c>
      <c r="AP587" s="1" t="s">
        <v>482</v>
      </c>
      <c r="AQ587" s="1" t="s">
        <v>482</v>
      </c>
      <c r="AR587" s="1" t="s">
        <v>1996</v>
      </c>
    </row>
    <row r="588">
      <c r="A588" s="2">
        <f ca="1">DATE(2000,09,15)</f>
        <v>0</v>
      </c>
      <c r="B588" s="2">
        <f ca="1">DATE(2000,11,28)</f>
        <v>0</v>
      </c>
      <c r="C588" s="1" t="s">
        <v>3494</v>
      </c>
      <c r="D588" s="3">
        <v>2834</v>
      </c>
      <c r="E588" s="1" t="s">
        <v>43</v>
      </c>
      <c r="F588" s="1" t="s">
        <v>3495</v>
      </c>
      <c r="G588" s="1" t="s">
        <v>106</v>
      </c>
      <c r="H588" s="4">
        <v>0.48999999999999999</v>
      </c>
      <c r="I588" s="8">
        <v>7</v>
      </c>
      <c r="J588" s="5">
        <v>29.600000000000001</v>
      </c>
      <c r="K588" s="4">
        <v>7</v>
      </c>
      <c r="L588" s="1" t="s">
        <v>46</v>
      </c>
      <c r="M588" s="1" t="s">
        <v>47</v>
      </c>
      <c r="N588" s="3">
        <v>766559108</v>
      </c>
      <c r="O588" s="1" t="s">
        <v>48</v>
      </c>
      <c r="P588" s="1" t="s">
        <v>3496</v>
      </c>
      <c r="Q588" s="4">
        <v>1.4290000000000001</v>
      </c>
      <c r="R588" s="4">
        <v>1.857</v>
      </c>
      <c r="S588" s="6">
        <v>3.7142900000000001</v>
      </c>
      <c r="T588" s="1" t="s">
        <v>50</v>
      </c>
      <c r="U588" s="8">
        <v>10</v>
      </c>
      <c r="V588" s="8">
        <v>8</v>
      </c>
      <c r="W588" s="7">
        <v>9000000</v>
      </c>
      <c r="X588" s="5">
        <v>81</v>
      </c>
      <c r="Y588" s="7">
        <v>4225000</v>
      </c>
      <c r="Z588" s="1"/>
      <c r="AA588" s="1"/>
      <c r="AB588" s="1"/>
      <c r="AC588" s="1"/>
      <c r="AD588" s="1"/>
      <c r="AE588" s="1" t="s">
        <v>51</v>
      </c>
      <c r="AF588" s="1" t="s">
        <v>51</v>
      </c>
      <c r="AG588" s="1" t="s">
        <v>47</v>
      </c>
      <c r="AH588" s="1"/>
      <c r="AI588" s="1"/>
      <c r="AJ588" s="3">
        <v>1</v>
      </c>
      <c r="AK588" s="1" t="s">
        <v>52</v>
      </c>
      <c r="AL588" s="3">
        <v>3</v>
      </c>
      <c r="AM588" s="8">
        <v>7.1100000000000003</v>
      </c>
      <c r="AN588" s="1"/>
      <c r="AO588" s="1" t="s">
        <v>3497</v>
      </c>
      <c r="AP588" s="1" t="s">
        <v>106</v>
      </c>
      <c r="AQ588" s="1" t="s">
        <v>220</v>
      </c>
      <c r="AR588" s="1" t="s">
        <v>221</v>
      </c>
    </row>
    <row r="589">
      <c r="A589" s="2">
        <f ca="1">DATE(2000,09,15)</f>
        <v>0</v>
      </c>
      <c r="B589" s="2">
        <f ca="1">DATE(2000,11,28)</f>
        <v>0</v>
      </c>
      <c r="C589" s="1" t="s">
        <v>3494</v>
      </c>
      <c r="D589" s="3">
        <v>2834</v>
      </c>
      <c r="E589" s="1" t="s">
        <v>43</v>
      </c>
      <c r="F589" s="1" t="s">
        <v>3495</v>
      </c>
      <c r="G589" s="1" t="s">
        <v>106</v>
      </c>
      <c r="H589" s="4">
        <v>0.48999999999999999</v>
      </c>
      <c r="I589" s="8">
        <v>7</v>
      </c>
      <c r="J589" s="5">
        <v>5.4000000000000004</v>
      </c>
      <c r="K589" s="8">
        <v>7</v>
      </c>
      <c r="L589" s="1" t="s">
        <v>58</v>
      </c>
      <c r="M589" s="1" t="s">
        <v>47</v>
      </c>
      <c r="N589" s="3">
        <v>766559108</v>
      </c>
      <c r="O589" s="1" t="s">
        <v>48</v>
      </c>
      <c r="P589" s="1" t="s">
        <v>222</v>
      </c>
      <c r="Q589" s="1" t="s">
        <v>145</v>
      </c>
      <c r="R589" s="1" t="s">
        <v>145</v>
      </c>
      <c r="S589" s="1"/>
      <c r="T589" s="1" t="s">
        <v>60</v>
      </c>
      <c r="U589" s="8">
        <v>10</v>
      </c>
      <c r="V589" s="8">
        <v>8</v>
      </c>
      <c r="W589" s="1"/>
      <c r="X589" s="1"/>
      <c r="Y589" s="7">
        <v>775000</v>
      </c>
      <c r="Z589" s="1"/>
      <c r="AA589" s="1"/>
      <c r="AB589" s="1"/>
      <c r="AC589" s="1"/>
      <c r="AD589" s="1"/>
      <c r="AE589" s="1" t="s">
        <v>51</v>
      </c>
      <c r="AF589" s="1" t="s">
        <v>51</v>
      </c>
      <c r="AG589" s="1" t="s">
        <v>47</v>
      </c>
      <c r="AH589" s="1"/>
      <c r="AI589" s="1"/>
      <c r="AJ589" s="3">
        <v>1</v>
      </c>
      <c r="AK589" s="1" t="s">
        <v>52</v>
      </c>
      <c r="AL589" s="3">
        <v>3</v>
      </c>
      <c r="AM589" s="1"/>
      <c r="AN589" s="1"/>
      <c r="AO589" s="1" t="s">
        <v>223</v>
      </c>
      <c r="AP589" s="1" t="s">
        <v>106</v>
      </c>
      <c r="AQ589" s="1" t="s">
        <v>224</v>
      </c>
      <c r="AR589" s="1" t="s">
        <v>225</v>
      </c>
    </row>
    <row r="590">
      <c r="A590" s="2">
        <f ca="1">DATE(2000,11,09)</f>
        <v>0</v>
      </c>
      <c r="B590" s="2">
        <f ca="1">DATE(2000,12,03)</f>
        <v>0</v>
      </c>
      <c r="C590" s="1" t="s">
        <v>3498</v>
      </c>
      <c r="D590" s="3">
        <v>4812</v>
      </c>
      <c r="E590" s="1" t="s">
        <v>1650</v>
      </c>
      <c r="F590" s="1" t="s">
        <v>3499</v>
      </c>
      <c r="G590" s="1" t="s">
        <v>160</v>
      </c>
      <c r="H590" s="4">
        <v>0.184</v>
      </c>
      <c r="I590" s="4">
        <v>1.3500000000000001</v>
      </c>
      <c r="J590" s="5">
        <v>91.299999999999997</v>
      </c>
      <c r="K590" s="4">
        <v>13.625</v>
      </c>
      <c r="L590" s="1" t="s">
        <v>651</v>
      </c>
      <c r="M590" s="1" t="s">
        <v>47</v>
      </c>
      <c r="N590" s="1" t="s">
        <v>3500</v>
      </c>
      <c r="O590" s="1" t="s">
        <v>48</v>
      </c>
      <c r="P590" s="1" t="s">
        <v>3501</v>
      </c>
      <c r="Q590" s="4">
        <v>0.27000000000000002</v>
      </c>
      <c r="R590" s="4">
        <v>0.27000000000000002</v>
      </c>
      <c r="S590" s="6">
        <v>0.80998000000000003</v>
      </c>
      <c r="T590" s="1" t="s">
        <v>50</v>
      </c>
      <c r="U590" s="1"/>
      <c r="V590" s="1"/>
      <c r="W590" s="1"/>
      <c r="X590" s="1"/>
      <c r="Y590" s="7">
        <v>6698700</v>
      </c>
      <c r="Z590" s="1"/>
      <c r="AA590" s="1"/>
      <c r="AB590" s="1"/>
      <c r="AC590" s="1"/>
      <c r="AD590" s="1"/>
      <c r="AE590" s="1" t="s">
        <v>47</v>
      </c>
      <c r="AF590" s="1" t="s">
        <v>51</v>
      </c>
      <c r="AG590" s="1" t="s">
        <v>51</v>
      </c>
      <c r="AH590" s="1"/>
      <c r="AI590" s="1"/>
      <c r="AJ590" s="3">
        <v>1</v>
      </c>
      <c r="AK590" s="1" t="s">
        <v>52</v>
      </c>
      <c r="AL590" s="3">
        <v>8</v>
      </c>
      <c r="AM590" s="8">
        <v>12.560000000000001</v>
      </c>
      <c r="AN590" s="1"/>
      <c r="AO590" s="1" t="s">
        <v>3502</v>
      </c>
      <c r="AP590" s="1" t="s">
        <v>160</v>
      </c>
      <c r="AQ590" s="1" t="s">
        <v>3503</v>
      </c>
      <c r="AR590" s="1" t="s">
        <v>3504</v>
      </c>
    </row>
    <row r="591">
      <c r="A591" s="2">
        <f ca="1">DATE(2000,07,11)</f>
        <v>0</v>
      </c>
      <c r="B591" s="2">
        <f ca="1">DATE(2000,12,07)</f>
        <v>0</v>
      </c>
      <c r="C591" s="1" t="s">
        <v>3505</v>
      </c>
      <c r="D591" s="3">
        <v>6324</v>
      </c>
      <c r="E591" s="1" t="s">
        <v>43</v>
      </c>
      <c r="F591" s="1" t="s">
        <v>3506</v>
      </c>
      <c r="G591" s="1" t="s">
        <v>3507</v>
      </c>
      <c r="H591" s="4">
        <v>0.91000000000000003</v>
      </c>
      <c r="I591" s="4">
        <v>6.7409999999999997</v>
      </c>
      <c r="J591" s="5">
        <v>130.5</v>
      </c>
      <c r="K591" s="4">
        <v>13.5</v>
      </c>
      <c r="L591" s="1" t="s">
        <v>46</v>
      </c>
      <c r="M591" s="1" t="s">
        <v>47</v>
      </c>
      <c r="N591" s="1" t="s">
        <v>3508</v>
      </c>
      <c r="O591" s="1" t="s">
        <v>48</v>
      </c>
      <c r="P591" s="1" t="s">
        <v>3509</v>
      </c>
      <c r="Q591" s="4">
        <v>1.333</v>
      </c>
      <c r="R591" s="4">
        <v>1.407</v>
      </c>
      <c r="S591" s="8">
        <v>4</v>
      </c>
      <c r="T591" s="1" t="s">
        <v>50</v>
      </c>
      <c r="U591" s="8">
        <v>18</v>
      </c>
      <c r="V591" s="8">
        <v>13</v>
      </c>
      <c r="W591" s="7">
        <v>10000000</v>
      </c>
      <c r="X591" s="5">
        <v>155</v>
      </c>
      <c r="Y591" s="7">
        <v>9668362</v>
      </c>
      <c r="Z591" s="1"/>
      <c r="AA591" s="2">
        <f ca="1">DATE(2001,06,05)</f>
        <v>0</v>
      </c>
      <c r="AB591" s="4">
        <v>1.9470000000000001</v>
      </c>
      <c r="AC591" s="3">
        <v>180</v>
      </c>
      <c r="AD591" s="8">
        <v>188200</v>
      </c>
      <c r="AE591" s="1" t="s">
        <v>51</v>
      </c>
      <c r="AF591" s="1" t="s">
        <v>51</v>
      </c>
      <c r="AG591" s="1" t="s">
        <v>51</v>
      </c>
      <c r="AH591" s="1"/>
      <c r="AI591" s="1"/>
      <c r="AJ591" s="3">
        <v>1</v>
      </c>
      <c r="AK591" s="1" t="s">
        <v>52</v>
      </c>
      <c r="AL591" s="3">
        <v>4</v>
      </c>
      <c r="AM591" s="8">
        <v>13.560000000000001</v>
      </c>
      <c r="AN591" s="1"/>
      <c r="AO591" s="1" t="s">
        <v>3510</v>
      </c>
      <c r="AP591" s="1" t="s">
        <v>3507</v>
      </c>
      <c r="AQ591" s="1" t="s">
        <v>3511</v>
      </c>
      <c r="AR591" s="1" t="s">
        <v>3512</v>
      </c>
    </row>
    <row r="592">
      <c r="A592" s="2">
        <f ca="1">DATE(2000,09,18)</f>
        <v>0</v>
      </c>
      <c r="B592" s="2">
        <f ca="1">DATE(2000,12,07)</f>
        <v>0</v>
      </c>
      <c r="C592" s="1" t="s">
        <v>3513</v>
      </c>
      <c r="D592" s="3">
        <v>3826</v>
      </c>
      <c r="E592" s="1" t="s">
        <v>43</v>
      </c>
      <c r="F592" s="1" t="s">
        <v>3514</v>
      </c>
      <c r="G592" s="1" t="s">
        <v>789</v>
      </c>
      <c r="H592" s="4">
        <v>0.56000000000000005</v>
      </c>
      <c r="I592" s="4">
        <v>7</v>
      </c>
      <c r="J592" s="5">
        <v>51.399999999999999</v>
      </c>
      <c r="K592" s="4">
        <v>8</v>
      </c>
      <c r="L592" s="1" t="s">
        <v>46</v>
      </c>
      <c r="M592" s="1" t="s">
        <v>47</v>
      </c>
      <c r="N592" s="3">
        <v>416906105</v>
      </c>
      <c r="O592" s="1" t="s">
        <v>48</v>
      </c>
      <c r="P592" s="1" t="s">
        <v>3515</v>
      </c>
      <c r="Q592" s="4">
        <v>1.375</v>
      </c>
      <c r="R592" s="4">
        <v>1.375</v>
      </c>
      <c r="S592" s="8">
        <v>4.25</v>
      </c>
      <c r="T592" s="1" t="s">
        <v>50</v>
      </c>
      <c r="U592" s="1"/>
      <c r="V592" s="1"/>
      <c r="W592" s="7">
        <v>6422450</v>
      </c>
      <c r="X592" s="5">
        <v>75</v>
      </c>
      <c r="Y592" s="7">
        <v>6250000</v>
      </c>
      <c r="Z592" s="7">
        <v>172450</v>
      </c>
      <c r="AA592" s="2">
        <f ca="1">DATE(2001,06,05)</f>
        <v>0</v>
      </c>
      <c r="AB592" s="4">
        <v>74.084999999999994</v>
      </c>
      <c r="AC592" s="3">
        <v>180</v>
      </c>
      <c r="AD592" s="8">
        <v>18359972</v>
      </c>
      <c r="AE592" s="1" t="s">
        <v>51</v>
      </c>
      <c r="AF592" s="1" t="s">
        <v>51</v>
      </c>
      <c r="AG592" s="1" t="s">
        <v>47</v>
      </c>
      <c r="AH592" s="1"/>
      <c r="AI592" s="1"/>
      <c r="AJ592" s="3">
        <v>1</v>
      </c>
      <c r="AK592" s="1" t="s">
        <v>52</v>
      </c>
      <c r="AL592" s="3">
        <v>3</v>
      </c>
      <c r="AM592" s="8">
        <v>10.5</v>
      </c>
      <c r="AN592" s="1"/>
      <c r="AO592" s="1" t="s">
        <v>3516</v>
      </c>
      <c r="AP592" s="1" t="s">
        <v>789</v>
      </c>
      <c r="AQ592" s="1" t="s">
        <v>3517</v>
      </c>
      <c r="AR592" s="1" t="s">
        <v>3518</v>
      </c>
    </row>
    <row r="593">
      <c r="A593" s="2">
        <f ca="1">DATE(2000,09,12)</f>
        <v>0</v>
      </c>
      <c r="B593" s="2">
        <f ca="1">DATE(2000,12,07)</f>
        <v>0</v>
      </c>
      <c r="C593" s="1" t="s">
        <v>3519</v>
      </c>
      <c r="D593" s="3">
        <v>8071</v>
      </c>
      <c r="E593" s="1" t="s">
        <v>43</v>
      </c>
      <c r="F593" s="1" t="s">
        <v>3520</v>
      </c>
      <c r="G593" s="1" t="s">
        <v>45</v>
      </c>
      <c r="H593" s="4">
        <v>1.1200000000000001</v>
      </c>
      <c r="I593" s="4">
        <v>7</v>
      </c>
      <c r="J593" s="5">
        <v>71.900000000000006</v>
      </c>
      <c r="K593" s="4">
        <v>16</v>
      </c>
      <c r="L593" s="1" t="s">
        <v>46</v>
      </c>
      <c r="M593" s="1" t="s">
        <v>47</v>
      </c>
      <c r="N593" s="1" t="s">
        <v>3521</v>
      </c>
      <c r="O593" s="1" t="s">
        <v>108</v>
      </c>
      <c r="P593" s="1" t="s">
        <v>3522</v>
      </c>
      <c r="Q593" s="4">
        <v>1.4379999999999999</v>
      </c>
      <c r="R593" s="4">
        <v>1.375</v>
      </c>
      <c r="S593" s="10">
        <v>4.1875</v>
      </c>
      <c r="T593" s="1" t="s">
        <v>50</v>
      </c>
      <c r="U593" s="1"/>
      <c r="V593" s="1"/>
      <c r="W593" s="1"/>
      <c r="X593" s="5">
        <v>86.299999999999997</v>
      </c>
      <c r="Y593" s="7">
        <v>4493000</v>
      </c>
      <c r="Z593" s="1"/>
      <c r="AA593" s="1"/>
      <c r="AB593" s="1"/>
      <c r="AC593" s="1"/>
      <c r="AD593" s="1"/>
      <c r="AE593" s="1" t="s">
        <v>51</v>
      </c>
      <c r="AF593" s="1" t="s">
        <v>51</v>
      </c>
      <c r="AG593" s="1" t="s">
        <v>51</v>
      </c>
      <c r="AH593" s="1"/>
      <c r="AI593" s="1"/>
      <c r="AJ593" s="3">
        <v>1</v>
      </c>
      <c r="AK593" s="1" t="s">
        <v>52</v>
      </c>
      <c r="AL593" s="3">
        <v>3</v>
      </c>
      <c r="AM593" s="8">
        <v>23.309999999999999</v>
      </c>
      <c r="AN593" s="1"/>
      <c r="AO593" s="1" t="s">
        <v>3523</v>
      </c>
      <c r="AP593" s="1" t="s">
        <v>45</v>
      </c>
      <c r="AQ593" s="1" t="s">
        <v>3524</v>
      </c>
      <c r="AR593" s="1" t="s">
        <v>3525</v>
      </c>
    </row>
    <row r="594">
      <c r="A594" s="2">
        <f ca="1">DATE(2000,09,12)</f>
        <v>0</v>
      </c>
      <c r="B594" s="2">
        <f ca="1">DATE(2000,12,07)</f>
        <v>0</v>
      </c>
      <c r="C594" s="1" t="s">
        <v>3519</v>
      </c>
      <c r="D594" s="3">
        <v>8071</v>
      </c>
      <c r="E594" s="1" t="s">
        <v>43</v>
      </c>
      <c r="F594" s="1" t="s">
        <v>3520</v>
      </c>
      <c r="G594" s="1" t="s">
        <v>45</v>
      </c>
      <c r="H594" s="4">
        <v>1.1200000000000001</v>
      </c>
      <c r="I594" s="4">
        <v>7</v>
      </c>
      <c r="J594" s="5">
        <v>8.0999999999999996</v>
      </c>
      <c r="K594" s="8">
        <v>16</v>
      </c>
      <c r="L594" s="1" t="s">
        <v>58</v>
      </c>
      <c r="M594" s="1" t="s">
        <v>47</v>
      </c>
      <c r="N594" s="1" t="s">
        <v>3521</v>
      </c>
      <c r="O594" s="1" t="s">
        <v>108</v>
      </c>
      <c r="P594" s="1" t="s">
        <v>3526</v>
      </c>
      <c r="Q594" s="4">
        <v>1.4379999999999999</v>
      </c>
      <c r="R594" s="4">
        <v>1.375</v>
      </c>
      <c r="S594" s="10">
        <v>4.1875</v>
      </c>
      <c r="T594" s="1" t="s">
        <v>60</v>
      </c>
      <c r="U594" s="1"/>
      <c r="V594" s="1"/>
      <c r="W594" s="1"/>
      <c r="X594" s="1"/>
      <c r="Y594" s="7">
        <v>507000</v>
      </c>
      <c r="Z594" s="1"/>
      <c r="AA594" s="1"/>
      <c r="AB594" s="1"/>
      <c r="AC594" s="1"/>
      <c r="AD594" s="1"/>
      <c r="AE594" s="1" t="s">
        <v>51</v>
      </c>
      <c r="AF594" s="1" t="s">
        <v>51</v>
      </c>
      <c r="AG594" s="1" t="s">
        <v>51</v>
      </c>
      <c r="AH594" s="1"/>
      <c r="AI594" s="1"/>
      <c r="AJ594" s="3">
        <v>1</v>
      </c>
      <c r="AK594" s="1" t="s">
        <v>52</v>
      </c>
      <c r="AL594" s="3">
        <v>1</v>
      </c>
      <c r="AM594" s="1"/>
      <c r="AN594" s="1"/>
      <c r="AO594" s="1" t="s">
        <v>3527</v>
      </c>
      <c r="AP594" s="1" t="s">
        <v>45</v>
      </c>
      <c r="AQ594" s="1" t="s">
        <v>45</v>
      </c>
      <c r="AR594" s="1" t="s">
        <v>786</v>
      </c>
    </row>
    <row r="595">
      <c r="A595" s="2">
        <f ca="1">DATE(2000,11,07)</f>
        <v>0</v>
      </c>
      <c r="B595" s="2">
        <f ca="1">DATE(2000,12,07)</f>
        <v>0</v>
      </c>
      <c r="C595" s="1" t="s">
        <v>3528</v>
      </c>
      <c r="D595" s="3">
        <v>6282</v>
      </c>
      <c r="E595" s="1" t="s">
        <v>43</v>
      </c>
      <c r="F595" s="1" t="s">
        <v>3529</v>
      </c>
      <c r="G595" s="1" t="s">
        <v>160</v>
      </c>
      <c r="H595" s="4">
        <v>1.3700000000000001</v>
      </c>
      <c r="I595" s="4">
        <v>6.8499999999999996</v>
      </c>
      <c r="J595" s="5">
        <v>179.30000000000001</v>
      </c>
      <c r="K595" s="4">
        <v>20</v>
      </c>
      <c r="L595" s="1" t="s">
        <v>46</v>
      </c>
      <c r="M595" s="1" t="s">
        <v>47</v>
      </c>
      <c r="N595" s="1" t="s">
        <v>3530</v>
      </c>
      <c r="O595" s="1" t="s">
        <v>108</v>
      </c>
      <c r="P595" s="1" t="s">
        <v>3531</v>
      </c>
      <c r="Q595" s="4">
        <v>1.3500000000000001</v>
      </c>
      <c r="R595" s="4">
        <v>1.3999999999999999</v>
      </c>
      <c r="S595" s="8">
        <v>4.0999999999999996</v>
      </c>
      <c r="T595" s="1" t="s">
        <v>50</v>
      </c>
      <c r="U595" s="8">
        <v>23</v>
      </c>
      <c r="V595" s="8">
        <v>20</v>
      </c>
      <c r="W595" s="7">
        <v>9181468</v>
      </c>
      <c r="X595" s="5">
        <v>197.40000000000001</v>
      </c>
      <c r="Y595" s="1"/>
      <c r="Z595" s="7">
        <v>8963212</v>
      </c>
      <c r="AA595" s="1"/>
      <c r="AB595" s="1"/>
      <c r="AC595" s="1"/>
      <c r="AD595" s="1"/>
      <c r="AE595" s="1" t="s">
        <v>51</v>
      </c>
      <c r="AF595" s="1" t="s">
        <v>51</v>
      </c>
      <c r="AG595" s="1" t="s">
        <v>51</v>
      </c>
      <c r="AH595" s="1"/>
      <c r="AI595" s="1"/>
      <c r="AJ595" s="3">
        <v>1</v>
      </c>
      <c r="AK595" s="1" t="s">
        <v>89</v>
      </c>
      <c r="AL595" s="3">
        <v>4</v>
      </c>
      <c r="AM595" s="8">
        <v>24.5</v>
      </c>
      <c r="AN595" s="1"/>
      <c r="AO595" s="1" t="s">
        <v>3532</v>
      </c>
      <c r="AP595" s="1" t="s">
        <v>3533</v>
      </c>
      <c r="AQ595" s="1" t="s">
        <v>3534</v>
      </c>
      <c r="AR595" s="1" t="s">
        <v>3535</v>
      </c>
    </row>
    <row r="596">
      <c r="A596" s="2">
        <f ca="1">DATE(2000,11,07)</f>
        <v>0</v>
      </c>
      <c r="B596" s="2">
        <f ca="1">DATE(2000,12,07)</f>
        <v>0</v>
      </c>
      <c r="C596" s="1" t="s">
        <v>3528</v>
      </c>
      <c r="D596" s="3">
        <v>6282</v>
      </c>
      <c r="E596" s="1" t="s">
        <v>43</v>
      </c>
      <c r="F596" s="1" t="s">
        <v>3529</v>
      </c>
      <c r="G596" s="1" t="s">
        <v>160</v>
      </c>
      <c r="H596" s="4">
        <v>1.3700000000000001</v>
      </c>
      <c r="I596" s="4">
        <v>6.8499999999999996</v>
      </c>
      <c r="J596" s="5">
        <v>65</v>
      </c>
      <c r="K596" s="8">
        <v>20</v>
      </c>
      <c r="L596" s="1" t="s">
        <v>58</v>
      </c>
      <c r="M596" s="1" t="s">
        <v>47</v>
      </c>
      <c r="N596" s="1"/>
      <c r="O596" s="1" t="s">
        <v>108</v>
      </c>
      <c r="P596" s="1" t="s">
        <v>3536</v>
      </c>
      <c r="Q596" s="4">
        <v>1.3500000000000001</v>
      </c>
      <c r="R596" s="4">
        <v>1.3999999999999999</v>
      </c>
      <c r="S596" s="1"/>
      <c r="T596" s="1" t="s">
        <v>60</v>
      </c>
      <c r="U596" s="8">
        <v>23</v>
      </c>
      <c r="V596" s="8">
        <v>20</v>
      </c>
      <c r="W596" s="7">
        <v>2295367</v>
      </c>
      <c r="X596" s="5">
        <v>49.399999999999999</v>
      </c>
      <c r="Y596" s="1"/>
      <c r="Z596" s="7">
        <v>3250000</v>
      </c>
      <c r="AA596" s="1"/>
      <c r="AB596" s="1"/>
      <c r="AC596" s="1"/>
      <c r="AD596" s="1"/>
      <c r="AE596" s="1" t="s">
        <v>51</v>
      </c>
      <c r="AF596" s="1" t="s">
        <v>51</v>
      </c>
      <c r="AG596" s="1" t="s">
        <v>51</v>
      </c>
      <c r="AH596" s="1"/>
      <c r="AI596" s="1"/>
      <c r="AJ596" s="3">
        <v>1</v>
      </c>
      <c r="AK596" s="1" t="s">
        <v>52</v>
      </c>
      <c r="AL596" s="3">
        <v>1</v>
      </c>
      <c r="AM596" s="1"/>
      <c r="AN596" s="1"/>
      <c r="AO596" s="1" t="s">
        <v>3537</v>
      </c>
      <c r="AP596" s="1" t="s">
        <v>160</v>
      </c>
      <c r="AQ596" s="1" t="s">
        <v>160</v>
      </c>
      <c r="AR596" s="1" t="s">
        <v>187</v>
      </c>
    </row>
    <row r="597">
      <c r="A597" s="2">
        <f ca="1">DATE(2000,11,20)</f>
        <v>0</v>
      </c>
      <c r="B597" s="2">
        <f ca="1">DATE(2000,12,08)</f>
        <v>0</v>
      </c>
      <c r="C597" s="1" t="s">
        <v>3538</v>
      </c>
      <c r="D597" s="3">
        <v>3674</v>
      </c>
      <c r="E597" s="1" t="s">
        <v>648</v>
      </c>
      <c r="F597" s="1" t="s">
        <v>3539</v>
      </c>
      <c r="G597" s="1" t="s">
        <v>239</v>
      </c>
      <c r="H597" s="4">
        <v>0.58999999999999997</v>
      </c>
      <c r="I597" s="8">
        <v>5.5300000000000002</v>
      </c>
      <c r="J597" s="5">
        <v>128.5</v>
      </c>
      <c r="K597" s="4">
        <v>10.67</v>
      </c>
      <c r="L597" s="1" t="s">
        <v>651</v>
      </c>
      <c r="M597" s="1" t="s">
        <v>47</v>
      </c>
      <c r="N597" s="1" t="s">
        <v>3540</v>
      </c>
      <c r="O597" s="1" t="s">
        <v>3541</v>
      </c>
      <c r="P597" s="1" t="s">
        <v>3542</v>
      </c>
      <c r="Q597" s="4">
        <v>1.125</v>
      </c>
      <c r="R597" s="4">
        <v>1.125</v>
      </c>
      <c r="S597" s="6">
        <v>3.2802199999999999</v>
      </c>
      <c r="T597" s="1" t="s">
        <v>50</v>
      </c>
      <c r="U597" s="8">
        <v>14.050000000000001</v>
      </c>
      <c r="V597" s="8">
        <v>12.35</v>
      </c>
      <c r="W597" s="7">
        <v>31380430</v>
      </c>
      <c r="X597" s="5">
        <v>414.19999999999999</v>
      </c>
      <c r="Y597" s="7">
        <v>2516360</v>
      </c>
      <c r="Z597" s="7">
        <v>9523640</v>
      </c>
      <c r="AA597" s="1"/>
      <c r="AB597" s="1"/>
      <c r="AC597" s="1"/>
      <c r="AD597" s="1"/>
      <c r="AE597" s="1" t="s">
        <v>47</v>
      </c>
      <c r="AF597" s="1" t="s">
        <v>51</v>
      </c>
      <c r="AG597" s="1" t="s">
        <v>51</v>
      </c>
      <c r="AH597" s="1"/>
      <c r="AI597" s="1"/>
      <c r="AJ597" s="3">
        <v>1</v>
      </c>
      <c r="AK597" s="1" t="s">
        <v>89</v>
      </c>
      <c r="AL597" s="3">
        <v>5</v>
      </c>
      <c r="AM597" s="8">
        <v>13.380000000000001</v>
      </c>
      <c r="AN597" s="1"/>
      <c r="AO597" s="1" t="s">
        <v>3543</v>
      </c>
      <c r="AP597" s="1" t="s">
        <v>3544</v>
      </c>
      <c r="AQ597" s="1" t="s">
        <v>3545</v>
      </c>
      <c r="AR597" s="1" t="s">
        <v>3546</v>
      </c>
    </row>
    <row r="598">
      <c r="A598" s="2">
        <f ca="1">DATE(2000,09,11)</f>
        <v>0</v>
      </c>
      <c r="B598" s="2">
        <f ca="1">DATE(2000,12,08)</f>
        <v>0</v>
      </c>
      <c r="C598" s="1" t="s">
        <v>3547</v>
      </c>
      <c r="D598" s="3">
        <v>3812</v>
      </c>
      <c r="E598" s="1" t="s">
        <v>43</v>
      </c>
      <c r="F598" s="1" t="s">
        <v>3548</v>
      </c>
      <c r="G598" s="1" t="s">
        <v>3549</v>
      </c>
      <c r="H598" s="4">
        <v>0.97999999999999998</v>
      </c>
      <c r="I598" s="8">
        <v>7</v>
      </c>
      <c r="J598" s="5">
        <v>121.59999999999999</v>
      </c>
      <c r="K598" s="4">
        <v>14</v>
      </c>
      <c r="L598" s="1" t="s">
        <v>46</v>
      </c>
      <c r="M598" s="1" t="s">
        <v>47</v>
      </c>
      <c r="N598" s="1" t="s">
        <v>3550</v>
      </c>
      <c r="O598" s="1" t="s">
        <v>48</v>
      </c>
      <c r="P598" s="1" t="s">
        <v>3551</v>
      </c>
      <c r="Q598" s="4">
        <v>1.4290000000000001</v>
      </c>
      <c r="R598" s="4">
        <v>1.4290000000000001</v>
      </c>
      <c r="S598" s="6">
        <v>4.1428599999999998</v>
      </c>
      <c r="T598" s="1" t="s">
        <v>50</v>
      </c>
      <c r="U598" s="1"/>
      <c r="V598" s="1"/>
      <c r="W598" s="1"/>
      <c r="X598" s="5">
        <v>230</v>
      </c>
      <c r="Y598" s="7">
        <v>6516562</v>
      </c>
      <c r="Z598" s="7">
        <v>2172188</v>
      </c>
      <c r="AA598" s="1"/>
      <c r="AB598" s="1"/>
      <c r="AC598" s="1"/>
      <c r="AD598" s="1"/>
      <c r="AE598" s="1" t="s">
        <v>51</v>
      </c>
      <c r="AF598" s="1" t="s">
        <v>51</v>
      </c>
      <c r="AG598" s="1" t="s">
        <v>51</v>
      </c>
      <c r="AH598" s="1"/>
      <c r="AI598" s="1"/>
      <c r="AJ598" s="3">
        <v>2</v>
      </c>
      <c r="AK598" s="1" t="s">
        <v>89</v>
      </c>
      <c r="AL598" s="3">
        <v>3</v>
      </c>
      <c r="AM598" s="8">
        <v>20</v>
      </c>
      <c r="AN598" s="1"/>
      <c r="AO598" s="1" t="s">
        <v>3552</v>
      </c>
      <c r="AP598" s="1" t="s">
        <v>3553</v>
      </c>
      <c r="AQ598" s="1" t="s">
        <v>3554</v>
      </c>
      <c r="AR598" s="1" t="s">
        <v>3555</v>
      </c>
    </row>
    <row r="599">
      <c r="A599" s="2">
        <f ca="1">DATE(2000,09,11)</f>
        <v>0</v>
      </c>
      <c r="B599" s="2">
        <f ca="1">DATE(2000,12,08)</f>
        <v>0</v>
      </c>
      <c r="C599" s="1" t="s">
        <v>3547</v>
      </c>
      <c r="D599" s="3">
        <v>3812</v>
      </c>
      <c r="E599" s="1" t="s">
        <v>43</v>
      </c>
      <c r="F599" s="1" t="s">
        <v>3548</v>
      </c>
      <c r="G599" s="1" t="s">
        <v>3556</v>
      </c>
      <c r="H599" s="4">
        <v>0.97999999999999998</v>
      </c>
      <c r="I599" s="8">
        <v>7</v>
      </c>
      <c r="J599" s="5">
        <v>25.399999999999999</v>
      </c>
      <c r="K599" s="8">
        <v>14</v>
      </c>
      <c r="L599" s="1" t="s">
        <v>58</v>
      </c>
      <c r="M599" s="1" t="s">
        <v>47</v>
      </c>
      <c r="N599" s="1"/>
      <c r="O599" s="1" t="s">
        <v>48</v>
      </c>
      <c r="P599" s="1" t="s">
        <v>3557</v>
      </c>
      <c r="Q599" s="4">
        <v>1.4290000000000001</v>
      </c>
      <c r="R599" s="4">
        <v>1.4290000000000001</v>
      </c>
      <c r="S599" s="6">
        <v>4.1429299999999998</v>
      </c>
      <c r="T599" s="1" t="s">
        <v>60</v>
      </c>
      <c r="U599" s="1"/>
      <c r="V599" s="1"/>
      <c r="W599" s="1"/>
      <c r="X599" s="5">
        <v>230</v>
      </c>
      <c r="Y599" s="7">
        <v>1811250</v>
      </c>
      <c r="Z599" s="1"/>
      <c r="AA599" s="1"/>
      <c r="AB599" s="1"/>
      <c r="AC599" s="1"/>
      <c r="AD599" s="1"/>
      <c r="AE599" s="1" t="s">
        <v>51</v>
      </c>
      <c r="AF599" s="1" t="s">
        <v>51</v>
      </c>
      <c r="AG599" s="1" t="s">
        <v>51</v>
      </c>
      <c r="AH599" s="1"/>
      <c r="AI599" s="1"/>
      <c r="AJ599" s="3">
        <v>2</v>
      </c>
      <c r="AK599" s="1" t="s">
        <v>89</v>
      </c>
      <c r="AL599" s="3">
        <v>2</v>
      </c>
      <c r="AM599" s="1"/>
      <c r="AN599" s="1"/>
      <c r="AO599" s="1" t="s">
        <v>3558</v>
      </c>
      <c r="AP599" s="1" t="s">
        <v>3559</v>
      </c>
      <c r="AQ599" s="1" t="s">
        <v>3560</v>
      </c>
      <c r="AR599" s="1" t="s">
        <v>3561</v>
      </c>
    </row>
    <row r="600">
      <c r="A600" s="2">
        <f ca="1">DATE(2000,10,05)</f>
        <v>0</v>
      </c>
      <c r="B600" s="2">
        <f ca="1">DATE(2000,12,11)</f>
        <v>0</v>
      </c>
      <c r="C600" s="1" t="s">
        <v>3562</v>
      </c>
      <c r="D600" s="3">
        <v>2834</v>
      </c>
      <c r="E600" s="1" t="s">
        <v>43</v>
      </c>
      <c r="F600" s="1" t="s">
        <v>3563</v>
      </c>
      <c r="G600" s="1" t="s">
        <v>400</v>
      </c>
      <c r="H600" s="4">
        <v>0.66500000000000004</v>
      </c>
      <c r="I600" s="4">
        <v>7</v>
      </c>
      <c r="J600" s="5">
        <v>32.100000000000001</v>
      </c>
      <c r="K600" s="4">
        <v>9.5</v>
      </c>
      <c r="L600" s="1" t="s">
        <v>46</v>
      </c>
      <c r="M600" s="1" t="s">
        <v>47</v>
      </c>
      <c r="N600" s="1" t="s">
        <v>3564</v>
      </c>
      <c r="O600" s="1" t="s">
        <v>48</v>
      </c>
      <c r="P600" s="1" t="s">
        <v>3565</v>
      </c>
      <c r="Q600" s="4">
        <v>1.395</v>
      </c>
      <c r="R600" s="4">
        <v>1.395</v>
      </c>
      <c r="S600" s="6">
        <v>4.2105300000000003</v>
      </c>
      <c r="T600" s="1" t="s">
        <v>50</v>
      </c>
      <c r="U600" s="1"/>
      <c r="V600" s="1"/>
      <c r="W600" s="1"/>
      <c r="X600" s="5">
        <v>50</v>
      </c>
      <c r="Y600" s="7">
        <v>3376000</v>
      </c>
      <c r="Z600" s="1"/>
      <c r="AA600" s="1"/>
      <c r="AB600" s="1"/>
      <c r="AC600" s="1"/>
      <c r="AD600" s="1"/>
      <c r="AE600" s="1" t="s">
        <v>51</v>
      </c>
      <c r="AF600" s="1" t="s">
        <v>51</v>
      </c>
      <c r="AG600" s="1" t="s">
        <v>47</v>
      </c>
      <c r="AH600" s="1"/>
      <c r="AI600" s="1"/>
      <c r="AJ600" s="3">
        <v>1</v>
      </c>
      <c r="AK600" s="1" t="s">
        <v>52</v>
      </c>
      <c r="AL600" s="3">
        <v>3</v>
      </c>
      <c r="AM600" s="8">
        <v>9.8800000000000008</v>
      </c>
      <c r="AN600" s="1"/>
      <c r="AO600" s="1" t="s">
        <v>3566</v>
      </c>
      <c r="AP600" s="1" t="s">
        <v>400</v>
      </c>
      <c r="AQ600" s="1" t="s">
        <v>3567</v>
      </c>
      <c r="AR600" s="1" t="s">
        <v>3568</v>
      </c>
    </row>
    <row r="601">
      <c r="A601" s="2">
        <f ca="1">DATE(2000,10,05)</f>
        <v>0</v>
      </c>
      <c r="B601" s="2">
        <f ca="1">DATE(2000,12,11)</f>
        <v>0</v>
      </c>
      <c r="C601" s="1" t="s">
        <v>3562</v>
      </c>
      <c r="D601" s="3">
        <v>2834</v>
      </c>
      <c r="E601" s="1" t="s">
        <v>43</v>
      </c>
      <c r="F601" s="1" t="s">
        <v>3563</v>
      </c>
      <c r="G601" s="1" t="s">
        <v>400</v>
      </c>
      <c r="H601" s="4">
        <v>0.66500000000000004</v>
      </c>
      <c r="I601" s="4">
        <v>7</v>
      </c>
      <c r="J601" s="5">
        <v>5.9000000000000004</v>
      </c>
      <c r="K601" s="8">
        <v>9.5</v>
      </c>
      <c r="L601" s="1" t="s">
        <v>58</v>
      </c>
      <c r="M601" s="1" t="s">
        <v>47</v>
      </c>
      <c r="N601" s="1" t="s">
        <v>3564</v>
      </c>
      <c r="O601" s="1" t="s">
        <v>48</v>
      </c>
      <c r="P601" s="1" t="s">
        <v>3569</v>
      </c>
      <c r="Q601" s="4">
        <v>1.5</v>
      </c>
      <c r="R601" s="4">
        <v>1.3999999999999999</v>
      </c>
      <c r="S601" s="8">
        <v>4.2000000000000002</v>
      </c>
      <c r="T601" s="1" t="s">
        <v>60</v>
      </c>
      <c r="U601" s="1"/>
      <c r="V601" s="1"/>
      <c r="W601" s="1"/>
      <c r="X601" s="1"/>
      <c r="Y601" s="7">
        <v>624000</v>
      </c>
      <c r="Z601" s="1"/>
      <c r="AA601" s="1"/>
      <c r="AB601" s="1"/>
      <c r="AC601" s="1"/>
      <c r="AD601" s="1"/>
      <c r="AE601" s="1" t="s">
        <v>51</v>
      </c>
      <c r="AF601" s="1" t="s">
        <v>51</v>
      </c>
      <c r="AG601" s="1" t="s">
        <v>47</v>
      </c>
      <c r="AH601" s="1"/>
      <c r="AI601" s="1"/>
      <c r="AJ601" s="3">
        <v>1</v>
      </c>
      <c r="AK601" s="1" t="s">
        <v>52</v>
      </c>
      <c r="AL601" s="3">
        <v>2</v>
      </c>
      <c r="AM601" s="1"/>
      <c r="AN601" s="1"/>
      <c r="AO601" s="1" t="s">
        <v>3570</v>
      </c>
      <c r="AP601" s="1" t="s">
        <v>400</v>
      </c>
      <c r="AQ601" s="1" t="s">
        <v>3571</v>
      </c>
      <c r="AR601" s="1" t="s">
        <v>3572</v>
      </c>
    </row>
    <row r="602">
      <c r="A602" s="2">
        <f ca="1">DATE(2000,09,01)</f>
        <v>0</v>
      </c>
      <c r="B602" s="2">
        <f ca="1">DATE(2000,12,14)</f>
        <v>0</v>
      </c>
      <c r="C602" s="1" t="s">
        <v>3573</v>
      </c>
      <c r="D602" s="3">
        <v>8721</v>
      </c>
      <c r="E602" s="1" t="s">
        <v>43</v>
      </c>
      <c r="F602" s="1" t="s">
        <v>3574</v>
      </c>
      <c r="G602" s="1" t="s">
        <v>3575</v>
      </c>
      <c r="H602" s="4">
        <v>0.83999999999999997</v>
      </c>
      <c r="I602" s="8">
        <v>7</v>
      </c>
      <c r="J602" s="5">
        <v>71.5</v>
      </c>
      <c r="K602" s="4">
        <v>12</v>
      </c>
      <c r="L602" s="1" t="s">
        <v>46</v>
      </c>
      <c r="M602" s="1" t="s">
        <v>47</v>
      </c>
      <c r="N602" s="1" t="s">
        <v>3576</v>
      </c>
      <c r="O602" s="1" t="s">
        <v>48</v>
      </c>
      <c r="P602" s="1" t="s">
        <v>3577</v>
      </c>
      <c r="Q602" s="4">
        <v>1.417</v>
      </c>
      <c r="R602" s="4">
        <v>1.417</v>
      </c>
      <c r="S602" s="6">
        <v>4.1666699999999999</v>
      </c>
      <c r="T602" s="1" t="s">
        <v>50</v>
      </c>
      <c r="U602" s="1"/>
      <c r="V602" s="1"/>
      <c r="W602" s="1"/>
      <c r="X602" s="5">
        <v>103.5</v>
      </c>
      <c r="Y602" s="7">
        <v>4583462</v>
      </c>
      <c r="Z602" s="7">
        <v>1375038</v>
      </c>
      <c r="AA602" s="1"/>
      <c r="AB602" s="1"/>
      <c r="AC602" s="1"/>
      <c r="AD602" s="1"/>
      <c r="AE602" s="1" t="s">
        <v>51</v>
      </c>
      <c r="AF602" s="1" t="s">
        <v>51</v>
      </c>
      <c r="AG602" s="1" t="s">
        <v>47</v>
      </c>
      <c r="AH602" s="1"/>
      <c r="AI602" s="1"/>
      <c r="AJ602" s="3">
        <v>2</v>
      </c>
      <c r="AK602" s="1" t="s">
        <v>89</v>
      </c>
      <c r="AL602" s="3">
        <v>3</v>
      </c>
      <c r="AM602" s="8">
        <v>16</v>
      </c>
      <c r="AN602" s="1"/>
      <c r="AO602" s="1" t="s">
        <v>3578</v>
      </c>
      <c r="AP602" s="1" t="s">
        <v>3579</v>
      </c>
      <c r="AQ602" s="1" t="s">
        <v>3580</v>
      </c>
      <c r="AR602" s="1" t="s">
        <v>3581</v>
      </c>
    </row>
    <row r="603">
      <c r="A603" s="2">
        <f ca="1">DATE(2000,09,01)</f>
        <v>0</v>
      </c>
      <c r="B603" s="2">
        <f ca="1">DATE(2000,12,14)</f>
        <v>0</v>
      </c>
      <c r="C603" s="1" t="s">
        <v>3573</v>
      </c>
      <c r="D603" s="3">
        <v>8721</v>
      </c>
      <c r="E603" s="1" t="s">
        <v>43</v>
      </c>
      <c r="F603" s="1" t="s">
        <v>3574</v>
      </c>
      <c r="G603" s="1" t="s">
        <v>3582</v>
      </c>
      <c r="H603" s="4">
        <v>0.83999999999999997</v>
      </c>
      <c r="I603" s="8">
        <v>7</v>
      </c>
      <c r="J603" s="5">
        <v>6.5</v>
      </c>
      <c r="K603" s="8">
        <v>12</v>
      </c>
      <c r="L603" s="1" t="s">
        <v>58</v>
      </c>
      <c r="M603" s="1" t="s">
        <v>47</v>
      </c>
      <c r="N603" s="1" t="s">
        <v>3576</v>
      </c>
      <c r="O603" s="1" t="s">
        <v>48</v>
      </c>
      <c r="P603" s="1" t="s">
        <v>3583</v>
      </c>
      <c r="Q603" s="4">
        <v>1.417</v>
      </c>
      <c r="R603" s="4">
        <v>1.417</v>
      </c>
      <c r="S603" s="6">
        <v>4.1666699999999999</v>
      </c>
      <c r="T603" s="1" t="s">
        <v>60</v>
      </c>
      <c r="U603" s="1"/>
      <c r="V603" s="1"/>
      <c r="W603" s="1"/>
      <c r="X603" s="1"/>
      <c r="Y603" s="7">
        <v>416538</v>
      </c>
      <c r="Z603" s="7">
        <v>124962</v>
      </c>
      <c r="AA603" s="1"/>
      <c r="AB603" s="1"/>
      <c r="AC603" s="1"/>
      <c r="AD603" s="1"/>
      <c r="AE603" s="1" t="s">
        <v>51</v>
      </c>
      <c r="AF603" s="1" t="s">
        <v>51</v>
      </c>
      <c r="AG603" s="1" t="s">
        <v>47</v>
      </c>
      <c r="AH603" s="1"/>
      <c r="AI603" s="1"/>
      <c r="AJ603" s="3">
        <v>2</v>
      </c>
      <c r="AK603" s="1" t="s">
        <v>89</v>
      </c>
      <c r="AL603" s="3">
        <v>3</v>
      </c>
      <c r="AM603" s="1"/>
      <c r="AN603" s="1"/>
      <c r="AO603" s="1" t="s">
        <v>3584</v>
      </c>
      <c r="AP603" s="1" t="s">
        <v>3585</v>
      </c>
      <c r="AQ603" s="1" t="s">
        <v>3586</v>
      </c>
      <c r="AR603" s="1" t="s">
        <v>3587</v>
      </c>
    </row>
    <row r="604">
      <c r="A604" s="2">
        <f ca="1">DATE(2000,06,21)</f>
        <v>0</v>
      </c>
      <c r="B604" s="2">
        <f ca="1">DATE(2001,01,10)</f>
        <v>0</v>
      </c>
      <c r="C604" s="1" t="s">
        <v>3588</v>
      </c>
      <c r="D604" s="3">
        <v>1311</v>
      </c>
      <c r="E604" s="1" t="s">
        <v>166</v>
      </c>
      <c r="F604" s="1" t="s">
        <v>3589</v>
      </c>
      <c r="G604" s="1" t="s">
        <v>3590</v>
      </c>
      <c r="H604" s="4">
        <v>0.45000000000000001</v>
      </c>
      <c r="I604" s="4">
        <v>10</v>
      </c>
      <c r="J604" s="5">
        <v>4.5</v>
      </c>
      <c r="K604" s="4">
        <v>4.5</v>
      </c>
      <c r="L604" s="1" t="s">
        <v>46</v>
      </c>
      <c r="M604" s="1" t="s">
        <v>47</v>
      </c>
      <c r="N604" s="3">
        <v>960574101</v>
      </c>
      <c r="O604" s="1" t="s">
        <v>48</v>
      </c>
      <c r="P604" s="1" t="s">
        <v>3591</v>
      </c>
      <c r="Q604" s="1" t="s">
        <v>145</v>
      </c>
      <c r="R604" s="1" t="s">
        <v>145</v>
      </c>
      <c r="S604" s="1"/>
      <c r="T604" s="1" t="s">
        <v>50</v>
      </c>
      <c r="U604" s="1"/>
      <c r="V604" s="1"/>
      <c r="W604" s="7">
        <v>1000000</v>
      </c>
      <c r="X604" s="5">
        <v>5.7999999999999998</v>
      </c>
      <c r="Y604" s="7">
        <v>1000000</v>
      </c>
      <c r="Z604" s="1"/>
      <c r="AA604" s="2">
        <f ca="1">DATE(2001,07,09)</f>
        <v>0</v>
      </c>
      <c r="AB604" s="4">
        <v>79.287000000000006</v>
      </c>
      <c r="AC604" s="3">
        <v>180</v>
      </c>
      <c r="AD604" s="8">
        <v>4555139</v>
      </c>
      <c r="AE604" s="1" t="s">
        <v>51</v>
      </c>
      <c r="AF604" s="1" t="s">
        <v>47</v>
      </c>
      <c r="AG604" s="1" t="s">
        <v>51</v>
      </c>
      <c r="AH604" s="1"/>
      <c r="AI604" s="1"/>
      <c r="AJ604" s="3">
        <v>1</v>
      </c>
      <c r="AK604" s="1" t="s">
        <v>89</v>
      </c>
      <c r="AL604" s="3">
        <v>2</v>
      </c>
      <c r="AM604" s="8">
        <v>4.1299999999999999</v>
      </c>
      <c r="AN604" s="1"/>
      <c r="AO604" s="1" t="s">
        <v>3592</v>
      </c>
      <c r="AP604" s="1" t="s">
        <v>3593</v>
      </c>
      <c r="AQ604" s="1" t="s">
        <v>3594</v>
      </c>
      <c r="AR604" s="1" t="s">
        <v>3591</v>
      </c>
    </row>
    <row r="605">
      <c r="A605" s="2">
        <f ca="1">DATE(2000,11,03)</f>
        <v>0</v>
      </c>
      <c r="B605" s="2">
        <f ca="1">DATE(2001,01,23)</f>
        <v>0</v>
      </c>
      <c r="C605" s="1" t="s">
        <v>3595</v>
      </c>
      <c r="D605" s="3">
        <v>6726</v>
      </c>
      <c r="E605" s="1" t="s">
        <v>43</v>
      </c>
      <c r="F605" s="1" t="s">
        <v>3596</v>
      </c>
      <c r="G605" s="1" t="s">
        <v>204</v>
      </c>
      <c r="H605" s="4">
        <v>0.67500000000000004</v>
      </c>
      <c r="I605" s="4">
        <v>4.5</v>
      </c>
      <c r="J605" s="5">
        <v>55.5</v>
      </c>
      <c r="K605" s="4">
        <v>15</v>
      </c>
      <c r="L605" s="1" t="s">
        <v>46</v>
      </c>
      <c r="M605" s="1" t="s">
        <v>47</v>
      </c>
      <c r="N605" s="1" t="s">
        <v>3597</v>
      </c>
      <c r="O605" s="1" t="s">
        <v>87</v>
      </c>
      <c r="P605" s="1" t="s">
        <v>3598</v>
      </c>
      <c r="Q605" s="4">
        <v>0.75</v>
      </c>
      <c r="R605" s="4">
        <v>0.75</v>
      </c>
      <c r="S605" s="8">
        <v>3</v>
      </c>
      <c r="T605" s="1" t="s">
        <v>50</v>
      </c>
      <c r="U605" s="8">
        <v>15</v>
      </c>
      <c r="V605" s="8">
        <v>15</v>
      </c>
      <c r="W605" s="7">
        <v>1000000</v>
      </c>
      <c r="X605" s="5">
        <v>15</v>
      </c>
      <c r="Y605" s="7">
        <v>3700000</v>
      </c>
      <c r="Z605" s="1"/>
      <c r="AA605" s="2">
        <f ca="1">DATE(2001,07,22)</f>
        <v>0</v>
      </c>
      <c r="AB605" s="1"/>
      <c r="AC605" s="3">
        <v>180</v>
      </c>
      <c r="AD605" s="1"/>
      <c r="AE605" s="1" t="s">
        <v>51</v>
      </c>
      <c r="AF605" s="1" t="s">
        <v>51</v>
      </c>
      <c r="AG605" s="1" t="s">
        <v>51</v>
      </c>
      <c r="AH605" s="1"/>
      <c r="AI605" s="1"/>
      <c r="AJ605" s="3">
        <v>1</v>
      </c>
      <c r="AK605" s="1" t="s">
        <v>52</v>
      </c>
      <c r="AL605" s="3">
        <v>9</v>
      </c>
      <c r="AM605" s="8">
        <v>15.630000000000001</v>
      </c>
      <c r="AN605" s="1"/>
      <c r="AO605" s="1" t="s">
        <v>3599</v>
      </c>
      <c r="AP605" s="1" t="s">
        <v>204</v>
      </c>
      <c r="AQ605" s="1" t="s">
        <v>3600</v>
      </c>
      <c r="AR605" s="1" t="s">
        <v>3601</v>
      </c>
    </row>
    <row r="606">
      <c r="A606" s="2">
        <f ca="1">DATE(2000,11,03)</f>
        <v>0</v>
      </c>
      <c r="B606" s="2">
        <f ca="1">DATE(2001,01,24)</f>
        <v>0</v>
      </c>
      <c r="C606" s="1" t="s">
        <v>3602</v>
      </c>
      <c r="D606" s="3">
        <v>6726</v>
      </c>
      <c r="E606" s="1" t="s">
        <v>43</v>
      </c>
      <c r="F606" s="1" t="s">
        <v>3603</v>
      </c>
      <c r="G606" s="1" t="s">
        <v>204</v>
      </c>
      <c r="H606" s="4">
        <v>0.67500000000000004</v>
      </c>
      <c r="I606" s="4">
        <v>4.5</v>
      </c>
      <c r="J606" s="5">
        <v>40.5</v>
      </c>
      <c r="K606" s="4">
        <v>15</v>
      </c>
      <c r="L606" s="1" t="s">
        <v>46</v>
      </c>
      <c r="M606" s="1" t="s">
        <v>47</v>
      </c>
      <c r="N606" s="1" t="s">
        <v>3604</v>
      </c>
      <c r="O606" s="1" t="s">
        <v>87</v>
      </c>
      <c r="P606" s="1" t="s">
        <v>3605</v>
      </c>
      <c r="Q606" s="4">
        <v>0.75</v>
      </c>
      <c r="R606" s="4">
        <v>0.75</v>
      </c>
      <c r="S606" s="8">
        <v>3</v>
      </c>
      <c r="T606" s="1" t="s">
        <v>50</v>
      </c>
      <c r="U606" s="8">
        <v>15</v>
      </c>
      <c r="V606" s="8">
        <v>15</v>
      </c>
      <c r="W606" s="7">
        <v>1000000</v>
      </c>
      <c r="X606" s="5">
        <v>15</v>
      </c>
      <c r="Y606" s="7">
        <v>2700000</v>
      </c>
      <c r="Z606" s="1"/>
      <c r="AA606" s="2">
        <f ca="1">DATE(2001,07,23)</f>
        <v>0</v>
      </c>
      <c r="AB606" s="1"/>
      <c r="AC606" s="3">
        <v>180</v>
      </c>
      <c r="AD606" s="1"/>
      <c r="AE606" s="1" t="s">
        <v>51</v>
      </c>
      <c r="AF606" s="1" t="s">
        <v>51</v>
      </c>
      <c r="AG606" s="1" t="s">
        <v>51</v>
      </c>
      <c r="AH606" s="1"/>
      <c r="AI606" s="1"/>
      <c r="AJ606" s="3">
        <v>1</v>
      </c>
      <c r="AK606" s="1" t="s">
        <v>89</v>
      </c>
      <c r="AL606" s="3">
        <v>10</v>
      </c>
      <c r="AM606" s="8">
        <v>27.629999999999999</v>
      </c>
      <c r="AN606" s="1"/>
      <c r="AO606" s="1" t="s">
        <v>3606</v>
      </c>
      <c r="AP606" s="1" t="s">
        <v>3607</v>
      </c>
      <c r="AQ606" s="1" t="s">
        <v>3608</v>
      </c>
      <c r="AR606" s="1" t="s">
        <v>3609</v>
      </c>
    </row>
    <row r="607">
      <c r="A607" s="2">
        <f ca="1">DATE(2000,11,14)</f>
        <v>0</v>
      </c>
      <c r="B607" s="2">
        <f ca="1">DATE(2001,01,25)</f>
        <v>0</v>
      </c>
      <c r="C607" s="1" t="s">
        <v>3610</v>
      </c>
      <c r="D607" s="3">
        <v>3843</v>
      </c>
      <c r="E607" s="1" t="s">
        <v>43</v>
      </c>
      <c r="F607" s="1" t="s">
        <v>3611</v>
      </c>
      <c r="G607" s="1" t="s">
        <v>96</v>
      </c>
      <c r="H607" s="4">
        <v>0.91000000000000003</v>
      </c>
      <c r="I607" s="4">
        <v>7</v>
      </c>
      <c r="J607" s="5">
        <v>130</v>
      </c>
      <c r="K607" s="4">
        <v>13</v>
      </c>
      <c r="L607" s="1" t="s">
        <v>46</v>
      </c>
      <c r="M607" s="1" t="s">
        <v>47</v>
      </c>
      <c r="N607" s="1" t="s">
        <v>3612</v>
      </c>
      <c r="O607" s="1" t="s">
        <v>48</v>
      </c>
      <c r="P607" s="1" t="s">
        <v>3613</v>
      </c>
      <c r="Q607" s="4">
        <v>1.385</v>
      </c>
      <c r="R607" s="4">
        <v>1.385</v>
      </c>
      <c r="S607" s="6">
        <v>4.2307699999999997</v>
      </c>
      <c r="T607" s="1" t="s">
        <v>50</v>
      </c>
      <c r="U607" s="1"/>
      <c r="V607" s="1"/>
      <c r="W607" s="1"/>
      <c r="X607" s="5">
        <v>200</v>
      </c>
      <c r="Y607" s="7">
        <v>10000000</v>
      </c>
      <c r="Z607" s="1"/>
      <c r="AA607" s="2">
        <f ca="1">DATE(2001,07,24)</f>
        <v>0</v>
      </c>
      <c r="AB607" s="4">
        <v>67.548000000000002</v>
      </c>
      <c r="AC607" s="3">
        <v>180</v>
      </c>
      <c r="AD607" s="8">
        <v>30813008</v>
      </c>
      <c r="AE607" s="1" t="s">
        <v>51</v>
      </c>
      <c r="AF607" s="1" t="s">
        <v>51</v>
      </c>
      <c r="AG607" s="1" t="s">
        <v>47</v>
      </c>
      <c r="AH607" s="1"/>
      <c r="AI607" s="1"/>
      <c r="AJ607" s="3">
        <v>1</v>
      </c>
      <c r="AK607" s="1" t="s">
        <v>52</v>
      </c>
      <c r="AL607" s="3">
        <v>4</v>
      </c>
      <c r="AM607" s="8">
        <v>17.309999999999999</v>
      </c>
      <c r="AN607" s="1"/>
      <c r="AO607" s="1" t="s">
        <v>3614</v>
      </c>
      <c r="AP607" s="1" t="s">
        <v>96</v>
      </c>
      <c r="AQ607" s="1" t="s">
        <v>3615</v>
      </c>
      <c r="AR607" s="1" t="s">
        <v>3616</v>
      </c>
    </row>
    <row r="608">
      <c r="A608" s="2">
        <f ca="1">DATE(2000,11,03)</f>
        <v>0</v>
      </c>
      <c r="B608" s="2">
        <f ca="1">DATE(2001,01,25)</f>
        <v>0</v>
      </c>
      <c r="C608" s="1" t="s">
        <v>3617</v>
      </c>
      <c r="D608" s="3">
        <v>6726</v>
      </c>
      <c r="E608" s="1" t="s">
        <v>43</v>
      </c>
      <c r="F608" s="1" t="s">
        <v>3618</v>
      </c>
      <c r="G608" s="1" t="s">
        <v>204</v>
      </c>
      <c r="H608" s="4">
        <v>0.67500000000000004</v>
      </c>
      <c r="I608" s="4">
        <v>4.5</v>
      </c>
      <c r="J608" s="5">
        <v>30.800000000000001</v>
      </c>
      <c r="K608" s="4">
        <v>15</v>
      </c>
      <c r="L608" s="1" t="s">
        <v>46</v>
      </c>
      <c r="M608" s="1" t="s">
        <v>47</v>
      </c>
      <c r="N608" s="1" t="s">
        <v>3619</v>
      </c>
      <c r="O608" s="1" t="s">
        <v>108</v>
      </c>
      <c r="P608" s="1" t="s">
        <v>3620</v>
      </c>
      <c r="Q608" s="4">
        <v>0.75</v>
      </c>
      <c r="R608" s="4">
        <v>0.75</v>
      </c>
      <c r="S608" s="8">
        <v>3</v>
      </c>
      <c r="T608" s="1" t="s">
        <v>50</v>
      </c>
      <c r="U608" s="8">
        <v>15</v>
      </c>
      <c r="V608" s="8">
        <v>15</v>
      </c>
      <c r="W608" s="7">
        <v>100000</v>
      </c>
      <c r="X608" s="5">
        <v>1.5</v>
      </c>
      <c r="Y608" s="7">
        <v>2050000</v>
      </c>
      <c r="Z608" s="1"/>
      <c r="AA608" s="2">
        <f ca="1">DATE(2001,07,24)</f>
        <v>0</v>
      </c>
      <c r="AB608" s="1"/>
      <c r="AC608" s="3">
        <v>180</v>
      </c>
      <c r="AD608" s="1"/>
      <c r="AE608" s="1" t="s">
        <v>51</v>
      </c>
      <c r="AF608" s="1" t="s">
        <v>51</v>
      </c>
      <c r="AG608" s="1" t="s">
        <v>51</v>
      </c>
      <c r="AH608" s="1"/>
      <c r="AI608" s="1"/>
      <c r="AJ608" s="3">
        <v>1</v>
      </c>
      <c r="AK608" s="1" t="s">
        <v>89</v>
      </c>
      <c r="AL608" s="3">
        <v>11</v>
      </c>
      <c r="AM608" s="8">
        <v>15</v>
      </c>
      <c r="AN608" s="1"/>
      <c r="AO608" s="1" t="s">
        <v>3621</v>
      </c>
      <c r="AP608" s="1" t="s">
        <v>3607</v>
      </c>
      <c r="AQ608" s="1" t="s">
        <v>3622</v>
      </c>
      <c r="AR608" s="1" t="s">
        <v>3623</v>
      </c>
    </row>
    <row r="609">
      <c r="A609" s="2">
        <f ca="1">DATE(2000,11,03)</f>
        <v>0</v>
      </c>
      <c r="B609" s="2">
        <f ca="1">DATE(2001,01,25)</f>
        <v>0</v>
      </c>
      <c r="C609" s="1" t="s">
        <v>3624</v>
      </c>
      <c r="D609" s="3">
        <v>6726</v>
      </c>
      <c r="E609" s="1" t="s">
        <v>43</v>
      </c>
      <c r="F609" s="1" t="s">
        <v>3625</v>
      </c>
      <c r="G609" s="1" t="s">
        <v>204</v>
      </c>
      <c r="H609" s="4">
        <v>0.67500000000000004</v>
      </c>
      <c r="I609" s="4">
        <v>4.5</v>
      </c>
      <c r="J609" s="5">
        <v>36</v>
      </c>
      <c r="K609" s="4">
        <v>15</v>
      </c>
      <c r="L609" s="1" t="s">
        <v>46</v>
      </c>
      <c r="M609" s="1" t="s">
        <v>47</v>
      </c>
      <c r="N609" s="1" t="s">
        <v>3626</v>
      </c>
      <c r="O609" s="1" t="s">
        <v>87</v>
      </c>
      <c r="P609" s="1" t="s">
        <v>3627</v>
      </c>
      <c r="Q609" s="4">
        <v>0.75</v>
      </c>
      <c r="R609" s="4">
        <v>0.75</v>
      </c>
      <c r="S609" s="8">
        <v>3</v>
      </c>
      <c r="T609" s="1" t="s">
        <v>50</v>
      </c>
      <c r="U609" s="8">
        <v>15</v>
      </c>
      <c r="V609" s="8">
        <v>15</v>
      </c>
      <c r="W609" s="7">
        <v>1000000</v>
      </c>
      <c r="X609" s="5">
        <v>15</v>
      </c>
      <c r="Y609" s="7">
        <v>2400000</v>
      </c>
      <c r="Z609" s="1"/>
      <c r="AA609" s="2">
        <f ca="1">DATE(2001,07,24)</f>
        <v>0</v>
      </c>
      <c r="AB609" s="1"/>
      <c r="AC609" s="3">
        <v>180</v>
      </c>
      <c r="AD609" s="1"/>
      <c r="AE609" s="1" t="s">
        <v>51</v>
      </c>
      <c r="AF609" s="1" t="s">
        <v>51</v>
      </c>
      <c r="AG609" s="1" t="s">
        <v>51</v>
      </c>
      <c r="AH609" s="1"/>
      <c r="AI609" s="1"/>
      <c r="AJ609" s="3">
        <v>1</v>
      </c>
      <c r="AK609" s="1" t="s">
        <v>52</v>
      </c>
      <c r="AL609" s="3">
        <v>8</v>
      </c>
      <c r="AM609" s="8">
        <v>15</v>
      </c>
      <c r="AN609" s="1"/>
      <c r="AO609" s="1" t="s">
        <v>3628</v>
      </c>
      <c r="AP609" s="1" t="s">
        <v>204</v>
      </c>
      <c r="AQ609" s="1" t="s">
        <v>3629</v>
      </c>
      <c r="AR609" s="1" t="s">
        <v>3630</v>
      </c>
    </row>
    <row r="610">
      <c r="A610" s="2">
        <f ca="1">DATE(2000,10,13)</f>
        <v>0</v>
      </c>
      <c r="B610" s="2">
        <f ca="1">DATE(2001,01,25)</f>
        <v>0</v>
      </c>
      <c r="C610" s="1" t="s">
        <v>3631</v>
      </c>
      <c r="D610" s="3">
        <v>2095</v>
      </c>
      <c r="E610" s="1" t="s">
        <v>43</v>
      </c>
      <c r="F610" s="1" t="s">
        <v>3632</v>
      </c>
      <c r="G610" s="1" t="s">
        <v>1624</v>
      </c>
      <c r="H610" s="4">
        <v>0.52000000000000002</v>
      </c>
      <c r="I610" s="4">
        <v>6.5</v>
      </c>
      <c r="J610" s="5">
        <v>26.399999999999999</v>
      </c>
      <c r="K610" s="4">
        <v>8</v>
      </c>
      <c r="L610" s="1" t="s">
        <v>46</v>
      </c>
      <c r="M610" s="1" t="s">
        <v>47</v>
      </c>
      <c r="N610" s="3">
        <v>705560100</v>
      </c>
      <c r="O610" s="1" t="s">
        <v>48</v>
      </c>
      <c r="P610" s="1" t="s">
        <v>3633</v>
      </c>
      <c r="Q610" s="4">
        <v>1.9379999999999999</v>
      </c>
      <c r="R610" s="4">
        <v>1.9379999999999999</v>
      </c>
      <c r="S610" s="4">
        <v>2.625</v>
      </c>
      <c r="T610" s="1" t="s">
        <v>50</v>
      </c>
      <c r="U610" s="8">
        <v>14</v>
      </c>
      <c r="V610" s="8">
        <v>10</v>
      </c>
      <c r="W610" s="7">
        <v>3300000</v>
      </c>
      <c r="X610" s="5">
        <v>39.600000000000001</v>
      </c>
      <c r="Y610" s="7">
        <v>2500000</v>
      </c>
      <c r="Z610" s="7">
        <v>800000</v>
      </c>
      <c r="AA610" s="2">
        <f ca="1">DATE(2001,07,24)</f>
        <v>0</v>
      </c>
      <c r="AB610" s="4">
        <v>55.329000000000001</v>
      </c>
      <c r="AC610" s="3">
        <v>180</v>
      </c>
      <c r="AD610" s="8">
        <v>4403500</v>
      </c>
      <c r="AE610" s="1" t="s">
        <v>51</v>
      </c>
      <c r="AF610" s="1" t="s">
        <v>51</v>
      </c>
      <c r="AG610" s="1" t="s">
        <v>47</v>
      </c>
      <c r="AH610" s="1"/>
      <c r="AI610" s="1"/>
      <c r="AJ610" s="3">
        <v>1</v>
      </c>
      <c r="AK610" s="1" t="s">
        <v>89</v>
      </c>
      <c r="AL610" s="3">
        <v>2</v>
      </c>
      <c r="AM610" s="8">
        <v>13.060000000000001</v>
      </c>
      <c r="AN610" s="1"/>
      <c r="AO610" s="1" t="s">
        <v>3634</v>
      </c>
      <c r="AP610" s="1" t="s">
        <v>3635</v>
      </c>
      <c r="AQ610" s="1" t="s">
        <v>3636</v>
      </c>
      <c r="AR610" s="1" t="s">
        <v>3633</v>
      </c>
    </row>
    <row r="611">
      <c r="A611" s="2">
        <f ca="1">DATE(2000,10,27)</f>
        <v>0</v>
      </c>
      <c r="B611" s="2">
        <f ca="1">DATE(2001,01,30)</f>
        <v>0</v>
      </c>
      <c r="C611" s="1" t="s">
        <v>3637</v>
      </c>
      <c r="D611" s="3">
        <v>8731</v>
      </c>
      <c r="E611" s="1" t="s">
        <v>43</v>
      </c>
      <c r="F611" s="1" t="s">
        <v>3638</v>
      </c>
      <c r="G611" s="1" t="s">
        <v>45</v>
      </c>
      <c r="H611" s="4">
        <v>0.97999999999999998</v>
      </c>
      <c r="I611" s="8">
        <v>7</v>
      </c>
      <c r="J611" s="5">
        <v>44.799999999999997</v>
      </c>
      <c r="K611" s="4">
        <v>14</v>
      </c>
      <c r="L611" s="1" t="s">
        <v>46</v>
      </c>
      <c r="M611" s="1" t="s">
        <v>47</v>
      </c>
      <c r="N611" s="1" t="s">
        <v>3639</v>
      </c>
      <c r="O611" s="1" t="s">
        <v>48</v>
      </c>
      <c r="P611" s="1" t="s">
        <v>3640</v>
      </c>
      <c r="Q611" s="4">
        <v>1.4290000000000001</v>
      </c>
      <c r="R611" s="4">
        <v>1.4290000000000001</v>
      </c>
      <c r="S611" s="6">
        <v>4.1428599999999998</v>
      </c>
      <c r="T611" s="1" t="s">
        <v>50</v>
      </c>
      <c r="U611" s="1"/>
      <c r="V611" s="1"/>
      <c r="W611" s="1"/>
      <c r="X611" s="5">
        <v>69</v>
      </c>
      <c r="Y611" s="7">
        <v>3200000</v>
      </c>
      <c r="Z611" s="1"/>
      <c r="AA611" s="1"/>
      <c r="AB611" s="1"/>
      <c r="AC611" s="1"/>
      <c r="AD611" s="1"/>
      <c r="AE611" s="1" t="s">
        <v>51</v>
      </c>
      <c r="AF611" s="1" t="s">
        <v>51</v>
      </c>
      <c r="AG611" s="1" t="s">
        <v>47</v>
      </c>
      <c r="AH611" s="1"/>
      <c r="AI611" s="1"/>
      <c r="AJ611" s="3">
        <v>1</v>
      </c>
      <c r="AK611" s="1" t="s">
        <v>52</v>
      </c>
      <c r="AL611" s="3">
        <v>3</v>
      </c>
      <c r="AM611" s="8">
        <v>14.75</v>
      </c>
      <c r="AN611" s="1"/>
      <c r="AO611" s="1" t="s">
        <v>3641</v>
      </c>
      <c r="AP611" s="1" t="s">
        <v>45</v>
      </c>
      <c r="AQ611" s="1" t="s">
        <v>3642</v>
      </c>
      <c r="AR611" s="1" t="s">
        <v>3643</v>
      </c>
    </row>
    <row r="612">
      <c r="A612" s="2">
        <f ca="1">DATE(2000,10,27)</f>
        <v>0</v>
      </c>
      <c r="B612" s="2">
        <f ca="1">DATE(2001,01,30)</f>
        <v>0</v>
      </c>
      <c r="C612" s="1" t="s">
        <v>3637</v>
      </c>
      <c r="D612" s="3">
        <v>8731</v>
      </c>
      <c r="E612" s="1" t="s">
        <v>43</v>
      </c>
      <c r="F612" s="1" t="s">
        <v>3638</v>
      </c>
      <c r="G612" s="1" t="s">
        <v>45</v>
      </c>
      <c r="H612" s="4">
        <v>0.97999999999999998</v>
      </c>
      <c r="I612" s="8">
        <v>7</v>
      </c>
      <c r="J612" s="5">
        <v>11.199999999999999</v>
      </c>
      <c r="K612" s="8">
        <v>14</v>
      </c>
      <c r="L612" s="1" t="s">
        <v>58</v>
      </c>
      <c r="M612" s="1" t="s">
        <v>47</v>
      </c>
      <c r="N612" s="1" t="s">
        <v>3639</v>
      </c>
      <c r="O612" s="1" t="s">
        <v>48</v>
      </c>
      <c r="P612" s="1" t="s">
        <v>3644</v>
      </c>
      <c r="Q612" s="4">
        <v>1.4290000000000001</v>
      </c>
      <c r="R612" s="4">
        <v>1.4290000000000001</v>
      </c>
      <c r="S612" s="6">
        <v>4.1429299999999998</v>
      </c>
      <c r="T612" s="1" t="s">
        <v>60</v>
      </c>
      <c r="U612" s="1"/>
      <c r="V612" s="1"/>
      <c r="W612" s="1"/>
      <c r="X612" s="1"/>
      <c r="Y612" s="7">
        <v>800000</v>
      </c>
      <c r="Z612" s="1"/>
      <c r="AA612" s="1"/>
      <c r="AB612" s="1"/>
      <c r="AC612" s="1"/>
      <c r="AD612" s="1"/>
      <c r="AE612" s="1" t="s">
        <v>51</v>
      </c>
      <c r="AF612" s="1" t="s">
        <v>51</v>
      </c>
      <c r="AG612" s="1" t="s">
        <v>47</v>
      </c>
      <c r="AH612" s="1"/>
      <c r="AI612" s="1"/>
      <c r="AJ612" s="3">
        <v>1</v>
      </c>
      <c r="AK612" s="1" t="s">
        <v>52</v>
      </c>
      <c r="AL612" s="3">
        <v>1</v>
      </c>
      <c r="AM612" s="1"/>
      <c r="AN612" s="1"/>
      <c r="AO612" s="1" t="s">
        <v>3645</v>
      </c>
      <c r="AP612" s="1" t="s">
        <v>45</v>
      </c>
      <c r="AQ612" s="1" t="s">
        <v>45</v>
      </c>
      <c r="AR612" s="1" t="s">
        <v>786</v>
      </c>
    </row>
    <row r="613">
      <c r="A613" s="2">
        <f ca="1">DATE(2000,11,03)</f>
        <v>0</v>
      </c>
      <c r="B613" s="2">
        <f ca="1">DATE(2001,01,30)</f>
        <v>0</v>
      </c>
      <c r="C613" s="1" t="s">
        <v>3646</v>
      </c>
      <c r="D613" s="3">
        <v>6726</v>
      </c>
      <c r="E613" s="1" t="s">
        <v>43</v>
      </c>
      <c r="F613" s="1" t="s">
        <v>3647</v>
      </c>
      <c r="G613" s="1" t="s">
        <v>204</v>
      </c>
      <c r="H613" s="4">
        <v>0.67500000000000004</v>
      </c>
      <c r="I613" s="4">
        <v>4.5</v>
      </c>
      <c r="J613" s="5">
        <v>21.800000000000001</v>
      </c>
      <c r="K613" s="4">
        <v>15</v>
      </c>
      <c r="L613" s="1" t="s">
        <v>46</v>
      </c>
      <c r="M613" s="1" t="s">
        <v>47</v>
      </c>
      <c r="N613" s="1" t="s">
        <v>3648</v>
      </c>
      <c r="O613" s="1" t="s">
        <v>87</v>
      </c>
      <c r="P613" s="1" t="s">
        <v>3649</v>
      </c>
      <c r="Q613" s="4">
        <v>0.75</v>
      </c>
      <c r="R613" s="4">
        <v>0.75</v>
      </c>
      <c r="S613" s="8">
        <v>3</v>
      </c>
      <c r="T613" s="1" t="s">
        <v>50</v>
      </c>
      <c r="U613" s="8">
        <v>15</v>
      </c>
      <c r="V613" s="8">
        <v>15</v>
      </c>
      <c r="W613" s="7">
        <v>100000</v>
      </c>
      <c r="X613" s="5">
        <v>1.5</v>
      </c>
      <c r="Y613" s="7">
        <v>1450000</v>
      </c>
      <c r="Z613" s="1"/>
      <c r="AA613" s="2">
        <f ca="1">DATE(2001,07,29)</f>
        <v>0</v>
      </c>
      <c r="AB613" s="1"/>
      <c r="AC613" s="3">
        <v>180</v>
      </c>
      <c r="AD613" s="1"/>
      <c r="AE613" s="1" t="s">
        <v>51</v>
      </c>
      <c r="AF613" s="1" t="s">
        <v>51</v>
      </c>
      <c r="AG613" s="1" t="s">
        <v>51</v>
      </c>
      <c r="AH613" s="1"/>
      <c r="AI613" s="1"/>
      <c r="AJ613" s="3">
        <v>1</v>
      </c>
      <c r="AK613" s="1" t="s">
        <v>89</v>
      </c>
      <c r="AL613" s="3">
        <v>7</v>
      </c>
      <c r="AM613" s="8">
        <v>15</v>
      </c>
      <c r="AN613" s="1"/>
      <c r="AO613" s="1" t="s">
        <v>3650</v>
      </c>
      <c r="AP613" s="1" t="s">
        <v>3607</v>
      </c>
      <c r="AQ613" s="1" t="s">
        <v>3651</v>
      </c>
      <c r="AR613" s="1" t="s">
        <v>3652</v>
      </c>
    </row>
    <row r="614">
      <c r="A614" s="2">
        <f ca="1">DATE(2000,11,03)</f>
        <v>0</v>
      </c>
      <c r="B614" s="2">
        <f ca="1">DATE(2001,01,30)</f>
        <v>0</v>
      </c>
      <c r="C614" s="1" t="s">
        <v>3653</v>
      </c>
      <c r="D614" s="3">
        <v>6726</v>
      </c>
      <c r="E614" s="1" t="s">
        <v>43</v>
      </c>
      <c r="F614" s="1" t="s">
        <v>3654</v>
      </c>
      <c r="G614" s="1" t="s">
        <v>204</v>
      </c>
      <c r="H614" s="4">
        <v>0.67500000000000004</v>
      </c>
      <c r="I614" s="4">
        <v>4.5</v>
      </c>
      <c r="J614" s="5">
        <v>27.699999999999999</v>
      </c>
      <c r="K614" s="4">
        <v>15</v>
      </c>
      <c r="L614" s="1" t="s">
        <v>46</v>
      </c>
      <c r="M614" s="1" t="s">
        <v>47</v>
      </c>
      <c r="N614" s="1" t="s">
        <v>3655</v>
      </c>
      <c r="O614" s="1" t="s">
        <v>87</v>
      </c>
      <c r="P614" s="1" t="s">
        <v>3656</v>
      </c>
      <c r="Q614" s="4">
        <v>0.75</v>
      </c>
      <c r="R614" s="4">
        <v>0.75</v>
      </c>
      <c r="S614" s="8">
        <v>3</v>
      </c>
      <c r="T614" s="1" t="s">
        <v>50</v>
      </c>
      <c r="U614" s="8">
        <v>15</v>
      </c>
      <c r="V614" s="8">
        <v>15</v>
      </c>
      <c r="W614" s="7">
        <v>1000000</v>
      </c>
      <c r="X614" s="5">
        <v>15</v>
      </c>
      <c r="Y614" s="7">
        <v>1845000</v>
      </c>
      <c r="Z614" s="1"/>
      <c r="AA614" s="2">
        <f ca="1">DATE(2001,07,29)</f>
        <v>0</v>
      </c>
      <c r="AB614" s="1"/>
      <c r="AC614" s="3">
        <v>180</v>
      </c>
      <c r="AD614" s="1"/>
      <c r="AE614" s="1" t="s">
        <v>51</v>
      </c>
      <c r="AF614" s="1" t="s">
        <v>51</v>
      </c>
      <c r="AG614" s="1" t="s">
        <v>51</v>
      </c>
      <c r="AH614" s="1"/>
      <c r="AI614" s="1"/>
      <c r="AJ614" s="3">
        <v>1</v>
      </c>
      <c r="AK614" s="1" t="s">
        <v>89</v>
      </c>
      <c r="AL614" s="3">
        <v>7</v>
      </c>
      <c r="AM614" s="8">
        <v>15</v>
      </c>
      <c r="AN614" s="1"/>
      <c r="AO614" s="1" t="s">
        <v>3657</v>
      </c>
      <c r="AP614" s="1" t="s">
        <v>3607</v>
      </c>
      <c r="AQ614" s="1" t="s">
        <v>3658</v>
      </c>
      <c r="AR614" s="1" t="s">
        <v>3659</v>
      </c>
    </row>
    <row r="615">
      <c r="A615" s="2">
        <f ca="1">DATE(2000,09,18)</f>
        <v>0</v>
      </c>
      <c r="B615" s="2">
        <f ca="1">DATE(2001,02,05)</f>
        <v>0</v>
      </c>
      <c r="C615" s="1" t="s">
        <v>3660</v>
      </c>
      <c r="D615" s="3">
        <v>1311</v>
      </c>
      <c r="E615" s="1" t="s">
        <v>43</v>
      </c>
      <c r="F615" s="1" t="s">
        <v>3661</v>
      </c>
      <c r="G615" s="1" t="s">
        <v>813</v>
      </c>
      <c r="H615" s="4">
        <v>0.94499999999999995</v>
      </c>
      <c r="I615" s="8">
        <v>6.75</v>
      </c>
      <c r="J615" s="5">
        <v>75.599999999999994</v>
      </c>
      <c r="K615" s="4">
        <v>14</v>
      </c>
      <c r="L615" s="1" t="s">
        <v>46</v>
      </c>
      <c r="M615" s="1" t="s">
        <v>47</v>
      </c>
      <c r="N615" s="1" t="s">
        <v>3662</v>
      </c>
      <c r="O615" s="1" t="s">
        <v>48</v>
      </c>
      <c r="P615" s="1" t="s">
        <v>3663</v>
      </c>
      <c r="Q615" s="4">
        <v>1.357</v>
      </c>
      <c r="R615" s="4">
        <v>1.393</v>
      </c>
      <c r="S615" s="8">
        <v>4</v>
      </c>
      <c r="T615" s="1" t="s">
        <v>50</v>
      </c>
      <c r="U615" s="1"/>
      <c r="V615" s="1"/>
      <c r="W615" s="1"/>
      <c r="X615" s="5">
        <v>172.5</v>
      </c>
      <c r="Y615" s="7">
        <v>5400000</v>
      </c>
      <c r="Z615" s="1"/>
      <c r="AA615" s="1"/>
      <c r="AB615" s="1"/>
      <c r="AC615" s="1"/>
      <c r="AD615" s="1"/>
      <c r="AE615" s="1" t="s">
        <v>51</v>
      </c>
      <c r="AF615" s="1" t="s">
        <v>51</v>
      </c>
      <c r="AG615" s="1" t="s">
        <v>51</v>
      </c>
      <c r="AH615" s="1"/>
      <c r="AI615" s="1"/>
      <c r="AJ615" s="3">
        <v>1</v>
      </c>
      <c r="AK615" s="1" t="s">
        <v>52</v>
      </c>
      <c r="AL615" s="3">
        <v>5</v>
      </c>
      <c r="AM615" s="8">
        <v>14</v>
      </c>
      <c r="AN615" s="1"/>
      <c r="AO615" s="1" t="s">
        <v>3664</v>
      </c>
      <c r="AP615" s="1" t="s">
        <v>813</v>
      </c>
      <c r="AQ615" s="1" t="s">
        <v>3665</v>
      </c>
      <c r="AR615" s="1" t="s">
        <v>3666</v>
      </c>
    </row>
    <row r="616">
      <c r="A616" s="2">
        <f ca="1">DATE(2000,09,18)</f>
        <v>0</v>
      </c>
      <c r="B616" s="2">
        <f ca="1">DATE(2001,02,05)</f>
        <v>0</v>
      </c>
      <c r="C616" s="1" t="s">
        <v>3660</v>
      </c>
      <c r="D616" s="3">
        <v>1311</v>
      </c>
      <c r="E616" s="1" t="s">
        <v>43</v>
      </c>
      <c r="F616" s="1" t="s">
        <v>3661</v>
      </c>
      <c r="G616" s="1" t="s">
        <v>813</v>
      </c>
      <c r="H616" s="4">
        <v>0.94499999999999995</v>
      </c>
      <c r="I616" s="8">
        <v>6.75</v>
      </c>
      <c r="J616" s="5">
        <v>8.4000000000000004</v>
      </c>
      <c r="K616" s="8">
        <v>14</v>
      </c>
      <c r="L616" s="1" t="s">
        <v>58</v>
      </c>
      <c r="M616" s="1" t="s">
        <v>47</v>
      </c>
      <c r="N616" s="1" t="s">
        <v>3662</v>
      </c>
      <c r="O616" s="1" t="s">
        <v>48</v>
      </c>
      <c r="P616" s="1" t="s">
        <v>3667</v>
      </c>
      <c r="Q616" s="4">
        <v>1.357</v>
      </c>
      <c r="R616" s="4">
        <v>1.3919999999999999</v>
      </c>
      <c r="S616" s="8">
        <v>4</v>
      </c>
      <c r="T616" s="1" t="s">
        <v>60</v>
      </c>
      <c r="U616" s="1"/>
      <c r="V616" s="1"/>
      <c r="W616" s="1"/>
      <c r="X616" s="1"/>
      <c r="Y616" s="7">
        <v>600000</v>
      </c>
      <c r="Z616" s="1"/>
      <c r="AA616" s="1"/>
      <c r="AB616" s="1"/>
      <c r="AC616" s="1"/>
      <c r="AD616" s="1"/>
      <c r="AE616" s="1" t="s">
        <v>51</v>
      </c>
      <c r="AF616" s="1" t="s">
        <v>51</v>
      </c>
      <c r="AG616" s="1" t="s">
        <v>51</v>
      </c>
      <c r="AH616" s="1"/>
      <c r="AI616" s="1"/>
      <c r="AJ616" s="3">
        <v>1</v>
      </c>
      <c r="AK616" s="1" t="s">
        <v>52</v>
      </c>
      <c r="AL616" s="3">
        <v>2</v>
      </c>
      <c r="AM616" s="1"/>
      <c r="AN616" s="1"/>
      <c r="AO616" s="1" t="s">
        <v>3668</v>
      </c>
      <c r="AP616" s="1" t="s">
        <v>813</v>
      </c>
      <c r="AQ616" s="1" t="s">
        <v>3669</v>
      </c>
      <c r="AR616" s="1" t="s">
        <v>3670</v>
      </c>
    </row>
    <row r="617">
      <c r="A617" s="2">
        <f ca="1">DATE(2000,10,30)</f>
        <v>0</v>
      </c>
      <c r="B617" s="2">
        <f ca="1">DATE(2001,02,05)</f>
        <v>0</v>
      </c>
      <c r="C617" s="1" t="s">
        <v>3671</v>
      </c>
      <c r="D617" s="3">
        <v>4922</v>
      </c>
      <c r="E617" s="1" t="s">
        <v>43</v>
      </c>
      <c r="F617" s="1" t="s">
        <v>3672</v>
      </c>
      <c r="G617" s="1" t="s">
        <v>813</v>
      </c>
      <c r="H617" s="4">
        <v>1.3999999999999999</v>
      </c>
      <c r="I617" s="4">
        <v>6.5119999999999996</v>
      </c>
      <c r="J617" s="5">
        <v>86</v>
      </c>
      <c r="K617" s="4">
        <v>21.5</v>
      </c>
      <c r="L617" s="1" t="s">
        <v>31</v>
      </c>
      <c r="M617" s="1" t="s">
        <v>47</v>
      </c>
      <c r="N617" s="3">
        <v>969491109</v>
      </c>
      <c r="O617" s="1" t="s">
        <v>108</v>
      </c>
      <c r="P617" s="1" t="s">
        <v>3673</v>
      </c>
      <c r="Q617" s="4">
        <v>1.3020000000000001</v>
      </c>
      <c r="R617" s="4">
        <v>1.488</v>
      </c>
      <c r="S617" s="6">
        <v>3.7209300000000001</v>
      </c>
      <c r="T617" s="1" t="s">
        <v>50</v>
      </c>
      <c r="U617" s="1"/>
      <c r="V617" s="1"/>
      <c r="W617" s="7">
        <v>3750000</v>
      </c>
      <c r="X617" s="5">
        <v>90.599999999999994</v>
      </c>
      <c r="Y617" s="7">
        <v>4000000</v>
      </c>
      <c r="Z617" s="1"/>
      <c r="AA617" s="2">
        <f ca="1">DATE(2001,08,04)</f>
        <v>0</v>
      </c>
      <c r="AB617" s="4">
        <v>50</v>
      </c>
      <c r="AC617" s="3">
        <v>180</v>
      </c>
      <c r="AD617" s="8">
        <v>2839847</v>
      </c>
      <c r="AE617" s="1" t="s">
        <v>51</v>
      </c>
      <c r="AF617" s="1" t="s">
        <v>51</v>
      </c>
      <c r="AG617" s="1" t="s">
        <v>51</v>
      </c>
      <c r="AH617" s="1" t="s">
        <v>3674</v>
      </c>
      <c r="AI617" s="1" t="s">
        <v>3675</v>
      </c>
      <c r="AJ617" s="3">
        <v>1</v>
      </c>
      <c r="AK617" s="1" t="s">
        <v>89</v>
      </c>
      <c r="AL617" s="3">
        <v>5</v>
      </c>
      <c r="AM617" s="8">
        <v>24</v>
      </c>
      <c r="AN617" s="1"/>
      <c r="AO617" s="1" t="s">
        <v>3676</v>
      </c>
      <c r="AP617" s="1" t="s">
        <v>337</v>
      </c>
      <c r="AQ617" s="1" t="s">
        <v>3677</v>
      </c>
      <c r="AR617" s="1" t="s">
        <v>3673</v>
      </c>
    </row>
    <row r="618">
      <c r="A618" s="2">
        <f ca="1">DATE(2000,05,05)</f>
        <v>0</v>
      </c>
      <c r="B618" s="2">
        <f ca="1">DATE(2001,02,07)</f>
        <v>0</v>
      </c>
      <c r="C618" s="1" t="s">
        <v>3678</v>
      </c>
      <c r="D618" s="3">
        <v>8742</v>
      </c>
      <c r="E618" s="1" t="s">
        <v>43</v>
      </c>
      <c r="F618" s="1" t="s">
        <v>3679</v>
      </c>
      <c r="G618" s="1" t="s">
        <v>106</v>
      </c>
      <c r="H618" s="4">
        <v>0.71999999999999997</v>
      </c>
      <c r="I618" s="4">
        <v>4</v>
      </c>
      <c r="J618" s="9">
        <v>2024.7000000000001</v>
      </c>
      <c r="K618" s="4">
        <v>18</v>
      </c>
      <c r="L618" s="1" t="s">
        <v>46</v>
      </c>
      <c r="M618" s="1" t="s">
        <v>47</v>
      </c>
      <c r="N618" s="1" t="s">
        <v>3680</v>
      </c>
      <c r="O618" s="1" t="s">
        <v>48</v>
      </c>
      <c r="P618" s="1" t="s">
        <v>3681</v>
      </c>
      <c r="Q618" s="4">
        <v>0.77800000000000002</v>
      </c>
      <c r="R618" s="4">
        <v>0.61099999999999999</v>
      </c>
      <c r="S618" s="6">
        <v>2.61111</v>
      </c>
      <c r="T618" s="1" t="s">
        <v>50</v>
      </c>
      <c r="U618" s="1"/>
      <c r="V618" s="1"/>
      <c r="W618" s="1"/>
      <c r="X618" s="9">
        <v>1000</v>
      </c>
      <c r="Y618" s="7">
        <v>31826583</v>
      </c>
      <c r="Z618" s="7">
        <v>80655417</v>
      </c>
      <c r="AA618" s="2">
        <f ca="1">DATE(2001,08,06)</f>
        <v>0</v>
      </c>
      <c r="AB618" s="4">
        <v>5.1360000000000001</v>
      </c>
      <c r="AC618" s="3">
        <v>180</v>
      </c>
      <c r="AD618" s="8">
        <v>7873740</v>
      </c>
      <c r="AE618" s="1" t="s">
        <v>51</v>
      </c>
      <c r="AF618" s="1" t="s">
        <v>51</v>
      </c>
      <c r="AG618" s="1" t="s">
        <v>51</v>
      </c>
      <c r="AH618" s="1"/>
      <c r="AI618" s="1" t="s">
        <v>3682</v>
      </c>
      <c r="AJ618" s="3">
        <v>1</v>
      </c>
      <c r="AK618" s="1" t="s">
        <v>52</v>
      </c>
      <c r="AL618" s="3">
        <v>4</v>
      </c>
      <c r="AM618" s="8">
        <v>23.48</v>
      </c>
      <c r="AN618" s="1"/>
      <c r="AO618" s="1" t="s">
        <v>3683</v>
      </c>
      <c r="AP618" s="1" t="s">
        <v>106</v>
      </c>
      <c r="AQ618" s="1" t="s">
        <v>3684</v>
      </c>
      <c r="AR618" s="1" t="s">
        <v>3685</v>
      </c>
    </row>
    <row r="619">
      <c r="A619" s="2">
        <f ca="1">DATE(2000,08,14)</f>
        <v>0</v>
      </c>
      <c r="B619" s="2">
        <f ca="1">DATE(2001,02,08)</f>
        <v>0</v>
      </c>
      <c r="C619" s="1" t="s">
        <v>3686</v>
      </c>
      <c r="D619" s="3">
        <v>6799</v>
      </c>
      <c r="E619" s="1" t="s">
        <v>43</v>
      </c>
      <c r="F619" s="1" t="s">
        <v>3687</v>
      </c>
      <c r="G619" s="1" t="s">
        <v>3299</v>
      </c>
      <c r="H619" s="4">
        <v>0.80000000000000004</v>
      </c>
      <c r="I619" s="4">
        <v>10</v>
      </c>
      <c r="J619" s="5">
        <v>8</v>
      </c>
      <c r="K619" s="4">
        <v>8</v>
      </c>
      <c r="L619" s="1" t="s">
        <v>46</v>
      </c>
      <c r="M619" s="1" t="s">
        <v>47</v>
      </c>
      <c r="N619" s="1" t="s">
        <v>3688</v>
      </c>
      <c r="O619" s="1" t="s">
        <v>3689</v>
      </c>
      <c r="P619" s="1" t="s">
        <v>3690</v>
      </c>
      <c r="Q619" s="4">
        <v>3</v>
      </c>
      <c r="R619" s="4">
        <v>1</v>
      </c>
      <c r="S619" s="8">
        <v>6</v>
      </c>
      <c r="T619" s="1" t="s">
        <v>50</v>
      </c>
      <c r="U619" s="8">
        <v>8</v>
      </c>
      <c r="V619" s="8">
        <v>8</v>
      </c>
      <c r="W619" s="7">
        <v>1000000</v>
      </c>
      <c r="X619" s="5">
        <v>8</v>
      </c>
      <c r="Y619" s="7">
        <v>1000000</v>
      </c>
      <c r="Z619" s="1"/>
      <c r="AA619" s="2">
        <f ca="1">DATE(2002,02,03)</f>
        <v>0</v>
      </c>
      <c r="AB619" s="4">
        <v>82.286000000000001</v>
      </c>
      <c r="AC619" s="3">
        <v>360</v>
      </c>
      <c r="AD619" s="8">
        <v>4645311</v>
      </c>
      <c r="AE619" s="1" t="s">
        <v>51</v>
      </c>
      <c r="AF619" s="1" t="s">
        <v>51</v>
      </c>
      <c r="AG619" s="1" t="s">
        <v>51</v>
      </c>
      <c r="AH619" s="1"/>
      <c r="AI619" s="1"/>
      <c r="AJ619" s="3">
        <v>1</v>
      </c>
      <c r="AK619" s="1" t="s">
        <v>52</v>
      </c>
      <c r="AL619" s="3">
        <v>2</v>
      </c>
      <c r="AM619" s="8">
        <v>7.5099999999999998</v>
      </c>
      <c r="AN619" s="1"/>
      <c r="AO619" s="1" t="s">
        <v>3691</v>
      </c>
      <c r="AP619" s="1" t="s">
        <v>3299</v>
      </c>
      <c r="AQ619" s="1" t="s">
        <v>3692</v>
      </c>
      <c r="AR619" s="1" t="s">
        <v>3693</v>
      </c>
    </row>
    <row r="620">
      <c r="A620" s="2">
        <f ca="1">DATE(2000,08,10)</f>
        <v>0</v>
      </c>
      <c r="B620" s="2">
        <f ca="1">DATE(2001,02,08)</f>
        <v>0</v>
      </c>
      <c r="C620" s="1" t="s">
        <v>3694</v>
      </c>
      <c r="D620" s="3">
        <v>3533</v>
      </c>
      <c r="E620" s="1" t="s">
        <v>43</v>
      </c>
      <c r="F620" s="1" t="s">
        <v>3695</v>
      </c>
      <c r="G620" s="1" t="s">
        <v>3549</v>
      </c>
      <c r="H620" s="4">
        <v>0.63</v>
      </c>
      <c r="I620" s="4">
        <v>7</v>
      </c>
      <c r="J620" s="5">
        <v>72</v>
      </c>
      <c r="K620" s="4">
        <v>9</v>
      </c>
      <c r="L620" s="1" t="s">
        <v>46</v>
      </c>
      <c r="M620" s="1" t="s">
        <v>47</v>
      </c>
      <c r="N620" s="3">
        <v>678026105</v>
      </c>
      <c r="O620" s="1" t="s">
        <v>108</v>
      </c>
      <c r="P620" s="1" t="s">
        <v>3696</v>
      </c>
      <c r="Q620" s="4">
        <v>1.444</v>
      </c>
      <c r="R620" s="4">
        <v>1.778</v>
      </c>
      <c r="S620" s="6">
        <v>3.7777799999999999</v>
      </c>
      <c r="T620" s="1" t="s">
        <v>50</v>
      </c>
      <c r="U620" s="1"/>
      <c r="V620" s="1"/>
      <c r="W620" s="1"/>
      <c r="X620" s="5">
        <v>201.30000000000001</v>
      </c>
      <c r="Y620" s="7">
        <v>8000000</v>
      </c>
      <c r="Z620" s="1"/>
      <c r="AA620" s="1"/>
      <c r="AB620" s="1"/>
      <c r="AC620" s="1"/>
      <c r="AD620" s="1"/>
      <c r="AE620" s="1" t="s">
        <v>51</v>
      </c>
      <c r="AF620" s="1" t="s">
        <v>51</v>
      </c>
      <c r="AG620" s="1" t="s">
        <v>47</v>
      </c>
      <c r="AH620" s="1"/>
      <c r="AI620" s="1"/>
      <c r="AJ620" s="3">
        <v>2</v>
      </c>
      <c r="AK620" s="1" t="s">
        <v>89</v>
      </c>
      <c r="AL620" s="3">
        <v>3</v>
      </c>
      <c r="AM620" s="8">
        <v>9.1500000000000004</v>
      </c>
      <c r="AN620" s="1"/>
      <c r="AO620" s="1" t="s">
        <v>3697</v>
      </c>
      <c r="AP620" s="1" t="s">
        <v>3553</v>
      </c>
      <c r="AQ620" s="1" t="s">
        <v>3698</v>
      </c>
      <c r="AR620" s="1" t="s">
        <v>3699</v>
      </c>
    </row>
    <row r="621">
      <c r="A621" s="2">
        <f ca="1">DATE(2000,08,10)</f>
        <v>0</v>
      </c>
      <c r="B621" s="2">
        <f ca="1">DATE(2001,02,08)</f>
        <v>0</v>
      </c>
      <c r="C621" s="1" t="s">
        <v>3694</v>
      </c>
      <c r="D621" s="3">
        <v>3533</v>
      </c>
      <c r="E621" s="1" t="s">
        <v>43</v>
      </c>
      <c r="F621" s="1" t="s">
        <v>3695</v>
      </c>
      <c r="G621" s="1" t="s">
        <v>45</v>
      </c>
      <c r="H621" s="4">
        <v>0.63</v>
      </c>
      <c r="I621" s="4">
        <v>7</v>
      </c>
      <c r="J621" s="5">
        <v>18</v>
      </c>
      <c r="K621" s="8">
        <v>9</v>
      </c>
      <c r="L621" s="1" t="s">
        <v>58</v>
      </c>
      <c r="M621" s="1" t="s">
        <v>47</v>
      </c>
      <c r="N621" s="3">
        <v>678026105</v>
      </c>
      <c r="O621" s="1" t="s">
        <v>108</v>
      </c>
      <c r="P621" s="1" t="s">
        <v>3700</v>
      </c>
      <c r="Q621" s="4">
        <v>1.444</v>
      </c>
      <c r="R621" s="4">
        <v>1.778</v>
      </c>
      <c r="S621" s="6">
        <v>3.7777799999999999</v>
      </c>
      <c r="T621" s="1" t="s">
        <v>60</v>
      </c>
      <c r="U621" s="1"/>
      <c r="V621" s="1"/>
      <c r="W621" s="1"/>
      <c r="X621" s="1"/>
      <c r="Y621" s="7">
        <v>2000000</v>
      </c>
      <c r="Z621" s="1"/>
      <c r="AA621" s="1"/>
      <c r="AB621" s="1"/>
      <c r="AC621" s="1"/>
      <c r="AD621" s="1"/>
      <c r="AE621" s="1" t="s">
        <v>51</v>
      </c>
      <c r="AF621" s="1" t="s">
        <v>51</v>
      </c>
      <c r="AG621" s="1" t="s">
        <v>47</v>
      </c>
      <c r="AH621" s="1"/>
      <c r="AI621" s="1"/>
      <c r="AJ621" s="3">
        <v>1</v>
      </c>
      <c r="AK621" s="1" t="s">
        <v>52</v>
      </c>
      <c r="AL621" s="3">
        <v>2</v>
      </c>
      <c r="AM621" s="1"/>
      <c r="AN621" s="1"/>
      <c r="AO621" s="1" t="s">
        <v>3701</v>
      </c>
      <c r="AP621" s="1" t="s">
        <v>45</v>
      </c>
      <c r="AQ621" s="1" t="s">
        <v>3702</v>
      </c>
      <c r="AR621" s="1" t="s">
        <v>1190</v>
      </c>
    </row>
    <row r="622">
      <c r="A622" s="2">
        <f ca="1">DATE(2000,07,20)</f>
        <v>0</v>
      </c>
      <c r="B622" s="2">
        <f ca="1">DATE(2001,02,09)</f>
        <v>0</v>
      </c>
      <c r="C622" s="1" t="s">
        <v>3703</v>
      </c>
      <c r="D622" s="3">
        <v>3589</v>
      </c>
      <c r="E622" s="1" t="s">
        <v>43</v>
      </c>
      <c r="F622" s="1" t="s">
        <v>3704</v>
      </c>
      <c r="G622" s="1" t="s">
        <v>3705</v>
      </c>
      <c r="H622" s="4">
        <v>0.5</v>
      </c>
      <c r="I622" s="4">
        <v>10</v>
      </c>
      <c r="J622" s="5">
        <v>6</v>
      </c>
      <c r="K622" s="4">
        <v>5</v>
      </c>
      <c r="L622" s="1" t="s">
        <v>46</v>
      </c>
      <c r="M622" s="1" t="s">
        <v>47</v>
      </c>
      <c r="N622" s="1" t="s">
        <v>3706</v>
      </c>
      <c r="O622" s="1" t="s">
        <v>77</v>
      </c>
      <c r="P622" s="1" t="s">
        <v>3707</v>
      </c>
      <c r="Q622" s="1" t="s">
        <v>145</v>
      </c>
      <c r="R622" s="1" t="s">
        <v>145</v>
      </c>
      <c r="S622" s="8">
        <v>5</v>
      </c>
      <c r="T622" s="1" t="s">
        <v>50</v>
      </c>
      <c r="U622" s="8">
        <v>5</v>
      </c>
      <c r="V622" s="8">
        <v>5</v>
      </c>
      <c r="W622" s="7">
        <v>1750000</v>
      </c>
      <c r="X622" s="5">
        <v>8.8000000000000007</v>
      </c>
      <c r="Y622" s="7">
        <v>1200000</v>
      </c>
      <c r="Z622" s="1"/>
      <c r="AA622" s="2">
        <f ca="1">DATE(2002,02,09)</f>
        <v>0</v>
      </c>
      <c r="AB622" s="4">
        <v>84.483000000000004</v>
      </c>
      <c r="AC622" s="3">
        <v>365</v>
      </c>
      <c r="AD622" s="8">
        <v>6533250</v>
      </c>
      <c r="AE622" s="1" t="s">
        <v>51</v>
      </c>
      <c r="AF622" s="1" t="s">
        <v>51</v>
      </c>
      <c r="AG622" s="1" t="s">
        <v>51</v>
      </c>
      <c r="AH622" s="1"/>
      <c r="AI622" s="1"/>
      <c r="AJ622" s="3">
        <v>1</v>
      </c>
      <c r="AK622" s="1" t="s">
        <v>89</v>
      </c>
      <c r="AL622" s="3">
        <v>2</v>
      </c>
      <c r="AM622" s="8">
        <v>24</v>
      </c>
      <c r="AN622" s="1"/>
      <c r="AO622" s="1" t="s">
        <v>3708</v>
      </c>
      <c r="AP622" s="1" t="s">
        <v>3709</v>
      </c>
      <c r="AQ622" s="1" t="s">
        <v>3710</v>
      </c>
      <c r="AR622" s="1" t="s">
        <v>3707</v>
      </c>
    </row>
    <row r="623">
      <c r="A623" s="2">
        <f ca="1">DATE(2000,07,31)</f>
        <v>0</v>
      </c>
      <c r="B623" s="2">
        <f ca="1">DATE(2001,02,09)</f>
        <v>0</v>
      </c>
      <c r="C623" s="1" t="s">
        <v>3711</v>
      </c>
      <c r="D623" s="3">
        <v>2836</v>
      </c>
      <c r="E623" s="1" t="s">
        <v>43</v>
      </c>
      <c r="F623" s="1" t="s">
        <v>3712</v>
      </c>
      <c r="G623" s="1" t="s">
        <v>813</v>
      </c>
      <c r="H623" s="4">
        <v>0.77000000000000002</v>
      </c>
      <c r="I623" s="4">
        <v>7</v>
      </c>
      <c r="J623" s="5">
        <v>47.899999999999999</v>
      </c>
      <c r="K623" s="4">
        <v>11</v>
      </c>
      <c r="L623" s="1" t="s">
        <v>46</v>
      </c>
      <c r="M623" s="1" t="s">
        <v>47</v>
      </c>
      <c r="N623" s="1" t="s">
        <v>3713</v>
      </c>
      <c r="O623" s="1" t="s">
        <v>48</v>
      </c>
      <c r="P623" s="1" t="s">
        <v>3714</v>
      </c>
      <c r="Q623" s="4">
        <v>1.3640000000000001</v>
      </c>
      <c r="R623" s="4">
        <v>1.6359999999999999</v>
      </c>
      <c r="S623" s="8">
        <v>4</v>
      </c>
      <c r="T623" s="1" t="s">
        <v>50</v>
      </c>
      <c r="U623" s="1"/>
      <c r="V623" s="1"/>
      <c r="W623" s="1"/>
      <c r="X623" s="5">
        <v>100</v>
      </c>
      <c r="Y623" s="7">
        <v>4350000</v>
      </c>
      <c r="Z623" s="1"/>
      <c r="AA623" s="1"/>
      <c r="AB623" s="1"/>
      <c r="AC623" s="1"/>
      <c r="AD623" s="1"/>
      <c r="AE623" s="1" t="s">
        <v>51</v>
      </c>
      <c r="AF623" s="1" t="s">
        <v>51</v>
      </c>
      <c r="AG623" s="1" t="s">
        <v>47</v>
      </c>
      <c r="AH623" s="1"/>
      <c r="AI623" s="1"/>
      <c r="AJ623" s="3">
        <v>1</v>
      </c>
      <c r="AK623" s="1" t="s">
        <v>52</v>
      </c>
      <c r="AL623" s="3">
        <v>5</v>
      </c>
      <c r="AM623" s="8">
        <v>11.060000000000001</v>
      </c>
      <c r="AN623" s="1"/>
      <c r="AO623" s="1" t="s">
        <v>3715</v>
      </c>
      <c r="AP623" s="1" t="s">
        <v>813</v>
      </c>
      <c r="AQ623" s="1" t="s">
        <v>3716</v>
      </c>
      <c r="AR623" s="1" t="s">
        <v>3717</v>
      </c>
    </row>
    <row r="624">
      <c r="A624" s="2">
        <f ca="1">DATE(2000,07,30)</f>
        <v>0</v>
      </c>
      <c r="B624" s="2">
        <f ca="1">DATE(2001,02,09)</f>
        <v>0</v>
      </c>
      <c r="C624" s="1" t="s">
        <v>3711</v>
      </c>
      <c r="D624" s="3">
        <v>2836</v>
      </c>
      <c r="E624" s="1" t="s">
        <v>43</v>
      </c>
      <c r="F624" s="1" t="s">
        <v>3712</v>
      </c>
      <c r="G624" s="1" t="s">
        <v>813</v>
      </c>
      <c r="H624" s="4">
        <v>0.77000000000000002</v>
      </c>
      <c r="I624" s="4">
        <v>7</v>
      </c>
      <c r="J624" s="5">
        <v>34.700000000000003</v>
      </c>
      <c r="K624" s="8">
        <v>11</v>
      </c>
      <c r="L624" s="1" t="s">
        <v>58</v>
      </c>
      <c r="M624" s="1" t="s">
        <v>47</v>
      </c>
      <c r="N624" s="1" t="s">
        <v>3713</v>
      </c>
      <c r="O624" s="1" t="s">
        <v>48</v>
      </c>
      <c r="P624" s="1" t="s">
        <v>3718</v>
      </c>
      <c r="Q624" s="4">
        <v>1.3640000000000001</v>
      </c>
      <c r="R624" s="4">
        <v>1.6359999999999999</v>
      </c>
      <c r="S624" s="8">
        <v>4</v>
      </c>
      <c r="T624" s="1" t="s">
        <v>60</v>
      </c>
      <c r="U624" s="1"/>
      <c r="V624" s="1"/>
      <c r="W624" s="1"/>
      <c r="X624" s="1"/>
      <c r="Y624" s="7">
        <v>3150000</v>
      </c>
      <c r="Z624" s="1"/>
      <c r="AA624" s="1"/>
      <c r="AB624" s="1"/>
      <c r="AC624" s="1"/>
      <c r="AD624" s="1"/>
      <c r="AE624" s="1" t="s">
        <v>51</v>
      </c>
      <c r="AF624" s="1" t="s">
        <v>51</v>
      </c>
      <c r="AG624" s="1" t="s">
        <v>47</v>
      </c>
      <c r="AH624" s="1"/>
      <c r="AI624" s="1"/>
      <c r="AJ624" s="3">
        <v>1</v>
      </c>
      <c r="AK624" s="1" t="s">
        <v>52</v>
      </c>
      <c r="AL624" s="3">
        <v>2</v>
      </c>
      <c r="AM624" s="1"/>
      <c r="AN624" s="1"/>
      <c r="AO624" s="1" t="s">
        <v>3719</v>
      </c>
      <c r="AP624" s="1" t="s">
        <v>813</v>
      </c>
      <c r="AQ624" s="1" t="s">
        <v>3669</v>
      </c>
      <c r="AR624" s="1" t="s">
        <v>3670</v>
      </c>
    </row>
    <row r="625">
      <c r="A625" s="2">
        <f ca="1">DATE(2000,11,06)</f>
        <v>0</v>
      </c>
      <c r="B625" s="2">
        <f ca="1">DATE(2001,02,12)</f>
        <v>0</v>
      </c>
      <c r="C625" s="1" t="s">
        <v>3720</v>
      </c>
      <c r="D625" s="3">
        <v>1311</v>
      </c>
      <c r="E625" s="1" t="s">
        <v>43</v>
      </c>
      <c r="F625" s="1" t="s">
        <v>3721</v>
      </c>
      <c r="G625" s="1" t="s">
        <v>1223</v>
      </c>
      <c r="H625" s="4">
        <v>0.56000000000000005</v>
      </c>
      <c r="I625" s="4">
        <v>7</v>
      </c>
      <c r="J625" s="5">
        <v>10</v>
      </c>
      <c r="K625" s="4">
        <v>8</v>
      </c>
      <c r="L625" s="1" t="s">
        <v>31</v>
      </c>
      <c r="M625" s="1" t="s">
        <v>47</v>
      </c>
      <c r="N625" s="1" t="s">
        <v>3722</v>
      </c>
      <c r="O625" s="1" t="s">
        <v>698</v>
      </c>
      <c r="P625" s="1" t="s">
        <v>1228</v>
      </c>
      <c r="Q625" s="4">
        <v>2</v>
      </c>
      <c r="R625" s="4">
        <v>1</v>
      </c>
      <c r="S625" s="8">
        <v>4</v>
      </c>
      <c r="T625" s="1" t="s">
        <v>50</v>
      </c>
      <c r="U625" s="8">
        <v>10</v>
      </c>
      <c r="V625" s="8">
        <v>10</v>
      </c>
      <c r="W625" s="7">
        <v>2000000</v>
      </c>
      <c r="X625" s="5">
        <v>20</v>
      </c>
      <c r="Y625" s="7">
        <v>1250000</v>
      </c>
      <c r="Z625" s="1"/>
      <c r="AA625" s="2">
        <f ca="1">DATE(2001,05,13)</f>
        <v>0</v>
      </c>
      <c r="AB625" s="4">
        <v>70.587999999999994</v>
      </c>
      <c r="AC625" s="3">
        <v>90</v>
      </c>
      <c r="AD625" s="8">
        <v>3000000</v>
      </c>
      <c r="AE625" s="1" t="s">
        <v>51</v>
      </c>
      <c r="AF625" s="1" t="s">
        <v>47</v>
      </c>
      <c r="AG625" s="1" t="s">
        <v>51</v>
      </c>
      <c r="AH625" s="1"/>
      <c r="AI625" s="1"/>
      <c r="AJ625" s="3">
        <v>1</v>
      </c>
      <c r="AK625" s="1" t="s">
        <v>52</v>
      </c>
      <c r="AL625" s="3">
        <v>2</v>
      </c>
      <c r="AM625" s="8">
        <v>8</v>
      </c>
      <c r="AN625" s="1"/>
      <c r="AO625" s="1" t="s">
        <v>3723</v>
      </c>
      <c r="AP625" s="1" t="s">
        <v>1223</v>
      </c>
      <c r="AQ625" s="1" t="s">
        <v>1227</v>
      </c>
      <c r="AR625" s="1" t="s">
        <v>1228</v>
      </c>
    </row>
    <row r="626">
      <c r="A626" s="2">
        <f ca="1">DATE(2000,09,18)</f>
        <v>0</v>
      </c>
      <c r="B626" s="2">
        <f ca="1">DATE(2001,02,15)</f>
        <v>0</v>
      </c>
      <c r="C626" s="1" t="s">
        <v>3724</v>
      </c>
      <c r="D626" s="3">
        <v>7372</v>
      </c>
      <c r="E626" s="1" t="s">
        <v>43</v>
      </c>
      <c r="F626" s="1" t="s">
        <v>3725</v>
      </c>
      <c r="G626" s="1" t="s">
        <v>106</v>
      </c>
      <c r="H626" s="4">
        <v>0.83999999999999997</v>
      </c>
      <c r="I626" s="8">
        <v>7</v>
      </c>
      <c r="J626" s="5">
        <v>120</v>
      </c>
      <c r="K626" s="4">
        <v>12</v>
      </c>
      <c r="L626" s="1" t="s">
        <v>46</v>
      </c>
      <c r="M626" s="1" t="s">
        <v>47</v>
      </c>
      <c r="N626" s="3">
        <v>769320102</v>
      </c>
      <c r="O626" s="1" t="s">
        <v>48</v>
      </c>
      <c r="P626" s="1" t="s">
        <v>3726</v>
      </c>
      <c r="Q626" s="4">
        <v>1.417</v>
      </c>
      <c r="R626" s="4">
        <v>1.083</v>
      </c>
      <c r="S626" s="8">
        <v>4.5</v>
      </c>
      <c r="T626" s="1" t="s">
        <v>50</v>
      </c>
      <c r="U626" s="1"/>
      <c r="V626" s="1"/>
      <c r="W626" s="1"/>
      <c r="X626" s="5">
        <v>200</v>
      </c>
      <c r="Y626" s="7">
        <v>10000000</v>
      </c>
      <c r="Z626" s="1"/>
      <c r="AA626" s="2">
        <f ca="1">DATE(2001,08,14)</f>
        <v>0</v>
      </c>
      <c r="AB626" s="1"/>
      <c r="AC626" s="3">
        <v>180</v>
      </c>
      <c r="AD626" s="1"/>
      <c r="AE626" s="1" t="s">
        <v>51</v>
      </c>
      <c r="AF626" s="1" t="s">
        <v>51</v>
      </c>
      <c r="AG626" s="1" t="s">
        <v>51</v>
      </c>
      <c r="AH626" s="1" t="s">
        <v>3727</v>
      </c>
      <c r="AI626" s="1" t="s">
        <v>3728</v>
      </c>
      <c r="AJ626" s="3">
        <v>1</v>
      </c>
      <c r="AK626" s="1" t="s">
        <v>52</v>
      </c>
      <c r="AL626" s="3">
        <v>4</v>
      </c>
      <c r="AM626" s="8">
        <v>13.060000000000001</v>
      </c>
      <c r="AN626" s="1"/>
      <c r="AO626" s="1" t="s">
        <v>3729</v>
      </c>
      <c r="AP626" s="1" t="s">
        <v>106</v>
      </c>
      <c r="AQ626" s="1" t="s">
        <v>3730</v>
      </c>
      <c r="AR626" s="1" t="s">
        <v>3731</v>
      </c>
    </row>
    <row r="627">
      <c r="A627" s="2">
        <f ca="1">DATE(1999,09,22)</f>
        <v>0</v>
      </c>
      <c r="B627" s="2">
        <f ca="1">DATE(2001,02,22)</f>
        <v>0</v>
      </c>
      <c r="C627" s="1" t="s">
        <v>3732</v>
      </c>
      <c r="D627" s="3">
        <v>1311</v>
      </c>
      <c r="E627" s="1" t="s">
        <v>744</v>
      </c>
      <c r="F627" s="3">
        <v>883</v>
      </c>
      <c r="G627" s="1" t="s">
        <v>3733</v>
      </c>
      <c r="H627" s="1" t="s">
        <v>57</v>
      </c>
      <c r="I627" s="1" t="s">
        <v>57</v>
      </c>
      <c r="J627" s="5">
        <v>349.39999999999998</v>
      </c>
      <c r="K627" s="4">
        <v>15.4</v>
      </c>
      <c r="L627" s="1" t="s">
        <v>651</v>
      </c>
      <c r="M627" s="1" t="s">
        <v>47</v>
      </c>
      <c r="N627" s="3">
        <v>126132109</v>
      </c>
      <c r="O627" s="1" t="s">
        <v>845</v>
      </c>
      <c r="P627" s="1" t="s">
        <v>3734</v>
      </c>
      <c r="Q627" s="1"/>
      <c r="R627" s="1"/>
      <c r="S627" s="1"/>
      <c r="T627" s="1" t="s">
        <v>50</v>
      </c>
      <c r="U627" s="8">
        <v>1</v>
      </c>
      <c r="V627" s="8">
        <v>1</v>
      </c>
      <c r="W627" s="7">
        <v>2300000000</v>
      </c>
      <c r="X627" s="9">
        <v>2300</v>
      </c>
      <c r="Y627" s="7">
        <v>19928254</v>
      </c>
      <c r="Z627" s="7">
        <v>2763158</v>
      </c>
      <c r="AA627" s="1"/>
      <c r="AB627" s="1"/>
      <c r="AC627" s="1"/>
      <c r="AD627" s="1"/>
      <c r="AE627" s="1" t="s">
        <v>47</v>
      </c>
      <c r="AF627" s="1" t="s">
        <v>51</v>
      </c>
      <c r="AG627" s="1" t="s">
        <v>51</v>
      </c>
      <c r="AH627" s="1"/>
      <c r="AI627" s="1" t="s">
        <v>3735</v>
      </c>
      <c r="AJ627" s="3">
        <v>3</v>
      </c>
      <c r="AK627" s="1" t="s">
        <v>110</v>
      </c>
      <c r="AL627" s="3">
        <v>7</v>
      </c>
      <c r="AM627" s="8">
        <v>16.120000000000001</v>
      </c>
      <c r="AN627" s="1"/>
      <c r="AO627" s="1" t="s">
        <v>3736</v>
      </c>
      <c r="AP627" s="1" t="s">
        <v>3737</v>
      </c>
      <c r="AQ627" s="1" t="s">
        <v>3738</v>
      </c>
      <c r="AR627" s="1" t="s">
        <v>3739</v>
      </c>
    </row>
    <row r="628">
      <c r="A628" s="2">
        <f ca="1">DATE(2000,12,22)</f>
        <v>0</v>
      </c>
      <c r="B628" s="2">
        <f ca="1">DATE(2001,03,01)</f>
        <v>0</v>
      </c>
      <c r="C628" s="1" t="s">
        <v>3740</v>
      </c>
      <c r="D628" s="3">
        <v>5812</v>
      </c>
      <c r="E628" s="1" t="s">
        <v>43</v>
      </c>
      <c r="F628" s="1" t="s">
        <v>3741</v>
      </c>
      <c r="G628" s="1" t="s">
        <v>160</v>
      </c>
      <c r="H628" s="4">
        <v>1.19</v>
      </c>
      <c r="I628" s="8">
        <v>7</v>
      </c>
      <c r="J628" s="5">
        <v>159.40000000000001</v>
      </c>
      <c r="K628" s="4">
        <v>17</v>
      </c>
      <c r="L628" s="1" t="s">
        <v>46</v>
      </c>
      <c r="M628" s="1" t="s">
        <v>47</v>
      </c>
      <c r="N628" s="1" t="s">
        <v>3742</v>
      </c>
      <c r="O628" s="1" t="s">
        <v>48</v>
      </c>
      <c r="P628" s="1" t="s">
        <v>3743</v>
      </c>
      <c r="Q628" s="4">
        <v>1.4119999999999999</v>
      </c>
      <c r="R628" s="4">
        <v>1.353</v>
      </c>
      <c r="S628" s="6">
        <v>4.23529</v>
      </c>
      <c r="T628" s="1" t="s">
        <v>50</v>
      </c>
      <c r="U628" s="1"/>
      <c r="V628" s="1"/>
      <c r="W628" s="1"/>
      <c r="X628" s="5">
        <v>100</v>
      </c>
      <c r="Y628" s="7">
        <v>3774275</v>
      </c>
      <c r="Z628" s="7">
        <v>5600725</v>
      </c>
      <c r="AA628" s="1"/>
      <c r="AB628" s="1"/>
      <c r="AC628" s="1"/>
      <c r="AD628" s="1"/>
      <c r="AE628" s="1" t="s">
        <v>51</v>
      </c>
      <c r="AF628" s="1" t="s">
        <v>51</v>
      </c>
      <c r="AG628" s="1" t="s">
        <v>51</v>
      </c>
      <c r="AH628" s="1"/>
      <c r="AI628" s="1"/>
      <c r="AJ628" s="3">
        <v>1</v>
      </c>
      <c r="AK628" s="1" t="s">
        <v>89</v>
      </c>
      <c r="AL628" s="3">
        <v>3</v>
      </c>
      <c r="AM628" s="8">
        <v>20.379999999999999</v>
      </c>
      <c r="AN628" s="1"/>
      <c r="AO628" s="1" t="s">
        <v>3744</v>
      </c>
      <c r="AP628" s="1" t="s">
        <v>3745</v>
      </c>
      <c r="AQ628" s="1" t="s">
        <v>3746</v>
      </c>
      <c r="AR628" s="1" t="s">
        <v>3747</v>
      </c>
    </row>
    <row r="629">
      <c r="A629" s="2">
        <f ca="1">DATE(2001,01,17)</f>
        <v>0</v>
      </c>
      <c r="B629" s="2">
        <f ca="1">DATE(2001,03,01)</f>
        <v>0</v>
      </c>
      <c r="C629" s="1" t="s">
        <v>3748</v>
      </c>
      <c r="D629" s="3">
        <v>2836</v>
      </c>
      <c r="E629" s="1" t="s">
        <v>166</v>
      </c>
      <c r="F629" s="1" t="s">
        <v>3749</v>
      </c>
      <c r="G629" s="1" t="s">
        <v>1583</v>
      </c>
      <c r="H629" s="4">
        <v>0.56999999999999995</v>
      </c>
      <c r="I629" s="4">
        <v>6.492</v>
      </c>
      <c r="J629" s="5">
        <v>39.899999999999999</v>
      </c>
      <c r="K629" s="8">
        <v>8.7799999999999994</v>
      </c>
      <c r="L629" s="1" t="s">
        <v>46</v>
      </c>
      <c r="M629" s="1" t="s">
        <v>47</v>
      </c>
      <c r="N629" s="1" t="s">
        <v>3750</v>
      </c>
      <c r="O629" s="1" t="s">
        <v>48</v>
      </c>
      <c r="P629" s="1" t="s">
        <v>3751</v>
      </c>
      <c r="Q629" s="4">
        <v>1.367</v>
      </c>
      <c r="R629" s="4">
        <v>1.2529999999999999</v>
      </c>
      <c r="S629" s="6">
        <v>3.8724400000000001</v>
      </c>
      <c r="T629" s="1" t="s">
        <v>50</v>
      </c>
      <c r="U629" s="1"/>
      <c r="V629" s="1"/>
      <c r="W629" s="7">
        <v>7000000</v>
      </c>
      <c r="X629" s="1"/>
      <c r="Y629" s="7">
        <v>4550000</v>
      </c>
      <c r="Z629" s="1"/>
      <c r="AA629" s="2">
        <f ca="1">DATE(2001,06,29)</f>
        <v>0</v>
      </c>
      <c r="AB629" s="1"/>
      <c r="AC629" s="3">
        <v>120</v>
      </c>
      <c r="AD629" s="1"/>
      <c r="AE629" s="1" t="s">
        <v>51</v>
      </c>
      <c r="AF629" s="1" t="s">
        <v>51</v>
      </c>
      <c r="AG629" s="1" t="s">
        <v>51</v>
      </c>
      <c r="AH629" s="1"/>
      <c r="AI629" s="1"/>
      <c r="AJ629" s="3">
        <v>1</v>
      </c>
      <c r="AK629" s="1" t="s">
        <v>89</v>
      </c>
      <c r="AL629" s="3">
        <v>11</v>
      </c>
      <c r="AM629" s="8">
        <v>8.75</v>
      </c>
      <c r="AN629" s="1"/>
      <c r="AO629" s="1" t="s">
        <v>3752</v>
      </c>
      <c r="AP629" s="1" t="s">
        <v>3753</v>
      </c>
      <c r="AQ629" s="1" t="s">
        <v>3754</v>
      </c>
      <c r="AR629" s="1" t="s">
        <v>3755</v>
      </c>
    </row>
    <row r="630">
      <c r="A630" s="2">
        <f ca="1">DATE(2001,01,17)</f>
        <v>0</v>
      </c>
      <c r="B630" s="2">
        <f ca="1">DATE(2001,03,01)</f>
        <v>0</v>
      </c>
      <c r="C630" s="1" t="s">
        <v>3748</v>
      </c>
      <c r="D630" s="3">
        <v>2836</v>
      </c>
      <c r="E630" s="1" t="s">
        <v>166</v>
      </c>
      <c r="F630" s="1" t="s">
        <v>3749</v>
      </c>
      <c r="G630" s="1" t="s">
        <v>1583</v>
      </c>
      <c r="H630" s="8">
        <v>0.56999999999999995</v>
      </c>
      <c r="I630" s="4">
        <v>6.492</v>
      </c>
      <c r="J630" s="5">
        <v>21.5</v>
      </c>
      <c r="K630" s="8">
        <v>8.7799999999999994</v>
      </c>
      <c r="L630" s="1" t="s">
        <v>46</v>
      </c>
      <c r="M630" s="1" t="s">
        <v>47</v>
      </c>
      <c r="N630" s="1" t="s">
        <v>3750</v>
      </c>
      <c r="O630" s="1" t="s">
        <v>48</v>
      </c>
      <c r="P630" s="1" t="s">
        <v>3751</v>
      </c>
      <c r="Q630" s="1"/>
      <c r="R630" s="1"/>
      <c r="S630" s="1"/>
      <c r="T630" s="1" t="s">
        <v>175</v>
      </c>
      <c r="U630" s="1"/>
      <c r="V630" s="1"/>
      <c r="W630" s="1"/>
      <c r="X630" s="1"/>
      <c r="Y630" s="1"/>
      <c r="Z630" s="1"/>
      <c r="AA630" s="1"/>
      <c r="AB630" s="1"/>
      <c r="AC630" s="1"/>
      <c r="AD630" s="1"/>
      <c r="AE630" s="1"/>
      <c r="AF630" s="1" t="s">
        <v>51</v>
      </c>
      <c r="AG630" s="1" t="s">
        <v>51</v>
      </c>
      <c r="AH630" s="1"/>
      <c r="AI630" s="1"/>
      <c r="AJ630" s="3">
        <v>1</v>
      </c>
      <c r="AK630" s="1" t="s">
        <v>89</v>
      </c>
      <c r="AL630" s="3">
        <v>11</v>
      </c>
      <c r="AM630" s="1"/>
      <c r="AN630" s="1"/>
      <c r="AO630" s="1" t="s">
        <v>3752</v>
      </c>
      <c r="AP630" s="1" t="s">
        <v>3753</v>
      </c>
      <c r="AQ630" s="1" t="s">
        <v>3754</v>
      </c>
      <c r="AR630" s="1" t="s">
        <v>3755</v>
      </c>
    </row>
    <row r="631">
      <c r="A631" s="2">
        <f ca="1">DATE(2001,02,23)</f>
        <v>0</v>
      </c>
      <c r="B631" s="2">
        <f ca="1">DATE(2001,03,06)</f>
        <v>0</v>
      </c>
      <c r="C631" s="1" t="s">
        <v>3756</v>
      </c>
      <c r="D631" s="3">
        <v>2836</v>
      </c>
      <c r="E631" s="1" t="s">
        <v>43</v>
      </c>
      <c r="F631" s="1" t="s">
        <v>3757</v>
      </c>
      <c r="G631" s="1" t="s">
        <v>400</v>
      </c>
      <c r="H631" s="4">
        <v>0.48999999999999999</v>
      </c>
      <c r="I631" s="8">
        <v>7</v>
      </c>
      <c r="J631" s="5">
        <v>49</v>
      </c>
      <c r="K631" s="4">
        <v>7</v>
      </c>
      <c r="L631" s="1" t="s">
        <v>46</v>
      </c>
      <c r="M631" s="1" t="s">
        <v>47</v>
      </c>
      <c r="N631" s="3">
        <v>812578102</v>
      </c>
      <c r="O631" s="1" t="s">
        <v>48</v>
      </c>
      <c r="P631" s="1" t="s">
        <v>3758</v>
      </c>
      <c r="Q631" s="4">
        <v>1.286</v>
      </c>
      <c r="R631" s="4">
        <v>1.571</v>
      </c>
      <c r="S631" s="6">
        <v>4.1428599999999998</v>
      </c>
      <c r="T631" s="1" t="s">
        <v>50</v>
      </c>
      <c r="U631" s="8">
        <v>13</v>
      </c>
      <c r="V631" s="8">
        <v>11</v>
      </c>
      <c r="W631" s="1"/>
      <c r="X631" s="1"/>
      <c r="Y631" s="7">
        <v>7000000</v>
      </c>
      <c r="Z631" s="1"/>
      <c r="AA631" s="2">
        <f ca="1">DATE(2001,09,02)</f>
        <v>0</v>
      </c>
      <c r="AB631" s="4">
        <v>75.094999999999999</v>
      </c>
      <c r="AC631" s="3">
        <v>180</v>
      </c>
      <c r="AD631" s="8">
        <v>21968149</v>
      </c>
      <c r="AE631" s="1" t="s">
        <v>51</v>
      </c>
      <c r="AF631" s="1" t="s">
        <v>51</v>
      </c>
      <c r="AG631" s="1" t="s">
        <v>47</v>
      </c>
      <c r="AH631" s="1"/>
      <c r="AI631" s="1"/>
      <c r="AJ631" s="3">
        <v>1</v>
      </c>
      <c r="AK631" s="1" t="s">
        <v>89</v>
      </c>
      <c r="AL631" s="3">
        <v>3</v>
      </c>
      <c r="AM631" s="8">
        <v>7.25</v>
      </c>
      <c r="AN631" s="1"/>
      <c r="AO631" s="1" t="s">
        <v>3759</v>
      </c>
      <c r="AP631" s="1" t="s">
        <v>3760</v>
      </c>
      <c r="AQ631" s="1" t="s">
        <v>3761</v>
      </c>
      <c r="AR631" s="1" t="s">
        <v>3762</v>
      </c>
    </row>
    <row r="632">
      <c r="A632" s="2">
        <f ca="1">DATE(2001,02,05)</f>
        <v>0</v>
      </c>
      <c r="B632" s="2">
        <f ca="1">DATE(2001,03,06)</f>
        <v>0</v>
      </c>
      <c r="C632" s="1" t="s">
        <v>3763</v>
      </c>
      <c r="D632" s="3">
        <v>4424</v>
      </c>
      <c r="E632" s="1" t="s">
        <v>3764</v>
      </c>
      <c r="F632" s="1" t="s">
        <v>3765</v>
      </c>
      <c r="G632" s="1" t="s">
        <v>3766</v>
      </c>
      <c r="H632" s="4">
        <v>0.75600000000000001</v>
      </c>
      <c r="I632" s="4">
        <v>6.2999999999999998</v>
      </c>
      <c r="J632" s="5">
        <v>84</v>
      </c>
      <c r="K632" s="4">
        <v>12</v>
      </c>
      <c r="L632" s="1" t="s">
        <v>46</v>
      </c>
      <c r="M632" s="1" t="s">
        <v>47</v>
      </c>
      <c r="N632" s="1" t="s">
        <v>3767</v>
      </c>
      <c r="O632" s="1" t="s">
        <v>108</v>
      </c>
      <c r="P632" s="1" t="s">
        <v>3768</v>
      </c>
      <c r="Q632" s="4">
        <v>1.3</v>
      </c>
      <c r="R632" s="4">
        <v>1.25</v>
      </c>
      <c r="S632" s="8">
        <v>3.75</v>
      </c>
      <c r="T632" s="1" t="s">
        <v>50</v>
      </c>
      <c r="U632" s="8">
        <v>14</v>
      </c>
      <c r="V632" s="8">
        <v>12</v>
      </c>
      <c r="W632" s="7">
        <v>7000000</v>
      </c>
      <c r="X632" s="5">
        <v>91</v>
      </c>
      <c r="Y632" s="7">
        <v>7000000</v>
      </c>
      <c r="Z632" s="1"/>
      <c r="AA632" s="2">
        <f ca="1">DATE(2001,12,01)</f>
        <v>0</v>
      </c>
      <c r="AB632" s="1"/>
      <c r="AC632" s="3">
        <v>270</v>
      </c>
      <c r="AD632" s="1"/>
      <c r="AE632" s="1" t="s">
        <v>51</v>
      </c>
      <c r="AF632" s="1" t="s">
        <v>51</v>
      </c>
      <c r="AG632" s="1" t="s">
        <v>51</v>
      </c>
      <c r="AH632" s="1"/>
      <c r="AI632" s="1"/>
      <c r="AJ632" s="3">
        <v>1</v>
      </c>
      <c r="AK632" s="1" t="s">
        <v>89</v>
      </c>
      <c r="AL632" s="3">
        <v>2</v>
      </c>
      <c r="AM632" s="8">
        <v>11.65</v>
      </c>
      <c r="AN632" s="1"/>
      <c r="AO632" s="1" t="s">
        <v>3769</v>
      </c>
      <c r="AP632" s="1" t="s">
        <v>3770</v>
      </c>
      <c r="AQ632" s="1" t="s">
        <v>3771</v>
      </c>
      <c r="AR632" s="1" t="s">
        <v>3772</v>
      </c>
    </row>
    <row r="633">
      <c r="A633" s="2">
        <f ca="1">DATE(2000,10,06)</f>
        <v>0</v>
      </c>
      <c r="B633" s="2">
        <f ca="1">DATE(2001,03,08)</f>
        <v>0</v>
      </c>
      <c r="C633" s="1" t="s">
        <v>3773</v>
      </c>
      <c r="D633" s="3">
        <v>1311</v>
      </c>
      <c r="E633" s="1" t="s">
        <v>43</v>
      </c>
      <c r="F633" s="1" t="s">
        <v>3774</v>
      </c>
      <c r="G633" s="1" t="s">
        <v>160</v>
      </c>
      <c r="H633" s="4">
        <v>0.97999999999999998</v>
      </c>
      <c r="I633" s="8">
        <v>7</v>
      </c>
      <c r="J633" s="5">
        <v>100.09999999999999</v>
      </c>
      <c r="K633" s="4">
        <v>14</v>
      </c>
      <c r="L633" s="1" t="s">
        <v>46</v>
      </c>
      <c r="M633" s="1" t="s">
        <v>47</v>
      </c>
      <c r="N633" s="1" t="s">
        <v>3775</v>
      </c>
      <c r="O633" s="1" t="s">
        <v>108</v>
      </c>
      <c r="P633" s="1" t="s">
        <v>3776</v>
      </c>
      <c r="Q633" s="4">
        <v>1.357</v>
      </c>
      <c r="R633" s="4">
        <v>1.357</v>
      </c>
      <c r="S633" s="6">
        <v>4.2857099999999999</v>
      </c>
      <c r="T633" s="1" t="s">
        <v>50</v>
      </c>
      <c r="U633" s="1"/>
      <c r="V633" s="1"/>
      <c r="W633" s="1"/>
      <c r="X633" s="5">
        <v>125</v>
      </c>
      <c r="Y633" s="7">
        <v>7150000</v>
      </c>
      <c r="Z633" s="1"/>
      <c r="AA633" s="2">
        <f ca="1">DATE(2001,09,04)</f>
        <v>0</v>
      </c>
      <c r="AB633" s="4">
        <v>6.0010000000000003</v>
      </c>
      <c r="AC633" s="3">
        <v>180</v>
      </c>
      <c r="AD633" s="8">
        <v>1802000</v>
      </c>
      <c r="AE633" s="1" t="s">
        <v>51</v>
      </c>
      <c r="AF633" s="1" t="s">
        <v>51</v>
      </c>
      <c r="AG633" s="1" t="s">
        <v>47</v>
      </c>
      <c r="AH633" s="1"/>
      <c r="AI633" s="1"/>
      <c r="AJ633" s="3">
        <v>1</v>
      </c>
      <c r="AK633" s="1" t="s">
        <v>52</v>
      </c>
      <c r="AL633" s="3">
        <v>4</v>
      </c>
      <c r="AM633" s="8">
        <v>14.550000000000001</v>
      </c>
      <c r="AN633" s="1"/>
      <c r="AO633" s="1" t="s">
        <v>3777</v>
      </c>
      <c r="AP633" s="1" t="s">
        <v>160</v>
      </c>
      <c r="AQ633" s="1" t="s">
        <v>3778</v>
      </c>
      <c r="AR633" s="1" t="s">
        <v>3779</v>
      </c>
    </row>
    <row r="634">
      <c r="A634" s="2">
        <f ca="1">DATE(2000,09,26)</f>
        <v>0</v>
      </c>
      <c r="B634" s="2">
        <f ca="1">DATE(2001,03,08)</f>
        <v>0</v>
      </c>
      <c r="C634" s="1" t="s">
        <v>3780</v>
      </c>
      <c r="D634" s="3">
        <v>7373</v>
      </c>
      <c r="E634" s="1" t="s">
        <v>43</v>
      </c>
      <c r="F634" s="1" t="s">
        <v>3781</v>
      </c>
      <c r="G634" s="1" t="s">
        <v>3782</v>
      </c>
      <c r="H634" s="4">
        <v>0.41999999999999998</v>
      </c>
      <c r="I634" s="8">
        <v>7</v>
      </c>
      <c r="J634" s="5">
        <v>150</v>
      </c>
      <c r="K634" s="4">
        <v>6</v>
      </c>
      <c r="L634" s="1" t="s">
        <v>46</v>
      </c>
      <c r="M634" s="1" t="s">
        <v>47</v>
      </c>
      <c r="N634" s="3">
        <v>545735102</v>
      </c>
      <c r="O634" s="1" t="s">
        <v>48</v>
      </c>
      <c r="P634" s="1" t="s">
        <v>3783</v>
      </c>
      <c r="Q634" s="4">
        <v>1.333</v>
      </c>
      <c r="R634" s="4">
        <v>1.5</v>
      </c>
      <c r="S634" s="6">
        <v>4.1666699999999999</v>
      </c>
      <c r="T634" s="1" t="s">
        <v>50</v>
      </c>
      <c r="U634" s="1"/>
      <c r="V634" s="1"/>
      <c r="W634" s="1"/>
      <c r="X634" s="5">
        <v>150</v>
      </c>
      <c r="Y634" s="7">
        <v>25000000</v>
      </c>
      <c r="Z634" s="1"/>
      <c r="AA634" s="2">
        <f ca="1">DATE(2001,09,04)</f>
        <v>0</v>
      </c>
      <c r="AB634" s="4">
        <v>65.873000000000005</v>
      </c>
      <c r="AC634" s="3">
        <v>180</v>
      </c>
      <c r="AD634" s="8">
        <v>48256788</v>
      </c>
      <c r="AE634" s="1" t="s">
        <v>51</v>
      </c>
      <c r="AF634" s="1" t="s">
        <v>51</v>
      </c>
      <c r="AG634" s="1" t="s">
        <v>47</v>
      </c>
      <c r="AH634" s="1"/>
      <c r="AI634" s="1"/>
      <c r="AJ634" s="3">
        <v>2</v>
      </c>
      <c r="AK634" s="1" t="s">
        <v>89</v>
      </c>
      <c r="AL634" s="3">
        <v>4</v>
      </c>
      <c r="AM634" s="8">
        <v>6.1500000000000004</v>
      </c>
      <c r="AN634" s="1"/>
      <c r="AO634" s="1" t="s">
        <v>3784</v>
      </c>
      <c r="AP634" s="1" t="s">
        <v>3785</v>
      </c>
      <c r="AQ634" s="1" t="s">
        <v>3786</v>
      </c>
      <c r="AR634" s="1" t="s">
        <v>3787</v>
      </c>
    </row>
    <row r="635">
      <c r="A635" s="2">
        <f ca="1">DATE(2000,08,14)</f>
        <v>0</v>
      </c>
      <c r="B635" s="2">
        <f ca="1">DATE(2001,03,15)</f>
        <v>0</v>
      </c>
      <c r="C635" s="1" t="s">
        <v>3788</v>
      </c>
      <c r="D635" s="3">
        <v>3556</v>
      </c>
      <c r="E635" s="1" t="s">
        <v>43</v>
      </c>
      <c r="F635" s="1" t="s">
        <v>3789</v>
      </c>
      <c r="G635" s="1" t="s">
        <v>45</v>
      </c>
      <c r="H635" s="4">
        <v>0.69999999999999996</v>
      </c>
      <c r="I635" s="8">
        <v>7</v>
      </c>
      <c r="J635" s="5">
        <v>54.899999999999999</v>
      </c>
      <c r="K635" s="4">
        <v>10</v>
      </c>
      <c r="L635" s="1" t="s">
        <v>152</v>
      </c>
      <c r="M635" s="1" t="s">
        <v>47</v>
      </c>
      <c r="N635" s="1" t="s">
        <v>3790</v>
      </c>
      <c r="O635" s="1" t="s">
        <v>48</v>
      </c>
      <c r="P635" s="1" t="s">
        <v>3791</v>
      </c>
      <c r="Q635" s="4">
        <v>1.3999999999999999</v>
      </c>
      <c r="R635" s="4">
        <v>1.6000000000000001</v>
      </c>
      <c r="S635" s="8">
        <v>4</v>
      </c>
      <c r="T635" s="1" t="s">
        <v>50</v>
      </c>
      <c r="U635" s="8">
        <v>16.5</v>
      </c>
      <c r="V635" s="8">
        <v>14.5</v>
      </c>
      <c r="W635" s="7">
        <v>6700000</v>
      </c>
      <c r="X635" s="5">
        <v>103.90000000000001</v>
      </c>
      <c r="Y635" s="7">
        <v>5487300</v>
      </c>
      <c r="Z635" s="1"/>
      <c r="AA635" s="2">
        <f ca="1">DATE(2001,09,11)</f>
        <v>0</v>
      </c>
      <c r="AB635" s="4">
        <v>87.983000000000004</v>
      </c>
      <c r="AC635" s="3">
        <v>180</v>
      </c>
      <c r="AD635" s="8">
        <v>49052792</v>
      </c>
      <c r="AE635" s="1" t="s">
        <v>51</v>
      </c>
      <c r="AF635" s="1" t="s">
        <v>51</v>
      </c>
      <c r="AG635" s="1" t="s">
        <v>51</v>
      </c>
      <c r="AH635" s="1" t="s">
        <v>3792</v>
      </c>
      <c r="AI635" s="1" t="s">
        <v>3793</v>
      </c>
      <c r="AJ635" s="3">
        <v>1</v>
      </c>
      <c r="AK635" s="1" t="s">
        <v>89</v>
      </c>
      <c r="AL635" s="3">
        <v>4</v>
      </c>
      <c r="AM635" s="8">
        <v>8.5899999999999999</v>
      </c>
      <c r="AN635" s="1"/>
      <c r="AO635" s="1" t="s">
        <v>3794</v>
      </c>
      <c r="AP635" s="1" t="s">
        <v>3553</v>
      </c>
      <c r="AQ635" s="1" t="s">
        <v>3795</v>
      </c>
      <c r="AR635" s="1" t="s">
        <v>3796</v>
      </c>
    </row>
    <row r="636">
      <c r="A636" s="2">
        <f ca="1">DATE(2000,08,14)</f>
        <v>0</v>
      </c>
      <c r="B636" s="2">
        <f ca="1">DATE(2001,03,15)</f>
        <v>0</v>
      </c>
      <c r="C636" s="1" t="s">
        <v>3788</v>
      </c>
      <c r="D636" s="3">
        <v>3556</v>
      </c>
      <c r="E636" s="1" t="s">
        <v>43</v>
      </c>
      <c r="F636" s="1" t="s">
        <v>3789</v>
      </c>
      <c r="G636" s="1" t="s">
        <v>45</v>
      </c>
      <c r="H636" s="4">
        <v>0.69999999999999996</v>
      </c>
      <c r="I636" s="8">
        <v>7</v>
      </c>
      <c r="J636" s="5">
        <v>12.1</v>
      </c>
      <c r="K636" s="8">
        <v>10</v>
      </c>
      <c r="L636" s="1" t="s">
        <v>58</v>
      </c>
      <c r="M636" s="1" t="s">
        <v>47</v>
      </c>
      <c r="N636" s="1" t="s">
        <v>3790</v>
      </c>
      <c r="O636" s="1" t="s">
        <v>48</v>
      </c>
      <c r="P636" s="1" t="s">
        <v>3797</v>
      </c>
      <c r="Q636" s="4">
        <v>1.3999999999999999</v>
      </c>
      <c r="R636" s="4">
        <v>1.6000000000000001</v>
      </c>
      <c r="S636" s="8">
        <v>4</v>
      </c>
      <c r="T636" s="1" t="s">
        <v>60</v>
      </c>
      <c r="U636" s="8">
        <v>16.5</v>
      </c>
      <c r="V636" s="8">
        <v>14.5</v>
      </c>
      <c r="W636" s="1"/>
      <c r="X636" s="1"/>
      <c r="Y636" s="7">
        <v>1212700</v>
      </c>
      <c r="Z636" s="1"/>
      <c r="AA636" s="1"/>
      <c r="AB636" s="1"/>
      <c r="AC636" s="3">
        <v>180</v>
      </c>
      <c r="AD636" s="8">
        <v>49052792</v>
      </c>
      <c r="AE636" s="1" t="s">
        <v>51</v>
      </c>
      <c r="AF636" s="1" t="s">
        <v>51</v>
      </c>
      <c r="AG636" s="1" t="s">
        <v>51</v>
      </c>
      <c r="AH636" s="1" t="s">
        <v>3792</v>
      </c>
      <c r="AI636" s="1" t="s">
        <v>3793</v>
      </c>
      <c r="AJ636" s="3">
        <v>1</v>
      </c>
      <c r="AK636" s="1" t="s">
        <v>89</v>
      </c>
      <c r="AL636" s="3">
        <v>2</v>
      </c>
      <c r="AM636" s="1"/>
      <c r="AN636" s="1"/>
      <c r="AO636" s="1" t="s">
        <v>3798</v>
      </c>
      <c r="AP636" s="1" t="s">
        <v>1188</v>
      </c>
      <c r="AQ636" s="1" t="s">
        <v>1189</v>
      </c>
      <c r="AR636" s="1" t="s">
        <v>1190</v>
      </c>
    </row>
    <row r="637">
      <c r="A637" s="2">
        <f ca="1">DATE(2000,09,08)</f>
        <v>0</v>
      </c>
      <c r="B637" s="2">
        <f ca="1">DATE(2001,03,20)</f>
        <v>0</v>
      </c>
      <c r="C637" s="1" t="s">
        <v>3799</v>
      </c>
      <c r="D637" s="3">
        <v>7371</v>
      </c>
      <c r="E637" s="1" t="s">
        <v>43</v>
      </c>
      <c r="F637" s="1" t="s">
        <v>3800</v>
      </c>
      <c r="G637" s="1" t="s">
        <v>122</v>
      </c>
      <c r="H637" s="4">
        <v>0.48999999999999999</v>
      </c>
      <c r="I637" s="8">
        <v>7</v>
      </c>
      <c r="J637" s="5">
        <v>18.699999999999999</v>
      </c>
      <c r="K637" s="4">
        <v>7</v>
      </c>
      <c r="L637" s="1" t="s">
        <v>1057</v>
      </c>
      <c r="M637" s="1" t="s">
        <v>47</v>
      </c>
      <c r="N637" s="1" t="s">
        <v>3801</v>
      </c>
      <c r="O637" s="1" t="s">
        <v>48</v>
      </c>
      <c r="P637" s="1" t="s">
        <v>3802</v>
      </c>
      <c r="Q637" s="4">
        <v>1.143</v>
      </c>
      <c r="R637" s="4">
        <v>1.714</v>
      </c>
      <c r="S637" s="6">
        <v>4.1428599999999998</v>
      </c>
      <c r="T637" s="1" t="s">
        <v>50</v>
      </c>
      <c r="U637" s="1"/>
      <c r="V637" s="1"/>
      <c r="W637" s="1"/>
      <c r="X637" s="5">
        <v>46</v>
      </c>
      <c r="Y637" s="7">
        <v>2668000</v>
      </c>
      <c r="Z637" s="1"/>
      <c r="AA637" s="1"/>
      <c r="AB637" s="1"/>
      <c r="AC637" s="1"/>
      <c r="AD637" s="1"/>
      <c r="AE637" s="1" t="s">
        <v>51</v>
      </c>
      <c r="AF637" s="1" t="s">
        <v>51</v>
      </c>
      <c r="AG637" s="1" t="s">
        <v>47</v>
      </c>
      <c r="AH637" s="1"/>
      <c r="AI637" s="1"/>
      <c r="AJ637" s="3">
        <v>1</v>
      </c>
      <c r="AK637" s="1" t="s">
        <v>52</v>
      </c>
      <c r="AL637" s="3">
        <v>3</v>
      </c>
      <c r="AM637" s="8">
        <v>8</v>
      </c>
      <c r="AN637" s="1"/>
      <c r="AO637" s="1" t="s">
        <v>3803</v>
      </c>
      <c r="AP637" s="1" t="s">
        <v>122</v>
      </c>
      <c r="AQ637" s="1" t="s">
        <v>3804</v>
      </c>
      <c r="AR637" s="1" t="s">
        <v>3805</v>
      </c>
    </row>
    <row r="638">
      <c r="A638" s="2">
        <f ca="1">DATE(2000,09,08)</f>
        <v>0</v>
      </c>
      <c r="B638" s="2">
        <f ca="1">DATE(2001,03,20)</f>
        <v>0</v>
      </c>
      <c r="C638" s="1" t="s">
        <v>3799</v>
      </c>
      <c r="D638" s="3">
        <v>7371</v>
      </c>
      <c r="E638" s="1" t="s">
        <v>43</v>
      </c>
      <c r="F638" s="1" t="s">
        <v>3800</v>
      </c>
      <c r="G638" s="1" t="s">
        <v>3806</v>
      </c>
      <c r="H638" s="4">
        <v>0.48999999999999999</v>
      </c>
      <c r="I638" s="8">
        <v>7</v>
      </c>
      <c r="J638" s="5">
        <v>4.7000000000000002</v>
      </c>
      <c r="K638" s="8">
        <v>7</v>
      </c>
      <c r="L638" s="1" t="s">
        <v>58</v>
      </c>
      <c r="M638" s="1" t="s">
        <v>47</v>
      </c>
      <c r="N638" s="1"/>
      <c r="O638" s="1" t="s">
        <v>48</v>
      </c>
      <c r="P638" s="1" t="s">
        <v>3807</v>
      </c>
      <c r="Q638" s="4">
        <v>1.143</v>
      </c>
      <c r="R638" s="4">
        <v>1.714</v>
      </c>
      <c r="S638" s="6">
        <v>4.1428599999999998</v>
      </c>
      <c r="T638" s="1" t="s">
        <v>60</v>
      </c>
      <c r="U638" s="1"/>
      <c r="V638" s="1"/>
      <c r="W638" s="1"/>
      <c r="X638" s="1"/>
      <c r="Y638" s="7">
        <v>667000</v>
      </c>
      <c r="Z638" s="1"/>
      <c r="AA638" s="1"/>
      <c r="AB638" s="1"/>
      <c r="AC638" s="1"/>
      <c r="AD638" s="1"/>
      <c r="AE638" s="1" t="s">
        <v>51</v>
      </c>
      <c r="AF638" s="1" t="s">
        <v>51</v>
      </c>
      <c r="AG638" s="1" t="s">
        <v>47</v>
      </c>
      <c r="AH638" s="1"/>
      <c r="AI638" s="1"/>
      <c r="AJ638" s="3">
        <v>1</v>
      </c>
      <c r="AK638" s="1" t="s">
        <v>52</v>
      </c>
      <c r="AL638" s="3">
        <v>1</v>
      </c>
      <c r="AM638" s="1"/>
      <c r="AN638" s="1"/>
      <c r="AO638" s="1" t="s">
        <v>3808</v>
      </c>
      <c r="AP638" s="1" t="s">
        <v>3806</v>
      </c>
      <c r="AQ638" s="1" t="s">
        <v>3806</v>
      </c>
      <c r="AR638" s="1" t="s">
        <v>3809</v>
      </c>
    </row>
    <row r="639">
      <c r="A639" s="2">
        <f ca="1">DATE(2000,12,11)</f>
        <v>0</v>
      </c>
      <c r="B639" s="2">
        <f ca="1">DATE(2001,03,27)</f>
        <v>0</v>
      </c>
      <c r="C639" s="1" t="s">
        <v>3810</v>
      </c>
      <c r="D639" s="3">
        <v>3674</v>
      </c>
      <c r="E639" s="1" t="s">
        <v>43</v>
      </c>
      <c r="F639" s="1" t="s">
        <v>3811</v>
      </c>
      <c r="G639" s="1" t="s">
        <v>3812</v>
      </c>
      <c r="H639" s="4">
        <v>0.23400000000000001</v>
      </c>
      <c r="I639" s="4">
        <v>3.8999999999999999</v>
      </c>
      <c r="J639" s="9">
        <v>3600</v>
      </c>
      <c r="K639" s="4">
        <v>6</v>
      </c>
      <c r="L639" s="1" t="s">
        <v>152</v>
      </c>
      <c r="M639" s="1" t="s">
        <v>47</v>
      </c>
      <c r="N639" s="1" t="s">
        <v>3813</v>
      </c>
      <c r="O639" s="1" t="s">
        <v>108</v>
      </c>
      <c r="P639" s="1" t="s">
        <v>3814</v>
      </c>
      <c r="Q639" s="4">
        <v>0.78300000000000003</v>
      </c>
      <c r="R639" s="4">
        <v>0.61699999999999999</v>
      </c>
      <c r="S639" s="8">
        <v>2.5</v>
      </c>
      <c r="T639" s="1" t="s">
        <v>50</v>
      </c>
      <c r="U639" s="1"/>
      <c r="V639" s="1"/>
      <c r="W639" s="1"/>
      <c r="X639" s="5">
        <v>100</v>
      </c>
      <c r="Y639" s="1"/>
      <c r="Z639" s="7">
        <v>600000000</v>
      </c>
      <c r="AA639" s="2">
        <f ca="1">DATE(2001,09,23)</f>
        <v>0</v>
      </c>
      <c r="AB639" s="4">
        <v>63.305</v>
      </c>
      <c r="AC639" s="3">
        <v>180</v>
      </c>
      <c r="AD639" s="5">
        <v>1035100000</v>
      </c>
      <c r="AE639" s="1" t="s">
        <v>51</v>
      </c>
      <c r="AF639" s="1" t="s">
        <v>51</v>
      </c>
      <c r="AG639" s="1" t="s">
        <v>51</v>
      </c>
      <c r="AH639" s="1" t="s">
        <v>3815</v>
      </c>
      <c r="AI639" s="1" t="s">
        <v>3816</v>
      </c>
      <c r="AJ639" s="3">
        <v>1</v>
      </c>
      <c r="AK639" s="1" t="s">
        <v>52</v>
      </c>
      <c r="AL639" s="3">
        <v>8</v>
      </c>
      <c r="AM639" s="8">
        <v>6.0199999999999996</v>
      </c>
      <c r="AN639" s="1"/>
      <c r="AO639" s="1" t="s">
        <v>3817</v>
      </c>
      <c r="AP639" s="1" t="s">
        <v>3812</v>
      </c>
      <c r="AQ639" s="1" t="s">
        <v>3818</v>
      </c>
      <c r="AR639" s="1" t="s">
        <v>3819</v>
      </c>
    </row>
    <row r="640">
      <c r="A640" s="2">
        <f ca="1">DATE(2001,01,05)</f>
        <v>0</v>
      </c>
      <c r="B640" s="2">
        <f ca="1">DATE(2001,03,27)</f>
        <v>0</v>
      </c>
      <c r="C640" s="1" t="s">
        <v>3820</v>
      </c>
      <c r="D640" s="3">
        <v>6726</v>
      </c>
      <c r="E640" s="1" t="s">
        <v>43</v>
      </c>
      <c r="F640" s="1" t="s">
        <v>3821</v>
      </c>
      <c r="G640" s="1" t="s">
        <v>204</v>
      </c>
      <c r="H640" s="4">
        <v>0.67500000000000004</v>
      </c>
      <c r="I640" s="4">
        <v>4.5</v>
      </c>
      <c r="J640" s="5">
        <v>195</v>
      </c>
      <c r="K640" s="4">
        <v>15</v>
      </c>
      <c r="L640" s="1" t="s">
        <v>46</v>
      </c>
      <c r="M640" s="1" t="s">
        <v>47</v>
      </c>
      <c r="N640" s="1" t="s">
        <v>3822</v>
      </c>
      <c r="O640" s="1" t="s">
        <v>87</v>
      </c>
      <c r="P640" s="1" t="s">
        <v>3823</v>
      </c>
      <c r="Q640" s="4">
        <v>0.93300000000000005</v>
      </c>
      <c r="R640" s="4">
        <v>0.56699999999999995</v>
      </c>
      <c r="S640" s="8">
        <v>3</v>
      </c>
      <c r="T640" s="1" t="s">
        <v>50</v>
      </c>
      <c r="U640" s="8">
        <v>15</v>
      </c>
      <c r="V640" s="8">
        <v>15</v>
      </c>
      <c r="W640" s="7">
        <v>100000</v>
      </c>
      <c r="X640" s="5">
        <v>1.5</v>
      </c>
      <c r="Y640" s="7">
        <v>13000000</v>
      </c>
      <c r="Z640" s="1"/>
      <c r="AA640" s="2">
        <f ca="1">DATE(2001,09,23)</f>
        <v>0</v>
      </c>
      <c r="AB640" s="1"/>
      <c r="AC640" s="3">
        <v>180</v>
      </c>
      <c r="AD640" s="1"/>
      <c r="AE640" s="1" t="s">
        <v>51</v>
      </c>
      <c r="AF640" s="1" t="s">
        <v>51</v>
      </c>
      <c r="AG640" s="1" t="s">
        <v>51</v>
      </c>
      <c r="AH640" s="1"/>
      <c r="AI640" s="1"/>
      <c r="AJ640" s="3">
        <v>1</v>
      </c>
      <c r="AK640" s="1" t="s">
        <v>89</v>
      </c>
      <c r="AL640" s="3">
        <v>9</v>
      </c>
      <c r="AM640" s="8">
        <v>15</v>
      </c>
      <c r="AN640" s="1"/>
      <c r="AO640" s="1" t="s">
        <v>3824</v>
      </c>
      <c r="AP640" s="1" t="s">
        <v>3607</v>
      </c>
      <c r="AQ640" s="1" t="s">
        <v>3825</v>
      </c>
      <c r="AR640" s="1" t="s">
        <v>3826</v>
      </c>
    </row>
    <row r="641">
      <c r="A641" s="2">
        <f ca="1">DATE(2001,01,05)</f>
        <v>0</v>
      </c>
      <c r="B641" s="2">
        <f ca="1">DATE(2001,03,27)</f>
        <v>0</v>
      </c>
      <c r="C641" s="1" t="s">
        <v>3827</v>
      </c>
      <c r="D641" s="3">
        <v>6726</v>
      </c>
      <c r="E641" s="1" t="s">
        <v>43</v>
      </c>
      <c r="F641" s="1" t="s">
        <v>3828</v>
      </c>
      <c r="G641" s="1" t="s">
        <v>204</v>
      </c>
      <c r="H641" s="4">
        <v>0.67500000000000004</v>
      </c>
      <c r="I641" s="4">
        <v>4.5</v>
      </c>
      <c r="J641" s="5">
        <v>87.799999999999997</v>
      </c>
      <c r="K641" s="4">
        <v>15</v>
      </c>
      <c r="L641" s="1" t="s">
        <v>46</v>
      </c>
      <c r="M641" s="1" t="s">
        <v>47</v>
      </c>
      <c r="N641" s="1" t="s">
        <v>3829</v>
      </c>
      <c r="O641" s="1" t="s">
        <v>87</v>
      </c>
      <c r="P641" s="1" t="s">
        <v>3830</v>
      </c>
      <c r="Q641" s="4">
        <v>0.93300000000000005</v>
      </c>
      <c r="R641" s="4">
        <v>0.56699999999999995</v>
      </c>
      <c r="S641" s="8">
        <v>3</v>
      </c>
      <c r="T641" s="1" t="s">
        <v>50</v>
      </c>
      <c r="U641" s="8">
        <v>15</v>
      </c>
      <c r="V641" s="8">
        <v>15</v>
      </c>
      <c r="W641" s="7">
        <v>100000</v>
      </c>
      <c r="X641" s="5">
        <v>1.5</v>
      </c>
      <c r="Y641" s="7">
        <v>5850000</v>
      </c>
      <c r="Z641" s="1"/>
      <c r="AA641" s="1"/>
      <c r="AB641" s="1"/>
      <c r="AC641" s="1"/>
      <c r="AD641" s="1"/>
      <c r="AE641" s="1" t="s">
        <v>51</v>
      </c>
      <c r="AF641" s="1" t="s">
        <v>51</v>
      </c>
      <c r="AG641" s="1" t="s">
        <v>51</v>
      </c>
      <c r="AH641" s="1"/>
      <c r="AI641" s="1"/>
      <c r="AJ641" s="3">
        <v>1</v>
      </c>
      <c r="AK641" s="1" t="s">
        <v>89</v>
      </c>
      <c r="AL641" s="3">
        <v>8</v>
      </c>
      <c r="AM641" s="8">
        <v>15.01</v>
      </c>
      <c r="AN641" s="1"/>
      <c r="AO641" s="1" t="s">
        <v>3831</v>
      </c>
      <c r="AP641" s="1" t="s">
        <v>3607</v>
      </c>
      <c r="AQ641" s="1" t="s">
        <v>3832</v>
      </c>
      <c r="AR641" s="1" t="s">
        <v>3833</v>
      </c>
    </row>
    <row r="642">
      <c r="A642" s="1"/>
      <c r="B642" s="2">
        <f ca="1">DATE(2001,03,27)</f>
        <v>0</v>
      </c>
      <c r="C642" s="1" t="s">
        <v>3834</v>
      </c>
      <c r="D642" s="3">
        <v>6726</v>
      </c>
      <c r="E642" s="1" t="s">
        <v>43</v>
      </c>
      <c r="F642" s="1" t="s">
        <v>3835</v>
      </c>
      <c r="G642" s="1" t="s">
        <v>204</v>
      </c>
      <c r="H642" s="4">
        <v>0.67500000000000004</v>
      </c>
      <c r="I642" s="4">
        <v>4.5</v>
      </c>
      <c r="J642" s="5">
        <v>88.5</v>
      </c>
      <c r="K642" s="4">
        <v>15</v>
      </c>
      <c r="L642" s="1" t="s">
        <v>46</v>
      </c>
      <c r="M642" s="1" t="s">
        <v>47</v>
      </c>
      <c r="N642" s="1" t="s">
        <v>3836</v>
      </c>
      <c r="O642" s="1" t="s">
        <v>87</v>
      </c>
      <c r="P642" s="1" t="s">
        <v>3837</v>
      </c>
      <c r="Q642" s="4">
        <v>0.93300000000000005</v>
      </c>
      <c r="R642" s="4">
        <v>0.56699999999999995</v>
      </c>
      <c r="S642" s="8">
        <v>3</v>
      </c>
      <c r="T642" s="1" t="s">
        <v>50</v>
      </c>
      <c r="U642" s="8">
        <v>15</v>
      </c>
      <c r="V642" s="8">
        <v>15</v>
      </c>
      <c r="W642" s="7">
        <v>100000</v>
      </c>
      <c r="X642" s="5">
        <v>1.5</v>
      </c>
      <c r="Y642" s="7">
        <v>5900000</v>
      </c>
      <c r="Z642" s="1"/>
      <c r="AA642" s="2">
        <f ca="1">DATE(2001,09,23)</f>
        <v>0</v>
      </c>
      <c r="AB642" s="1"/>
      <c r="AC642" s="3">
        <v>180</v>
      </c>
      <c r="AD642" s="1"/>
      <c r="AE642" s="1" t="s">
        <v>51</v>
      </c>
      <c r="AF642" s="1" t="s">
        <v>51</v>
      </c>
      <c r="AG642" s="1" t="s">
        <v>51</v>
      </c>
      <c r="AH642" s="1"/>
      <c r="AI642" s="1"/>
      <c r="AJ642" s="3">
        <v>1</v>
      </c>
      <c r="AK642" s="1" t="s">
        <v>89</v>
      </c>
      <c r="AL642" s="3">
        <v>8</v>
      </c>
      <c r="AM642" s="8">
        <v>15</v>
      </c>
      <c r="AN642" s="1"/>
      <c r="AO642" s="1" t="s">
        <v>3838</v>
      </c>
      <c r="AP642" s="1" t="s">
        <v>3607</v>
      </c>
      <c r="AQ642" s="1" t="s">
        <v>3839</v>
      </c>
      <c r="AR642" s="1" t="s">
        <v>3840</v>
      </c>
    </row>
    <row r="643">
      <c r="A643" s="2">
        <f ca="1">DATE(2001,01,05)</f>
        <v>0</v>
      </c>
      <c r="B643" s="2">
        <f ca="1">DATE(2001,03,27)</f>
        <v>0</v>
      </c>
      <c r="C643" s="1" t="s">
        <v>3841</v>
      </c>
      <c r="D643" s="3">
        <v>6726</v>
      </c>
      <c r="E643" s="1" t="s">
        <v>43</v>
      </c>
      <c r="F643" s="1" t="s">
        <v>3842</v>
      </c>
      <c r="G643" s="1" t="s">
        <v>204</v>
      </c>
      <c r="H643" s="4">
        <v>0.67500000000000004</v>
      </c>
      <c r="I643" s="4">
        <v>4.5</v>
      </c>
      <c r="J643" s="5">
        <v>55.5</v>
      </c>
      <c r="K643" s="4">
        <v>15</v>
      </c>
      <c r="L643" s="1" t="s">
        <v>46</v>
      </c>
      <c r="M643" s="1" t="s">
        <v>47</v>
      </c>
      <c r="N643" s="1" t="s">
        <v>3843</v>
      </c>
      <c r="O643" s="1" t="s">
        <v>87</v>
      </c>
      <c r="P643" s="1" t="s">
        <v>3844</v>
      </c>
      <c r="Q643" s="4">
        <v>0.93300000000000005</v>
      </c>
      <c r="R643" s="4">
        <v>0.56699999999999995</v>
      </c>
      <c r="S643" s="8">
        <v>3</v>
      </c>
      <c r="T643" s="1" t="s">
        <v>50</v>
      </c>
      <c r="U643" s="8">
        <v>15</v>
      </c>
      <c r="V643" s="8">
        <v>15</v>
      </c>
      <c r="W643" s="7">
        <v>100000</v>
      </c>
      <c r="X643" s="5">
        <v>1.5</v>
      </c>
      <c r="Y643" s="7">
        <v>3700000</v>
      </c>
      <c r="Z643" s="1"/>
      <c r="AA643" s="1"/>
      <c r="AB643" s="1"/>
      <c r="AC643" s="1"/>
      <c r="AD643" s="1"/>
      <c r="AE643" s="1" t="s">
        <v>51</v>
      </c>
      <c r="AF643" s="1" t="s">
        <v>51</v>
      </c>
      <c r="AG643" s="1" t="s">
        <v>51</v>
      </c>
      <c r="AH643" s="1"/>
      <c r="AI643" s="1"/>
      <c r="AJ643" s="3">
        <v>1</v>
      </c>
      <c r="AK643" s="1" t="s">
        <v>89</v>
      </c>
      <c r="AL643" s="3">
        <v>7</v>
      </c>
      <c r="AM643" s="8">
        <v>15</v>
      </c>
      <c r="AN643" s="1"/>
      <c r="AO643" s="1" t="s">
        <v>3845</v>
      </c>
      <c r="AP643" s="1" t="s">
        <v>3607</v>
      </c>
      <c r="AQ643" s="1" t="s">
        <v>3846</v>
      </c>
      <c r="AR643" s="1" t="s">
        <v>3847</v>
      </c>
    </row>
    <row r="644">
      <c r="A644" s="2">
        <f ca="1">DATE(2001,02,22)</f>
        <v>0</v>
      </c>
      <c r="B644" s="2">
        <f ca="1">DATE(2001,03,27)</f>
        <v>0</v>
      </c>
      <c r="C644" s="1" t="s">
        <v>3848</v>
      </c>
      <c r="D644" s="3">
        <v>6726</v>
      </c>
      <c r="E644" s="1" t="s">
        <v>43</v>
      </c>
      <c r="F644" s="1" t="s">
        <v>3849</v>
      </c>
      <c r="G644" s="1" t="s">
        <v>204</v>
      </c>
      <c r="H644" s="4">
        <v>0.67500000000000004</v>
      </c>
      <c r="I644" s="4">
        <v>4.5</v>
      </c>
      <c r="J644" s="5">
        <v>43.899999999999999</v>
      </c>
      <c r="K644" s="4">
        <v>15</v>
      </c>
      <c r="L644" s="1" t="s">
        <v>46</v>
      </c>
      <c r="M644" s="1" t="s">
        <v>47</v>
      </c>
      <c r="N644" s="1" t="s">
        <v>3850</v>
      </c>
      <c r="O644" s="1" t="s">
        <v>87</v>
      </c>
      <c r="P644" s="1" t="s">
        <v>3851</v>
      </c>
      <c r="Q644" s="4">
        <v>0.93300000000000005</v>
      </c>
      <c r="R644" s="4">
        <v>0.56699999999999995</v>
      </c>
      <c r="S644" s="8">
        <v>3</v>
      </c>
      <c r="T644" s="1" t="s">
        <v>50</v>
      </c>
      <c r="U644" s="8">
        <v>15</v>
      </c>
      <c r="V644" s="8">
        <v>15</v>
      </c>
      <c r="W644" s="7">
        <v>3000000</v>
      </c>
      <c r="X644" s="5">
        <v>45</v>
      </c>
      <c r="Y644" s="7">
        <v>2925000</v>
      </c>
      <c r="Z644" s="1"/>
      <c r="AA644" s="2">
        <f ca="1">DATE(2001,09,23)</f>
        <v>0</v>
      </c>
      <c r="AB644" s="1"/>
      <c r="AC644" s="3">
        <v>180</v>
      </c>
      <c r="AD644" s="1"/>
      <c r="AE644" s="1" t="s">
        <v>51</v>
      </c>
      <c r="AF644" s="1" t="s">
        <v>51</v>
      </c>
      <c r="AG644" s="1" t="s">
        <v>51</v>
      </c>
      <c r="AH644" s="1"/>
      <c r="AI644" s="1"/>
      <c r="AJ644" s="3">
        <v>1</v>
      </c>
      <c r="AK644" s="1" t="s">
        <v>89</v>
      </c>
      <c r="AL644" s="3">
        <v>10</v>
      </c>
      <c r="AM644" s="8">
        <v>15</v>
      </c>
      <c r="AN644" s="1"/>
      <c r="AO644" s="1" t="s">
        <v>3852</v>
      </c>
      <c r="AP644" s="1" t="s">
        <v>3607</v>
      </c>
      <c r="AQ644" s="1" t="s">
        <v>3853</v>
      </c>
      <c r="AR644" s="1" t="s">
        <v>3854</v>
      </c>
    </row>
    <row r="645">
      <c r="A645" s="2">
        <f ca="1">DATE(2001,02,22)</f>
        <v>0</v>
      </c>
      <c r="B645" s="2">
        <f ca="1">DATE(2001,03,27)</f>
        <v>0</v>
      </c>
      <c r="C645" s="1" t="s">
        <v>3855</v>
      </c>
      <c r="D645" s="3">
        <v>6726</v>
      </c>
      <c r="E645" s="1" t="s">
        <v>43</v>
      </c>
      <c r="F645" s="1" t="s">
        <v>3856</v>
      </c>
      <c r="G645" s="1" t="s">
        <v>204</v>
      </c>
      <c r="H645" s="4">
        <v>0.67500000000000004</v>
      </c>
      <c r="I645" s="4">
        <v>4.5</v>
      </c>
      <c r="J645" s="5">
        <v>390</v>
      </c>
      <c r="K645" s="4">
        <v>15</v>
      </c>
      <c r="L645" s="1" t="s">
        <v>46</v>
      </c>
      <c r="M645" s="1" t="s">
        <v>47</v>
      </c>
      <c r="N645" s="1" t="s">
        <v>3857</v>
      </c>
      <c r="O645" s="1" t="s">
        <v>87</v>
      </c>
      <c r="P645" s="1" t="s">
        <v>3858</v>
      </c>
      <c r="Q645" s="4">
        <v>0.93300000000000005</v>
      </c>
      <c r="R645" s="4">
        <v>0.56699999999999995</v>
      </c>
      <c r="S645" s="8">
        <v>3</v>
      </c>
      <c r="T645" s="1" t="s">
        <v>50</v>
      </c>
      <c r="U645" s="8">
        <v>15</v>
      </c>
      <c r="V645" s="8">
        <v>15</v>
      </c>
      <c r="W645" s="7">
        <v>100000</v>
      </c>
      <c r="X645" s="5">
        <v>45</v>
      </c>
      <c r="Y645" s="7">
        <v>26000000</v>
      </c>
      <c r="Z645" s="1"/>
      <c r="AA645" s="2">
        <f ca="1">DATE(2001,09,23)</f>
        <v>0</v>
      </c>
      <c r="AB645" s="1"/>
      <c r="AC645" s="3">
        <v>180</v>
      </c>
      <c r="AD645" s="1"/>
      <c r="AE645" s="1" t="s">
        <v>51</v>
      </c>
      <c r="AF645" s="1" t="s">
        <v>51</v>
      </c>
      <c r="AG645" s="1" t="s">
        <v>51</v>
      </c>
      <c r="AH645" s="1"/>
      <c r="AI645" s="1"/>
      <c r="AJ645" s="3">
        <v>1</v>
      </c>
      <c r="AK645" s="1" t="s">
        <v>89</v>
      </c>
      <c r="AL645" s="3">
        <v>12</v>
      </c>
      <c r="AM645" s="8">
        <v>15</v>
      </c>
      <c r="AN645" s="1"/>
      <c r="AO645" s="1" t="s">
        <v>3859</v>
      </c>
      <c r="AP645" s="1" t="s">
        <v>3607</v>
      </c>
      <c r="AQ645" s="1" t="s">
        <v>3860</v>
      </c>
      <c r="AR645" s="1" t="s">
        <v>3861</v>
      </c>
    </row>
    <row r="646">
      <c r="A646" s="2">
        <f ca="1">DATE(2000,10,27)</f>
        <v>0</v>
      </c>
      <c r="B646" s="2">
        <f ca="1">DATE(2001,04,04)</f>
        <v>0</v>
      </c>
      <c r="C646" s="1" t="s">
        <v>3862</v>
      </c>
      <c r="D646" s="3">
        <v>8093</v>
      </c>
      <c r="E646" s="1" t="s">
        <v>43</v>
      </c>
      <c r="F646" s="1" t="s">
        <v>3863</v>
      </c>
      <c r="G646" s="1" t="s">
        <v>45</v>
      </c>
      <c r="H646" s="4">
        <v>0.66500000000000004</v>
      </c>
      <c r="I646" s="4">
        <v>7</v>
      </c>
      <c r="J646" s="5">
        <v>72.700000000000003</v>
      </c>
      <c r="K646" s="4">
        <v>9.5</v>
      </c>
      <c r="L646" s="1" t="s">
        <v>46</v>
      </c>
      <c r="M646" s="1" t="s">
        <v>47</v>
      </c>
      <c r="N646" s="3">
        <v>816196109</v>
      </c>
      <c r="O646" s="1" t="s">
        <v>48</v>
      </c>
      <c r="P646" s="1" t="s">
        <v>3864</v>
      </c>
      <c r="Q646" s="4">
        <v>1.421</v>
      </c>
      <c r="R646" s="4">
        <v>1.6839999999999999</v>
      </c>
      <c r="S646" s="6">
        <v>3.8947400000000001</v>
      </c>
      <c r="T646" s="1" t="s">
        <v>50</v>
      </c>
      <c r="U646" s="1"/>
      <c r="V646" s="1"/>
      <c r="W646" s="1"/>
      <c r="X646" s="5">
        <v>200</v>
      </c>
      <c r="Y646" s="7">
        <v>7650000</v>
      </c>
      <c r="Z646" s="1"/>
      <c r="AA646" s="1"/>
      <c r="AB646" s="1"/>
      <c r="AC646" s="1"/>
      <c r="AD646" s="1"/>
      <c r="AE646" s="1" t="s">
        <v>51</v>
      </c>
      <c r="AF646" s="1" t="s">
        <v>51</v>
      </c>
      <c r="AG646" s="1" t="s">
        <v>51</v>
      </c>
      <c r="AH646" s="1"/>
      <c r="AI646" s="1"/>
      <c r="AJ646" s="3">
        <v>1</v>
      </c>
      <c r="AK646" s="1" t="s">
        <v>89</v>
      </c>
      <c r="AL646" s="3">
        <v>6</v>
      </c>
      <c r="AM646" s="8">
        <v>10.130000000000001</v>
      </c>
      <c r="AN646" s="1"/>
      <c r="AO646" s="1" t="s">
        <v>3865</v>
      </c>
      <c r="AP646" s="1" t="s">
        <v>3866</v>
      </c>
      <c r="AQ646" s="1" t="s">
        <v>3867</v>
      </c>
      <c r="AR646" s="1" t="s">
        <v>3868</v>
      </c>
    </row>
    <row r="647">
      <c r="A647" s="2">
        <f ca="1">DATE(2000,10,27)</f>
        <v>0</v>
      </c>
      <c r="B647" s="2">
        <f ca="1">DATE(2001,04,04)</f>
        <v>0</v>
      </c>
      <c r="C647" s="1" t="s">
        <v>3862</v>
      </c>
      <c r="D647" s="3">
        <v>8093</v>
      </c>
      <c r="E647" s="1" t="s">
        <v>43</v>
      </c>
      <c r="F647" s="1" t="s">
        <v>3863</v>
      </c>
      <c r="G647" s="1" t="s">
        <v>45</v>
      </c>
      <c r="H647" s="4">
        <v>0.66500000000000004</v>
      </c>
      <c r="I647" s="4">
        <v>7</v>
      </c>
      <c r="J647" s="5">
        <v>12.800000000000001</v>
      </c>
      <c r="K647" s="8">
        <v>9.5</v>
      </c>
      <c r="L647" s="1" t="s">
        <v>58</v>
      </c>
      <c r="M647" s="1" t="s">
        <v>47</v>
      </c>
      <c r="N647" s="3">
        <v>816196109</v>
      </c>
      <c r="O647" s="1" t="s">
        <v>48</v>
      </c>
      <c r="P647" s="1" t="s">
        <v>3869</v>
      </c>
      <c r="Q647" s="4">
        <v>1.421</v>
      </c>
      <c r="R647" s="4">
        <v>1.6839999999999999</v>
      </c>
      <c r="S647" s="6">
        <v>3.8947400000000001</v>
      </c>
      <c r="T647" s="1" t="s">
        <v>60</v>
      </c>
      <c r="U647" s="1"/>
      <c r="V647" s="1"/>
      <c r="W647" s="1"/>
      <c r="X647" s="1"/>
      <c r="Y647" s="7">
        <v>1350000</v>
      </c>
      <c r="Z647" s="1"/>
      <c r="AA647" s="1"/>
      <c r="AB647" s="1"/>
      <c r="AC647" s="1"/>
      <c r="AD647" s="1"/>
      <c r="AE647" s="1" t="s">
        <v>51</v>
      </c>
      <c r="AF647" s="1" t="s">
        <v>51</v>
      </c>
      <c r="AG647" s="1" t="s">
        <v>51</v>
      </c>
      <c r="AH647" s="1"/>
      <c r="AI647" s="1"/>
      <c r="AJ647" s="3">
        <v>1</v>
      </c>
      <c r="AK647" s="1" t="s">
        <v>89</v>
      </c>
      <c r="AL647" s="3">
        <v>2</v>
      </c>
      <c r="AM647" s="1"/>
      <c r="AN647" s="1"/>
      <c r="AO647" s="1" t="s">
        <v>3870</v>
      </c>
      <c r="AP647" s="1" t="s">
        <v>3866</v>
      </c>
      <c r="AQ647" s="1" t="s">
        <v>3871</v>
      </c>
      <c r="AR647" s="1" t="s">
        <v>3872</v>
      </c>
    </row>
    <row r="648">
      <c r="A648" s="2">
        <f ca="1">DATE(2000,08,14)</f>
        <v>0</v>
      </c>
      <c r="B648" s="2">
        <f ca="1">DATE(2001,04,09)</f>
        <v>0</v>
      </c>
      <c r="C648" s="1" t="s">
        <v>3873</v>
      </c>
      <c r="D648" s="3">
        <v>4612</v>
      </c>
      <c r="E648" s="1" t="s">
        <v>43</v>
      </c>
      <c r="F648" s="1" t="s">
        <v>3874</v>
      </c>
      <c r="G648" s="1" t="s">
        <v>160</v>
      </c>
      <c r="H648" s="4">
        <v>1.7150000000000001</v>
      </c>
      <c r="I648" s="4">
        <v>7</v>
      </c>
      <c r="J648" s="5">
        <v>110.3</v>
      </c>
      <c r="K648" s="4">
        <v>24.5</v>
      </c>
      <c r="L648" s="1" t="s">
        <v>85</v>
      </c>
      <c r="M648" s="1" t="s">
        <v>47</v>
      </c>
      <c r="N648" s="3">
        <v>819357104</v>
      </c>
      <c r="O648" s="1" t="s">
        <v>108</v>
      </c>
      <c r="P648" s="1" t="s">
        <v>3875</v>
      </c>
      <c r="Q648" s="4">
        <v>1.4079999999999999</v>
      </c>
      <c r="R648" s="4">
        <v>1.3879999999999999</v>
      </c>
      <c r="S648" s="6">
        <v>4.2040800000000003</v>
      </c>
      <c r="T648" s="1" t="s">
        <v>50</v>
      </c>
      <c r="U648" s="8">
        <v>21</v>
      </c>
      <c r="V648" s="8">
        <v>19</v>
      </c>
      <c r="W648" s="7">
        <v>4000000</v>
      </c>
      <c r="X648" s="5">
        <v>80</v>
      </c>
      <c r="Y648" s="7">
        <v>4500000</v>
      </c>
      <c r="Z648" s="1"/>
      <c r="AA648" s="1"/>
      <c r="AB648" s="1"/>
      <c r="AC648" s="1"/>
      <c r="AD648" s="1"/>
      <c r="AE648" s="1" t="s">
        <v>51</v>
      </c>
      <c r="AF648" s="1" t="s">
        <v>47</v>
      </c>
      <c r="AG648" s="1" t="s">
        <v>51</v>
      </c>
      <c r="AH648" s="1" t="s">
        <v>3876</v>
      </c>
      <c r="AI648" s="1" t="s">
        <v>3877</v>
      </c>
      <c r="AJ648" s="3">
        <v>1</v>
      </c>
      <c r="AK648" s="1" t="s">
        <v>52</v>
      </c>
      <c r="AL648" s="3">
        <v>5</v>
      </c>
      <c r="AM648" s="8">
        <v>28</v>
      </c>
      <c r="AN648" s="1"/>
      <c r="AO648" s="1" t="s">
        <v>3878</v>
      </c>
      <c r="AP648" s="1" t="s">
        <v>160</v>
      </c>
      <c r="AQ648" s="1" t="s">
        <v>3879</v>
      </c>
      <c r="AR648" s="1" t="s">
        <v>3875</v>
      </c>
    </row>
    <row r="649">
      <c r="A649" s="2">
        <f ca="1">DATE(2000,12,13)</f>
        <v>0</v>
      </c>
      <c r="B649" s="2">
        <f ca="1">DATE(2001,04,23)</f>
        <v>0</v>
      </c>
      <c r="C649" s="1" t="s">
        <v>3880</v>
      </c>
      <c r="D649" s="3">
        <v>4939</v>
      </c>
      <c r="E649" s="1" t="s">
        <v>43</v>
      </c>
      <c r="F649" s="1" t="s">
        <v>3881</v>
      </c>
      <c r="G649" s="1" t="s">
        <v>3882</v>
      </c>
      <c r="H649" s="4">
        <v>1.3799999999999999</v>
      </c>
      <c r="I649" s="4">
        <v>5.75</v>
      </c>
      <c r="J649" s="5">
        <v>336</v>
      </c>
      <c r="K649" s="4">
        <v>24</v>
      </c>
      <c r="L649" s="1" t="s">
        <v>46</v>
      </c>
      <c r="M649" s="1" t="s">
        <v>47</v>
      </c>
      <c r="N649" s="1" t="s">
        <v>3883</v>
      </c>
      <c r="O649" s="1" t="s">
        <v>108</v>
      </c>
      <c r="P649" s="1" t="s">
        <v>3884</v>
      </c>
      <c r="Q649" s="4">
        <v>1.167</v>
      </c>
      <c r="R649" s="4">
        <v>1.083</v>
      </c>
      <c r="S649" s="8">
        <v>3.5</v>
      </c>
      <c r="T649" s="1" t="s">
        <v>50</v>
      </c>
      <c r="U649" s="1"/>
      <c r="V649" s="1"/>
      <c r="W649" s="1"/>
      <c r="X649" s="5">
        <v>425</v>
      </c>
      <c r="Y649" s="7">
        <v>9800000</v>
      </c>
      <c r="Z649" s="7">
        <v>4200000</v>
      </c>
      <c r="AA649" s="1"/>
      <c r="AB649" s="1"/>
      <c r="AC649" s="1"/>
      <c r="AD649" s="1"/>
      <c r="AE649" s="1" t="s">
        <v>51</v>
      </c>
      <c r="AF649" s="1" t="s">
        <v>51</v>
      </c>
      <c r="AG649" s="1" t="s">
        <v>51</v>
      </c>
      <c r="AH649" s="1"/>
      <c r="AI649" s="1"/>
      <c r="AJ649" s="3">
        <v>2</v>
      </c>
      <c r="AK649" s="1" t="s">
        <v>89</v>
      </c>
      <c r="AL649" s="3">
        <v>5</v>
      </c>
      <c r="AM649" s="8">
        <v>27.850000000000001</v>
      </c>
      <c r="AN649" s="1"/>
      <c r="AO649" s="1" t="s">
        <v>3885</v>
      </c>
      <c r="AP649" s="1" t="s">
        <v>3886</v>
      </c>
      <c r="AQ649" s="1" t="s">
        <v>3887</v>
      </c>
      <c r="AR649" s="1" t="s">
        <v>3888</v>
      </c>
    </row>
    <row r="650">
      <c r="A650" s="2">
        <f ca="1">DATE(2000,12,13)</f>
        <v>0</v>
      </c>
      <c r="B650" s="2">
        <f ca="1">DATE(2001,04,23)</f>
        <v>0</v>
      </c>
      <c r="C650" s="1" t="s">
        <v>3880</v>
      </c>
      <c r="D650" s="3">
        <v>4939</v>
      </c>
      <c r="E650" s="1" t="s">
        <v>43</v>
      </c>
      <c r="F650" s="1" t="s">
        <v>3881</v>
      </c>
      <c r="G650" s="1" t="s">
        <v>3889</v>
      </c>
      <c r="H650" s="4">
        <v>1.3799999999999999</v>
      </c>
      <c r="I650" s="4">
        <v>5.75</v>
      </c>
      <c r="J650" s="5">
        <v>84</v>
      </c>
      <c r="K650" s="8">
        <v>24</v>
      </c>
      <c r="L650" s="1" t="s">
        <v>58</v>
      </c>
      <c r="M650" s="1" t="s">
        <v>47</v>
      </c>
      <c r="N650" s="1" t="s">
        <v>3883</v>
      </c>
      <c r="O650" s="1" t="s">
        <v>108</v>
      </c>
      <c r="P650" s="1" t="s">
        <v>3890</v>
      </c>
      <c r="Q650" s="4">
        <v>1.167</v>
      </c>
      <c r="R650" s="4">
        <v>1.083</v>
      </c>
      <c r="S650" s="8">
        <v>3.5</v>
      </c>
      <c r="T650" s="1" t="s">
        <v>60</v>
      </c>
      <c r="U650" s="1"/>
      <c r="V650" s="1"/>
      <c r="W650" s="1"/>
      <c r="X650" s="5">
        <v>425</v>
      </c>
      <c r="Y650" s="7">
        <v>2146433</v>
      </c>
      <c r="Z650" s="7">
        <v>1353567</v>
      </c>
      <c r="AA650" s="1"/>
      <c r="AB650" s="1"/>
      <c r="AC650" s="1"/>
      <c r="AD650" s="1"/>
      <c r="AE650" s="1" t="s">
        <v>51</v>
      </c>
      <c r="AF650" s="1" t="s">
        <v>51</v>
      </c>
      <c r="AG650" s="1" t="s">
        <v>51</v>
      </c>
      <c r="AH650" s="1"/>
      <c r="AI650" s="1"/>
      <c r="AJ650" s="3">
        <v>2</v>
      </c>
      <c r="AK650" s="1" t="s">
        <v>110</v>
      </c>
      <c r="AL650" s="3">
        <v>4</v>
      </c>
      <c r="AM650" s="1"/>
      <c r="AN650" s="1"/>
      <c r="AO650" s="1" t="s">
        <v>3891</v>
      </c>
      <c r="AP650" s="1" t="s">
        <v>3892</v>
      </c>
      <c r="AQ650" s="1" t="s">
        <v>3893</v>
      </c>
      <c r="AR650" s="1" t="s">
        <v>3894</v>
      </c>
    </row>
    <row r="651">
      <c r="A651" s="2">
        <f ca="1">DATE(2000,10,16)</f>
        <v>0</v>
      </c>
      <c r="B651" s="2">
        <f ca="1">DATE(2001,04,30)</f>
        <v>0</v>
      </c>
      <c r="C651" s="1" t="s">
        <v>3895</v>
      </c>
      <c r="D651" s="3">
        <v>4911</v>
      </c>
      <c r="E651" s="1" t="s">
        <v>43</v>
      </c>
      <c r="F651" s="1" t="s">
        <v>3896</v>
      </c>
      <c r="G651" s="1" t="s">
        <v>160</v>
      </c>
      <c r="H651" s="4">
        <v>1.5</v>
      </c>
      <c r="I651" s="4">
        <v>5</v>
      </c>
      <c r="J651" s="9">
        <v>1560</v>
      </c>
      <c r="K651" s="8">
        <v>30</v>
      </c>
      <c r="L651" s="1" t="s">
        <v>46</v>
      </c>
      <c r="M651" s="1" t="s">
        <v>47</v>
      </c>
      <c r="N651" s="1" t="s">
        <v>3897</v>
      </c>
      <c r="O651" s="1" t="s">
        <v>108</v>
      </c>
      <c r="P651" s="1" t="s">
        <v>3898</v>
      </c>
      <c r="Q651" s="4">
        <v>1</v>
      </c>
      <c r="R651" s="4">
        <v>1</v>
      </c>
      <c r="S651" s="8">
        <v>3</v>
      </c>
      <c r="T651" s="1" t="s">
        <v>60</v>
      </c>
      <c r="U651" s="1"/>
      <c r="V651" s="1"/>
      <c r="W651" s="1"/>
      <c r="X651" s="9">
        <v>1300</v>
      </c>
      <c r="Y651" s="7">
        <v>52000000</v>
      </c>
      <c r="Z651" s="1"/>
      <c r="AA651" s="1"/>
      <c r="AB651" s="1"/>
      <c r="AC651" s="1"/>
      <c r="AD651" s="1"/>
      <c r="AE651" s="1" t="s">
        <v>51</v>
      </c>
      <c r="AF651" s="1" t="s">
        <v>51</v>
      </c>
      <c r="AG651" s="1" t="s">
        <v>51</v>
      </c>
      <c r="AH651" s="1" t="s">
        <v>3899</v>
      </c>
      <c r="AI651" s="1" t="s">
        <v>3900</v>
      </c>
      <c r="AJ651" s="3">
        <v>1</v>
      </c>
      <c r="AK651" s="1" t="s">
        <v>89</v>
      </c>
      <c r="AL651" s="3">
        <v>2</v>
      </c>
      <c r="AM651" s="1"/>
      <c r="AN651" s="1"/>
      <c r="AO651" s="1" t="s">
        <v>3901</v>
      </c>
      <c r="AP651" s="1" t="s">
        <v>3745</v>
      </c>
      <c r="AQ651" s="1" t="s">
        <v>3902</v>
      </c>
      <c r="AR651" s="1" t="s">
        <v>3903</v>
      </c>
    </row>
    <row r="652">
      <c r="A652" s="2">
        <f ca="1">DATE(2001,02,02)</f>
        <v>0</v>
      </c>
      <c r="B652" s="2">
        <f ca="1">DATE(2001,05,01)</f>
        <v>0</v>
      </c>
      <c r="C652" s="1" t="s">
        <v>3904</v>
      </c>
      <c r="D652" s="3">
        <v>5812</v>
      </c>
      <c r="E652" s="1" t="s">
        <v>43</v>
      </c>
      <c r="F652" s="1"/>
      <c r="G652" s="1" t="s">
        <v>1624</v>
      </c>
      <c r="H652" s="4">
        <v>0.47999999999999998</v>
      </c>
      <c r="I652" s="4">
        <v>6</v>
      </c>
      <c r="J652" s="5">
        <v>16</v>
      </c>
      <c r="K652" s="4">
        <v>8</v>
      </c>
      <c r="L652" s="1" t="s">
        <v>46</v>
      </c>
      <c r="M652" s="1" t="s">
        <v>47</v>
      </c>
      <c r="N652" s="1" t="s">
        <v>3905</v>
      </c>
      <c r="O652" s="1"/>
      <c r="P652" s="1" t="s">
        <v>3906</v>
      </c>
      <c r="Q652" s="4">
        <v>1.875</v>
      </c>
      <c r="R652" s="4">
        <v>1.75</v>
      </c>
      <c r="S652" s="4">
        <v>2.375</v>
      </c>
      <c r="T652" s="1" t="s">
        <v>50</v>
      </c>
      <c r="U652" s="1"/>
      <c r="V652" s="1"/>
      <c r="W652" s="1"/>
      <c r="X652" s="5">
        <v>23</v>
      </c>
      <c r="Y652" s="7">
        <v>2000000</v>
      </c>
      <c r="Z652" s="1"/>
      <c r="AA652" s="1" t="s">
        <v>3907</v>
      </c>
      <c r="AB652" s="1" t="s">
        <v>3908</v>
      </c>
      <c r="AC652" s="1" t="s">
        <v>3909</v>
      </c>
      <c r="AD652" s="1" t="s">
        <v>3910</v>
      </c>
      <c r="AE652" s="1" t="s">
        <v>51</v>
      </c>
      <c r="AF652" s="1" t="s">
        <v>51</v>
      </c>
      <c r="AG652" s="1" t="s">
        <v>51</v>
      </c>
      <c r="AH652" s="1"/>
      <c r="AI652" s="1"/>
      <c r="AJ652" s="3">
        <v>1</v>
      </c>
      <c r="AK652" s="1" t="s">
        <v>52</v>
      </c>
      <c r="AL652" s="3">
        <v>1</v>
      </c>
      <c r="AM652" s="8">
        <v>8.0299999999999994</v>
      </c>
      <c r="AN652" s="1"/>
      <c r="AO652" s="1" t="s">
        <v>1624</v>
      </c>
      <c r="AP652" s="1" t="s">
        <v>1624</v>
      </c>
      <c r="AQ652" s="1" t="s">
        <v>1624</v>
      </c>
      <c r="AR652" s="1" t="s">
        <v>3906</v>
      </c>
    </row>
    <row r="653">
      <c r="A653" s="2">
        <f ca="1">DATE(2000,09,08)</f>
        <v>0</v>
      </c>
      <c r="B653" s="2">
        <f ca="1">DATE(2001,05,02)</f>
        <v>0</v>
      </c>
      <c r="C653" s="1" t="s">
        <v>3911</v>
      </c>
      <c r="D653" s="3">
        <v>7371</v>
      </c>
      <c r="E653" s="1" t="s">
        <v>43</v>
      </c>
      <c r="F653" s="1" t="s">
        <v>3912</v>
      </c>
      <c r="G653" s="1" t="s">
        <v>168</v>
      </c>
      <c r="H653" s="4">
        <v>0.83999999999999997</v>
      </c>
      <c r="I653" s="8">
        <v>7</v>
      </c>
      <c r="J653" s="5">
        <v>43.5</v>
      </c>
      <c r="K653" s="4">
        <v>12</v>
      </c>
      <c r="L653" s="1" t="s">
        <v>46</v>
      </c>
      <c r="M653" s="1" t="s">
        <v>47</v>
      </c>
      <c r="N653" s="3">
        <v>828854109</v>
      </c>
      <c r="O653" s="1" t="s">
        <v>48</v>
      </c>
      <c r="P653" s="1" t="s">
        <v>3913</v>
      </c>
      <c r="Q653" s="4">
        <v>1.417</v>
      </c>
      <c r="R653" s="4">
        <v>1.417</v>
      </c>
      <c r="S653" s="6">
        <v>4.1666699999999999</v>
      </c>
      <c r="T653" s="1" t="s">
        <v>50</v>
      </c>
      <c r="U653" s="1"/>
      <c r="V653" s="1"/>
      <c r="W653" s="1"/>
      <c r="X653" s="5">
        <v>50</v>
      </c>
      <c r="Y653" s="7">
        <v>3625652</v>
      </c>
      <c r="Z653" s="1"/>
      <c r="AA653" s="1"/>
      <c r="AB653" s="1"/>
      <c r="AC653" s="1"/>
      <c r="AD653" s="1"/>
      <c r="AE653" s="1" t="s">
        <v>51</v>
      </c>
      <c r="AF653" s="1" t="s">
        <v>51</v>
      </c>
      <c r="AG653" s="1" t="s">
        <v>47</v>
      </c>
      <c r="AH653" s="1"/>
      <c r="AI653" s="1"/>
      <c r="AJ653" s="3">
        <v>1</v>
      </c>
      <c r="AK653" s="1" t="s">
        <v>52</v>
      </c>
      <c r="AL653" s="3">
        <v>3</v>
      </c>
      <c r="AM653" s="8">
        <v>21.199999999999999</v>
      </c>
      <c r="AN653" s="1"/>
      <c r="AO653" s="1" t="s">
        <v>3914</v>
      </c>
      <c r="AP653" s="1" t="s">
        <v>168</v>
      </c>
      <c r="AQ653" s="1" t="s">
        <v>3915</v>
      </c>
      <c r="AR653" s="1" t="s">
        <v>3916</v>
      </c>
    </row>
    <row r="654">
      <c r="A654" s="2">
        <f ca="1">DATE(2000,09,08)</f>
        <v>0</v>
      </c>
      <c r="B654" s="2">
        <f ca="1">DATE(2001,05,02)</f>
        <v>0</v>
      </c>
      <c r="C654" s="1" t="s">
        <v>3911</v>
      </c>
      <c r="D654" s="3">
        <v>7371</v>
      </c>
      <c r="E654" s="1" t="s">
        <v>43</v>
      </c>
      <c r="F654" s="1" t="s">
        <v>3912</v>
      </c>
      <c r="G654" s="1" t="s">
        <v>179</v>
      </c>
      <c r="H654" s="4">
        <v>0.83999999999999997</v>
      </c>
      <c r="I654" s="8">
        <v>7</v>
      </c>
      <c r="J654" s="5">
        <v>4.5</v>
      </c>
      <c r="K654" s="8">
        <v>12</v>
      </c>
      <c r="L654" s="1" t="s">
        <v>58</v>
      </c>
      <c r="M654" s="1" t="s">
        <v>47</v>
      </c>
      <c r="N654" s="3">
        <v>828854109</v>
      </c>
      <c r="O654" s="1" t="s">
        <v>48</v>
      </c>
      <c r="P654" s="1" t="s">
        <v>3917</v>
      </c>
      <c r="Q654" s="4">
        <v>1.417</v>
      </c>
      <c r="R654" s="4">
        <v>1.417</v>
      </c>
      <c r="S654" s="6">
        <v>4.1666699999999999</v>
      </c>
      <c r="T654" s="1" t="s">
        <v>60</v>
      </c>
      <c r="U654" s="1"/>
      <c r="V654" s="1"/>
      <c r="W654" s="1"/>
      <c r="X654" s="5">
        <v>50</v>
      </c>
      <c r="Y654" s="7">
        <v>374348</v>
      </c>
      <c r="Z654" s="1"/>
      <c r="AA654" s="1"/>
      <c r="AB654" s="1"/>
      <c r="AC654" s="1"/>
      <c r="AD654" s="1"/>
      <c r="AE654" s="1" t="s">
        <v>51</v>
      </c>
      <c r="AF654" s="1" t="s">
        <v>51</v>
      </c>
      <c r="AG654" s="1" t="s">
        <v>47</v>
      </c>
      <c r="AH654" s="1"/>
      <c r="AI654" s="1"/>
      <c r="AJ654" s="3">
        <v>1</v>
      </c>
      <c r="AK654" s="1" t="s">
        <v>52</v>
      </c>
      <c r="AL654" s="3">
        <v>1</v>
      </c>
      <c r="AM654" s="1"/>
      <c r="AN654" s="1"/>
      <c r="AO654" s="1" t="s">
        <v>3918</v>
      </c>
      <c r="AP654" s="1" t="s">
        <v>179</v>
      </c>
      <c r="AQ654" s="1" t="s">
        <v>179</v>
      </c>
      <c r="AR654" s="1" t="s">
        <v>3919</v>
      </c>
    </row>
    <row r="655">
      <c r="A655" s="2">
        <f ca="1">DATE(2001,02,14)</f>
        <v>0</v>
      </c>
      <c r="B655" s="2">
        <f ca="1">DATE(2001,05,08)</f>
        <v>0</v>
      </c>
      <c r="C655" s="1" t="s">
        <v>3920</v>
      </c>
      <c r="D655" s="3">
        <v>3699</v>
      </c>
      <c r="E655" s="1" t="s">
        <v>43</v>
      </c>
      <c r="F655" s="1" t="s">
        <v>3921</v>
      </c>
      <c r="G655" s="1" t="s">
        <v>1223</v>
      </c>
      <c r="H655" s="4">
        <v>1.04</v>
      </c>
      <c r="I655" s="4">
        <v>8</v>
      </c>
      <c r="J655" s="5">
        <v>10.4</v>
      </c>
      <c r="K655" s="4">
        <v>13</v>
      </c>
      <c r="L655" s="1" t="s">
        <v>46</v>
      </c>
      <c r="M655" s="1" t="s">
        <v>47</v>
      </c>
      <c r="N655" s="1" t="s">
        <v>3922</v>
      </c>
      <c r="O655" s="1" t="s">
        <v>48</v>
      </c>
      <c r="P655" s="1" t="s">
        <v>3923</v>
      </c>
      <c r="Q655" s="4">
        <v>2.3849999999999998</v>
      </c>
      <c r="R655" s="4">
        <v>1</v>
      </c>
      <c r="S655" s="6">
        <v>4.61538</v>
      </c>
      <c r="T655" s="1" t="s">
        <v>50</v>
      </c>
      <c r="U655" s="8">
        <v>11</v>
      </c>
      <c r="V655" s="8">
        <v>9</v>
      </c>
      <c r="W655" s="7">
        <v>1000000</v>
      </c>
      <c r="X655" s="5">
        <v>10</v>
      </c>
      <c r="Y655" s="7">
        <v>800000</v>
      </c>
      <c r="Z655" s="1"/>
      <c r="AA655" s="2">
        <f ca="1">DATE(2002,05,03)</f>
        <v>0</v>
      </c>
      <c r="AB655" s="4">
        <v>55.731999999999999</v>
      </c>
      <c r="AC655" s="3">
        <v>360</v>
      </c>
      <c r="AD655" s="8">
        <v>1510754</v>
      </c>
      <c r="AE655" s="1" t="s">
        <v>51</v>
      </c>
      <c r="AF655" s="1" t="s">
        <v>47</v>
      </c>
      <c r="AG655" s="1" t="s">
        <v>51</v>
      </c>
      <c r="AH655" s="1"/>
      <c r="AI655" s="1"/>
      <c r="AJ655" s="3">
        <v>1</v>
      </c>
      <c r="AK655" s="1" t="s">
        <v>52</v>
      </c>
      <c r="AL655" s="3">
        <v>1</v>
      </c>
      <c r="AM655" s="8">
        <v>12.83</v>
      </c>
      <c r="AN655" s="1"/>
      <c r="AO655" s="1" t="s">
        <v>1223</v>
      </c>
      <c r="AP655" s="1" t="s">
        <v>1223</v>
      </c>
      <c r="AQ655" s="1" t="s">
        <v>1223</v>
      </c>
      <c r="AR655" s="1" t="s">
        <v>3923</v>
      </c>
    </row>
    <row r="656">
      <c r="A656" s="2">
        <f ca="1">DATE(2001,02,20)</f>
        <v>0</v>
      </c>
      <c r="B656" s="2">
        <f ca="1">DATE(2001,05,14)</f>
        <v>0</v>
      </c>
      <c r="C656" s="1" t="s">
        <v>3924</v>
      </c>
      <c r="D656" s="3">
        <v>4923</v>
      </c>
      <c r="E656" s="1" t="s">
        <v>43</v>
      </c>
      <c r="F656" s="1" t="s">
        <v>3925</v>
      </c>
      <c r="G656" s="1" t="s">
        <v>160</v>
      </c>
      <c r="H656" s="4">
        <v>3.6960000000000002</v>
      </c>
      <c r="I656" s="4">
        <v>5.2489999999999997</v>
      </c>
      <c r="J656" s="9">
        <v>1047.3</v>
      </c>
      <c r="K656" s="8">
        <v>70.409999999999997</v>
      </c>
      <c r="L656" s="1" t="s">
        <v>46</v>
      </c>
      <c r="M656" s="1" t="s">
        <v>47</v>
      </c>
      <c r="N656" s="1" t="s">
        <v>3926</v>
      </c>
      <c r="O656" s="1" t="s">
        <v>108</v>
      </c>
      <c r="P656" s="1" t="s">
        <v>3927</v>
      </c>
      <c r="Q656" s="4">
        <v>1.0509999999999999</v>
      </c>
      <c r="R656" s="4">
        <v>1.0449999999999999</v>
      </c>
      <c r="S656" s="6">
        <v>3.1529600000000002</v>
      </c>
      <c r="T656" s="1" t="s">
        <v>50</v>
      </c>
      <c r="U656" s="1"/>
      <c r="V656" s="1"/>
      <c r="W656" s="7">
        <v>8500000</v>
      </c>
      <c r="X656" s="1"/>
      <c r="Y656" s="7">
        <v>14875000</v>
      </c>
      <c r="Z656" s="1"/>
      <c r="AA656" s="2">
        <f ca="1">DATE(2001,11,10)</f>
        <v>0</v>
      </c>
      <c r="AB656" s="4">
        <v>10</v>
      </c>
      <c r="AC656" s="3">
        <v>180</v>
      </c>
      <c r="AD656" s="8">
        <v>1487500</v>
      </c>
      <c r="AE656" s="1" t="s">
        <v>51</v>
      </c>
      <c r="AF656" s="1" t="s">
        <v>51</v>
      </c>
      <c r="AG656" s="1" t="s">
        <v>51</v>
      </c>
      <c r="AH656" s="1" t="s">
        <v>3928</v>
      </c>
      <c r="AI656" s="1" t="s">
        <v>3929</v>
      </c>
      <c r="AJ656" s="3">
        <v>1</v>
      </c>
      <c r="AK656" s="1" t="s">
        <v>52</v>
      </c>
      <c r="AL656" s="3">
        <v>5</v>
      </c>
      <c r="AM656" s="8">
        <v>70.5</v>
      </c>
      <c r="AN656" s="1"/>
      <c r="AO656" s="1" t="s">
        <v>3930</v>
      </c>
      <c r="AP656" s="1" t="s">
        <v>160</v>
      </c>
      <c r="AQ656" s="1" t="s">
        <v>3931</v>
      </c>
      <c r="AR656" s="1" t="s">
        <v>3932</v>
      </c>
    </row>
    <row r="657">
      <c r="A657" s="1"/>
      <c r="B657" s="2">
        <f ca="1">DATE(2001,05,15)</f>
        <v>0</v>
      </c>
      <c r="C657" s="1" t="s">
        <v>3933</v>
      </c>
      <c r="D657" s="3">
        <v>7376</v>
      </c>
      <c r="E657" s="1" t="s">
        <v>1806</v>
      </c>
      <c r="F657" s="1" t="s">
        <v>3934</v>
      </c>
      <c r="G657" s="1" t="s">
        <v>45</v>
      </c>
      <c r="H657" s="4">
        <v>0.47999999999999998</v>
      </c>
      <c r="I657" s="4">
        <v>4.9429999999999996</v>
      </c>
      <c r="J657" s="5">
        <v>140.80000000000001</v>
      </c>
      <c r="K657" s="4">
        <v>9.7100000000000009</v>
      </c>
      <c r="L657" s="1" t="s">
        <v>651</v>
      </c>
      <c r="M657" s="1" t="s">
        <v>47</v>
      </c>
      <c r="N657" s="3">
        <v>804098101</v>
      </c>
      <c r="O657" s="1" t="s">
        <v>108</v>
      </c>
      <c r="P657" s="1" t="s">
        <v>3935</v>
      </c>
      <c r="Q657" s="8">
        <v>1.03</v>
      </c>
      <c r="R657" s="8">
        <v>1.03</v>
      </c>
      <c r="S657" s="6">
        <v>2.8836300000000001</v>
      </c>
      <c r="T657" s="1" t="s">
        <v>50</v>
      </c>
      <c r="U657" s="1"/>
      <c r="V657" s="1"/>
      <c r="W657" s="1"/>
      <c r="X657" s="1"/>
      <c r="Y657" s="7">
        <v>14500000</v>
      </c>
      <c r="Z657" s="1"/>
      <c r="AA657" s="2">
        <f ca="1">DATE(2001,11,11)</f>
        <v>0</v>
      </c>
      <c r="AB657" s="1"/>
      <c r="AC657" s="3">
        <v>180</v>
      </c>
      <c r="AD657" s="1"/>
      <c r="AE657" s="1" t="s">
        <v>47</v>
      </c>
      <c r="AF657" s="1" t="s">
        <v>51</v>
      </c>
      <c r="AG657" s="1" t="s">
        <v>51</v>
      </c>
      <c r="AH657" s="1"/>
      <c r="AI657" s="1"/>
      <c r="AJ657" s="3">
        <v>1</v>
      </c>
      <c r="AK657" s="1" t="s">
        <v>52</v>
      </c>
      <c r="AL657" s="3">
        <v>5</v>
      </c>
      <c r="AM657" s="8">
        <v>11.800000000000001</v>
      </c>
      <c r="AN657" s="1"/>
      <c r="AO657" s="1" t="s">
        <v>3936</v>
      </c>
      <c r="AP657" s="1" t="s">
        <v>45</v>
      </c>
      <c r="AQ657" s="1" t="s">
        <v>3937</v>
      </c>
      <c r="AR657" s="1" t="s">
        <v>3938</v>
      </c>
    </row>
    <row r="658">
      <c r="A658" s="2">
        <f ca="1">DATE(2001,03,09)</f>
        <v>0</v>
      </c>
      <c r="B658" s="2">
        <f ca="1">DATE(2001,05,17)</f>
        <v>0</v>
      </c>
      <c r="C658" s="1" t="s">
        <v>3939</v>
      </c>
      <c r="D658" s="3">
        <v>3443</v>
      </c>
      <c r="E658" s="1" t="s">
        <v>43</v>
      </c>
      <c r="F658" s="1" t="s">
        <v>3940</v>
      </c>
      <c r="G658" s="1" t="s">
        <v>3941</v>
      </c>
      <c r="H658" s="4">
        <v>1.3999999999999999</v>
      </c>
      <c r="I658" s="8">
        <v>7</v>
      </c>
      <c r="J658" s="5">
        <v>131.19999999999999</v>
      </c>
      <c r="K658" s="4">
        <v>20</v>
      </c>
      <c r="L658" s="1" t="s">
        <v>46</v>
      </c>
      <c r="M658" s="1" t="s">
        <v>47</v>
      </c>
      <c r="N658" s="1" t="s">
        <v>3942</v>
      </c>
      <c r="O658" s="1" t="s">
        <v>108</v>
      </c>
      <c r="P658" s="1" t="s">
        <v>3943</v>
      </c>
      <c r="Q658" s="4">
        <v>1.3999999999999999</v>
      </c>
      <c r="R658" s="4">
        <v>1.3999999999999999</v>
      </c>
      <c r="S658" s="8">
        <v>4.2000000000000002</v>
      </c>
      <c r="T658" s="1" t="s">
        <v>50</v>
      </c>
      <c r="U658" s="1"/>
      <c r="V658" s="1"/>
      <c r="W658" s="1"/>
      <c r="X658" s="5">
        <v>125</v>
      </c>
      <c r="Y658" s="7">
        <v>6562348</v>
      </c>
      <c r="Z658" s="1"/>
      <c r="AA658" s="1"/>
      <c r="AB658" s="1"/>
      <c r="AC658" s="1"/>
      <c r="AD658" s="1"/>
      <c r="AE658" s="1" t="s">
        <v>51</v>
      </c>
      <c r="AF658" s="1" t="s">
        <v>51</v>
      </c>
      <c r="AG658" s="1" t="s">
        <v>51</v>
      </c>
      <c r="AH658" s="1"/>
      <c r="AI658" s="1"/>
      <c r="AJ658" s="3">
        <v>2</v>
      </c>
      <c r="AK658" s="1" t="s">
        <v>89</v>
      </c>
      <c r="AL658" s="3">
        <v>4</v>
      </c>
      <c r="AM658" s="8">
        <v>31.449999999999999</v>
      </c>
      <c r="AN658" s="1"/>
      <c r="AO658" s="1" t="s">
        <v>3944</v>
      </c>
      <c r="AP658" s="1" t="s">
        <v>3945</v>
      </c>
      <c r="AQ658" s="1" t="s">
        <v>3946</v>
      </c>
      <c r="AR658" s="1" t="s">
        <v>3947</v>
      </c>
    </row>
    <row r="659">
      <c r="A659" s="2">
        <f ca="1">DATE(2001,03,09)</f>
        <v>0</v>
      </c>
      <c r="B659" s="2">
        <f ca="1">DATE(2001,05,17)</f>
        <v>0</v>
      </c>
      <c r="C659" s="1" t="s">
        <v>3939</v>
      </c>
      <c r="D659" s="3">
        <v>3443</v>
      </c>
      <c r="E659" s="1" t="s">
        <v>43</v>
      </c>
      <c r="F659" s="1" t="s">
        <v>3940</v>
      </c>
      <c r="G659" s="1" t="s">
        <v>322</v>
      </c>
      <c r="H659" s="4">
        <v>1.3999999999999999</v>
      </c>
      <c r="I659" s="8">
        <v>7</v>
      </c>
      <c r="J659" s="5">
        <v>15.800000000000001</v>
      </c>
      <c r="K659" s="8">
        <v>20</v>
      </c>
      <c r="L659" s="1" t="s">
        <v>58</v>
      </c>
      <c r="M659" s="1" t="s">
        <v>47</v>
      </c>
      <c r="N659" s="1" t="s">
        <v>3942</v>
      </c>
      <c r="O659" s="1" t="s">
        <v>108</v>
      </c>
      <c r="P659" s="1" t="s">
        <v>3948</v>
      </c>
      <c r="Q659" s="4">
        <v>1.3999999999999999</v>
      </c>
      <c r="R659" s="4">
        <v>1.3999999999999999</v>
      </c>
      <c r="S659" s="8">
        <v>4.2000000000000002</v>
      </c>
      <c r="T659" s="1" t="s">
        <v>60</v>
      </c>
      <c r="U659" s="1"/>
      <c r="V659" s="1"/>
      <c r="W659" s="1"/>
      <c r="X659" s="1"/>
      <c r="Y659" s="7">
        <v>787652</v>
      </c>
      <c r="Z659" s="1"/>
      <c r="AA659" s="1"/>
      <c r="AB659" s="1"/>
      <c r="AC659" s="1"/>
      <c r="AD659" s="1"/>
      <c r="AE659" s="1" t="s">
        <v>51</v>
      </c>
      <c r="AF659" s="1" t="s">
        <v>51</v>
      </c>
      <c r="AG659" s="1" t="s">
        <v>51</v>
      </c>
      <c r="AH659" s="1"/>
      <c r="AI659" s="1"/>
      <c r="AJ659" s="3">
        <v>2</v>
      </c>
      <c r="AK659" s="1" t="s">
        <v>89</v>
      </c>
      <c r="AL659" s="3">
        <v>2</v>
      </c>
      <c r="AM659" s="1"/>
      <c r="AN659" s="1"/>
      <c r="AO659" s="1" t="s">
        <v>3949</v>
      </c>
      <c r="AP659" s="1" t="s">
        <v>325</v>
      </c>
      <c r="AQ659" s="1" t="s">
        <v>3950</v>
      </c>
      <c r="AR659" s="1" t="s">
        <v>3951</v>
      </c>
    </row>
    <row r="660">
      <c r="A660" s="2">
        <f ca="1">DATE(2001,02,08)</f>
        <v>0</v>
      </c>
      <c r="B660" s="2">
        <f ca="1">DATE(2001,05,17)</f>
        <v>0</v>
      </c>
      <c r="C660" s="1" t="s">
        <v>3952</v>
      </c>
      <c r="D660" s="3">
        <v>6211</v>
      </c>
      <c r="E660" s="1" t="s">
        <v>43</v>
      </c>
      <c r="F660" s="1" t="s">
        <v>3953</v>
      </c>
      <c r="G660" s="1" t="s">
        <v>168</v>
      </c>
      <c r="H660" s="4">
        <v>0.92000000000000004</v>
      </c>
      <c r="I660" s="4">
        <v>6.3449999999999998</v>
      </c>
      <c r="J660" s="5">
        <v>464</v>
      </c>
      <c r="K660" s="4">
        <v>14.5</v>
      </c>
      <c r="L660" s="1" t="s">
        <v>46</v>
      </c>
      <c r="M660" s="1" t="s">
        <v>47</v>
      </c>
      <c r="N660" s="3">
        <v>457750107</v>
      </c>
      <c r="O660" s="1" t="s">
        <v>48</v>
      </c>
      <c r="P660" s="1" t="s">
        <v>3954</v>
      </c>
      <c r="Q660" s="4">
        <v>1.5169999999999999</v>
      </c>
      <c r="R660" s="4">
        <v>1.2410000000000001</v>
      </c>
      <c r="S660" s="6">
        <v>3.5862099999999999</v>
      </c>
      <c r="T660" s="1" t="s">
        <v>50</v>
      </c>
      <c r="U660" s="1"/>
      <c r="V660" s="1"/>
      <c r="W660" s="1"/>
      <c r="X660" s="5">
        <v>450</v>
      </c>
      <c r="Y660" s="7">
        <v>32000000</v>
      </c>
      <c r="Z660" s="1"/>
      <c r="AA660" s="1"/>
      <c r="AB660" s="1"/>
      <c r="AC660" s="1"/>
      <c r="AD660" s="1"/>
      <c r="AE660" s="1" t="s">
        <v>51</v>
      </c>
      <c r="AF660" s="1" t="s">
        <v>51</v>
      </c>
      <c r="AG660" s="1" t="s">
        <v>51</v>
      </c>
      <c r="AH660" s="1" t="s">
        <v>3955</v>
      </c>
      <c r="AI660" s="1" t="s">
        <v>3956</v>
      </c>
      <c r="AJ660" s="3">
        <v>1</v>
      </c>
      <c r="AK660" s="1" t="s">
        <v>89</v>
      </c>
      <c r="AL660" s="3">
        <v>7</v>
      </c>
      <c r="AM660" s="8">
        <v>17.649999999999999</v>
      </c>
      <c r="AN660" s="1"/>
      <c r="AO660" s="1" t="s">
        <v>3957</v>
      </c>
      <c r="AP660" s="1" t="s">
        <v>3579</v>
      </c>
      <c r="AQ660" s="1" t="s">
        <v>3958</v>
      </c>
      <c r="AR660" s="1" t="s">
        <v>3959</v>
      </c>
    </row>
    <row r="661">
      <c r="A661" s="2">
        <f ca="1">DATE(2000,09,22)</f>
        <v>0</v>
      </c>
      <c r="B661" s="2">
        <f ca="1">DATE(2001,05,17)</f>
        <v>0</v>
      </c>
      <c r="C661" s="1" t="s">
        <v>3960</v>
      </c>
      <c r="D661" s="3">
        <v>3661</v>
      </c>
      <c r="E661" s="1" t="s">
        <v>43</v>
      </c>
      <c r="F661" s="1" t="s">
        <v>3961</v>
      </c>
      <c r="G661" s="1" t="s">
        <v>796</v>
      </c>
      <c r="H661" s="4">
        <v>1.05</v>
      </c>
      <c r="I661" s="4">
        <v>7</v>
      </c>
      <c r="J661" s="5">
        <v>135</v>
      </c>
      <c r="K661" s="4">
        <v>15</v>
      </c>
      <c r="L661" s="1" t="s">
        <v>46</v>
      </c>
      <c r="M661" s="1" t="s">
        <v>47</v>
      </c>
      <c r="N661" s="1" t="s">
        <v>3962</v>
      </c>
      <c r="O661" s="1" t="s">
        <v>48</v>
      </c>
      <c r="P661" s="1" t="s">
        <v>3963</v>
      </c>
      <c r="Q661" s="4">
        <v>1.3999999999999999</v>
      </c>
      <c r="R661" s="4">
        <v>1.3999999999999999</v>
      </c>
      <c r="S661" s="8">
        <v>4.2000000000000002</v>
      </c>
      <c r="T661" s="1" t="s">
        <v>50</v>
      </c>
      <c r="U661" s="1"/>
      <c r="V661" s="1"/>
      <c r="W661" s="1"/>
      <c r="X661" s="5">
        <v>250</v>
      </c>
      <c r="Y661" s="7">
        <v>9000000</v>
      </c>
      <c r="Z661" s="1"/>
      <c r="AA661" s="1" t="s">
        <v>3964</v>
      </c>
      <c r="AB661" s="1" t="s">
        <v>3965</v>
      </c>
      <c r="AC661" s="1" t="s">
        <v>3966</v>
      </c>
      <c r="AD661" s="1" t="s">
        <v>3967</v>
      </c>
      <c r="AE661" s="1" t="s">
        <v>51</v>
      </c>
      <c r="AF661" s="1" t="s">
        <v>51</v>
      </c>
      <c r="AG661" s="1" t="s">
        <v>47</v>
      </c>
      <c r="AH661" s="1"/>
      <c r="AI661" s="1"/>
      <c r="AJ661" s="3">
        <v>1</v>
      </c>
      <c r="AK661" s="1" t="s">
        <v>89</v>
      </c>
      <c r="AL661" s="3">
        <v>5</v>
      </c>
      <c r="AM661" s="8">
        <v>20.699999999999999</v>
      </c>
      <c r="AN661" s="1"/>
      <c r="AO661" s="1" t="s">
        <v>3968</v>
      </c>
      <c r="AP661" s="1" t="s">
        <v>3969</v>
      </c>
      <c r="AQ661" s="1" t="s">
        <v>3970</v>
      </c>
      <c r="AR661" s="1" t="s">
        <v>3971</v>
      </c>
    </row>
    <row r="662">
      <c r="A662" s="2">
        <f ca="1">DATE(2001,04,30)</f>
        <v>0</v>
      </c>
      <c r="B662" s="2">
        <f ca="1">DATE(2001,05,18)</f>
        <v>0</v>
      </c>
      <c r="C662" s="1" t="s">
        <v>3972</v>
      </c>
      <c r="D662" s="3">
        <v>3317</v>
      </c>
      <c r="E662" s="1" t="s">
        <v>210</v>
      </c>
      <c r="F662" s="1" t="s">
        <v>3973</v>
      </c>
      <c r="G662" s="1" t="s">
        <v>400</v>
      </c>
      <c r="H662" s="4">
        <v>0.67000000000000004</v>
      </c>
      <c r="I662" s="4">
        <v>3.508</v>
      </c>
      <c r="J662" s="5">
        <v>36.299999999999997</v>
      </c>
      <c r="K662" s="4">
        <v>19.100000000000001</v>
      </c>
      <c r="L662" s="1" t="s">
        <v>651</v>
      </c>
      <c r="M662" s="1" t="s">
        <v>47</v>
      </c>
      <c r="N662" s="3">
        <v>825863103</v>
      </c>
      <c r="O662" s="1" t="s">
        <v>108</v>
      </c>
      <c r="P662" s="1" t="s">
        <v>3974</v>
      </c>
      <c r="Q662" s="4">
        <v>0.73299999999999998</v>
      </c>
      <c r="R662" s="4">
        <v>0.73299999999999998</v>
      </c>
      <c r="S662" s="6">
        <v>2.0418799999999999</v>
      </c>
      <c r="T662" s="1" t="s">
        <v>50</v>
      </c>
      <c r="U662" s="8">
        <v>2.1299999999999999</v>
      </c>
      <c r="V662" s="8">
        <v>2.1299999999999999</v>
      </c>
      <c r="W662" s="7">
        <v>1800000</v>
      </c>
      <c r="X662" s="5">
        <v>3.7999999999999998</v>
      </c>
      <c r="Y662" s="1"/>
      <c r="Z662" s="7">
        <v>1900000</v>
      </c>
      <c r="AA662" s="2">
        <f ca="1">DATE(2001,08,16)</f>
        <v>0</v>
      </c>
      <c r="AB662" s="1"/>
      <c r="AC662" s="3">
        <v>90</v>
      </c>
      <c r="AD662" s="1"/>
      <c r="AE662" s="1" t="s">
        <v>47</v>
      </c>
      <c r="AF662" s="1" t="s">
        <v>51</v>
      </c>
      <c r="AG662" s="1" t="s">
        <v>51</v>
      </c>
      <c r="AH662" s="1"/>
      <c r="AI662" s="1"/>
      <c r="AJ662" s="3">
        <v>1</v>
      </c>
      <c r="AK662" s="1" t="s">
        <v>52</v>
      </c>
      <c r="AL662" s="3">
        <v>1</v>
      </c>
      <c r="AM662" s="8">
        <v>19.100000000000001</v>
      </c>
      <c r="AN662" s="1"/>
      <c r="AO662" s="1" t="s">
        <v>3975</v>
      </c>
      <c r="AP662" s="1" t="s">
        <v>400</v>
      </c>
      <c r="AQ662" s="1" t="s">
        <v>400</v>
      </c>
      <c r="AR662" s="1" t="s">
        <v>3976</v>
      </c>
    </row>
    <row r="663">
      <c r="A663" s="2">
        <f ca="1">DATE(2001,02,12)</f>
        <v>0</v>
      </c>
      <c r="B663" s="2">
        <f ca="1">DATE(2001,05,21)</f>
        <v>0</v>
      </c>
      <c r="C663" s="1" t="s">
        <v>3977</v>
      </c>
      <c r="D663" s="3">
        <v>1241</v>
      </c>
      <c r="E663" s="1" t="s">
        <v>43</v>
      </c>
      <c r="F663" s="1" t="s">
        <v>3978</v>
      </c>
      <c r="G663" s="1" t="s">
        <v>813</v>
      </c>
      <c r="H663" s="4">
        <v>1.575</v>
      </c>
      <c r="I663" s="4">
        <v>5.625</v>
      </c>
      <c r="J663" s="5">
        <v>336</v>
      </c>
      <c r="K663" s="4">
        <v>28</v>
      </c>
      <c r="L663" s="1" t="s">
        <v>46</v>
      </c>
      <c r="M663" s="1" t="s">
        <v>47</v>
      </c>
      <c r="N663" s="3">
        <v>704556109</v>
      </c>
      <c r="O663" s="1" t="s">
        <v>108</v>
      </c>
      <c r="P663" s="1" t="s">
        <v>3979</v>
      </c>
      <c r="Q663" s="4">
        <v>1.125</v>
      </c>
      <c r="R663" s="4">
        <v>0.85699999999999998</v>
      </c>
      <c r="S663" s="6">
        <v>3.6428600000000002</v>
      </c>
      <c r="T663" s="1" t="s">
        <v>50</v>
      </c>
      <c r="U663" s="1"/>
      <c r="V663" s="1"/>
      <c r="W663" s="1"/>
      <c r="X663" s="1"/>
      <c r="Y663" s="7">
        <v>12000000</v>
      </c>
      <c r="Z663" s="1"/>
      <c r="AA663" s="1"/>
      <c r="AB663" s="1"/>
      <c r="AC663" s="1"/>
      <c r="AD663" s="1"/>
      <c r="AE663" s="1" t="s">
        <v>51</v>
      </c>
      <c r="AF663" s="1" t="s">
        <v>51</v>
      </c>
      <c r="AG663" s="1" t="s">
        <v>51</v>
      </c>
      <c r="AH663" s="1"/>
      <c r="AI663" s="1" t="s">
        <v>3980</v>
      </c>
      <c r="AJ663" s="3">
        <v>1</v>
      </c>
      <c r="AK663" s="1" t="s">
        <v>52</v>
      </c>
      <c r="AL663" s="3">
        <v>6</v>
      </c>
      <c r="AM663" s="8">
        <v>36.75</v>
      </c>
      <c r="AN663" s="1"/>
      <c r="AO663" s="1" t="s">
        <v>3981</v>
      </c>
      <c r="AP663" s="1" t="s">
        <v>813</v>
      </c>
      <c r="AQ663" s="1" t="s">
        <v>3982</v>
      </c>
      <c r="AR663" s="1" t="s">
        <v>3983</v>
      </c>
    </row>
    <row r="664">
      <c r="A664" s="2">
        <f ca="1">DATE(2001,02,12)</f>
        <v>0</v>
      </c>
      <c r="B664" s="2">
        <f ca="1">DATE(2001,05,21)</f>
        <v>0</v>
      </c>
      <c r="C664" s="1" t="s">
        <v>3977</v>
      </c>
      <c r="D664" s="3">
        <v>1241</v>
      </c>
      <c r="E664" s="1" t="s">
        <v>43</v>
      </c>
      <c r="F664" s="1" t="s">
        <v>3978</v>
      </c>
      <c r="G664" s="1" t="s">
        <v>813</v>
      </c>
      <c r="H664" s="4">
        <v>1.575</v>
      </c>
      <c r="I664" s="4">
        <v>5.625</v>
      </c>
      <c r="J664" s="5">
        <v>84</v>
      </c>
      <c r="K664" s="8">
        <v>28</v>
      </c>
      <c r="L664" s="1" t="s">
        <v>58</v>
      </c>
      <c r="M664" s="1" t="s">
        <v>47</v>
      </c>
      <c r="N664" s="3">
        <v>704556109</v>
      </c>
      <c r="O664" s="1" t="s">
        <v>108</v>
      </c>
      <c r="P664" s="1" t="s">
        <v>3984</v>
      </c>
      <c r="Q664" s="4">
        <v>1.125</v>
      </c>
      <c r="R664" s="4">
        <v>0.85699999999999998</v>
      </c>
      <c r="S664" s="6">
        <v>3.64289</v>
      </c>
      <c r="T664" s="1" t="s">
        <v>60</v>
      </c>
      <c r="U664" s="1"/>
      <c r="V664" s="1"/>
      <c r="W664" s="1"/>
      <c r="X664" s="1"/>
      <c r="Y664" s="7">
        <v>3000000</v>
      </c>
      <c r="Z664" s="1"/>
      <c r="AA664" s="1"/>
      <c r="AB664" s="1"/>
      <c r="AC664" s="1"/>
      <c r="AD664" s="1"/>
      <c r="AE664" s="1" t="s">
        <v>51</v>
      </c>
      <c r="AF664" s="1" t="s">
        <v>51</v>
      </c>
      <c r="AG664" s="1" t="s">
        <v>51</v>
      </c>
      <c r="AH664" s="1"/>
      <c r="AI664" s="1" t="s">
        <v>3980</v>
      </c>
      <c r="AJ664" s="3">
        <v>1</v>
      </c>
      <c r="AK664" s="1" t="s">
        <v>3985</v>
      </c>
      <c r="AL664" s="3">
        <v>6</v>
      </c>
      <c r="AM664" s="1"/>
      <c r="AN664" s="1"/>
      <c r="AO664" s="1" t="s">
        <v>3986</v>
      </c>
      <c r="AP664" s="1" t="s">
        <v>3987</v>
      </c>
      <c r="AQ664" s="1" t="s">
        <v>3988</v>
      </c>
      <c r="AR664" s="1" t="s">
        <v>3989</v>
      </c>
    </row>
    <row r="665">
      <c r="A665" s="2">
        <f ca="1">DATE(2001,03,23)</f>
        <v>0</v>
      </c>
      <c r="B665" s="2">
        <f ca="1">DATE(2001,05,22)</f>
        <v>0</v>
      </c>
      <c r="C665" s="1" t="s">
        <v>3990</v>
      </c>
      <c r="D665" s="3">
        <v>5812</v>
      </c>
      <c r="E665" s="1" t="s">
        <v>43</v>
      </c>
      <c r="F665" s="1" t="s">
        <v>3991</v>
      </c>
      <c r="G665" s="1" t="s">
        <v>2896</v>
      </c>
      <c r="H665" s="4">
        <v>0.59999999999999998</v>
      </c>
      <c r="I665" s="4">
        <v>7.0590000000000002</v>
      </c>
      <c r="J665" s="5">
        <v>45</v>
      </c>
      <c r="K665" s="4">
        <v>8.5</v>
      </c>
      <c r="L665" s="1" t="s">
        <v>46</v>
      </c>
      <c r="M665" s="1" t="s">
        <v>47</v>
      </c>
      <c r="N665" s="3">
        <v>831758107</v>
      </c>
      <c r="O665" s="1" t="s">
        <v>48</v>
      </c>
      <c r="P665" s="1" t="s">
        <v>3992</v>
      </c>
      <c r="Q665" s="4">
        <v>1.4119999999999999</v>
      </c>
      <c r="R665" s="4">
        <v>1.4119999999999999</v>
      </c>
      <c r="S665" s="6">
        <v>4.23529</v>
      </c>
      <c r="T665" s="1" t="s">
        <v>50</v>
      </c>
      <c r="U665" s="8">
        <v>11.5</v>
      </c>
      <c r="V665" s="8">
        <v>8.5</v>
      </c>
      <c r="W665" s="7">
        <v>5000000</v>
      </c>
      <c r="X665" s="5">
        <v>50</v>
      </c>
      <c r="Y665" s="7">
        <v>4750000</v>
      </c>
      <c r="Z665" s="7">
        <v>545972</v>
      </c>
      <c r="AA665" s="2">
        <f ca="1">DATE(2001,11,18)</f>
        <v>0</v>
      </c>
      <c r="AB665" s="4">
        <v>44.948</v>
      </c>
      <c r="AC665" s="3">
        <v>180</v>
      </c>
      <c r="AD665" s="8">
        <v>4172235</v>
      </c>
      <c r="AE665" s="1" t="s">
        <v>51</v>
      </c>
      <c r="AF665" s="1" t="s">
        <v>51</v>
      </c>
      <c r="AG665" s="1" t="s">
        <v>47</v>
      </c>
      <c r="AH665" s="1"/>
      <c r="AI665" s="1"/>
      <c r="AJ665" s="3">
        <v>1</v>
      </c>
      <c r="AK665" s="1" t="s">
        <v>52</v>
      </c>
      <c r="AL665" s="3">
        <v>3</v>
      </c>
      <c r="AM665" s="8">
        <v>7.7699999999999996</v>
      </c>
      <c r="AN665" s="1"/>
      <c r="AO665" s="1" t="s">
        <v>3993</v>
      </c>
      <c r="AP665" s="1" t="s">
        <v>2896</v>
      </c>
      <c r="AQ665" s="1" t="s">
        <v>3994</v>
      </c>
      <c r="AR665" s="1" t="s">
        <v>3995</v>
      </c>
    </row>
    <row r="666">
      <c r="A666" s="2">
        <f ca="1">DATE(2000,06,22)</f>
        <v>0</v>
      </c>
      <c r="B666" s="2">
        <f ca="1">DATE(2001,05,24)</f>
        <v>0</v>
      </c>
      <c r="C666" s="1" t="s">
        <v>3996</v>
      </c>
      <c r="D666" s="3">
        <v>6726</v>
      </c>
      <c r="E666" s="1" t="s">
        <v>43</v>
      </c>
      <c r="F666" s="1" t="s">
        <v>3997</v>
      </c>
      <c r="G666" s="1" t="s">
        <v>204</v>
      </c>
      <c r="H666" s="4">
        <v>0.67500000000000004</v>
      </c>
      <c r="I666" s="4">
        <v>4.5</v>
      </c>
      <c r="J666" s="5">
        <v>330</v>
      </c>
      <c r="K666" s="4">
        <v>15</v>
      </c>
      <c r="L666" s="1" t="s">
        <v>46</v>
      </c>
      <c r="M666" s="1" t="s">
        <v>47</v>
      </c>
      <c r="N666" s="1" t="s">
        <v>3998</v>
      </c>
      <c r="O666" s="1" t="s">
        <v>108</v>
      </c>
      <c r="P666" s="1" t="s">
        <v>3999</v>
      </c>
      <c r="Q666" s="1" t="s">
        <v>145</v>
      </c>
      <c r="R666" s="1" t="s">
        <v>145</v>
      </c>
      <c r="S666" s="1"/>
      <c r="T666" s="1" t="s">
        <v>50</v>
      </c>
      <c r="U666" s="8">
        <v>15</v>
      </c>
      <c r="V666" s="8">
        <v>15</v>
      </c>
      <c r="W666" s="7">
        <v>66666</v>
      </c>
      <c r="X666" s="5">
        <v>1</v>
      </c>
      <c r="Y666" s="7">
        <v>22000000</v>
      </c>
      <c r="Z666" s="1"/>
      <c r="AA666" s="1"/>
      <c r="AB666" s="1"/>
      <c r="AC666" s="1"/>
      <c r="AD666" s="1"/>
      <c r="AE666" s="1" t="s">
        <v>51</v>
      </c>
      <c r="AF666" s="1" t="s">
        <v>51</v>
      </c>
      <c r="AG666" s="1" t="s">
        <v>51</v>
      </c>
      <c r="AH666" s="1"/>
      <c r="AI666" s="1"/>
      <c r="AJ666" s="3">
        <v>1</v>
      </c>
      <c r="AK666" s="1" t="s">
        <v>52</v>
      </c>
      <c r="AL666" s="3">
        <v>6</v>
      </c>
      <c r="AM666" s="8">
        <v>15</v>
      </c>
      <c r="AN666" s="1"/>
      <c r="AO666" s="1" t="s">
        <v>4000</v>
      </c>
      <c r="AP666" s="1" t="s">
        <v>204</v>
      </c>
      <c r="AQ666" s="1" t="s">
        <v>4001</v>
      </c>
      <c r="AR666" s="1" t="s">
        <v>4002</v>
      </c>
    </row>
    <row r="667">
      <c r="A667" s="2">
        <f ca="1">DATE(2001,05,03)</f>
        <v>0</v>
      </c>
      <c r="B667" s="2">
        <f ca="1">DATE(2001,06,05)</f>
        <v>0</v>
      </c>
      <c r="C667" s="1" t="s">
        <v>4003</v>
      </c>
      <c r="D667" s="3">
        <v>8071</v>
      </c>
      <c r="E667" s="1" t="s">
        <v>43</v>
      </c>
      <c r="F667" s="1" t="s">
        <v>4004</v>
      </c>
      <c r="G667" s="1" t="s">
        <v>3941</v>
      </c>
      <c r="H667" s="4">
        <v>1.1200000000000001</v>
      </c>
      <c r="I667" s="4">
        <v>7</v>
      </c>
      <c r="J667" s="5">
        <v>99.900000000000006</v>
      </c>
      <c r="K667" s="4">
        <v>16</v>
      </c>
      <c r="L667" s="1" t="s">
        <v>46</v>
      </c>
      <c r="M667" s="1" t="s">
        <v>47</v>
      </c>
      <c r="N667" s="3">
        <v>904763109</v>
      </c>
      <c r="O667" s="1" t="s">
        <v>48</v>
      </c>
      <c r="P667" s="1" t="s">
        <v>4005</v>
      </c>
      <c r="Q667" s="4">
        <v>1.4059999999999999</v>
      </c>
      <c r="R667" s="4">
        <v>1.4059999999999999</v>
      </c>
      <c r="S667" s="10">
        <v>4.1875</v>
      </c>
      <c r="T667" s="1" t="s">
        <v>50</v>
      </c>
      <c r="U667" s="1"/>
      <c r="V667" s="1"/>
      <c r="W667" s="1"/>
      <c r="X667" s="5">
        <v>115</v>
      </c>
      <c r="Y667" s="7">
        <v>3293415</v>
      </c>
      <c r="Z667" s="7">
        <v>2951802</v>
      </c>
      <c r="AA667" s="1"/>
      <c r="AB667" s="1"/>
      <c r="AC667" s="1"/>
      <c r="AD667" s="1"/>
      <c r="AE667" s="1" t="s">
        <v>51</v>
      </c>
      <c r="AF667" s="1" t="s">
        <v>51</v>
      </c>
      <c r="AG667" s="1" t="s">
        <v>51</v>
      </c>
      <c r="AH667" s="1"/>
      <c r="AI667" s="1"/>
      <c r="AJ667" s="3">
        <v>2</v>
      </c>
      <c r="AK667" s="1" t="s">
        <v>89</v>
      </c>
      <c r="AL667" s="3">
        <v>3</v>
      </c>
      <c r="AM667" s="8">
        <v>23</v>
      </c>
      <c r="AN667" s="1"/>
      <c r="AO667" s="1" t="s">
        <v>4006</v>
      </c>
      <c r="AP667" s="1" t="s">
        <v>3945</v>
      </c>
      <c r="AQ667" s="1" t="s">
        <v>4007</v>
      </c>
      <c r="AR667" s="1" t="s">
        <v>4008</v>
      </c>
    </row>
    <row r="668">
      <c r="A668" s="2">
        <f ca="1">DATE(2001,05,03)</f>
        <v>0</v>
      </c>
      <c r="B668" s="2">
        <f ca="1">DATE(2001,06,05)</f>
        <v>0</v>
      </c>
      <c r="C668" s="1" t="s">
        <v>4003</v>
      </c>
      <c r="D668" s="3">
        <v>8071</v>
      </c>
      <c r="E668" s="1" t="s">
        <v>43</v>
      </c>
      <c r="F668" s="1" t="s">
        <v>4004</v>
      </c>
      <c r="G668" s="1" t="s">
        <v>322</v>
      </c>
      <c r="H668" s="4">
        <v>1.1200000000000001</v>
      </c>
      <c r="I668" s="4">
        <v>7</v>
      </c>
      <c r="J668" s="5">
        <v>7.2999999999999998</v>
      </c>
      <c r="K668" s="8">
        <v>16</v>
      </c>
      <c r="L668" s="1" t="s">
        <v>58</v>
      </c>
      <c r="M668" s="1" t="s">
        <v>47</v>
      </c>
      <c r="N668" s="3">
        <v>904763109</v>
      </c>
      <c r="O668" s="1" t="s">
        <v>48</v>
      </c>
      <c r="P668" s="1" t="s">
        <v>4009</v>
      </c>
      <c r="Q668" s="4">
        <v>1.4059999999999999</v>
      </c>
      <c r="R668" s="4">
        <v>1.4059999999999999</v>
      </c>
      <c r="S668" s="10">
        <v>4.1875</v>
      </c>
      <c r="T668" s="1" t="s">
        <v>60</v>
      </c>
      <c r="U668" s="1"/>
      <c r="V668" s="1"/>
      <c r="W668" s="1"/>
      <c r="X668" s="1"/>
      <c r="Y668" s="7">
        <v>206585</v>
      </c>
      <c r="Z668" s="7">
        <v>248198</v>
      </c>
      <c r="AA668" s="1"/>
      <c r="AB668" s="1"/>
      <c r="AC668" s="1"/>
      <c r="AD668" s="1"/>
      <c r="AE668" s="1" t="s">
        <v>51</v>
      </c>
      <c r="AF668" s="1" t="s">
        <v>51</v>
      </c>
      <c r="AG668" s="1" t="s">
        <v>51</v>
      </c>
      <c r="AH668" s="1"/>
      <c r="AI668" s="1"/>
      <c r="AJ668" s="3">
        <v>2</v>
      </c>
      <c r="AK668" s="1" t="s">
        <v>89</v>
      </c>
      <c r="AL668" s="3">
        <v>2</v>
      </c>
      <c r="AM668" s="1"/>
      <c r="AN668" s="1"/>
      <c r="AO668" s="1" t="s">
        <v>4010</v>
      </c>
      <c r="AP668" s="1" t="s">
        <v>325</v>
      </c>
      <c r="AQ668" s="1" t="s">
        <v>3950</v>
      </c>
      <c r="AR668" s="1" t="s">
        <v>3951</v>
      </c>
    </row>
    <row r="669">
      <c r="A669" s="2">
        <f ca="1">DATE(2000,01,13)</f>
        <v>0</v>
      </c>
      <c r="B669" s="2">
        <f ca="1">DATE(2001,06,07)</f>
        <v>0</v>
      </c>
      <c r="C669" s="1" t="s">
        <v>4011</v>
      </c>
      <c r="D669" s="3">
        <v>8742</v>
      </c>
      <c r="E669" s="1" t="s">
        <v>43</v>
      </c>
      <c r="F669" s="1" t="s">
        <v>651</v>
      </c>
      <c r="G669" s="1" t="s">
        <v>411</v>
      </c>
      <c r="H669" s="4">
        <v>0.83999999999999997</v>
      </c>
      <c r="I669" s="8">
        <v>7</v>
      </c>
      <c r="J669" s="5">
        <v>156</v>
      </c>
      <c r="K669" s="4">
        <v>12</v>
      </c>
      <c r="L669" s="1" t="s">
        <v>46</v>
      </c>
      <c r="M669" s="1" t="s">
        <v>47</v>
      </c>
      <c r="N669" s="1" t="s">
        <v>4012</v>
      </c>
      <c r="O669" s="1" t="s">
        <v>108</v>
      </c>
      <c r="P669" s="1" t="s">
        <v>4013</v>
      </c>
      <c r="Q669" s="4">
        <v>1.417</v>
      </c>
      <c r="R669" s="4">
        <v>1.417</v>
      </c>
      <c r="S669" s="6">
        <v>4.1666699999999999</v>
      </c>
      <c r="T669" s="1" t="s">
        <v>50</v>
      </c>
      <c r="U669" s="1"/>
      <c r="V669" s="1"/>
      <c r="W669" s="1"/>
      <c r="X669" s="5">
        <v>300</v>
      </c>
      <c r="Y669" s="7">
        <v>13000000</v>
      </c>
      <c r="Z669" s="1"/>
      <c r="AA669" s="2">
        <f ca="1">DATE(2001,12,04)</f>
        <v>0</v>
      </c>
      <c r="AB669" s="4">
        <v>85.421999999999997</v>
      </c>
      <c r="AC669" s="3">
        <v>180</v>
      </c>
      <c r="AD669" s="8">
        <v>61385702</v>
      </c>
      <c r="AE669" s="1" t="s">
        <v>51</v>
      </c>
      <c r="AF669" s="1" t="s">
        <v>51</v>
      </c>
      <c r="AG669" s="1" t="s">
        <v>51</v>
      </c>
      <c r="AH669" s="1"/>
      <c r="AI669" s="1"/>
      <c r="AJ669" s="3">
        <v>1</v>
      </c>
      <c r="AK669" s="1" t="s">
        <v>89</v>
      </c>
      <c r="AL669" s="3">
        <v>3</v>
      </c>
      <c r="AM669" s="8">
        <v>14</v>
      </c>
      <c r="AN669" s="1"/>
      <c r="AO669" s="1" t="s">
        <v>4014</v>
      </c>
      <c r="AP669" s="1" t="s">
        <v>4015</v>
      </c>
      <c r="AQ669" s="1" t="s">
        <v>4016</v>
      </c>
      <c r="AR669" s="1" t="s">
        <v>4017</v>
      </c>
    </row>
    <row r="670">
      <c r="A670" s="2">
        <f ca="1">DATE(2001,01,22)</f>
        <v>0</v>
      </c>
      <c r="B670" s="2">
        <f ca="1">DATE(2001,06,07)</f>
        <v>0</v>
      </c>
      <c r="C670" s="1" t="s">
        <v>4018</v>
      </c>
      <c r="D670" s="3">
        <v>1389</v>
      </c>
      <c r="E670" s="1" t="s">
        <v>43</v>
      </c>
      <c r="F670" s="1" t="s">
        <v>4019</v>
      </c>
      <c r="G670" s="1" t="s">
        <v>1583</v>
      </c>
      <c r="H670" s="4">
        <v>1.1200000000000001</v>
      </c>
      <c r="I670" s="4">
        <v>7</v>
      </c>
      <c r="J670" s="5">
        <v>70.400000000000006</v>
      </c>
      <c r="K670" s="4">
        <v>16</v>
      </c>
      <c r="L670" s="1" t="s">
        <v>46</v>
      </c>
      <c r="M670" s="1" t="s">
        <v>47</v>
      </c>
      <c r="N670" s="3">
        <v>891019101</v>
      </c>
      <c r="O670" s="1" t="s">
        <v>48</v>
      </c>
      <c r="P670" s="1" t="s">
        <v>4020</v>
      </c>
      <c r="Q670" s="4">
        <v>1.4379999999999999</v>
      </c>
      <c r="R670" s="4">
        <v>1.4379999999999999</v>
      </c>
      <c r="S670" s="4">
        <v>4.125</v>
      </c>
      <c r="T670" s="1" t="s">
        <v>50</v>
      </c>
      <c r="U670" s="1"/>
      <c r="V670" s="1"/>
      <c r="W670" s="1"/>
      <c r="X670" s="5">
        <v>86.299999999999997</v>
      </c>
      <c r="Y670" s="7">
        <v>4400000</v>
      </c>
      <c r="Z670" s="1"/>
      <c r="AA670" s="1"/>
      <c r="AB670" s="1"/>
      <c r="AC670" s="1"/>
      <c r="AD670" s="1"/>
      <c r="AE670" s="1" t="s">
        <v>51</v>
      </c>
      <c r="AF670" s="1" t="s">
        <v>51</v>
      </c>
      <c r="AG670" s="1" t="s">
        <v>47</v>
      </c>
      <c r="AH670" s="1"/>
      <c r="AI670" s="1"/>
      <c r="AJ670" s="3">
        <v>1</v>
      </c>
      <c r="AK670" s="1" t="s">
        <v>52</v>
      </c>
      <c r="AL670" s="3">
        <v>3</v>
      </c>
      <c r="AM670" s="8">
        <v>16.059999999999999</v>
      </c>
      <c r="AN670" s="1"/>
      <c r="AO670" s="1" t="s">
        <v>4021</v>
      </c>
      <c r="AP670" s="1" t="s">
        <v>1583</v>
      </c>
      <c r="AQ670" s="1" t="s">
        <v>4022</v>
      </c>
      <c r="AR670" s="1" t="s">
        <v>4023</v>
      </c>
    </row>
    <row r="671">
      <c r="A671" s="2">
        <f ca="1">DATE(2001,01,22)</f>
        <v>0</v>
      </c>
      <c r="B671" s="2">
        <f ca="1">DATE(2001,06,07)</f>
        <v>0</v>
      </c>
      <c r="C671" s="1" t="s">
        <v>4018</v>
      </c>
      <c r="D671" s="3">
        <v>1389</v>
      </c>
      <c r="E671" s="1" t="s">
        <v>43</v>
      </c>
      <c r="F671" s="1" t="s">
        <v>4019</v>
      </c>
      <c r="G671" s="1" t="s">
        <v>1844</v>
      </c>
      <c r="H671" s="4">
        <v>1.1200000000000001</v>
      </c>
      <c r="I671" s="4">
        <v>7</v>
      </c>
      <c r="J671" s="5">
        <v>9.5999999999999996</v>
      </c>
      <c r="K671" s="8">
        <v>16</v>
      </c>
      <c r="L671" s="1" t="s">
        <v>58</v>
      </c>
      <c r="M671" s="1" t="s">
        <v>47</v>
      </c>
      <c r="N671" s="3">
        <v>891019101</v>
      </c>
      <c r="O671" s="1" t="s">
        <v>48</v>
      </c>
      <c r="P671" s="1" t="s">
        <v>4024</v>
      </c>
      <c r="Q671" s="4">
        <v>1.4379999999999999</v>
      </c>
      <c r="R671" s="4">
        <v>1.4379999999999999</v>
      </c>
      <c r="S671" s="4">
        <v>4.125</v>
      </c>
      <c r="T671" s="1" t="s">
        <v>60</v>
      </c>
      <c r="U671" s="1"/>
      <c r="V671" s="1"/>
      <c r="W671" s="1"/>
      <c r="X671" s="1"/>
      <c r="Y671" s="7">
        <v>600000</v>
      </c>
      <c r="Z671" s="1"/>
      <c r="AA671" s="1"/>
      <c r="AB671" s="1"/>
      <c r="AC671" s="1"/>
      <c r="AD671" s="1"/>
      <c r="AE671" s="1" t="s">
        <v>51</v>
      </c>
      <c r="AF671" s="1" t="s">
        <v>51</v>
      </c>
      <c r="AG671" s="1" t="s">
        <v>47</v>
      </c>
      <c r="AH671" s="1"/>
      <c r="AI671" s="1"/>
      <c r="AJ671" s="3">
        <v>1</v>
      </c>
      <c r="AK671" s="1" t="s">
        <v>52</v>
      </c>
      <c r="AL671" s="3">
        <v>1</v>
      </c>
      <c r="AM671" s="1"/>
      <c r="AN671" s="1"/>
      <c r="AO671" s="1" t="s">
        <v>4025</v>
      </c>
      <c r="AP671" s="1" t="s">
        <v>1844</v>
      </c>
      <c r="AQ671" s="1" t="s">
        <v>1844</v>
      </c>
      <c r="AR671" s="1" t="s">
        <v>1847</v>
      </c>
    </row>
    <row r="672">
      <c r="A672" s="2">
        <f ca="1">DATE(2001,02,12)</f>
        <v>0</v>
      </c>
      <c r="B672" s="2">
        <f ca="1">DATE(2001,06,07)</f>
        <v>0</v>
      </c>
      <c r="C672" s="1" t="s">
        <v>4026</v>
      </c>
      <c r="D672" s="3">
        <v>8062</v>
      </c>
      <c r="E672" s="1" t="s">
        <v>43</v>
      </c>
      <c r="F672" s="1" t="s">
        <v>4027</v>
      </c>
      <c r="G672" s="1" t="s">
        <v>168</v>
      </c>
      <c r="H672" s="4">
        <v>0.97999999999999998</v>
      </c>
      <c r="I672" s="8">
        <v>7</v>
      </c>
      <c r="J672" s="5">
        <v>116.7</v>
      </c>
      <c r="K672" s="4">
        <v>14</v>
      </c>
      <c r="L672" s="1" t="s">
        <v>46</v>
      </c>
      <c r="M672" s="1" t="s">
        <v>47</v>
      </c>
      <c r="N672" s="3">
        <v>913016309</v>
      </c>
      <c r="O672" s="1" t="s">
        <v>48</v>
      </c>
      <c r="P672" s="1" t="s">
        <v>4028</v>
      </c>
      <c r="Q672" s="4">
        <v>1.3999999999999999</v>
      </c>
      <c r="R672" s="4">
        <v>1.3999999999999999</v>
      </c>
      <c r="S672" s="8">
        <v>4.2000000000000002</v>
      </c>
      <c r="T672" s="1" t="s">
        <v>50</v>
      </c>
      <c r="U672" s="1"/>
      <c r="V672" s="1"/>
      <c r="W672" s="1"/>
      <c r="X672" s="5">
        <v>138</v>
      </c>
      <c r="Y672" s="7">
        <v>8334348</v>
      </c>
      <c r="Z672" s="1"/>
      <c r="AA672" s="1"/>
      <c r="AB672" s="1"/>
      <c r="AC672" s="1"/>
      <c r="AD672" s="1"/>
      <c r="AE672" s="1" t="s">
        <v>51</v>
      </c>
      <c r="AF672" s="1" t="s">
        <v>51</v>
      </c>
      <c r="AG672" s="1" t="s">
        <v>47</v>
      </c>
      <c r="AH672" s="1"/>
      <c r="AI672" s="1"/>
      <c r="AJ672" s="3">
        <v>1</v>
      </c>
      <c r="AK672" s="1" t="s">
        <v>52</v>
      </c>
      <c r="AL672" s="3">
        <v>3</v>
      </c>
      <c r="AM672" s="8">
        <v>18.120000000000001</v>
      </c>
      <c r="AN672" s="1"/>
      <c r="AO672" s="1" t="s">
        <v>4029</v>
      </c>
      <c r="AP672" s="1" t="s">
        <v>168</v>
      </c>
      <c r="AQ672" s="1" t="s">
        <v>4030</v>
      </c>
      <c r="AR672" s="1" t="s">
        <v>4031</v>
      </c>
    </row>
    <row r="673">
      <c r="A673" s="2">
        <f ca="1">DATE(2001,05,15)</f>
        <v>0</v>
      </c>
      <c r="B673" s="2">
        <f ca="1">DATE(2001,06,07)</f>
        <v>0</v>
      </c>
      <c r="C673" s="1" t="s">
        <v>4026</v>
      </c>
      <c r="D673" s="3">
        <v>8062</v>
      </c>
      <c r="E673" s="1" t="s">
        <v>43</v>
      </c>
      <c r="F673" s="1" t="s">
        <v>4027</v>
      </c>
      <c r="G673" s="1" t="s">
        <v>179</v>
      </c>
      <c r="H673" s="4">
        <v>0.97999999999999998</v>
      </c>
      <c r="I673" s="8">
        <v>7</v>
      </c>
      <c r="J673" s="5">
        <v>9.3000000000000007</v>
      </c>
      <c r="K673" s="8">
        <v>14</v>
      </c>
      <c r="L673" s="1" t="s">
        <v>58</v>
      </c>
      <c r="M673" s="1" t="s">
        <v>47</v>
      </c>
      <c r="N673" s="3">
        <v>913016309</v>
      </c>
      <c r="O673" s="1" t="s">
        <v>48</v>
      </c>
      <c r="P673" s="1" t="s">
        <v>4032</v>
      </c>
      <c r="Q673" s="4">
        <v>1.3999999999999999</v>
      </c>
      <c r="R673" s="4">
        <v>1.3999999999999999</v>
      </c>
      <c r="S673" s="8">
        <v>4.2000000000000002</v>
      </c>
      <c r="T673" s="1" t="s">
        <v>60</v>
      </c>
      <c r="U673" s="1"/>
      <c r="V673" s="1"/>
      <c r="W673" s="1"/>
      <c r="X673" s="1"/>
      <c r="Y673" s="7">
        <v>665652</v>
      </c>
      <c r="Z673" s="1"/>
      <c r="AA673" s="1"/>
      <c r="AB673" s="1"/>
      <c r="AC673" s="1"/>
      <c r="AD673" s="1"/>
      <c r="AE673" s="1" t="s">
        <v>51</v>
      </c>
      <c r="AF673" s="1" t="s">
        <v>51</v>
      </c>
      <c r="AG673" s="1" t="s">
        <v>47</v>
      </c>
      <c r="AH673" s="1"/>
      <c r="AI673" s="1"/>
      <c r="AJ673" s="3">
        <v>1</v>
      </c>
      <c r="AK673" s="1" t="s">
        <v>52</v>
      </c>
      <c r="AL673" s="3">
        <v>3</v>
      </c>
      <c r="AM673" s="1"/>
      <c r="AN673" s="1"/>
      <c r="AO673" s="1" t="s">
        <v>4033</v>
      </c>
      <c r="AP673" s="1" t="s">
        <v>179</v>
      </c>
      <c r="AQ673" s="1" t="s">
        <v>4034</v>
      </c>
      <c r="AR673" s="1" t="s">
        <v>4035</v>
      </c>
    </row>
    <row r="674">
      <c r="A674" s="2">
        <f ca="1">DATE(2001,05,15)</f>
        <v>0</v>
      </c>
      <c r="B674" s="2">
        <f ca="1">DATE(2001,06,11)</f>
        <v>0</v>
      </c>
      <c r="C674" s="1" t="s">
        <v>4036</v>
      </c>
      <c r="D674" s="3">
        <v>6411</v>
      </c>
      <c r="E674" s="1" t="s">
        <v>1956</v>
      </c>
      <c r="F674" s="1"/>
      <c r="G674" s="1" t="s">
        <v>204</v>
      </c>
      <c r="H674" s="4">
        <v>0.91100000000000003</v>
      </c>
      <c r="I674" s="4">
        <v>6.7480000000000002</v>
      </c>
      <c r="J674" s="5">
        <v>270</v>
      </c>
      <c r="K674" s="4">
        <v>13.5</v>
      </c>
      <c r="L674" s="1" t="s">
        <v>46</v>
      </c>
      <c r="M674" s="1" t="s">
        <v>47</v>
      </c>
      <c r="N674" s="1" t="s">
        <v>4037</v>
      </c>
      <c r="O674" s="1"/>
      <c r="P674" s="1" t="s">
        <v>4038</v>
      </c>
      <c r="Q674" s="4">
        <v>1.3480000000000001</v>
      </c>
      <c r="R674" s="4">
        <v>1.3480000000000001</v>
      </c>
      <c r="S674" s="6">
        <v>4.05185</v>
      </c>
      <c r="T674" s="1" t="s">
        <v>50</v>
      </c>
      <c r="U674" s="8">
        <v>12</v>
      </c>
      <c r="V674" s="8">
        <v>10</v>
      </c>
      <c r="W674" s="7">
        <v>20000000</v>
      </c>
      <c r="X674" s="5">
        <v>220</v>
      </c>
      <c r="Y674" s="7">
        <v>20000000</v>
      </c>
      <c r="Z674" s="1"/>
      <c r="AA674" s="2">
        <f ca="1">DATE(2001,12,08)</f>
        <v>0</v>
      </c>
      <c r="AB674" s="4">
        <v>85.864999999999995</v>
      </c>
      <c r="AC674" s="3">
        <v>180</v>
      </c>
      <c r="AD674" s="8">
        <v>123651774</v>
      </c>
      <c r="AE674" s="1" t="s">
        <v>51</v>
      </c>
      <c r="AF674" s="1" t="s">
        <v>51</v>
      </c>
      <c r="AG674" s="1" t="s">
        <v>51</v>
      </c>
      <c r="AH674" s="1"/>
      <c r="AI674" s="1"/>
      <c r="AJ674" s="3">
        <v>1</v>
      </c>
      <c r="AK674" s="1" t="s">
        <v>52</v>
      </c>
      <c r="AL674" s="3">
        <v>6</v>
      </c>
      <c r="AM674" s="8">
        <v>16.600000000000001</v>
      </c>
      <c r="AN674" s="1"/>
      <c r="AO674" s="1" t="s">
        <v>4039</v>
      </c>
      <c r="AP674" s="1" t="s">
        <v>204</v>
      </c>
      <c r="AQ674" s="1" t="s">
        <v>4040</v>
      </c>
      <c r="AR674" s="1" t="s">
        <v>4041</v>
      </c>
    </row>
    <row r="675">
      <c r="A675" s="2">
        <f ca="1">DATE(2001,03,16)</f>
        <v>0</v>
      </c>
      <c r="B675" s="2">
        <f ca="1">DATE(2001,06,12)</f>
        <v>0</v>
      </c>
      <c r="C675" s="1" t="s">
        <v>4042</v>
      </c>
      <c r="D675" s="3">
        <v>2023</v>
      </c>
      <c r="E675" s="1" t="s">
        <v>43</v>
      </c>
      <c r="F675" s="1" t="s">
        <v>4043</v>
      </c>
      <c r="G675" s="1" t="s">
        <v>3941</v>
      </c>
      <c r="H675" s="4">
        <v>0.84699999999999998</v>
      </c>
      <c r="I675" s="4">
        <v>2.7320000000000002</v>
      </c>
      <c r="J675" s="9">
        <v>7322.3999999999996</v>
      </c>
      <c r="K675" s="4">
        <v>31</v>
      </c>
      <c r="L675" s="1" t="s">
        <v>152</v>
      </c>
      <c r="M675" s="1" t="s">
        <v>47</v>
      </c>
      <c r="N675" s="1" t="s">
        <v>4044</v>
      </c>
      <c r="O675" s="1" t="s">
        <v>108</v>
      </c>
      <c r="P675" s="1" t="s">
        <v>4045</v>
      </c>
      <c r="Q675" s="1" t="s">
        <v>145</v>
      </c>
      <c r="R675" s="1" t="s">
        <v>145</v>
      </c>
      <c r="S675" s="6">
        <v>1.5626100000000001</v>
      </c>
      <c r="T675" s="1" t="s">
        <v>50</v>
      </c>
      <c r="U675" s="1"/>
      <c r="V675" s="1"/>
      <c r="W675" s="1"/>
      <c r="X675" s="9">
        <v>5000</v>
      </c>
      <c r="Y675" s="7">
        <v>236206000</v>
      </c>
      <c r="Z675" s="1"/>
      <c r="AA675" s="1" t="s">
        <v>4046</v>
      </c>
      <c r="AB675" s="1" t="s">
        <v>2067</v>
      </c>
      <c r="AC675" s="1" t="s">
        <v>2068</v>
      </c>
      <c r="AD675" s="1" t="s">
        <v>2067</v>
      </c>
      <c r="AE675" s="1" t="s">
        <v>51</v>
      </c>
      <c r="AF675" s="1" t="s">
        <v>51</v>
      </c>
      <c r="AG675" s="1" t="s">
        <v>51</v>
      </c>
      <c r="AH675" s="1" t="s">
        <v>4047</v>
      </c>
      <c r="AI675" s="1" t="s">
        <v>4048</v>
      </c>
      <c r="AJ675" s="3">
        <v>2</v>
      </c>
      <c r="AK675" s="1" t="s">
        <v>89</v>
      </c>
      <c r="AL675" s="3">
        <v>15</v>
      </c>
      <c r="AM675" s="8">
        <v>31.25</v>
      </c>
      <c r="AN675" s="1"/>
      <c r="AO675" s="1" t="s">
        <v>4049</v>
      </c>
      <c r="AP675" s="1" t="s">
        <v>3945</v>
      </c>
      <c r="AQ675" s="1" t="s">
        <v>4050</v>
      </c>
      <c r="AR675" s="1" t="s">
        <v>4051</v>
      </c>
    </row>
    <row r="676">
      <c r="A676" s="2">
        <f ca="1">DATE(2001,03,16)</f>
        <v>0</v>
      </c>
      <c r="B676" s="2">
        <f ca="1">DATE(2001,06,12)</f>
        <v>0</v>
      </c>
      <c r="C676" s="1" t="s">
        <v>4042</v>
      </c>
      <c r="D676" s="3">
        <v>2023</v>
      </c>
      <c r="E676" s="1" t="s">
        <v>43</v>
      </c>
      <c r="F676" s="1" t="s">
        <v>4043</v>
      </c>
      <c r="G676" s="1" t="s">
        <v>322</v>
      </c>
      <c r="H676" s="4">
        <v>0.84699999999999998</v>
      </c>
      <c r="I676" s="4">
        <v>2.7320000000000002</v>
      </c>
      <c r="J676" s="9">
        <v>1357.5999999999999</v>
      </c>
      <c r="K676" s="8">
        <v>31</v>
      </c>
      <c r="L676" s="1" t="s">
        <v>58</v>
      </c>
      <c r="M676" s="1" t="s">
        <v>47</v>
      </c>
      <c r="N676" s="1" t="s">
        <v>4044</v>
      </c>
      <c r="O676" s="1" t="s">
        <v>108</v>
      </c>
      <c r="P676" s="1" t="s">
        <v>4052</v>
      </c>
      <c r="Q676" s="4">
        <v>0.67000000000000004</v>
      </c>
      <c r="R676" s="4">
        <v>0.5</v>
      </c>
      <c r="S676" s="6">
        <v>1.5625199999999999</v>
      </c>
      <c r="T676" s="1" t="s">
        <v>60</v>
      </c>
      <c r="U676" s="1"/>
      <c r="V676" s="1"/>
      <c r="W676" s="1"/>
      <c r="X676" s="1"/>
      <c r="Y676" s="7">
        <v>43794000</v>
      </c>
      <c r="Z676" s="1"/>
      <c r="AA676" s="1"/>
      <c r="AB676" s="1" t="s">
        <v>2067</v>
      </c>
      <c r="AC676" s="1" t="s">
        <v>2068</v>
      </c>
      <c r="AD676" s="1" t="s">
        <v>2067</v>
      </c>
      <c r="AE676" s="1" t="s">
        <v>51</v>
      </c>
      <c r="AF676" s="1" t="s">
        <v>51</v>
      </c>
      <c r="AG676" s="1" t="s">
        <v>51</v>
      </c>
      <c r="AH676" s="1" t="s">
        <v>4047</v>
      </c>
      <c r="AI676" s="1" t="s">
        <v>4048</v>
      </c>
      <c r="AJ676" s="3">
        <v>2</v>
      </c>
      <c r="AK676" s="1" t="s">
        <v>89</v>
      </c>
      <c r="AL676" s="3">
        <v>2</v>
      </c>
      <c r="AM676" s="1"/>
      <c r="AN676" s="1"/>
      <c r="AO676" s="1" t="s">
        <v>4053</v>
      </c>
      <c r="AP676" s="1" t="s">
        <v>325</v>
      </c>
      <c r="AQ676" s="1" t="s">
        <v>3950</v>
      </c>
      <c r="AR676" s="1" t="s">
        <v>3951</v>
      </c>
    </row>
    <row r="677">
      <c r="A677" s="2">
        <f ca="1">DATE(2000,11,13)</f>
        <v>0</v>
      </c>
      <c r="B677" s="2">
        <f ca="1">DATE(2001,06,12)</f>
        <v>0</v>
      </c>
      <c r="C677" s="1" t="s">
        <v>4054</v>
      </c>
      <c r="D677" s="3">
        <v>4412</v>
      </c>
      <c r="E677" s="1" t="s">
        <v>43</v>
      </c>
      <c r="F677" s="1" t="s">
        <v>4055</v>
      </c>
      <c r="G677" s="1" t="s">
        <v>813</v>
      </c>
      <c r="H677" s="4">
        <v>1.26</v>
      </c>
      <c r="I677" s="4">
        <v>7</v>
      </c>
      <c r="J677" s="5">
        <v>95</v>
      </c>
      <c r="K677" s="4">
        <v>18</v>
      </c>
      <c r="L677" s="1" t="s">
        <v>46</v>
      </c>
      <c r="M677" s="1" t="s">
        <v>47</v>
      </c>
      <c r="N677" s="1" t="s">
        <v>4056</v>
      </c>
      <c r="O677" s="1" t="s">
        <v>108</v>
      </c>
      <c r="P677" s="1" t="s">
        <v>4057</v>
      </c>
      <c r="Q677" s="4">
        <v>1.389</v>
      </c>
      <c r="R677" s="4">
        <v>1.389</v>
      </c>
      <c r="S677" s="6">
        <v>4.2222200000000001</v>
      </c>
      <c r="T677" s="1" t="s">
        <v>50</v>
      </c>
      <c r="U677" s="1"/>
      <c r="V677" s="1"/>
      <c r="W677" s="1"/>
      <c r="X677" s="5">
        <v>115</v>
      </c>
      <c r="Y677" s="7">
        <v>5280000</v>
      </c>
      <c r="Z677" s="1"/>
      <c r="AA677" s="1"/>
      <c r="AB677" s="1"/>
      <c r="AC677" s="1"/>
      <c r="AD677" s="1"/>
      <c r="AE677" s="1" t="s">
        <v>51</v>
      </c>
      <c r="AF677" s="1" t="s">
        <v>51</v>
      </c>
      <c r="AG677" s="1" t="s">
        <v>47</v>
      </c>
      <c r="AH677" s="1"/>
      <c r="AI677" s="1"/>
      <c r="AJ677" s="3">
        <v>1</v>
      </c>
      <c r="AK677" s="1" t="s">
        <v>89</v>
      </c>
      <c r="AL677" s="3">
        <v>3</v>
      </c>
      <c r="AM677" s="8">
        <v>16.75</v>
      </c>
      <c r="AN677" s="1"/>
      <c r="AO677" s="1" t="s">
        <v>4058</v>
      </c>
      <c r="AP677" s="1" t="s">
        <v>4059</v>
      </c>
      <c r="AQ677" s="1" t="s">
        <v>4060</v>
      </c>
      <c r="AR677" s="1" t="s">
        <v>4061</v>
      </c>
    </row>
    <row r="678">
      <c r="A678" s="2">
        <f ca="1">DATE(2000,11,13)</f>
        <v>0</v>
      </c>
      <c r="B678" s="2">
        <f ca="1">DATE(2001,06,12)</f>
        <v>0</v>
      </c>
      <c r="C678" s="1" t="s">
        <v>4054</v>
      </c>
      <c r="D678" s="3">
        <v>4412</v>
      </c>
      <c r="E678" s="1" t="s">
        <v>43</v>
      </c>
      <c r="F678" s="1" t="s">
        <v>4055</v>
      </c>
      <c r="G678" s="1" t="s">
        <v>813</v>
      </c>
      <c r="H678" s="4">
        <v>1.26</v>
      </c>
      <c r="I678" s="4">
        <v>7</v>
      </c>
      <c r="J678" s="5">
        <v>49</v>
      </c>
      <c r="K678" s="8">
        <v>18</v>
      </c>
      <c r="L678" s="1" t="s">
        <v>58</v>
      </c>
      <c r="M678" s="1" t="s">
        <v>47</v>
      </c>
      <c r="N678" s="1" t="s">
        <v>4062</v>
      </c>
      <c r="O678" s="1" t="s">
        <v>108</v>
      </c>
      <c r="P678" s="1" t="s">
        <v>4063</v>
      </c>
      <c r="Q678" s="4">
        <v>1.389</v>
      </c>
      <c r="R678" s="4">
        <v>1.389</v>
      </c>
      <c r="S678" s="6">
        <v>4.2222200000000001</v>
      </c>
      <c r="T678" s="1" t="s">
        <v>60</v>
      </c>
      <c r="U678" s="1"/>
      <c r="V678" s="1"/>
      <c r="W678" s="1"/>
      <c r="X678" s="1"/>
      <c r="Y678" s="7">
        <v>2720000</v>
      </c>
      <c r="Z678" s="1"/>
      <c r="AA678" s="1"/>
      <c r="AB678" s="1"/>
      <c r="AC678" s="1"/>
      <c r="AD678" s="1"/>
      <c r="AE678" s="1" t="s">
        <v>51</v>
      </c>
      <c r="AF678" s="1" t="s">
        <v>51</v>
      </c>
      <c r="AG678" s="1" t="s">
        <v>47</v>
      </c>
      <c r="AH678" s="1"/>
      <c r="AI678" s="1"/>
      <c r="AJ678" s="3">
        <v>1</v>
      </c>
      <c r="AK678" s="1" t="s">
        <v>89</v>
      </c>
      <c r="AL678" s="3">
        <v>2</v>
      </c>
      <c r="AM678" s="1"/>
      <c r="AN678" s="1"/>
      <c r="AO678" s="1" t="s">
        <v>4064</v>
      </c>
      <c r="AP678" s="1" t="s">
        <v>4059</v>
      </c>
      <c r="AQ678" s="1" t="s">
        <v>4065</v>
      </c>
      <c r="AR678" s="1" t="s">
        <v>4066</v>
      </c>
    </row>
    <row r="679">
      <c r="A679" s="2">
        <f ca="1">DATE(2001,02,20)</f>
        <v>0</v>
      </c>
      <c r="B679" s="2">
        <f ca="1">DATE(2001,06,13)</f>
        <v>0</v>
      </c>
      <c r="C679" s="1" t="s">
        <v>4067</v>
      </c>
      <c r="D679" s="3">
        <v>5084</v>
      </c>
      <c r="E679" s="1" t="s">
        <v>43</v>
      </c>
      <c r="F679" s="1" t="s">
        <v>4068</v>
      </c>
      <c r="G679" s="1" t="s">
        <v>45</v>
      </c>
      <c r="H679" s="4">
        <v>1.25</v>
      </c>
      <c r="I679" s="4">
        <v>6.25</v>
      </c>
      <c r="J679" s="5">
        <v>176.80000000000001</v>
      </c>
      <c r="K679" s="4">
        <v>20</v>
      </c>
      <c r="L679" s="1" t="s">
        <v>46</v>
      </c>
      <c r="M679" s="1" t="s">
        <v>47</v>
      </c>
      <c r="N679" s="1" t="s">
        <v>4069</v>
      </c>
      <c r="O679" s="1" t="s">
        <v>108</v>
      </c>
      <c r="P679" s="1" t="s">
        <v>4070</v>
      </c>
      <c r="Q679" s="4">
        <v>1.25</v>
      </c>
      <c r="R679" s="4">
        <v>1.25</v>
      </c>
      <c r="S679" s="8">
        <v>3.75</v>
      </c>
      <c r="T679" s="1" t="s">
        <v>50</v>
      </c>
      <c r="U679" s="1"/>
      <c r="V679" s="1"/>
      <c r="W679" s="1"/>
      <c r="X679" s="5">
        <v>350</v>
      </c>
      <c r="Y679" s="7">
        <v>8840000</v>
      </c>
      <c r="Z679" s="1"/>
      <c r="AA679" s="1"/>
      <c r="AB679" s="1"/>
      <c r="AC679" s="1"/>
      <c r="AD679" s="1"/>
      <c r="AE679" s="1" t="s">
        <v>51</v>
      </c>
      <c r="AF679" s="1" t="s">
        <v>51</v>
      </c>
      <c r="AG679" s="1" t="s">
        <v>51</v>
      </c>
      <c r="AH679" s="1" t="s">
        <v>4071</v>
      </c>
      <c r="AI679" s="1" t="s">
        <v>4072</v>
      </c>
      <c r="AJ679" s="3">
        <v>1</v>
      </c>
      <c r="AK679" s="1" t="s">
        <v>52</v>
      </c>
      <c r="AL679" s="3">
        <v>4</v>
      </c>
      <c r="AM679" s="8">
        <v>22</v>
      </c>
      <c r="AN679" s="1"/>
      <c r="AO679" s="1" t="s">
        <v>4073</v>
      </c>
      <c r="AP679" s="1" t="s">
        <v>45</v>
      </c>
      <c r="AQ679" s="1" t="s">
        <v>4074</v>
      </c>
      <c r="AR679" s="1" t="s">
        <v>4075</v>
      </c>
    </row>
    <row r="680">
      <c r="A680" s="2">
        <f ca="1">DATE(2001,02,20)</f>
        <v>0</v>
      </c>
      <c r="B680" s="2">
        <f ca="1">DATE(2001,06,13)</f>
        <v>0</v>
      </c>
      <c r="C680" s="1" t="s">
        <v>4067</v>
      </c>
      <c r="D680" s="3">
        <v>5084</v>
      </c>
      <c r="E680" s="1" t="s">
        <v>43</v>
      </c>
      <c r="F680" s="1" t="s">
        <v>4068</v>
      </c>
      <c r="G680" s="1" t="s">
        <v>482</v>
      </c>
      <c r="H680" s="1" t="s">
        <v>57</v>
      </c>
      <c r="I680" s="1" t="s">
        <v>57</v>
      </c>
      <c r="J680" s="5">
        <v>44.200000000000003</v>
      </c>
      <c r="K680" s="8">
        <v>20</v>
      </c>
      <c r="L680" s="1" t="s">
        <v>58</v>
      </c>
      <c r="M680" s="1" t="s">
        <v>47</v>
      </c>
      <c r="N680" s="1" t="s">
        <v>4069</v>
      </c>
      <c r="O680" s="1" t="s">
        <v>108</v>
      </c>
      <c r="P680" s="1" t="s">
        <v>4076</v>
      </c>
      <c r="Q680" s="1"/>
      <c r="R680" s="1"/>
      <c r="S680" s="1"/>
      <c r="T680" s="1" t="s">
        <v>60</v>
      </c>
      <c r="U680" s="1"/>
      <c r="V680" s="1"/>
      <c r="W680" s="1"/>
      <c r="X680" s="1"/>
      <c r="Y680" s="7">
        <v>2210000</v>
      </c>
      <c r="Z680" s="1"/>
      <c r="AA680" s="1"/>
      <c r="AB680" s="1"/>
      <c r="AC680" s="1"/>
      <c r="AD680" s="1"/>
      <c r="AE680" s="1" t="s">
        <v>51</v>
      </c>
      <c r="AF680" s="1" t="s">
        <v>51</v>
      </c>
      <c r="AG680" s="1" t="s">
        <v>51</v>
      </c>
      <c r="AH680" s="1" t="s">
        <v>4071</v>
      </c>
      <c r="AI680" s="1" t="s">
        <v>4072</v>
      </c>
      <c r="AJ680" s="3">
        <v>1</v>
      </c>
      <c r="AK680" s="1" t="s">
        <v>52</v>
      </c>
      <c r="AL680" s="3">
        <v>1</v>
      </c>
      <c r="AM680" s="1"/>
      <c r="AN680" s="1"/>
      <c r="AO680" s="1" t="s">
        <v>4077</v>
      </c>
      <c r="AP680" s="1" t="s">
        <v>482</v>
      </c>
      <c r="AQ680" s="1" t="s">
        <v>482</v>
      </c>
      <c r="AR680" s="1" t="s">
        <v>1996</v>
      </c>
    </row>
    <row r="681">
      <c r="A681" s="2">
        <f ca="1">DATE(2001,03,26)</f>
        <v>0</v>
      </c>
      <c r="B681" s="2">
        <f ca="1">DATE(2001,06,13)</f>
        <v>0</v>
      </c>
      <c r="C681" s="1" t="s">
        <v>4078</v>
      </c>
      <c r="D681" s="3">
        <v>6331</v>
      </c>
      <c r="E681" s="1" t="s">
        <v>43</v>
      </c>
      <c r="F681" s="1" t="s">
        <v>4079</v>
      </c>
      <c r="G681" s="1" t="s">
        <v>4080</v>
      </c>
      <c r="H681" s="4">
        <v>1.125</v>
      </c>
      <c r="I681" s="4">
        <v>6.25</v>
      </c>
      <c r="J681" s="5">
        <v>308.60000000000002</v>
      </c>
      <c r="K681" s="4">
        <v>18</v>
      </c>
      <c r="L681" s="1" t="s">
        <v>46</v>
      </c>
      <c r="M681" s="1" t="s">
        <v>47</v>
      </c>
      <c r="N681" s="1" t="s">
        <v>4081</v>
      </c>
      <c r="O681" s="1" t="s">
        <v>108</v>
      </c>
      <c r="P681" s="1" t="s">
        <v>4082</v>
      </c>
      <c r="Q681" s="4">
        <v>1.25</v>
      </c>
      <c r="R681" s="4">
        <v>1.444</v>
      </c>
      <c r="S681" s="6">
        <v>3.5555599999999998</v>
      </c>
      <c r="T681" s="1" t="s">
        <v>50</v>
      </c>
      <c r="U681" s="1"/>
      <c r="V681" s="1"/>
      <c r="W681" s="1"/>
      <c r="X681" s="1"/>
      <c r="Y681" s="7">
        <v>17142857</v>
      </c>
      <c r="Z681" s="1"/>
      <c r="AA681" s="2">
        <f ca="1">DATE(2001,12,10)</f>
        <v>0</v>
      </c>
      <c r="AB681" s="4">
        <v>73.683999999999998</v>
      </c>
      <c r="AC681" s="3">
        <v>180</v>
      </c>
      <c r="AD681" s="8">
        <v>48000000</v>
      </c>
      <c r="AE681" s="1" t="s">
        <v>51</v>
      </c>
      <c r="AF681" s="1" t="s">
        <v>51</v>
      </c>
      <c r="AG681" s="1" t="s">
        <v>51</v>
      </c>
      <c r="AH681" s="1"/>
      <c r="AI681" s="1"/>
      <c r="AJ681" s="3">
        <v>2</v>
      </c>
      <c r="AK681" s="1" t="s">
        <v>89</v>
      </c>
      <c r="AL681" s="3">
        <v>4</v>
      </c>
      <c r="AM681" s="8">
        <v>17.199999999999999</v>
      </c>
      <c r="AN681" s="1"/>
      <c r="AO681" s="1" t="s">
        <v>4083</v>
      </c>
      <c r="AP681" s="1" t="s">
        <v>4084</v>
      </c>
      <c r="AQ681" s="1" t="s">
        <v>4085</v>
      </c>
      <c r="AR681" s="1" t="s">
        <v>4086</v>
      </c>
    </row>
    <row r="682">
      <c r="A682" s="2">
        <f ca="1">DATE(2001,06,13)</f>
        <v>0</v>
      </c>
      <c r="B682" s="2">
        <f ca="1">DATE(2001,06,13)</f>
        <v>0</v>
      </c>
      <c r="C682" s="1" t="s">
        <v>4087</v>
      </c>
      <c r="D682" s="3">
        <v>4924</v>
      </c>
      <c r="E682" s="1" t="s">
        <v>1445</v>
      </c>
      <c r="F682" s="1"/>
      <c r="G682" s="1" t="s">
        <v>4088</v>
      </c>
      <c r="H682" s="1"/>
      <c r="I682" s="1" t="s">
        <v>57</v>
      </c>
      <c r="J682" s="5">
        <v>2.8999999999999999</v>
      </c>
      <c r="K682" s="8">
        <v>23.329999999999998</v>
      </c>
      <c r="L682" s="1" t="s">
        <v>4089</v>
      </c>
      <c r="M682" s="1" t="s">
        <v>47</v>
      </c>
      <c r="N682" s="1"/>
      <c r="O682" s="1"/>
      <c r="P682" s="1" t="s">
        <v>4090</v>
      </c>
      <c r="Q682" s="1"/>
      <c r="R682" s="1"/>
      <c r="S682" s="1"/>
      <c r="T682" s="1" t="s">
        <v>4091</v>
      </c>
      <c r="U682" s="1"/>
      <c r="V682" s="1"/>
      <c r="W682" s="7">
        <v>300000</v>
      </c>
      <c r="X682" s="5">
        <v>2.8999999999999999</v>
      </c>
      <c r="Y682" s="7">
        <v>300000</v>
      </c>
      <c r="Z682" s="1"/>
      <c r="AA682" s="1"/>
      <c r="AB682" s="1"/>
      <c r="AC682" s="1"/>
      <c r="AD682" s="1"/>
      <c r="AE682" s="1"/>
      <c r="AF682" s="1" t="s">
        <v>51</v>
      </c>
      <c r="AG682" s="1"/>
      <c r="AH682" s="1"/>
      <c r="AI682" s="1"/>
      <c r="AJ682" s="3">
        <v>1</v>
      </c>
      <c r="AK682" s="1" t="s">
        <v>52</v>
      </c>
      <c r="AL682" s="3">
        <v>1</v>
      </c>
      <c r="AM682" s="1"/>
      <c r="AN682" s="1"/>
      <c r="AO682" s="1" t="s">
        <v>4088</v>
      </c>
      <c r="AP682" s="1" t="s">
        <v>4088</v>
      </c>
      <c r="AQ682" s="1" t="s">
        <v>4088</v>
      </c>
      <c r="AR682" s="1" t="s">
        <v>4090</v>
      </c>
    </row>
    <row r="683">
      <c r="A683" s="2">
        <f ca="1">DATE(2000,08,15)</f>
        <v>0</v>
      </c>
      <c r="B683" s="2">
        <f ca="1">DATE(2001,06,18)</f>
        <v>0</v>
      </c>
      <c r="C683" s="1" t="s">
        <v>4092</v>
      </c>
      <c r="D683" s="3">
        <v>8299</v>
      </c>
      <c r="E683" s="1" t="s">
        <v>43</v>
      </c>
      <c r="F683" s="1" t="s">
        <v>4093</v>
      </c>
      <c r="G683" s="1" t="s">
        <v>400</v>
      </c>
      <c r="H683" s="4">
        <v>0.77000000000000002</v>
      </c>
      <c r="I683" s="4">
        <v>7</v>
      </c>
      <c r="J683" s="5">
        <v>59.399999999999999</v>
      </c>
      <c r="K683" s="4">
        <v>11</v>
      </c>
      <c r="L683" s="1" t="s">
        <v>46</v>
      </c>
      <c r="M683" s="1" t="s">
        <v>47</v>
      </c>
      <c r="N683" s="3">
        <v>742352107</v>
      </c>
      <c r="O683" s="1" t="s">
        <v>48</v>
      </c>
      <c r="P683" s="1" t="s">
        <v>4094</v>
      </c>
      <c r="Q683" s="4">
        <v>1.3640000000000001</v>
      </c>
      <c r="R683" s="4">
        <v>1.4550000000000001</v>
      </c>
      <c r="S683" s="6">
        <v>4.1818200000000001</v>
      </c>
      <c r="T683" s="1" t="s">
        <v>50</v>
      </c>
      <c r="U683" s="1"/>
      <c r="V683" s="1"/>
      <c r="W683" s="1"/>
      <c r="X683" s="5">
        <v>65</v>
      </c>
      <c r="Y683" s="7">
        <v>5400000</v>
      </c>
      <c r="Z683" s="1"/>
      <c r="AA683" s="2">
        <f ca="1">DATE(2001,12,15)</f>
        <v>0</v>
      </c>
      <c r="AB683" s="4">
        <v>79.433999999999998</v>
      </c>
      <c r="AC683" s="3">
        <v>180</v>
      </c>
      <c r="AD683" s="8">
        <v>20885434</v>
      </c>
      <c r="AE683" s="1" t="s">
        <v>51</v>
      </c>
      <c r="AF683" s="1" t="s">
        <v>51</v>
      </c>
      <c r="AG683" s="1" t="s">
        <v>47</v>
      </c>
      <c r="AH683" s="1"/>
      <c r="AI683" s="1"/>
      <c r="AJ683" s="3">
        <v>1</v>
      </c>
      <c r="AK683" s="1" t="s">
        <v>52</v>
      </c>
      <c r="AL683" s="3">
        <v>3</v>
      </c>
      <c r="AM683" s="8">
        <v>9.5</v>
      </c>
      <c r="AN683" s="1"/>
      <c r="AO683" s="1" t="s">
        <v>4095</v>
      </c>
      <c r="AP683" s="1" t="s">
        <v>400</v>
      </c>
      <c r="AQ683" s="1" t="s">
        <v>4096</v>
      </c>
      <c r="AR683" s="1" t="s">
        <v>4097</v>
      </c>
    </row>
    <row r="684">
      <c r="A684" s="2">
        <f ca="1">DATE(2001,02,09)</f>
        <v>0</v>
      </c>
      <c r="B684" s="2">
        <f ca="1">DATE(2001,06,19)</f>
        <v>0</v>
      </c>
      <c r="C684" s="1" t="s">
        <v>4098</v>
      </c>
      <c r="D684" s="3">
        <v>6282</v>
      </c>
      <c r="E684" s="1" t="s">
        <v>43</v>
      </c>
      <c r="F684" s="1" t="s">
        <v>4099</v>
      </c>
      <c r="G684" s="1" t="s">
        <v>796</v>
      </c>
      <c r="H684" s="4">
        <v>0.94499999999999995</v>
      </c>
      <c r="I684" s="4">
        <v>5.4000000000000004</v>
      </c>
      <c r="J684" s="5">
        <v>854</v>
      </c>
      <c r="K684" s="4">
        <v>17.5</v>
      </c>
      <c r="L684" s="1" t="s">
        <v>46</v>
      </c>
      <c r="M684" s="1" t="s">
        <v>47</v>
      </c>
      <c r="N684" s="1" t="s">
        <v>4100</v>
      </c>
      <c r="O684" s="1" t="s">
        <v>108</v>
      </c>
      <c r="P684" s="1" t="s">
        <v>4101</v>
      </c>
      <c r="Q684" s="4">
        <v>1.0860000000000001</v>
      </c>
      <c r="R684" s="4">
        <v>0.80000000000000004</v>
      </c>
      <c r="S684" s="6">
        <v>3.5142899999999999</v>
      </c>
      <c r="T684" s="1" t="s">
        <v>50</v>
      </c>
      <c r="U684" s="1"/>
      <c r="V684" s="1"/>
      <c r="W684" s="1"/>
      <c r="X684" s="5">
        <v>866.60000000000002</v>
      </c>
      <c r="Y684" s="7">
        <v>48800000</v>
      </c>
      <c r="Z684" s="1"/>
      <c r="AA684" s="2">
        <f ca="1">DATE(2001,12,16)</f>
        <v>0</v>
      </c>
      <c r="AB684" s="1"/>
      <c r="AC684" s="3">
        <v>180</v>
      </c>
      <c r="AD684" s="1"/>
      <c r="AE684" s="1" t="s">
        <v>51</v>
      </c>
      <c r="AF684" s="1" t="s">
        <v>51</v>
      </c>
      <c r="AG684" s="1" t="s">
        <v>51</v>
      </c>
      <c r="AH684" s="1"/>
      <c r="AI684" s="1"/>
      <c r="AJ684" s="3">
        <v>1</v>
      </c>
      <c r="AK684" s="1" t="s">
        <v>89</v>
      </c>
      <c r="AL684" s="3">
        <v>6</v>
      </c>
      <c r="AM684" s="1"/>
      <c r="AN684" s="1"/>
      <c r="AO684" s="1" t="s">
        <v>4102</v>
      </c>
      <c r="AP684" s="1" t="s">
        <v>4103</v>
      </c>
      <c r="AQ684" s="1" t="s">
        <v>4104</v>
      </c>
      <c r="AR684" s="1" t="s">
        <v>4105</v>
      </c>
    </row>
    <row r="685">
      <c r="A685" s="2">
        <f ca="1">DATE(2000,10,05)</f>
        <v>0</v>
      </c>
      <c r="B685" s="2">
        <f ca="1">DATE(2001,06,20)</f>
        <v>0</v>
      </c>
      <c r="C685" s="1" t="s">
        <v>4106</v>
      </c>
      <c r="D685" s="3">
        <v>3674</v>
      </c>
      <c r="E685" s="1" t="s">
        <v>43</v>
      </c>
      <c r="F685" s="1" t="s">
        <v>4107</v>
      </c>
      <c r="G685" s="1" t="s">
        <v>168</v>
      </c>
      <c r="H685" s="4">
        <v>0.63</v>
      </c>
      <c r="I685" s="4">
        <v>7</v>
      </c>
      <c r="J685" s="5">
        <v>65.700000000000003</v>
      </c>
      <c r="K685" s="4">
        <v>9</v>
      </c>
      <c r="L685" s="1" t="s">
        <v>46</v>
      </c>
      <c r="M685" s="1" t="s">
        <v>47</v>
      </c>
      <c r="N685" s="1" t="s">
        <v>4108</v>
      </c>
      <c r="O685" s="1" t="s">
        <v>48</v>
      </c>
      <c r="P685" s="1" t="s">
        <v>4109</v>
      </c>
      <c r="Q685" s="4">
        <v>1.3999999999999999</v>
      </c>
      <c r="R685" s="4">
        <v>1.3999999999999999</v>
      </c>
      <c r="S685" s="8">
        <v>4.2000000000000002</v>
      </c>
      <c r="T685" s="1" t="s">
        <v>50</v>
      </c>
      <c r="U685" s="1"/>
      <c r="V685" s="1"/>
      <c r="W685" s="1"/>
      <c r="X685" s="5">
        <v>150</v>
      </c>
      <c r="Y685" s="7">
        <v>7300000</v>
      </c>
      <c r="Z685" s="1"/>
      <c r="AA685" s="1"/>
      <c r="AB685" s="1"/>
      <c r="AC685" s="1"/>
      <c r="AD685" s="1"/>
      <c r="AE685" s="1" t="s">
        <v>51</v>
      </c>
      <c r="AF685" s="1" t="s">
        <v>51</v>
      </c>
      <c r="AG685" s="1" t="s">
        <v>47</v>
      </c>
      <c r="AH685" s="1"/>
      <c r="AI685" s="1"/>
      <c r="AJ685" s="3">
        <v>1</v>
      </c>
      <c r="AK685" s="1" t="s">
        <v>52</v>
      </c>
      <c r="AL685" s="3">
        <v>3</v>
      </c>
      <c r="AM685" s="8">
        <v>11.19</v>
      </c>
      <c r="AN685" s="1"/>
      <c r="AO685" s="1" t="s">
        <v>4110</v>
      </c>
      <c r="AP685" s="1" t="s">
        <v>168</v>
      </c>
      <c r="AQ685" s="1" t="s">
        <v>4111</v>
      </c>
      <c r="AR685" s="1" t="s">
        <v>4112</v>
      </c>
    </row>
    <row r="686">
      <c r="A686" s="2">
        <f ca="1">DATE(2000,10,05)</f>
        <v>0</v>
      </c>
      <c r="B686" s="2">
        <f ca="1">DATE(2001,06,20)</f>
        <v>0</v>
      </c>
      <c r="C686" s="1" t="s">
        <v>4106</v>
      </c>
      <c r="D686" s="3">
        <v>3674</v>
      </c>
      <c r="E686" s="1" t="s">
        <v>43</v>
      </c>
      <c r="F686" s="1" t="s">
        <v>4107</v>
      </c>
      <c r="G686" s="1" t="s">
        <v>179</v>
      </c>
      <c r="H686" s="4">
        <v>0.63</v>
      </c>
      <c r="I686" s="4">
        <v>7</v>
      </c>
      <c r="J686" s="5">
        <v>6.2999999999999998</v>
      </c>
      <c r="K686" s="8">
        <v>9</v>
      </c>
      <c r="L686" s="1" t="s">
        <v>58</v>
      </c>
      <c r="M686" s="1" t="s">
        <v>47</v>
      </c>
      <c r="N686" s="1" t="s">
        <v>4108</v>
      </c>
      <c r="O686" s="1" t="s">
        <v>48</v>
      </c>
      <c r="P686" s="1" t="s">
        <v>4113</v>
      </c>
      <c r="Q686" s="4">
        <v>1.3999999999999999</v>
      </c>
      <c r="R686" s="4">
        <v>1.3999999999999999</v>
      </c>
      <c r="S686" s="8">
        <v>4.2000000000000002</v>
      </c>
      <c r="T686" s="1" t="s">
        <v>60</v>
      </c>
      <c r="U686" s="1"/>
      <c r="V686" s="1"/>
      <c r="W686" s="1"/>
      <c r="X686" s="1"/>
      <c r="Y686" s="7">
        <v>700000</v>
      </c>
      <c r="Z686" s="1"/>
      <c r="AA686" s="1"/>
      <c r="AB686" s="1"/>
      <c r="AC686" s="1"/>
      <c r="AD686" s="1"/>
      <c r="AE686" s="1" t="s">
        <v>51</v>
      </c>
      <c r="AF686" s="1" t="s">
        <v>51</v>
      </c>
      <c r="AG686" s="1" t="s">
        <v>47</v>
      </c>
      <c r="AH686" s="1"/>
      <c r="AI686" s="1"/>
      <c r="AJ686" s="3">
        <v>1</v>
      </c>
      <c r="AK686" s="1" t="s">
        <v>52</v>
      </c>
      <c r="AL686" s="3">
        <v>1</v>
      </c>
      <c r="AM686" s="1"/>
      <c r="AN686" s="1"/>
      <c r="AO686" s="1" t="s">
        <v>4114</v>
      </c>
      <c r="AP686" s="1" t="s">
        <v>179</v>
      </c>
      <c r="AQ686" s="1" t="s">
        <v>179</v>
      </c>
      <c r="AR686" s="1" t="s">
        <v>3919</v>
      </c>
    </row>
    <row r="687">
      <c r="A687" s="2">
        <f ca="1">DATE(2001,03,29)</f>
        <v>0</v>
      </c>
      <c r="B687" s="2">
        <f ca="1">DATE(2001,06,26)</f>
        <v>0</v>
      </c>
      <c r="C687" s="1" t="s">
        <v>4115</v>
      </c>
      <c r="D687" s="3">
        <v>5941</v>
      </c>
      <c r="E687" s="1" t="s">
        <v>43</v>
      </c>
      <c r="F687" s="1" t="s">
        <v>4116</v>
      </c>
      <c r="G687" s="1" t="s">
        <v>160</v>
      </c>
      <c r="H687" s="4">
        <v>1.3300000000000001</v>
      </c>
      <c r="I687" s="4">
        <v>7</v>
      </c>
      <c r="J687" s="5">
        <v>123.5</v>
      </c>
      <c r="K687" s="4">
        <v>19</v>
      </c>
      <c r="L687" s="1" t="s">
        <v>46</v>
      </c>
      <c r="M687" s="1" t="s">
        <v>47</v>
      </c>
      <c r="N687" s="1" t="s">
        <v>4117</v>
      </c>
      <c r="O687" s="1" t="s">
        <v>48</v>
      </c>
      <c r="P687" s="1" t="s">
        <v>4118</v>
      </c>
      <c r="Q687" s="4">
        <v>1.421</v>
      </c>
      <c r="R687" s="4">
        <v>1.3680000000000001</v>
      </c>
      <c r="S687" s="6">
        <v>4.2105300000000003</v>
      </c>
      <c r="T687" s="1" t="s">
        <v>50</v>
      </c>
      <c r="U687" s="1"/>
      <c r="V687" s="1"/>
      <c r="W687" s="1"/>
      <c r="X687" s="5">
        <v>100</v>
      </c>
      <c r="Y687" s="7">
        <v>6500000</v>
      </c>
      <c r="Z687" s="1"/>
      <c r="AA687" s="2">
        <f ca="1">DATE(2001,12,23)</f>
        <v>0</v>
      </c>
      <c r="AB687" s="4">
        <v>60.131999999999998</v>
      </c>
      <c r="AC687" s="3">
        <v>180</v>
      </c>
      <c r="AD687" s="8">
        <v>9803707</v>
      </c>
      <c r="AE687" s="1" t="s">
        <v>51</v>
      </c>
      <c r="AF687" s="1" t="s">
        <v>51</v>
      </c>
      <c r="AG687" s="1" t="s">
        <v>51</v>
      </c>
      <c r="AH687" s="1"/>
      <c r="AI687" s="1"/>
      <c r="AJ687" s="3">
        <v>1</v>
      </c>
      <c r="AK687" s="1" t="s">
        <v>89</v>
      </c>
      <c r="AL687" s="3">
        <v>4</v>
      </c>
      <c r="AM687" s="8">
        <v>20.469999999999999</v>
      </c>
      <c r="AN687" s="1"/>
      <c r="AO687" s="1" t="s">
        <v>4119</v>
      </c>
      <c r="AP687" s="1" t="s">
        <v>134</v>
      </c>
      <c r="AQ687" s="1" t="s">
        <v>4120</v>
      </c>
      <c r="AR687" s="1" t="s">
        <v>4121</v>
      </c>
    </row>
    <row r="688">
      <c r="A688" s="2">
        <f ca="1">DATE(2001,05,21)</f>
        <v>0</v>
      </c>
      <c r="B688" s="2">
        <f ca="1">DATE(2001,06,26)</f>
        <v>0</v>
      </c>
      <c r="C688" s="1" t="s">
        <v>4122</v>
      </c>
      <c r="D688" s="3">
        <v>6726</v>
      </c>
      <c r="E688" s="1" t="s">
        <v>43</v>
      </c>
      <c r="F688" s="1" t="s">
        <v>4123</v>
      </c>
      <c r="G688" s="1" t="s">
        <v>1583</v>
      </c>
      <c r="H688" s="4">
        <v>0.67500000000000004</v>
      </c>
      <c r="I688" s="4">
        <v>4.5</v>
      </c>
      <c r="J688" s="5">
        <v>228</v>
      </c>
      <c r="K688" s="4">
        <v>15</v>
      </c>
      <c r="L688" s="1" t="s">
        <v>46</v>
      </c>
      <c r="M688" s="1" t="s">
        <v>47</v>
      </c>
      <c r="N688" s="1" t="s">
        <v>4124</v>
      </c>
      <c r="O688" s="1" t="s">
        <v>108</v>
      </c>
      <c r="P688" s="1" t="s">
        <v>4125</v>
      </c>
      <c r="Q688" s="4">
        <v>0.96699999999999997</v>
      </c>
      <c r="R688" s="4">
        <v>0.53300000000000003</v>
      </c>
      <c r="S688" s="8">
        <v>3</v>
      </c>
      <c r="T688" s="1" t="s">
        <v>50</v>
      </c>
      <c r="U688" s="8">
        <v>15</v>
      </c>
      <c r="V688" s="8">
        <v>15</v>
      </c>
      <c r="W688" s="7">
        <v>1000</v>
      </c>
      <c r="X688" s="5">
        <v>0</v>
      </c>
      <c r="Y688" s="7">
        <v>15200000</v>
      </c>
      <c r="Z688" s="1"/>
      <c r="AA688" s="2">
        <f ca="1">DATE(2001,12,23)</f>
        <v>0</v>
      </c>
      <c r="AB688" s="1"/>
      <c r="AC688" s="3">
        <v>180</v>
      </c>
      <c r="AD688" s="1"/>
      <c r="AE688" s="1" t="s">
        <v>51</v>
      </c>
      <c r="AF688" s="1" t="s">
        <v>51</v>
      </c>
      <c r="AG688" s="1" t="s">
        <v>51</v>
      </c>
      <c r="AH688" s="1"/>
      <c r="AI688" s="1"/>
      <c r="AJ688" s="3">
        <v>1</v>
      </c>
      <c r="AK688" s="1" t="s">
        <v>52</v>
      </c>
      <c r="AL688" s="3">
        <v>4</v>
      </c>
      <c r="AM688" s="8">
        <v>15.1</v>
      </c>
      <c r="AN688" s="1"/>
      <c r="AO688" s="1" t="s">
        <v>4126</v>
      </c>
      <c r="AP688" s="1" t="s">
        <v>1583</v>
      </c>
      <c r="AQ688" s="1" t="s">
        <v>4127</v>
      </c>
      <c r="AR688" s="1" t="s">
        <v>4128</v>
      </c>
    </row>
    <row r="689">
      <c r="A689" s="2">
        <f ca="1">DATE(2001,05,16)</f>
        <v>0</v>
      </c>
      <c r="B689" s="2">
        <f ca="1">DATE(2001,06,26)</f>
        <v>0</v>
      </c>
      <c r="C689" s="1" t="s">
        <v>4129</v>
      </c>
      <c r="D689" s="3">
        <v>6726</v>
      </c>
      <c r="E689" s="1" t="s">
        <v>43</v>
      </c>
      <c r="F689" s="1" t="s">
        <v>4130</v>
      </c>
      <c r="G689" s="1" t="s">
        <v>1583</v>
      </c>
      <c r="H689" s="4">
        <v>0.67500000000000004</v>
      </c>
      <c r="I689" s="4">
        <v>4.5</v>
      </c>
      <c r="J689" s="5">
        <v>309</v>
      </c>
      <c r="K689" s="4">
        <v>15</v>
      </c>
      <c r="L689" s="1" t="s">
        <v>46</v>
      </c>
      <c r="M689" s="1" t="s">
        <v>47</v>
      </c>
      <c r="N689" s="1" t="s">
        <v>4131</v>
      </c>
      <c r="O689" s="1" t="s">
        <v>108</v>
      </c>
      <c r="P689" s="1" t="s">
        <v>4132</v>
      </c>
      <c r="Q689" s="4">
        <v>0.96699999999999997</v>
      </c>
      <c r="R689" s="4">
        <v>0.53300000000000003</v>
      </c>
      <c r="S689" s="8">
        <v>3</v>
      </c>
      <c r="T689" s="1" t="s">
        <v>50</v>
      </c>
      <c r="U689" s="8">
        <v>15</v>
      </c>
      <c r="V689" s="8">
        <v>15</v>
      </c>
      <c r="W689" s="7">
        <v>1000</v>
      </c>
      <c r="X689" s="5">
        <v>0</v>
      </c>
      <c r="Y689" s="7">
        <v>20600000</v>
      </c>
      <c r="Z689" s="1"/>
      <c r="AA689" s="2">
        <f ca="1">DATE(2001,12,23)</f>
        <v>0</v>
      </c>
      <c r="AB689" s="1"/>
      <c r="AC689" s="3">
        <v>180</v>
      </c>
      <c r="AD689" s="1"/>
      <c r="AE689" s="1" t="s">
        <v>51</v>
      </c>
      <c r="AF689" s="1" t="s">
        <v>51</v>
      </c>
      <c r="AG689" s="1" t="s">
        <v>51</v>
      </c>
      <c r="AH689" s="1"/>
      <c r="AI689" s="1"/>
      <c r="AJ689" s="3">
        <v>1</v>
      </c>
      <c r="AK689" s="1" t="s">
        <v>52</v>
      </c>
      <c r="AL689" s="3">
        <v>3</v>
      </c>
      <c r="AM689" s="8">
        <v>15.01</v>
      </c>
      <c r="AN689" s="1"/>
      <c r="AO689" s="1" t="s">
        <v>4133</v>
      </c>
      <c r="AP689" s="1" t="s">
        <v>1583</v>
      </c>
      <c r="AQ689" s="1" t="s">
        <v>4134</v>
      </c>
      <c r="AR689" s="1" t="s">
        <v>4135</v>
      </c>
    </row>
    <row r="690">
      <c r="A690" s="2">
        <f ca="1">DATE(2001,05,21)</f>
        <v>0</v>
      </c>
      <c r="B690" s="2">
        <f ca="1">DATE(2001,06,26)</f>
        <v>0</v>
      </c>
      <c r="C690" s="1" t="s">
        <v>4136</v>
      </c>
      <c r="D690" s="3">
        <v>6726</v>
      </c>
      <c r="E690" s="1" t="s">
        <v>43</v>
      </c>
      <c r="F690" s="1" t="s">
        <v>4137</v>
      </c>
      <c r="G690" s="1" t="s">
        <v>1583</v>
      </c>
      <c r="H690" s="4">
        <v>0.67500000000000004</v>
      </c>
      <c r="I690" s="4">
        <v>4.5</v>
      </c>
      <c r="J690" s="5">
        <v>93</v>
      </c>
      <c r="K690" s="4">
        <v>15</v>
      </c>
      <c r="L690" s="1" t="s">
        <v>46</v>
      </c>
      <c r="M690" s="1" t="s">
        <v>47</v>
      </c>
      <c r="N690" s="1" t="s">
        <v>4138</v>
      </c>
      <c r="O690" s="1" t="s">
        <v>108</v>
      </c>
      <c r="P690" s="1" t="s">
        <v>4139</v>
      </c>
      <c r="Q690" s="4">
        <v>0.96699999999999997</v>
      </c>
      <c r="R690" s="4">
        <v>0.53300000000000003</v>
      </c>
      <c r="S690" s="8">
        <v>3</v>
      </c>
      <c r="T690" s="1" t="s">
        <v>50</v>
      </c>
      <c r="U690" s="8">
        <v>15</v>
      </c>
      <c r="V690" s="8">
        <v>15</v>
      </c>
      <c r="W690" s="7">
        <v>1000</v>
      </c>
      <c r="X690" s="5">
        <v>0</v>
      </c>
      <c r="Y690" s="7">
        <v>6200000</v>
      </c>
      <c r="Z690" s="1"/>
      <c r="AA690" s="2">
        <f ca="1">DATE(2001,12,23)</f>
        <v>0</v>
      </c>
      <c r="AB690" s="1"/>
      <c r="AC690" s="3">
        <v>180</v>
      </c>
      <c r="AD690" s="1"/>
      <c r="AE690" s="1" t="s">
        <v>51</v>
      </c>
      <c r="AF690" s="1" t="s">
        <v>51</v>
      </c>
      <c r="AG690" s="1" t="s">
        <v>51</v>
      </c>
      <c r="AH690" s="1"/>
      <c r="AI690" s="1"/>
      <c r="AJ690" s="3">
        <v>1</v>
      </c>
      <c r="AK690" s="1" t="s">
        <v>52</v>
      </c>
      <c r="AL690" s="3">
        <v>4</v>
      </c>
      <c r="AM690" s="8">
        <v>15</v>
      </c>
      <c r="AN690" s="1"/>
      <c r="AO690" s="1" t="s">
        <v>4140</v>
      </c>
      <c r="AP690" s="1" t="s">
        <v>1583</v>
      </c>
      <c r="AQ690" s="1" t="s">
        <v>4141</v>
      </c>
      <c r="AR690" s="1" t="s">
        <v>4142</v>
      </c>
    </row>
    <row r="691">
      <c r="A691" s="2">
        <f ca="1">DATE(2000,08,04)</f>
        <v>0</v>
      </c>
      <c r="B691" s="2">
        <f ca="1">DATE(2001,06,28)</f>
        <v>0</v>
      </c>
      <c r="C691" s="1" t="s">
        <v>4143</v>
      </c>
      <c r="D691" s="3">
        <v>3674</v>
      </c>
      <c r="E691" s="1" t="s">
        <v>43</v>
      </c>
      <c r="F691" s="1" t="s">
        <v>4144</v>
      </c>
      <c r="G691" s="1" t="s">
        <v>4145</v>
      </c>
      <c r="H691" s="4">
        <v>0.69999999999999996</v>
      </c>
      <c r="I691" s="8">
        <v>7</v>
      </c>
      <c r="J691" s="5">
        <v>50</v>
      </c>
      <c r="K691" s="4">
        <v>10</v>
      </c>
      <c r="L691" s="1" t="s">
        <v>46</v>
      </c>
      <c r="M691" s="1" t="s">
        <v>47</v>
      </c>
      <c r="N691" s="3">
        <v>609842109</v>
      </c>
      <c r="O691" s="1" t="s">
        <v>48</v>
      </c>
      <c r="P691" s="1" t="s">
        <v>4146</v>
      </c>
      <c r="Q691" s="4">
        <v>1.3999999999999999</v>
      </c>
      <c r="R691" s="4">
        <v>1.6000000000000001</v>
      </c>
      <c r="S691" s="8">
        <v>4</v>
      </c>
      <c r="T691" s="1" t="s">
        <v>50</v>
      </c>
      <c r="U691" s="1"/>
      <c r="V691" s="1"/>
      <c r="W691" s="1"/>
      <c r="X691" s="5">
        <v>50</v>
      </c>
      <c r="Y691" s="7">
        <v>5000000</v>
      </c>
      <c r="Z691" s="1"/>
      <c r="AA691" s="2">
        <f ca="1">DATE(2001,12,25)</f>
        <v>0</v>
      </c>
      <c r="AB691" s="4">
        <v>79.122</v>
      </c>
      <c r="AC691" s="3">
        <v>180</v>
      </c>
      <c r="AD691" s="8">
        <v>23463322</v>
      </c>
      <c r="AE691" s="1" t="s">
        <v>51</v>
      </c>
      <c r="AF691" s="1" t="s">
        <v>51</v>
      </c>
      <c r="AG691" s="1" t="s">
        <v>47</v>
      </c>
      <c r="AH691" s="1"/>
      <c r="AI691" s="1"/>
      <c r="AJ691" s="3">
        <v>1</v>
      </c>
      <c r="AK691" s="1" t="s">
        <v>89</v>
      </c>
      <c r="AL691" s="3">
        <v>2</v>
      </c>
      <c r="AM691" s="8">
        <v>11.050000000000001</v>
      </c>
      <c r="AN691" s="1"/>
      <c r="AO691" s="1" t="s">
        <v>4147</v>
      </c>
      <c r="AP691" s="1" t="s">
        <v>4148</v>
      </c>
      <c r="AQ691" s="1" t="s">
        <v>4149</v>
      </c>
      <c r="AR691" s="1" t="s">
        <v>4150</v>
      </c>
    </row>
    <row r="692">
      <c r="A692" s="2">
        <f ca="1">DATE(2001,04,27)</f>
        <v>0</v>
      </c>
      <c r="B692" s="2">
        <f ca="1">DATE(2001,07,13)</f>
        <v>0</v>
      </c>
      <c r="C692" s="1" t="s">
        <v>4151</v>
      </c>
      <c r="D692" s="3">
        <v>3842</v>
      </c>
      <c r="E692" s="1" t="s">
        <v>43</v>
      </c>
      <c r="F692" s="1" t="s">
        <v>4152</v>
      </c>
      <c r="G692" s="1" t="s">
        <v>400</v>
      </c>
      <c r="H692" s="4">
        <v>0.875</v>
      </c>
      <c r="I692" s="4">
        <v>7</v>
      </c>
      <c r="J692" s="5">
        <v>93.799999999999997</v>
      </c>
      <c r="K692" s="4">
        <v>12.5</v>
      </c>
      <c r="L692" s="1" t="s">
        <v>46</v>
      </c>
      <c r="M692" s="1" t="s">
        <v>47</v>
      </c>
      <c r="N692" s="1" t="s">
        <v>4153</v>
      </c>
      <c r="O692" s="1" t="s">
        <v>48</v>
      </c>
      <c r="P692" s="1" t="s">
        <v>4154</v>
      </c>
      <c r="Q692" s="4">
        <v>1.3999999999999999</v>
      </c>
      <c r="R692" s="4">
        <v>1.3999999999999999</v>
      </c>
      <c r="S692" s="8">
        <v>4.2000000000000002</v>
      </c>
      <c r="T692" s="1" t="s">
        <v>50</v>
      </c>
      <c r="U692" s="1"/>
      <c r="V692" s="1"/>
      <c r="W692" s="1"/>
      <c r="X692" s="5">
        <v>132.30000000000001</v>
      </c>
      <c r="Y692" s="7">
        <v>7500000</v>
      </c>
      <c r="Z692" s="1"/>
      <c r="AA692" s="2">
        <f ca="1">DATE(2002,01,08)</f>
        <v>0</v>
      </c>
      <c r="AB692" s="4">
        <v>73.194999999999993</v>
      </c>
      <c r="AC692" s="3">
        <v>180</v>
      </c>
      <c r="AD692" s="8">
        <v>20479704</v>
      </c>
      <c r="AE692" s="1" t="s">
        <v>51</v>
      </c>
      <c r="AF692" s="1" t="s">
        <v>51</v>
      </c>
      <c r="AG692" s="1" t="s">
        <v>47</v>
      </c>
      <c r="AH692" s="1"/>
      <c r="AI692" s="1" t="s">
        <v>2747</v>
      </c>
      <c r="AJ692" s="3">
        <v>1</v>
      </c>
      <c r="AK692" s="1" t="s">
        <v>52</v>
      </c>
      <c r="AL692" s="3">
        <v>3</v>
      </c>
      <c r="AM692" s="8">
        <v>15.609999999999999</v>
      </c>
      <c r="AN692" s="1"/>
      <c r="AO692" s="1" t="s">
        <v>4155</v>
      </c>
      <c r="AP692" s="1" t="s">
        <v>400</v>
      </c>
      <c r="AQ692" s="1" t="s">
        <v>4156</v>
      </c>
      <c r="AR692" s="1" t="s">
        <v>4157</v>
      </c>
    </row>
    <row r="693">
      <c r="A693" s="2">
        <f ca="1">DATE(2001,04,19)</f>
        <v>0</v>
      </c>
      <c r="B693" s="2">
        <f ca="1">DATE(2001,07,18)</f>
        <v>0</v>
      </c>
      <c r="C693" s="1" t="s">
        <v>4158</v>
      </c>
      <c r="D693" s="3">
        <v>7379</v>
      </c>
      <c r="E693" s="1" t="s">
        <v>517</v>
      </c>
      <c r="F693" s="1" t="s">
        <v>4159</v>
      </c>
      <c r="G693" s="1" t="s">
        <v>4160</v>
      </c>
      <c r="H693" s="4">
        <v>0.68000000000000005</v>
      </c>
      <c r="I693" s="8">
        <v>4.6900000000000004</v>
      </c>
      <c r="J693" s="9">
        <v>1396.5</v>
      </c>
      <c r="K693" s="4">
        <v>14.5</v>
      </c>
      <c r="L693" s="1" t="s">
        <v>152</v>
      </c>
      <c r="M693" s="1" t="s">
        <v>47</v>
      </c>
      <c r="N693" s="1" t="s">
        <v>4161</v>
      </c>
      <c r="O693" s="1" t="s">
        <v>108</v>
      </c>
      <c r="P693" s="1" t="s">
        <v>4162</v>
      </c>
      <c r="Q693" s="4">
        <v>0.93100000000000005</v>
      </c>
      <c r="R693" s="4">
        <v>0.93100000000000005</v>
      </c>
      <c r="S693" s="6">
        <v>2.8275899999999998</v>
      </c>
      <c r="T693" s="1" t="s">
        <v>50</v>
      </c>
      <c r="U693" s="1"/>
      <c r="V693" s="1"/>
      <c r="W693" s="1"/>
      <c r="X693" s="9">
        <v>1000</v>
      </c>
      <c r="Y693" s="7">
        <v>96307362</v>
      </c>
      <c r="Z693" s="1"/>
      <c r="AA693" s="1"/>
      <c r="AB693" s="1"/>
      <c r="AC693" s="1"/>
      <c r="AD693" s="1"/>
      <c r="AE693" s="1" t="s">
        <v>51</v>
      </c>
      <c r="AF693" s="1" t="s">
        <v>51</v>
      </c>
      <c r="AG693" s="1" t="s">
        <v>51</v>
      </c>
      <c r="AH693" s="1"/>
      <c r="AI693" s="1"/>
      <c r="AJ693" s="3">
        <v>2</v>
      </c>
      <c r="AK693" s="1" t="s">
        <v>89</v>
      </c>
      <c r="AL693" s="3">
        <v>11</v>
      </c>
      <c r="AM693" s="8">
        <v>15.17</v>
      </c>
      <c r="AN693" s="1"/>
      <c r="AO693" s="1" t="s">
        <v>4163</v>
      </c>
      <c r="AP693" s="1" t="s">
        <v>4164</v>
      </c>
      <c r="AQ693" s="1" t="s">
        <v>4165</v>
      </c>
      <c r="AR693" s="1" t="s">
        <v>4166</v>
      </c>
    </row>
    <row r="694">
      <c r="A694" s="2">
        <f ca="1">DATE(2001,04,19)</f>
        <v>0</v>
      </c>
      <c r="B694" s="2">
        <f ca="1">DATE(2001,07,18)</f>
        <v>0</v>
      </c>
      <c r="C694" s="1" t="s">
        <v>4158</v>
      </c>
      <c r="D694" s="3">
        <v>7379</v>
      </c>
      <c r="E694" s="1" t="s">
        <v>517</v>
      </c>
      <c r="F694" s="1" t="s">
        <v>4159</v>
      </c>
      <c r="G694" s="1" t="s">
        <v>4160</v>
      </c>
      <c r="H694" s="4">
        <v>0.68000000000000005</v>
      </c>
      <c r="I694" s="4">
        <v>4.6900000000000004</v>
      </c>
      <c r="J694" s="5">
        <v>248.90000000000001</v>
      </c>
      <c r="K694" s="8">
        <v>14.5</v>
      </c>
      <c r="L694" s="1" t="s">
        <v>58</v>
      </c>
      <c r="M694" s="1" t="s">
        <v>47</v>
      </c>
      <c r="N694" s="1" t="s">
        <v>4161</v>
      </c>
      <c r="O694" s="1" t="s">
        <v>108</v>
      </c>
      <c r="P694" s="1" t="s">
        <v>4167</v>
      </c>
      <c r="Q694" s="1" t="s">
        <v>145</v>
      </c>
      <c r="R694" s="1" t="s">
        <v>145</v>
      </c>
      <c r="S694" s="1"/>
      <c r="T694" s="1" t="s">
        <v>60</v>
      </c>
      <c r="U694" s="1"/>
      <c r="V694" s="1"/>
      <c r="W694" s="1"/>
      <c r="X694" s="1"/>
      <c r="Y694" s="7">
        <v>17162638</v>
      </c>
      <c r="Z694" s="1"/>
      <c r="AA694" s="1"/>
      <c r="AB694" s="1"/>
      <c r="AC694" s="1"/>
      <c r="AD694" s="1"/>
      <c r="AE694" s="1" t="s">
        <v>51</v>
      </c>
      <c r="AF694" s="1" t="s">
        <v>51</v>
      </c>
      <c r="AG694" s="1" t="s">
        <v>51</v>
      </c>
      <c r="AH694" s="1"/>
      <c r="AI694" s="1"/>
      <c r="AJ694" s="3">
        <v>2</v>
      </c>
      <c r="AK694" s="1" t="s">
        <v>89</v>
      </c>
      <c r="AL694" s="3">
        <v>2</v>
      </c>
      <c r="AM694" s="1"/>
      <c r="AN694" s="1"/>
      <c r="AO694" s="1" t="s">
        <v>4168</v>
      </c>
      <c r="AP694" s="1" t="s">
        <v>4164</v>
      </c>
      <c r="AQ694" s="1" t="s">
        <v>4169</v>
      </c>
      <c r="AR694" s="1" t="s">
        <v>4170</v>
      </c>
    </row>
    <row r="695">
      <c r="A695" s="2">
        <f ca="1">DATE(2001,04,19)</f>
        <v>0</v>
      </c>
      <c r="B695" s="2">
        <f ca="1">DATE(2001,07,18)</f>
        <v>0</v>
      </c>
      <c r="C695" s="1" t="s">
        <v>4158</v>
      </c>
      <c r="D695" s="3">
        <v>7379</v>
      </c>
      <c r="E695" s="1" t="s">
        <v>517</v>
      </c>
      <c r="F695" s="1" t="s">
        <v>4159</v>
      </c>
      <c r="G695" s="1" t="s">
        <v>4171</v>
      </c>
      <c r="H695" s="4">
        <v>0.68000000000000005</v>
      </c>
      <c r="I695" s="4">
        <v>4.6900000000000004</v>
      </c>
      <c r="J695" s="5">
        <v>22.199999999999999</v>
      </c>
      <c r="K695" s="8">
        <v>14.5</v>
      </c>
      <c r="L695" s="1" t="s">
        <v>58</v>
      </c>
      <c r="M695" s="1" t="s">
        <v>47</v>
      </c>
      <c r="N695" s="1" t="s">
        <v>4161</v>
      </c>
      <c r="O695" s="1" t="s">
        <v>108</v>
      </c>
      <c r="P695" s="1" t="s">
        <v>4172</v>
      </c>
      <c r="Q695" s="1" t="s">
        <v>145</v>
      </c>
      <c r="R695" s="1" t="s">
        <v>145</v>
      </c>
      <c r="S695" s="1"/>
      <c r="T695" s="1" t="s">
        <v>60</v>
      </c>
      <c r="U695" s="1"/>
      <c r="V695" s="1"/>
      <c r="W695" s="1"/>
      <c r="X695" s="1"/>
      <c r="Y695" s="7">
        <v>1530000</v>
      </c>
      <c r="Z695" s="1"/>
      <c r="AA695" s="1"/>
      <c r="AB695" s="1"/>
      <c r="AC695" s="1"/>
      <c r="AD695" s="1"/>
      <c r="AE695" s="1" t="s">
        <v>51</v>
      </c>
      <c r="AF695" s="1" t="s">
        <v>51</v>
      </c>
      <c r="AG695" s="1" t="s">
        <v>51</v>
      </c>
      <c r="AH695" s="1"/>
      <c r="AI695" s="1"/>
      <c r="AJ695" s="3">
        <v>2</v>
      </c>
      <c r="AK695" s="1" t="s">
        <v>89</v>
      </c>
      <c r="AL695" s="3">
        <v>2</v>
      </c>
      <c r="AM695" s="1"/>
      <c r="AN695" s="1"/>
      <c r="AO695" s="1" t="s">
        <v>4173</v>
      </c>
      <c r="AP695" s="1" t="s">
        <v>4174</v>
      </c>
      <c r="AQ695" s="1" t="s">
        <v>4175</v>
      </c>
      <c r="AR695" s="1" t="s">
        <v>4176</v>
      </c>
    </row>
    <row r="696">
      <c r="A696" s="2">
        <f ca="1">DATE(2000,08,18)</f>
        <v>0</v>
      </c>
      <c r="B696" s="2">
        <f ca="1">DATE(2001,07,19)</f>
        <v>0</v>
      </c>
      <c r="C696" s="1" t="s">
        <v>4177</v>
      </c>
      <c r="D696" s="3">
        <v>3845</v>
      </c>
      <c r="E696" s="1" t="s">
        <v>43</v>
      </c>
      <c r="F696" s="1" t="s">
        <v>4178</v>
      </c>
      <c r="G696" s="1" t="s">
        <v>1479</v>
      </c>
      <c r="H696" s="4">
        <v>0.77000000000000002</v>
      </c>
      <c r="I696" s="4">
        <v>7</v>
      </c>
      <c r="J696" s="5">
        <v>55</v>
      </c>
      <c r="K696" s="4">
        <v>11</v>
      </c>
      <c r="L696" s="1" t="s">
        <v>46</v>
      </c>
      <c r="M696" s="1" t="s">
        <v>47</v>
      </c>
      <c r="N696" s="3">
        <v>639050103</v>
      </c>
      <c r="O696" s="1" t="s">
        <v>48</v>
      </c>
      <c r="P696" s="1" t="s">
        <v>4179</v>
      </c>
      <c r="Q696" s="4">
        <v>1.409</v>
      </c>
      <c r="R696" s="4">
        <v>1.409</v>
      </c>
      <c r="S696" s="6">
        <v>4.1818200000000001</v>
      </c>
      <c r="T696" s="1" t="s">
        <v>50</v>
      </c>
      <c r="U696" s="1"/>
      <c r="V696" s="1"/>
      <c r="W696" s="1"/>
      <c r="X696" s="5">
        <v>50.600000000000001</v>
      </c>
      <c r="Y696" s="7">
        <v>5000000</v>
      </c>
      <c r="Z696" s="1"/>
      <c r="AA696" s="2">
        <f ca="1">DATE(2002,01,15)</f>
        <v>0</v>
      </c>
      <c r="AB696" s="4">
        <v>66.248000000000005</v>
      </c>
      <c r="AC696" s="3">
        <v>180</v>
      </c>
      <c r="AD696" s="8">
        <v>9828334</v>
      </c>
      <c r="AE696" s="1" t="s">
        <v>51</v>
      </c>
      <c r="AF696" s="1" t="s">
        <v>51</v>
      </c>
      <c r="AG696" s="1" t="s">
        <v>47</v>
      </c>
      <c r="AH696" s="1"/>
      <c r="AI696" s="1"/>
      <c r="AJ696" s="3">
        <v>1</v>
      </c>
      <c r="AK696" s="1" t="s">
        <v>52</v>
      </c>
      <c r="AL696" s="3">
        <v>3</v>
      </c>
      <c r="AM696" s="8">
        <v>14.449999999999999</v>
      </c>
      <c r="AN696" s="1"/>
      <c r="AO696" s="1" t="s">
        <v>4180</v>
      </c>
      <c r="AP696" s="1" t="s">
        <v>1479</v>
      </c>
      <c r="AQ696" s="1" t="s">
        <v>4181</v>
      </c>
      <c r="AR696" s="1" t="s">
        <v>4182</v>
      </c>
    </row>
    <row r="697">
      <c r="A697" s="2">
        <f ca="1">DATE(2001,07,12)</f>
        <v>0</v>
      </c>
      <c r="B697" s="2">
        <f ca="1">DATE(2001,07,20)</f>
        <v>0</v>
      </c>
      <c r="C697" s="1" t="s">
        <v>4183</v>
      </c>
      <c r="D697" s="3">
        <v>6000</v>
      </c>
      <c r="E697" s="1" t="s">
        <v>1806</v>
      </c>
      <c r="F697" s="1" t="s">
        <v>4184</v>
      </c>
      <c r="G697" s="1" t="s">
        <v>4185</v>
      </c>
      <c r="H697" s="4">
        <v>0.55300000000000005</v>
      </c>
      <c r="I697" s="4">
        <v>4</v>
      </c>
      <c r="J697" s="5">
        <v>75</v>
      </c>
      <c r="K697" s="4">
        <v>13.83</v>
      </c>
      <c r="L697" s="1" t="s">
        <v>651</v>
      </c>
      <c r="M697" s="1" t="s">
        <v>47</v>
      </c>
      <c r="N697" s="1" t="s">
        <v>4186</v>
      </c>
      <c r="O697" s="1" t="s">
        <v>108</v>
      </c>
      <c r="P697" s="1" t="s">
        <v>4187</v>
      </c>
      <c r="Q697" s="8">
        <v>0.80000000000000004</v>
      </c>
      <c r="R697" s="4">
        <v>0.80000000000000004</v>
      </c>
      <c r="S697" s="6">
        <v>2.3998599999999999</v>
      </c>
      <c r="T697" s="1" t="s">
        <v>50</v>
      </c>
      <c r="U697" s="8">
        <v>0.029999999999999999</v>
      </c>
      <c r="V697" s="1"/>
      <c r="W697" s="7">
        <v>11169025</v>
      </c>
      <c r="X697" s="5">
        <v>0.29999999999999999</v>
      </c>
      <c r="Y697" s="7">
        <v>5422993</v>
      </c>
      <c r="Z697" s="1"/>
      <c r="AA697" s="1"/>
      <c r="AB697" s="1"/>
      <c r="AC697" s="1"/>
      <c r="AD697" s="1"/>
      <c r="AE697" s="1" t="s">
        <v>47</v>
      </c>
      <c r="AF697" s="1" t="s">
        <v>51</v>
      </c>
      <c r="AG697" s="1" t="s">
        <v>51</v>
      </c>
      <c r="AH697" s="1"/>
      <c r="AI697" s="1"/>
      <c r="AJ697" s="3">
        <v>2</v>
      </c>
      <c r="AK697" s="1" t="s">
        <v>89</v>
      </c>
      <c r="AL697" s="3">
        <v>5</v>
      </c>
      <c r="AM697" s="8">
        <v>14.66</v>
      </c>
      <c r="AN697" s="1"/>
      <c r="AO697" s="1" t="s">
        <v>4188</v>
      </c>
      <c r="AP697" s="1" t="s">
        <v>4189</v>
      </c>
      <c r="AQ697" s="1" t="s">
        <v>4190</v>
      </c>
      <c r="AR697" s="1" t="s">
        <v>4191</v>
      </c>
    </row>
    <row r="698">
      <c r="A698" s="2">
        <f ca="1">DATE(2001,05,04)</f>
        <v>0</v>
      </c>
      <c r="B698" s="2">
        <f ca="1">DATE(2001,07,23)</f>
        <v>0</v>
      </c>
      <c r="C698" s="1" t="s">
        <v>4192</v>
      </c>
      <c r="D698" s="3">
        <v>8062</v>
      </c>
      <c r="E698" s="1" t="s">
        <v>43</v>
      </c>
      <c r="F698" s="1" t="s">
        <v>4193</v>
      </c>
      <c r="G698" s="1" t="s">
        <v>4194</v>
      </c>
      <c r="H698" s="4">
        <v>1.75</v>
      </c>
      <c r="I698" s="4">
        <v>7</v>
      </c>
      <c r="J698" s="5">
        <v>150</v>
      </c>
      <c r="K698" s="4">
        <v>25</v>
      </c>
      <c r="L698" s="1" t="s">
        <v>46</v>
      </c>
      <c r="M698" s="1" t="s">
        <v>47</v>
      </c>
      <c r="N698" s="1" t="s">
        <v>4195</v>
      </c>
      <c r="O698" s="1" t="s">
        <v>48</v>
      </c>
      <c r="P698" s="1" t="s">
        <v>4196</v>
      </c>
      <c r="Q698" s="4">
        <v>1.3999999999999999</v>
      </c>
      <c r="R698" s="4">
        <v>1.3999999999999999</v>
      </c>
      <c r="S698" s="8">
        <v>4.2000000000000002</v>
      </c>
      <c r="T698" s="1" t="s">
        <v>50</v>
      </c>
      <c r="U698" s="1"/>
      <c r="V698" s="1"/>
      <c r="W698" s="7">
        <v>6000000</v>
      </c>
      <c r="X698" s="5">
        <v>172.5</v>
      </c>
      <c r="Y698" s="7">
        <v>6000000</v>
      </c>
      <c r="Z698" s="1"/>
      <c r="AA698" s="2">
        <f ca="1">DATE(2002,01,19)</f>
        <v>0</v>
      </c>
      <c r="AB698" s="4">
        <v>66.620999999999995</v>
      </c>
      <c r="AC698" s="3">
        <v>180</v>
      </c>
      <c r="AD698" s="8">
        <v>11975526</v>
      </c>
      <c r="AE698" s="1" t="s">
        <v>51</v>
      </c>
      <c r="AF698" s="1" t="s">
        <v>51</v>
      </c>
      <c r="AG698" s="1" t="s">
        <v>51</v>
      </c>
      <c r="AH698" s="1"/>
      <c r="AI698" s="1"/>
      <c r="AJ698" s="3">
        <v>2</v>
      </c>
      <c r="AK698" s="1" t="s">
        <v>89</v>
      </c>
      <c r="AL698" s="3">
        <v>4</v>
      </c>
      <c r="AM698" s="8">
        <v>25.870000000000001</v>
      </c>
      <c r="AN698" s="1"/>
      <c r="AO698" s="1" t="s">
        <v>4197</v>
      </c>
      <c r="AP698" s="1" t="s">
        <v>4198</v>
      </c>
      <c r="AQ698" s="1" t="s">
        <v>4199</v>
      </c>
      <c r="AR698" s="1" t="s">
        <v>4200</v>
      </c>
    </row>
    <row r="699">
      <c r="A699" s="2">
        <f ca="1">DATE(2001,03,14)</f>
        <v>0</v>
      </c>
      <c r="B699" s="2">
        <f ca="1">DATE(2001,07,25)</f>
        <v>0</v>
      </c>
      <c r="C699" s="1" t="s">
        <v>4201</v>
      </c>
      <c r="D699" s="3">
        <v>5963</v>
      </c>
      <c r="E699" s="1" t="s">
        <v>43</v>
      </c>
      <c r="F699" s="1" t="s">
        <v>4202</v>
      </c>
      <c r="G699" s="1" t="s">
        <v>4145</v>
      </c>
      <c r="H699" s="4">
        <v>1.54</v>
      </c>
      <c r="I699" s="4">
        <v>7</v>
      </c>
      <c r="J699" s="5">
        <v>35.200000000000003</v>
      </c>
      <c r="K699" s="4">
        <v>22</v>
      </c>
      <c r="L699" s="1" t="s">
        <v>85</v>
      </c>
      <c r="M699" s="1" t="s">
        <v>47</v>
      </c>
      <c r="N699" s="3">
        <v>456615103</v>
      </c>
      <c r="O699" s="1" t="s">
        <v>108</v>
      </c>
      <c r="P699" s="1" t="s">
        <v>4203</v>
      </c>
      <c r="Q699" s="4">
        <v>1.409</v>
      </c>
      <c r="R699" s="4">
        <v>1.5449999999999999</v>
      </c>
      <c r="S699" s="6">
        <v>4.0454499999999998</v>
      </c>
      <c r="T699" s="1" t="s">
        <v>50</v>
      </c>
      <c r="U699" s="8">
        <v>21</v>
      </c>
      <c r="V699" s="8">
        <v>19</v>
      </c>
      <c r="W699" s="7">
        <v>1500000</v>
      </c>
      <c r="X699" s="5">
        <v>30</v>
      </c>
      <c r="Y699" s="7">
        <v>1600000</v>
      </c>
      <c r="Z699" s="1"/>
      <c r="AA699" s="2">
        <f ca="1">DATE(2002,01,21)</f>
        <v>0</v>
      </c>
      <c r="AB699" s="4">
        <v>52.392000000000003</v>
      </c>
      <c r="AC699" s="3">
        <v>180</v>
      </c>
      <c r="AD699" s="8">
        <v>2035909</v>
      </c>
      <c r="AE699" s="1" t="s">
        <v>51</v>
      </c>
      <c r="AF699" s="1" t="s">
        <v>47</v>
      </c>
      <c r="AG699" s="1" t="s">
        <v>47</v>
      </c>
      <c r="AH699" s="1"/>
      <c r="AI699" s="1"/>
      <c r="AJ699" s="3">
        <v>1</v>
      </c>
      <c r="AK699" s="1" t="s">
        <v>52</v>
      </c>
      <c r="AL699" s="3">
        <v>3</v>
      </c>
      <c r="AM699" s="8">
        <v>23.5</v>
      </c>
      <c r="AN699" s="1"/>
      <c r="AO699" s="1" t="s">
        <v>4204</v>
      </c>
      <c r="AP699" s="1" t="s">
        <v>4145</v>
      </c>
      <c r="AQ699" s="1" t="s">
        <v>4205</v>
      </c>
      <c r="AR699" s="1" t="s">
        <v>4203</v>
      </c>
    </row>
    <row r="700">
      <c r="A700" s="2">
        <f ca="1">DATE(2001,07,02)</f>
        <v>0</v>
      </c>
      <c r="B700" s="2">
        <f ca="1">DATE(2001,07,26)</f>
        <v>0</v>
      </c>
      <c r="C700" s="1" t="s">
        <v>4206</v>
      </c>
      <c r="D700" s="3">
        <v>8071</v>
      </c>
      <c r="E700" s="1" t="s">
        <v>43</v>
      </c>
      <c r="F700" s="1" t="s">
        <v>4207</v>
      </c>
      <c r="G700" s="1" t="s">
        <v>4208</v>
      </c>
      <c r="H700" s="4">
        <v>0.91000000000000003</v>
      </c>
      <c r="I700" s="4">
        <v>7</v>
      </c>
      <c r="J700" s="5">
        <v>121.90000000000001</v>
      </c>
      <c r="K700" s="4">
        <v>13</v>
      </c>
      <c r="L700" s="1" t="s">
        <v>46</v>
      </c>
      <c r="M700" s="1" t="s">
        <v>47</v>
      </c>
      <c r="N700" s="1" t="s">
        <v>4209</v>
      </c>
      <c r="O700" s="1" t="s">
        <v>108</v>
      </c>
      <c r="P700" s="1" t="s">
        <v>4210</v>
      </c>
      <c r="Q700" s="1" t="s">
        <v>145</v>
      </c>
      <c r="R700" s="1" t="s">
        <v>145</v>
      </c>
      <c r="S700" s="1"/>
      <c r="T700" s="1" t="s">
        <v>50</v>
      </c>
      <c r="U700" s="8">
        <v>17</v>
      </c>
      <c r="V700" s="8">
        <v>15</v>
      </c>
      <c r="W700" s="7">
        <v>9375000</v>
      </c>
      <c r="X700" s="5">
        <v>150</v>
      </c>
      <c r="Y700" s="7">
        <v>9375000</v>
      </c>
      <c r="Z700" s="1"/>
      <c r="AA700" s="1" t="s">
        <v>4211</v>
      </c>
      <c r="AB700" s="1" t="s">
        <v>4212</v>
      </c>
      <c r="AC700" s="1" t="s">
        <v>3966</v>
      </c>
      <c r="AD700" s="1" t="s">
        <v>4213</v>
      </c>
      <c r="AE700" s="1" t="s">
        <v>51</v>
      </c>
      <c r="AF700" s="1" t="s">
        <v>51</v>
      </c>
      <c r="AG700" s="1" t="s">
        <v>51</v>
      </c>
      <c r="AH700" s="1"/>
      <c r="AI700" s="1"/>
      <c r="AJ700" s="3">
        <v>2</v>
      </c>
      <c r="AK700" s="1" t="s">
        <v>89</v>
      </c>
      <c r="AL700" s="3">
        <v>4</v>
      </c>
      <c r="AM700" s="8">
        <v>13.15</v>
      </c>
      <c r="AN700" s="1"/>
      <c r="AO700" s="1" t="s">
        <v>4214</v>
      </c>
      <c r="AP700" s="1" t="s">
        <v>4215</v>
      </c>
      <c r="AQ700" s="1" t="s">
        <v>4216</v>
      </c>
      <c r="AR700" s="1" t="s">
        <v>4217</v>
      </c>
    </row>
    <row r="701">
      <c r="A701" s="2">
        <f ca="1">DATE(2001,04,03)</f>
        <v>0</v>
      </c>
      <c r="B701" s="2">
        <f ca="1">DATE(2001,07,26)</f>
        <v>0</v>
      </c>
      <c r="C701" s="1" t="s">
        <v>4218</v>
      </c>
      <c r="D701" s="3">
        <v>6726</v>
      </c>
      <c r="E701" s="1" t="s">
        <v>43</v>
      </c>
      <c r="F701" s="1" t="s">
        <v>4219</v>
      </c>
      <c r="G701" s="1" t="s">
        <v>4220</v>
      </c>
      <c r="H701" s="4">
        <v>0.67500000000000004</v>
      </c>
      <c r="I701" s="4">
        <v>4.5</v>
      </c>
      <c r="J701" s="5">
        <v>195</v>
      </c>
      <c r="K701" s="4">
        <v>15</v>
      </c>
      <c r="L701" s="1" t="s">
        <v>46</v>
      </c>
      <c r="M701" s="1" t="s">
        <v>47</v>
      </c>
      <c r="N701" s="1" t="s">
        <v>4221</v>
      </c>
      <c r="O701" s="1" t="s">
        <v>108</v>
      </c>
      <c r="P701" s="1" t="s">
        <v>4222</v>
      </c>
      <c r="Q701" s="1" t="s">
        <v>145</v>
      </c>
      <c r="R701" s="1" t="s">
        <v>145</v>
      </c>
      <c r="S701" s="1"/>
      <c r="T701" s="1" t="s">
        <v>50</v>
      </c>
      <c r="U701" s="8">
        <v>15</v>
      </c>
      <c r="V701" s="8">
        <v>15</v>
      </c>
      <c r="W701" s="7">
        <v>100000</v>
      </c>
      <c r="X701" s="5">
        <v>1.5</v>
      </c>
      <c r="Y701" s="7">
        <v>13000000</v>
      </c>
      <c r="Z701" s="1"/>
      <c r="AA701" s="2">
        <f ca="1">DATE(2002,01,22)</f>
        <v>0</v>
      </c>
      <c r="AB701" s="1"/>
      <c r="AC701" s="3">
        <v>180</v>
      </c>
      <c r="AD701" s="1"/>
      <c r="AE701" s="1" t="s">
        <v>51</v>
      </c>
      <c r="AF701" s="1" t="s">
        <v>51</v>
      </c>
      <c r="AG701" s="1" t="s">
        <v>51</v>
      </c>
      <c r="AH701" s="1"/>
      <c r="AI701" s="1"/>
      <c r="AJ701" s="3">
        <v>2</v>
      </c>
      <c r="AK701" s="1" t="s">
        <v>89</v>
      </c>
      <c r="AL701" s="3">
        <v>8</v>
      </c>
      <c r="AM701" s="1"/>
      <c r="AN701" s="1"/>
      <c r="AO701" s="1" t="s">
        <v>4223</v>
      </c>
      <c r="AP701" s="1" t="s">
        <v>4224</v>
      </c>
      <c r="AQ701" s="1" t="s">
        <v>4225</v>
      </c>
      <c r="AR701" s="1" t="s">
        <v>4226</v>
      </c>
    </row>
    <row r="702">
      <c r="A702" s="2">
        <f ca="1">DATE(2001,04,03)</f>
        <v>0</v>
      </c>
      <c r="B702" s="2">
        <f ca="1">DATE(2001,07,26)</f>
        <v>0</v>
      </c>
      <c r="C702" s="1" t="s">
        <v>4227</v>
      </c>
      <c r="D702" s="3">
        <v>6726</v>
      </c>
      <c r="E702" s="1" t="s">
        <v>43</v>
      </c>
      <c r="F702" s="1" t="s">
        <v>4228</v>
      </c>
      <c r="G702" s="1" t="s">
        <v>4220</v>
      </c>
      <c r="H702" s="4">
        <v>0.67500000000000004</v>
      </c>
      <c r="I702" s="4">
        <v>4.5</v>
      </c>
      <c r="J702" s="5">
        <v>566.29999999999995</v>
      </c>
      <c r="K702" s="4">
        <v>15</v>
      </c>
      <c r="L702" s="1" t="s">
        <v>46</v>
      </c>
      <c r="M702" s="1" t="s">
        <v>47</v>
      </c>
      <c r="N702" s="1" t="s">
        <v>4229</v>
      </c>
      <c r="O702" s="1" t="s">
        <v>108</v>
      </c>
      <c r="P702" s="1" t="s">
        <v>4230</v>
      </c>
      <c r="Q702" s="1" t="s">
        <v>145</v>
      </c>
      <c r="R702" s="1" t="s">
        <v>145</v>
      </c>
      <c r="S702" s="1"/>
      <c r="T702" s="1" t="s">
        <v>50</v>
      </c>
      <c r="U702" s="8">
        <v>15</v>
      </c>
      <c r="V702" s="8">
        <v>15</v>
      </c>
      <c r="W702" s="7">
        <v>100000</v>
      </c>
      <c r="X702" s="5">
        <v>1.5</v>
      </c>
      <c r="Y702" s="7">
        <v>37750000</v>
      </c>
      <c r="Z702" s="1"/>
      <c r="AA702" s="1"/>
      <c r="AB702" s="1"/>
      <c r="AC702" s="1"/>
      <c r="AD702" s="1"/>
      <c r="AE702" s="1" t="s">
        <v>51</v>
      </c>
      <c r="AF702" s="1" t="s">
        <v>51</v>
      </c>
      <c r="AG702" s="1" t="s">
        <v>51</v>
      </c>
      <c r="AH702" s="1"/>
      <c r="AI702" s="1"/>
      <c r="AJ702" s="3">
        <v>2</v>
      </c>
      <c r="AK702" s="1" t="s">
        <v>89</v>
      </c>
      <c r="AL702" s="3">
        <v>9</v>
      </c>
      <c r="AM702" s="1"/>
      <c r="AN702" s="1"/>
      <c r="AO702" s="1" t="s">
        <v>4231</v>
      </c>
      <c r="AP702" s="1" t="s">
        <v>4224</v>
      </c>
      <c r="AQ702" s="1" t="s">
        <v>4232</v>
      </c>
      <c r="AR702" s="1" t="s">
        <v>4233</v>
      </c>
    </row>
    <row r="703">
      <c r="A703" s="2">
        <f ca="1">DATE(2001,04,03)</f>
        <v>0</v>
      </c>
      <c r="B703" s="2">
        <f ca="1">DATE(2001,07,26)</f>
        <v>0</v>
      </c>
      <c r="C703" s="1" t="s">
        <v>4234</v>
      </c>
      <c r="D703" s="3">
        <v>6726</v>
      </c>
      <c r="E703" s="1" t="s">
        <v>43</v>
      </c>
      <c r="F703" s="1" t="s">
        <v>4235</v>
      </c>
      <c r="G703" s="1" t="s">
        <v>4220</v>
      </c>
      <c r="H703" s="4">
        <v>0.67500000000000004</v>
      </c>
      <c r="I703" s="4">
        <v>4.5</v>
      </c>
      <c r="J703" s="5">
        <v>87</v>
      </c>
      <c r="K703" s="4">
        <v>15</v>
      </c>
      <c r="L703" s="1" t="s">
        <v>46</v>
      </c>
      <c r="M703" s="1" t="s">
        <v>47</v>
      </c>
      <c r="N703" s="1" t="s">
        <v>4236</v>
      </c>
      <c r="O703" s="1" t="s">
        <v>108</v>
      </c>
      <c r="P703" s="1" t="s">
        <v>4237</v>
      </c>
      <c r="Q703" s="1" t="s">
        <v>145</v>
      </c>
      <c r="R703" s="1" t="s">
        <v>145</v>
      </c>
      <c r="S703" s="1"/>
      <c r="T703" s="1" t="s">
        <v>50</v>
      </c>
      <c r="U703" s="8">
        <v>15</v>
      </c>
      <c r="V703" s="8">
        <v>15</v>
      </c>
      <c r="W703" s="7">
        <v>100000</v>
      </c>
      <c r="X703" s="5">
        <v>1.5</v>
      </c>
      <c r="Y703" s="7">
        <v>5800000</v>
      </c>
      <c r="Z703" s="1"/>
      <c r="AA703" s="2">
        <f ca="1">DATE(2002,01,22)</f>
        <v>0</v>
      </c>
      <c r="AB703" s="1"/>
      <c r="AC703" s="3">
        <v>180</v>
      </c>
      <c r="AD703" s="1"/>
      <c r="AE703" s="1" t="s">
        <v>51</v>
      </c>
      <c r="AF703" s="1" t="s">
        <v>51</v>
      </c>
      <c r="AG703" s="1" t="s">
        <v>51</v>
      </c>
      <c r="AH703" s="1"/>
      <c r="AI703" s="1"/>
      <c r="AJ703" s="3">
        <v>2</v>
      </c>
      <c r="AK703" s="1" t="s">
        <v>89</v>
      </c>
      <c r="AL703" s="3">
        <v>7</v>
      </c>
      <c r="AM703" s="1"/>
      <c r="AN703" s="1"/>
      <c r="AO703" s="1" t="s">
        <v>4238</v>
      </c>
      <c r="AP703" s="1" t="s">
        <v>4224</v>
      </c>
      <c r="AQ703" s="1" t="s">
        <v>4239</v>
      </c>
      <c r="AR703" s="1" t="s">
        <v>4240</v>
      </c>
    </row>
    <row r="704">
      <c r="A704" s="2">
        <f ca="1">DATE(2001,04,03)</f>
        <v>0</v>
      </c>
      <c r="B704" s="2">
        <f ca="1">DATE(2001,07,26)</f>
        <v>0</v>
      </c>
      <c r="C704" s="1" t="s">
        <v>4241</v>
      </c>
      <c r="D704" s="3">
        <v>6726</v>
      </c>
      <c r="E704" s="1" t="s">
        <v>43</v>
      </c>
      <c r="F704" s="1" t="s">
        <v>4242</v>
      </c>
      <c r="G704" s="1" t="s">
        <v>4220</v>
      </c>
      <c r="H704" s="4">
        <v>0.67500000000000004</v>
      </c>
      <c r="I704" s="4">
        <v>4.5</v>
      </c>
      <c r="J704" s="5">
        <v>96</v>
      </c>
      <c r="K704" s="4">
        <v>15</v>
      </c>
      <c r="L704" s="1" t="s">
        <v>46</v>
      </c>
      <c r="M704" s="1" t="s">
        <v>47</v>
      </c>
      <c r="N704" s="1" t="s">
        <v>4243</v>
      </c>
      <c r="O704" s="1" t="s">
        <v>108</v>
      </c>
      <c r="P704" s="1" t="s">
        <v>4244</v>
      </c>
      <c r="Q704" s="1" t="s">
        <v>145</v>
      </c>
      <c r="R704" s="1" t="s">
        <v>145</v>
      </c>
      <c r="S704" s="1"/>
      <c r="T704" s="1" t="s">
        <v>50</v>
      </c>
      <c r="U704" s="8">
        <v>15</v>
      </c>
      <c r="V704" s="8">
        <v>15</v>
      </c>
      <c r="W704" s="7">
        <v>100000</v>
      </c>
      <c r="X704" s="5">
        <v>1.5</v>
      </c>
      <c r="Y704" s="7">
        <v>6400000</v>
      </c>
      <c r="Z704" s="1"/>
      <c r="AA704" s="2">
        <f ca="1">DATE(2002,01,22)</f>
        <v>0</v>
      </c>
      <c r="AB704" s="1"/>
      <c r="AC704" s="3">
        <v>180</v>
      </c>
      <c r="AD704" s="1"/>
      <c r="AE704" s="1" t="s">
        <v>51</v>
      </c>
      <c r="AF704" s="1" t="s">
        <v>51</v>
      </c>
      <c r="AG704" s="1" t="s">
        <v>51</v>
      </c>
      <c r="AH704" s="1"/>
      <c r="AI704" s="1"/>
      <c r="AJ704" s="3">
        <v>2</v>
      </c>
      <c r="AK704" s="1" t="s">
        <v>89</v>
      </c>
      <c r="AL704" s="3">
        <v>8</v>
      </c>
      <c r="AM704" s="1"/>
      <c r="AN704" s="1"/>
      <c r="AO704" s="1" t="s">
        <v>4245</v>
      </c>
      <c r="AP704" s="1" t="s">
        <v>4224</v>
      </c>
      <c r="AQ704" s="1" t="s">
        <v>4246</v>
      </c>
      <c r="AR704" s="1" t="s">
        <v>4247</v>
      </c>
    </row>
    <row r="705">
      <c r="A705" s="2">
        <f ca="1">DATE(2001,04,03)</f>
        <v>0</v>
      </c>
      <c r="B705" s="2">
        <f ca="1">DATE(2001,07,26)</f>
        <v>0</v>
      </c>
      <c r="C705" s="1" t="s">
        <v>4248</v>
      </c>
      <c r="D705" s="3">
        <v>6726</v>
      </c>
      <c r="E705" s="1" t="s">
        <v>43</v>
      </c>
      <c r="F705" s="1" t="s">
        <v>4249</v>
      </c>
      <c r="G705" s="1" t="s">
        <v>4220</v>
      </c>
      <c r="H705" s="4">
        <v>0.67500000000000004</v>
      </c>
      <c r="I705" s="4">
        <v>4.5</v>
      </c>
      <c r="J705" s="5">
        <v>162</v>
      </c>
      <c r="K705" s="4">
        <v>15</v>
      </c>
      <c r="L705" s="1" t="s">
        <v>46</v>
      </c>
      <c r="M705" s="1" t="s">
        <v>47</v>
      </c>
      <c r="N705" s="1" t="s">
        <v>4250</v>
      </c>
      <c r="O705" s="1" t="s">
        <v>108</v>
      </c>
      <c r="P705" s="1" t="s">
        <v>4251</v>
      </c>
      <c r="Q705" s="1" t="s">
        <v>145</v>
      </c>
      <c r="R705" s="1" t="s">
        <v>145</v>
      </c>
      <c r="S705" s="1"/>
      <c r="T705" s="1" t="s">
        <v>50</v>
      </c>
      <c r="U705" s="8">
        <v>15</v>
      </c>
      <c r="V705" s="8">
        <v>15</v>
      </c>
      <c r="W705" s="7">
        <v>100000</v>
      </c>
      <c r="X705" s="5">
        <v>1.5</v>
      </c>
      <c r="Y705" s="7">
        <v>10800000</v>
      </c>
      <c r="Z705" s="1"/>
      <c r="AA705" s="2">
        <f ca="1">DATE(2002,01,22)</f>
        <v>0</v>
      </c>
      <c r="AB705" s="1"/>
      <c r="AC705" s="3">
        <v>180</v>
      </c>
      <c r="AD705" s="1"/>
      <c r="AE705" s="1" t="s">
        <v>51</v>
      </c>
      <c r="AF705" s="1" t="s">
        <v>51</v>
      </c>
      <c r="AG705" s="1" t="s">
        <v>51</v>
      </c>
      <c r="AH705" s="1"/>
      <c r="AI705" s="1"/>
      <c r="AJ705" s="3">
        <v>2</v>
      </c>
      <c r="AK705" s="1" t="s">
        <v>110</v>
      </c>
      <c r="AL705" s="3">
        <v>8</v>
      </c>
      <c r="AM705" s="1"/>
      <c r="AN705" s="1"/>
      <c r="AO705" s="1" t="s">
        <v>4252</v>
      </c>
      <c r="AP705" s="1" t="s">
        <v>4253</v>
      </c>
      <c r="AQ705" s="1" t="s">
        <v>4254</v>
      </c>
      <c r="AR705" s="1" t="s">
        <v>4255</v>
      </c>
    </row>
    <row r="706">
      <c r="A706" s="2">
        <f ca="1">DATE(2000,08,07)</f>
        <v>0</v>
      </c>
      <c r="B706" s="2">
        <f ca="1">DATE(2001,07,26)</f>
        <v>0</v>
      </c>
      <c r="C706" s="1" t="s">
        <v>4256</v>
      </c>
      <c r="D706" s="3">
        <v>7371</v>
      </c>
      <c r="E706" s="1" t="s">
        <v>43</v>
      </c>
      <c r="F706" s="1" t="s">
        <v>4257</v>
      </c>
      <c r="G706" s="1" t="s">
        <v>168</v>
      </c>
      <c r="H706" s="4">
        <v>0.83999999999999997</v>
      </c>
      <c r="I706" s="8">
        <v>7</v>
      </c>
      <c r="J706" s="5">
        <v>47</v>
      </c>
      <c r="K706" s="4">
        <v>12</v>
      </c>
      <c r="L706" s="1" t="s">
        <v>58</v>
      </c>
      <c r="M706" s="1" t="s">
        <v>47</v>
      </c>
      <c r="N706" s="3">
        <v>693282105</v>
      </c>
      <c r="O706" s="1" t="s">
        <v>48</v>
      </c>
      <c r="P706" s="1" t="s">
        <v>4258</v>
      </c>
      <c r="Q706" s="4">
        <v>1.375</v>
      </c>
      <c r="R706" s="4">
        <v>1.375</v>
      </c>
      <c r="S706" s="8">
        <v>4.25</v>
      </c>
      <c r="T706" s="1" t="s">
        <v>50</v>
      </c>
      <c r="U706" s="1"/>
      <c r="V706" s="1"/>
      <c r="W706" s="1"/>
      <c r="X706" s="5">
        <v>75</v>
      </c>
      <c r="Y706" s="7">
        <v>3913500</v>
      </c>
      <c r="Z706" s="1"/>
      <c r="AA706" s="1"/>
      <c r="AB706" s="1"/>
      <c r="AC706" s="1"/>
      <c r="AD706" s="1"/>
      <c r="AE706" s="1" t="s">
        <v>51</v>
      </c>
      <c r="AF706" s="1" t="s">
        <v>51</v>
      </c>
      <c r="AG706" s="1" t="s">
        <v>47</v>
      </c>
      <c r="AH706" s="1"/>
      <c r="AI706" s="1"/>
      <c r="AJ706" s="3">
        <v>1</v>
      </c>
      <c r="AK706" s="1" t="s">
        <v>52</v>
      </c>
      <c r="AL706" s="3">
        <v>3</v>
      </c>
      <c r="AM706" s="8">
        <v>15.15</v>
      </c>
      <c r="AN706" s="1"/>
      <c r="AO706" s="1" t="s">
        <v>4259</v>
      </c>
      <c r="AP706" s="1" t="s">
        <v>168</v>
      </c>
      <c r="AQ706" s="1" t="s">
        <v>4260</v>
      </c>
      <c r="AR706" s="1" t="s">
        <v>4261</v>
      </c>
    </row>
    <row r="707">
      <c r="A707" s="2">
        <f ca="1">DATE(2000,08,07)</f>
        <v>0</v>
      </c>
      <c r="B707" s="2">
        <f ca="1">DATE(2001,07,26)</f>
        <v>0</v>
      </c>
      <c r="C707" s="1" t="s">
        <v>4256</v>
      </c>
      <c r="D707" s="3">
        <v>7371</v>
      </c>
      <c r="E707" s="1" t="s">
        <v>43</v>
      </c>
      <c r="F707" s="1" t="s">
        <v>4257</v>
      </c>
      <c r="G707" s="1" t="s">
        <v>179</v>
      </c>
      <c r="H707" s="4">
        <v>0.83999999999999997</v>
      </c>
      <c r="I707" s="8">
        <v>7</v>
      </c>
      <c r="J707" s="5">
        <v>6.0999999999999996</v>
      </c>
      <c r="K707" s="8">
        <v>12</v>
      </c>
      <c r="L707" s="1" t="s">
        <v>58</v>
      </c>
      <c r="M707" s="1" t="s">
        <v>47</v>
      </c>
      <c r="N707" s="3">
        <v>693282105</v>
      </c>
      <c r="O707" s="1" t="s">
        <v>48</v>
      </c>
      <c r="P707" s="1" t="s">
        <v>4262</v>
      </c>
      <c r="Q707" s="4">
        <v>1.375</v>
      </c>
      <c r="R707" s="4">
        <v>1.375</v>
      </c>
      <c r="S707" s="8">
        <v>4.25</v>
      </c>
      <c r="T707" s="1" t="s">
        <v>60</v>
      </c>
      <c r="U707" s="1"/>
      <c r="V707" s="1"/>
      <c r="W707" s="1"/>
      <c r="X707" s="1"/>
      <c r="Y707" s="7">
        <v>510000</v>
      </c>
      <c r="Z707" s="1"/>
      <c r="AA707" s="1"/>
      <c r="AB707" s="1"/>
      <c r="AC707" s="1"/>
      <c r="AD707" s="1"/>
      <c r="AE707" s="1" t="s">
        <v>51</v>
      </c>
      <c r="AF707" s="1" t="s">
        <v>51</v>
      </c>
      <c r="AG707" s="1" t="s">
        <v>47</v>
      </c>
      <c r="AH707" s="1"/>
      <c r="AI707" s="1"/>
      <c r="AJ707" s="3">
        <v>1</v>
      </c>
      <c r="AK707" s="1" t="s">
        <v>52</v>
      </c>
      <c r="AL707" s="3">
        <v>3</v>
      </c>
      <c r="AM707" s="1"/>
      <c r="AN707" s="1"/>
      <c r="AO707" s="1" t="s">
        <v>4263</v>
      </c>
      <c r="AP707" s="1" t="s">
        <v>179</v>
      </c>
      <c r="AQ707" s="1" t="s">
        <v>4264</v>
      </c>
      <c r="AR707" s="1" t="s">
        <v>4265</v>
      </c>
    </row>
    <row r="708">
      <c r="A708" s="2">
        <f ca="1">DATE(2001,05,29)</f>
        <v>0</v>
      </c>
      <c r="B708" s="2">
        <f ca="1">DATE(2001,07,30)</f>
        <v>0</v>
      </c>
      <c r="C708" s="1" t="s">
        <v>4266</v>
      </c>
      <c r="D708" s="3">
        <v>7372</v>
      </c>
      <c r="E708" s="1" t="s">
        <v>43</v>
      </c>
      <c r="F708" s="1" t="s">
        <v>4267</v>
      </c>
      <c r="G708" s="1" t="s">
        <v>1583</v>
      </c>
      <c r="H708" s="4">
        <v>0.77000000000000002</v>
      </c>
      <c r="I708" s="4">
        <v>7</v>
      </c>
      <c r="J708" s="5">
        <v>66</v>
      </c>
      <c r="K708" s="4">
        <v>11</v>
      </c>
      <c r="L708" s="1" t="s">
        <v>46</v>
      </c>
      <c r="M708" s="1" t="s">
        <v>47</v>
      </c>
      <c r="N708" s="1" t="s">
        <v>4268</v>
      </c>
      <c r="O708" s="1" t="s">
        <v>77</v>
      </c>
      <c r="P708" s="1" t="s">
        <v>4269</v>
      </c>
      <c r="Q708" s="4">
        <v>1.4550000000000001</v>
      </c>
      <c r="R708" s="4">
        <v>1.4550000000000001</v>
      </c>
      <c r="S708" s="6">
        <v>4.09091</v>
      </c>
      <c r="T708" s="1" t="s">
        <v>50</v>
      </c>
      <c r="U708" s="1"/>
      <c r="V708" s="1"/>
      <c r="W708" s="1"/>
      <c r="X708" s="5">
        <v>86.299999999999997</v>
      </c>
      <c r="Y708" s="7">
        <v>6000000</v>
      </c>
      <c r="Z708" s="1"/>
      <c r="AA708" s="2">
        <f ca="1">DATE(2002,01,26)</f>
        <v>0</v>
      </c>
      <c r="AB708" s="4">
        <v>74.819999999999993</v>
      </c>
      <c r="AC708" s="3">
        <v>180</v>
      </c>
      <c r="AD708" s="8">
        <v>17828335</v>
      </c>
      <c r="AE708" s="1" t="s">
        <v>51</v>
      </c>
      <c r="AF708" s="1" t="s">
        <v>51</v>
      </c>
      <c r="AG708" s="1" t="s">
        <v>51</v>
      </c>
      <c r="AH708" s="1"/>
      <c r="AI708" s="1"/>
      <c r="AJ708" s="3">
        <v>1</v>
      </c>
      <c r="AK708" s="1" t="s">
        <v>52</v>
      </c>
      <c r="AL708" s="3">
        <v>4</v>
      </c>
      <c r="AM708" s="8">
        <v>13.35</v>
      </c>
      <c r="AN708" s="1"/>
      <c r="AO708" s="1" t="s">
        <v>4270</v>
      </c>
      <c r="AP708" s="1" t="s">
        <v>1583</v>
      </c>
      <c r="AQ708" s="1" t="s">
        <v>4271</v>
      </c>
      <c r="AR708" s="1" t="s">
        <v>4272</v>
      </c>
    </row>
    <row r="709">
      <c r="A709" s="2">
        <f ca="1">DATE(2001,07,06)</f>
        <v>0</v>
      </c>
      <c r="B709" s="2">
        <f ca="1">DATE(2001,07,31)</f>
        <v>0</v>
      </c>
      <c r="C709" s="1" t="s">
        <v>4273</v>
      </c>
      <c r="D709" s="3">
        <v>3714</v>
      </c>
      <c r="E709" s="1" t="s">
        <v>166</v>
      </c>
      <c r="F709" s="1" t="s">
        <v>4274</v>
      </c>
      <c r="G709" s="1" t="s">
        <v>173</v>
      </c>
      <c r="H709" s="4">
        <v>0.68600000000000005</v>
      </c>
      <c r="I709" s="4">
        <v>5</v>
      </c>
      <c r="J709" s="5">
        <v>15</v>
      </c>
      <c r="K709" s="4">
        <v>13.720000000000001</v>
      </c>
      <c r="L709" s="1" t="s">
        <v>4275</v>
      </c>
      <c r="M709" s="1" t="s">
        <v>47</v>
      </c>
      <c r="N709" s="1" t="s">
        <v>4276</v>
      </c>
      <c r="O709" s="1" t="s">
        <v>3171</v>
      </c>
      <c r="P709" s="1" t="s">
        <v>4277</v>
      </c>
      <c r="Q709" s="4">
        <v>1</v>
      </c>
      <c r="R709" s="4">
        <v>1</v>
      </c>
      <c r="S709" s="8">
        <v>3</v>
      </c>
      <c r="T709" s="1" t="s">
        <v>50</v>
      </c>
      <c r="U709" s="8">
        <v>13.9</v>
      </c>
      <c r="V709" s="8">
        <v>11.9</v>
      </c>
      <c r="W709" s="7">
        <v>5128205</v>
      </c>
      <c r="X709" s="5">
        <v>66.200000000000003</v>
      </c>
      <c r="Y709" s="7">
        <v>1095238</v>
      </c>
      <c r="Z709" s="1"/>
      <c r="AA709" s="2">
        <f ca="1">DATE(2001,10,29)</f>
        <v>0</v>
      </c>
      <c r="AB709" s="4">
        <v>89.977999999999994</v>
      </c>
      <c r="AC709" s="3">
        <v>90</v>
      </c>
      <c r="AD709" s="8">
        <v>42751938</v>
      </c>
      <c r="AE709" s="1" t="s">
        <v>51</v>
      </c>
      <c r="AF709" s="1" t="s">
        <v>51</v>
      </c>
      <c r="AG709" s="1" t="s">
        <v>51</v>
      </c>
      <c r="AH709" s="1" t="s">
        <v>4278</v>
      </c>
      <c r="AI709" s="1" t="s">
        <v>4279</v>
      </c>
      <c r="AJ709" s="3">
        <v>1</v>
      </c>
      <c r="AK709" s="1" t="s">
        <v>89</v>
      </c>
      <c r="AL709" s="3">
        <v>5</v>
      </c>
      <c r="AM709" s="8">
        <v>14</v>
      </c>
      <c r="AN709" s="1"/>
      <c r="AO709" s="1" t="s">
        <v>4280</v>
      </c>
      <c r="AP709" s="1" t="s">
        <v>4281</v>
      </c>
      <c r="AQ709" s="1" t="s">
        <v>4282</v>
      </c>
      <c r="AR709" s="1" t="s">
        <v>4283</v>
      </c>
    </row>
    <row r="710">
      <c r="A710" s="2">
        <f ca="1">DATE(2001,07,06)</f>
        <v>0</v>
      </c>
      <c r="B710" s="2">
        <f ca="1">DATE(2001,07,31)</f>
        <v>0</v>
      </c>
      <c r="C710" s="1" t="s">
        <v>4273</v>
      </c>
      <c r="D710" s="3">
        <v>3714</v>
      </c>
      <c r="E710" s="1" t="s">
        <v>166</v>
      </c>
      <c r="F710" s="1" t="s">
        <v>4274</v>
      </c>
      <c r="G710" s="1" t="s">
        <v>173</v>
      </c>
      <c r="H710" s="4">
        <v>0.68600000000000005</v>
      </c>
      <c r="I710" s="4">
        <v>5</v>
      </c>
      <c r="J710" s="5">
        <v>50.299999999999997</v>
      </c>
      <c r="K710" s="4">
        <v>13.720000000000001</v>
      </c>
      <c r="L710" s="1" t="s">
        <v>4275</v>
      </c>
      <c r="M710" s="1" t="s">
        <v>47</v>
      </c>
      <c r="N710" s="1" t="s">
        <v>4276</v>
      </c>
      <c r="O710" s="1" t="s">
        <v>3171</v>
      </c>
      <c r="P710" s="1" t="s">
        <v>4277</v>
      </c>
      <c r="Q710" s="1"/>
      <c r="R710" s="1"/>
      <c r="S710" s="1"/>
      <c r="T710" s="1" t="s">
        <v>175</v>
      </c>
      <c r="U710" s="8">
        <v>13.9</v>
      </c>
      <c r="V710" s="8">
        <v>11.9</v>
      </c>
      <c r="W710" s="1"/>
      <c r="X710" s="1"/>
      <c r="Y710" s="1"/>
      <c r="Z710" s="1"/>
      <c r="AA710" s="1"/>
      <c r="AB710" s="1"/>
      <c r="AC710" s="1"/>
      <c r="AD710" s="1"/>
      <c r="AE710" s="1"/>
      <c r="AF710" s="1" t="s">
        <v>51</v>
      </c>
      <c r="AG710" s="1" t="s">
        <v>51</v>
      </c>
      <c r="AH710" s="1" t="s">
        <v>4278</v>
      </c>
      <c r="AI710" s="1" t="s">
        <v>4279</v>
      </c>
      <c r="AJ710" s="3">
        <v>1</v>
      </c>
      <c r="AK710" s="1" t="s">
        <v>89</v>
      </c>
      <c r="AL710" s="3">
        <v>5</v>
      </c>
      <c r="AM710" s="1"/>
      <c r="AN710" s="1"/>
      <c r="AO710" s="1" t="s">
        <v>4280</v>
      </c>
      <c r="AP710" s="1" t="s">
        <v>4281</v>
      </c>
      <c r="AQ710" s="1" t="s">
        <v>4282</v>
      </c>
      <c r="AR710" s="1" t="s">
        <v>4283</v>
      </c>
    </row>
    <row r="711">
      <c r="A711" s="2">
        <f ca="1">DATE(2001,07,13)</f>
        <v>0</v>
      </c>
      <c r="B711" s="2">
        <f ca="1">DATE(2001,08,01)</f>
        <v>0</v>
      </c>
      <c r="C711" s="1" t="s">
        <v>4284</v>
      </c>
      <c r="D711" s="3">
        <v>2075</v>
      </c>
      <c r="E711" s="1" t="s">
        <v>43</v>
      </c>
      <c r="F711" s="1" t="s">
        <v>4285</v>
      </c>
      <c r="G711" s="1" t="s">
        <v>796</v>
      </c>
      <c r="H711" s="4">
        <v>0.93999999999999995</v>
      </c>
      <c r="I711" s="4">
        <v>5.875</v>
      </c>
      <c r="J711" s="5">
        <v>281.60000000000002</v>
      </c>
      <c r="K711" s="4">
        <v>16</v>
      </c>
      <c r="L711" s="1" t="s">
        <v>46</v>
      </c>
      <c r="M711" s="1" t="s">
        <v>47</v>
      </c>
      <c r="N711" s="1" t="s">
        <v>4286</v>
      </c>
      <c r="O711" s="1" t="s">
        <v>108</v>
      </c>
      <c r="P711" s="1" t="s">
        <v>4287</v>
      </c>
      <c r="Q711" s="4">
        <v>1.1879999999999999</v>
      </c>
      <c r="R711" s="4">
        <v>0.875</v>
      </c>
      <c r="S711" s="10">
        <v>3.8125</v>
      </c>
      <c r="T711" s="1" t="s">
        <v>50</v>
      </c>
      <c r="U711" s="8">
        <v>18</v>
      </c>
      <c r="V711" s="8">
        <v>16</v>
      </c>
      <c r="W711" s="7">
        <v>17600000</v>
      </c>
      <c r="X711" s="5">
        <v>299.19999999999999</v>
      </c>
      <c r="Y711" s="7">
        <v>17600000</v>
      </c>
      <c r="Z711" s="1"/>
      <c r="AA711" s="2">
        <f ca="1">DATE(2002,01,28)</f>
        <v>0</v>
      </c>
      <c r="AB711" s="4">
        <v>78.531000000000006</v>
      </c>
      <c r="AC711" s="3">
        <v>180</v>
      </c>
      <c r="AD711" s="8">
        <v>64380000</v>
      </c>
      <c r="AE711" s="1" t="s">
        <v>51</v>
      </c>
      <c r="AF711" s="1" t="s">
        <v>51</v>
      </c>
      <c r="AG711" s="1" t="s">
        <v>51</v>
      </c>
      <c r="AH711" s="1"/>
      <c r="AI711" s="1"/>
      <c r="AJ711" s="3">
        <v>1</v>
      </c>
      <c r="AK711" s="1" t="s">
        <v>89</v>
      </c>
      <c r="AL711" s="3">
        <v>6</v>
      </c>
      <c r="AM711" s="1"/>
      <c r="AN711" s="1"/>
      <c r="AO711" s="1" t="s">
        <v>4288</v>
      </c>
      <c r="AP711" s="1" t="s">
        <v>4289</v>
      </c>
      <c r="AQ711" s="1" t="s">
        <v>4290</v>
      </c>
      <c r="AR711" s="1" t="s">
        <v>4291</v>
      </c>
    </row>
    <row r="712">
      <c r="A712" s="2">
        <f ca="1">DATE(2001,03,14)</f>
        <v>0</v>
      </c>
      <c r="B712" s="2">
        <f ca="1">DATE(2001,08,07)</f>
        <v>0</v>
      </c>
      <c r="C712" s="1" t="s">
        <v>4292</v>
      </c>
      <c r="D712" s="3">
        <v>7372</v>
      </c>
      <c r="E712" s="1" t="s">
        <v>43</v>
      </c>
      <c r="F712" s="1" t="s">
        <v>4293</v>
      </c>
      <c r="G712" s="1" t="s">
        <v>282</v>
      </c>
      <c r="H712" s="4">
        <v>0.48999999999999999</v>
      </c>
      <c r="I712" s="8">
        <v>7</v>
      </c>
      <c r="J712" s="5">
        <v>42</v>
      </c>
      <c r="K712" s="4">
        <v>7</v>
      </c>
      <c r="L712" s="1" t="s">
        <v>46</v>
      </c>
      <c r="M712" s="1" t="s">
        <v>47</v>
      </c>
      <c r="N712" s="1" t="s">
        <v>4294</v>
      </c>
      <c r="O712" s="1" t="s">
        <v>48</v>
      </c>
      <c r="P712" s="1" t="s">
        <v>4295</v>
      </c>
      <c r="Q712" s="4">
        <v>1.4290000000000001</v>
      </c>
      <c r="R712" s="4">
        <v>1.4290000000000001</v>
      </c>
      <c r="S712" s="6">
        <v>4.1428599999999998</v>
      </c>
      <c r="T712" s="1" t="s">
        <v>50</v>
      </c>
      <c r="U712" s="1"/>
      <c r="V712" s="1"/>
      <c r="W712" s="1"/>
      <c r="X712" s="5">
        <v>69</v>
      </c>
      <c r="Y712" s="7">
        <v>6000000</v>
      </c>
      <c r="Z712" s="1"/>
      <c r="AA712" s="2">
        <f ca="1">DATE(2002,02,03)</f>
        <v>0</v>
      </c>
      <c r="AB712" s="4">
        <v>24.43</v>
      </c>
      <c r="AC712" s="3">
        <v>180</v>
      </c>
      <c r="AD712" s="8">
        <v>5052820</v>
      </c>
      <c r="AE712" s="1" t="s">
        <v>51</v>
      </c>
      <c r="AF712" s="1" t="s">
        <v>51</v>
      </c>
      <c r="AG712" s="1" t="s">
        <v>47</v>
      </c>
      <c r="AH712" s="1"/>
      <c r="AI712" s="1"/>
      <c r="AJ712" s="3">
        <v>1</v>
      </c>
      <c r="AK712" s="1" t="s">
        <v>52</v>
      </c>
      <c r="AL712" s="3">
        <v>3</v>
      </c>
      <c r="AM712" s="8">
        <v>8.9000000000000004</v>
      </c>
      <c r="AN712" s="1"/>
      <c r="AO712" s="1" t="s">
        <v>4296</v>
      </c>
      <c r="AP712" s="1" t="s">
        <v>282</v>
      </c>
      <c r="AQ712" s="1" t="s">
        <v>4297</v>
      </c>
      <c r="AR712" s="1" t="s">
        <v>4298</v>
      </c>
    </row>
    <row r="713">
      <c r="A713" s="2">
        <f ca="1">DATE(2001,03,16)</f>
        <v>0</v>
      </c>
      <c r="B713" s="2">
        <f ca="1">DATE(2001,08,09)</f>
        <v>0</v>
      </c>
      <c r="C713" s="1" t="s">
        <v>4299</v>
      </c>
      <c r="D713" s="3">
        <v>3674</v>
      </c>
      <c r="E713" s="1" t="s">
        <v>43</v>
      </c>
      <c r="F713" s="1" t="s">
        <v>4300</v>
      </c>
      <c r="G713" s="1" t="s">
        <v>1297</v>
      </c>
      <c r="H713" s="4">
        <v>1.05</v>
      </c>
      <c r="I713" s="4">
        <v>7</v>
      </c>
      <c r="J713" s="5">
        <v>105</v>
      </c>
      <c r="K713" s="4">
        <v>15</v>
      </c>
      <c r="L713" s="1" t="s">
        <v>46</v>
      </c>
      <c r="M713" s="1" t="s">
        <v>47</v>
      </c>
      <c r="N713" s="1" t="s">
        <v>4301</v>
      </c>
      <c r="O713" s="1" t="s">
        <v>108</v>
      </c>
      <c r="P713" s="1" t="s">
        <v>4302</v>
      </c>
      <c r="Q713" s="4">
        <v>1.3999999999999999</v>
      </c>
      <c r="R713" s="4">
        <v>1.6000000000000001</v>
      </c>
      <c r="S713" s="8">
        <v>4</v>
      </c>
      <c r="T713" s="1" t="s">
        <v>50</v>
      </c>
      <c r="U713" s="1"/>
      <c r="V713" s="1"/>
      <c r="W713" s="1"/>
      <c r="X713" s="5">
        <v>150</v>
      </c>
      <c r="Y713" s="7">
        <v>7000000</v>
      </c>
      <c r="Z713" s="1"/>
      <c r="AA713" s="2">
        <f ca="1">DATE(2002,02,05)</f>
        <v>0</v>
      </c>
      <c r="AB713" s="1"/>
      <c r="AC713" s="3">
        <v>180</v>
      </c>
      <c r="AD713" s="1"/>
      <c r="AE713" s="1" t="s">
        <v>51</v>
      </c>
      <c r="AF713" s="1" t="s">
        <v>51</v>
      </c>
      <c r="AG713" s="1" t="s">
        <v>51</v>
      </c>
      <c r="AH713" s="1" t="s">
        <v>4303</v>
      </c>
      <c r="AI713" s="1" t="s">
        <v>4304</v>
      </c>
      <c r="AJ713" s="3">
        <v>1</v>
      </c>
      <c r="AK713" s="1" t="s">
        <v>89</v>
      </c>
      <c r="AL713" s="3">
        <v>3</v>
      </c>
      <c r="AM713" s="8">
        <v>16.25</v>
      </c>
      <c r="AN713" s="1"/>
      <c r="AO713" s="1" t="s">
        <v>4305</v>
      </c>
      <c r="AP713" s="1" t="s">
        <v>4306</v>
      </c>
      <c r="AQ713" s="1" t="s">
        <v>4307</v>
      </c>
      <c r="AR713" s="1" t="s">
        <v>4308</v>
      </c>
    </row>
    <row r="714">
      <c r="A714" s="2">
        <f ca="1">DATE(2001,05,31)</f>
        <v>0</v>
      </c>
      <c r="B714" s="2">
        <f ca="1">DATE(2001,08,13)</f>
        <v>0</v>
      </c>
      <c r="C714" s="1" t="s">
        <v>4309</v>
      </c>
      <c r="D714" s="3">
        <v>6351</v>
      </c>
      <c r="E714" s="1" t="s">
        <v>517</v>
      </c>
      <c r="F714" s="1" t="s">
        <v>4310</v>
      </c>
      <c r="G714" s="1" t="s">
        <v>4311</v>
      </c>
      <c r="H714" s="4">
        <v>1.04</v>
      </c>
      <c r="I714" s="4">
        <v>6.5</v>
      </c>
      <c r="J714" s="5">
        <v>192</v>
      </c>
      <c r="K714" s="4">
        <v>16</v>
      </c>
      <c r="L714" s="1" t="s">
        <v>46</v>
      </c>
      <c r="M714" s="1" t="s">
        <v>47</v>
      </c>
      <c r="N714" s="1" t="s">
        <v>4312</v>
      </c>
      <c r="O714" s="1" t="s">
        <v>48</v>
      </c>
      <c r="P714" s="1" t="s">
        <v>4313</v>
      </c>
      <c r="Q714" s="4">
        <v>1.3129999999999999</v>
      </c>
      <c r="R714" s="4">
        <v>1.3129999999999999</v>
      </c>
      <c r="S714" s="4">
        <v>3.875</v>
      </c>
      <c r="T714" s="1" t="s">
        <v>50</v>
      </c>
      <c r="U714" s="1"/>
      <c r="V714" s="1"/>
      <c r="W714" s="1"/>
      <c r="X714" s="5">
        <v>200</v>
      </c>
      <c r="Y714" s="7">
        <v>12000000</v>
      </c>
      <c r="Z714" s="1"/>
      <c r="AA714" s="2">
        <f ca="1">DATE(2002,02,09)</f>
        <v>0</v>
      </c>
      <c r="AB714" s="4">
        <v>10.743</v>
      </c>
      <c r="AC714" s="3">
        <v>180</v>
      </c>
      <c r="AD714" s="8">
        <v>5164829</v>
      </c>
      <c r="AE714" s="1" t="s">
        <v>51</v>
      </c>
      <c r="AF714" s="1" t="s">
        <v>51</v>
      </c>
      <c r="AG714" s="1" t="s">
        <v>47</v>
      </c>
      <c r="AH714" s="1"/>
      <c r="AI714" s="1"/>
      <c r="AJ714" s="3">
        <v>2</v>
      </c>
      <c r="AK714" s="1" t="s">
        <v>89</v>
      </c>
      <c r="AL714" s="3">
        <v>5</v>
      </c>
      <c r="AM714" s="8">
        <v>15.5</v>
      </c>
      <c r="AN714" s="1"/>
      <c r="AO714" s="1" t="s">
        <v>4314</v>
      </c>
      <c r="AP714" s="1" t="s">
        <v>4315</v>
      </c>
      <c r="AQ714" s="1" t="s">
        <v>4316</v>
      </c>
      <c r="AR714" s="1" t="s">
        <v>4317</v>
      </c>
    </row>
    <row r="715">
      <c r="A715" s="2">
        <f ca="1">DATE(2001,08,23)</f>
        <v>0</v>
      </c>
      <c r="B715" s="2">
        <f ca="1">DATE(2001,08,23)</f>
        <v>0</v>
      </c>
      <c r="C715" s="1" t="s">
        <v>4318</v>
      </c>
      <c r="D715" s="3">
        <v>6726</v>
      </c>
      <c r="E715" s="1" t="s">
        <v>43</v>
      </c>
      <c r="F715" s="1" t="s">
        <v>4319</v>
      </c>
      <c r="G715" s="1" t="s">
        <v>1583</v>
      </c>
      <c r="H715" s="4">
        <v>1.05</v>
      </c>
      <c r="I715" s="4">
        <v>7</v>
      </c>
      <c r="J715" s="5">
        <v>123</v>
      </c>
      <c r="K715" s="4">
        <v>15</v>
      </c>
      <c r="L715" s="1" t="s">
        <v>46</v>
      </c>
      <c r="M715" s="1" t="s">
        <v>47</v>
      </c>
      <c r="N715" s="3">
        <v>376535100</v>
      </c>
      <c r="O715" s="1" t="s">
        <v>48</v>
      </c>
      <c r="P715" s="1" t="s">
        <v>4320</v>
      </c>
      <c r="Q715" s="4">
        <v>1.3999999999999999</v>
      </c>
      <c r="R715" s="4">
        <v>1.3999999999999999</v>
      </c>
      <c r="S715" s="8">
        <v>4.2000000000000002</v>
      </c>
      <c r="T715" s="1" t="s">
        <v>50</v>
      </c>
      <c r="U715" s="8">
        <v>15</v>
      </c>
      <c r="V715" s="8">
        <v>15</v>
      </c>
      <c r="W715" s="7">
        <v>8200000</v>
      </c>
      <c r="X715" s="5">
        <v>123</v>
      </c>
      <c r="Y715" s="7">
        <v>8200000</v>
      </c>
      <c r="Z715" s="1"/>
      <c r="AA715" s="2">
        <f ca="1">DATE(2002,02,19)</f>
        <v>0</v>
      </c>
      <c r="AB715" s="4">
        <v>0.52200000000000002</v>
      </c>
      <c r="AC715" s="3">
        <v>180</v>
      </c>
      <c r="AD715" s="8">
        <v>43058</v>
      </c>
      <c r="AE715" s="1" t="s">
        <v>51</v>
      </c>
      <c r="AF715" s="1" t="s">
        <v>51</v>
      </c>
      <c r="AG715" s="1" t="s">
        <v>51</v>
      </c>
      <c r="AH715" s="1"/>
      <c r="AI715" s="1"/>
      <c r="AJ715" s="3">
        <v>1</v>
      </c>
      <c r="AK715" s="1" t="s">
        <v>89</v>
      </c>
      <c r="AL715" s="3">
        <v>5</v>
      </c>
      <c r="AM715" s="1"/>
      <c r="AN715" s="1"/>
      <c r="AO715" s="1" t="s">
        <v>4321</v>
      </c>
      <c r="AP715" s="1" t="s">
        <v>4322</v>
      </c>
      <c r="AQ715" s="1" t="s">
        <v>4323</v>
      </c>
      <c r="AR715" s="1" t="s">
        <v>4324</v>
      </c>
    </row>
    <row r="716">
      <c r="A716" s="2">
        <f ca="1">DATE(2000,08,11)</f>
        <v>0</v>
      </c>
      <c r="B716" s="2">
        <f ca="1">DATE(2001,08,27)</f>
        <v>0</v>
      </c>
      <c r="C716" s="1" t="s">
        <v>4325</v>
      </c>
      <c r="D716" s="3">
        <v>6799</v>
      </c>
      <c r="E716" s="1" t="s">
        <v>166</v>
      </c>
      <c r="F716" s="1" t="s">
        <v>4326</v>
      </c>
      <c r="G716" s="1" t="s">
        <v>4327</v>
      </c>
      <c r="H716" s="4">
        <v>0.014999999999999999</v>
      </c>
      <c r="I716" s="4">
        <v>10</v>
      </c>
      <c r="J716" s="5">
        <v>0.20000000000000001</v>
      </c>
      <c r="K716" s="4">
        <v>0.14999999999999999</v>
      </c>
      <c r="L716" s="1" t="s">
        <v>46</v>
      </c>
      <c r="M716" s="1" t="s">
        <v>47</v>
      </c>
      <c r="N716" s="3">
        <v>111718102</v>
      </c>
      <c r="O716" s="1" t="s">
        <v>77</v>
      </c>
      <c r="P716" s="1" t="s">
        <v>4328</v>
      </c>
      <c r="Q716" s="1"/>
      <c r="R716" s="1"/>
      <c r="S716" s="1"/>
      <c r="T716" s="1" t="s">
        <v>175</v>
      </c>
      <c r="U716" s="1"/>
      <c r="V716" s="1"/>
      <c r="W716" s="1"/>
      <c r="X716" s="1"/>
      <c r="Y716" s="7">
        <v>1750000</v>
      </c>
      <c r="Z716" s="1"/>
      <c r="AA716" s="1"/>
      <c r="AB716" s="1"/>
      <c r="AC716" s="1"/>
      <c r="AD716" s="1"/>
      <c r="AE716" s="1"/>
      <c r="AF716" s="1" t="s">
        <v>51</v>
      </c>
      <c r="AG716" s="1" t="s">
        <v>51</v>
      </c>
      <c r="AH716" s="1"/>
      <c r="AI716" s="1"/>
      <c r="AJ716" s="3">
        <v>1</v>
      </c>
      <c r="AK716" s="1" t="s">
        <v>52</v>
      </c>
      <c r="AL716" s="3">
        <v>1</v>
      </c>
      <c r="AM716" s="1"/>
      <c r="AN716" s="1"/>
      <c r="AO716" s="1" t="s">
        <v>4327</v>
      </c>
      <c r="AP716" s="1" t="s">
        <v>4327</v>
      </c>
      <c r="AQ716" s="1" t="s">
        <v>4327</v>
      </c>
      <c r="AR716" s="1" t="s">
        <v>4328</v>
      </c>
    </row>
    <row r="717">
      <c r="A717" s="2">
        <f ca="1">DATE(2001,03,21)</f>
        <v>0</v>
      </c>
      <c r="B717" s="2">
        <f ca="1">DATE(2001,09,25)</f>
        <v>0</v>
      </c>
      <c r="C717" s="1" t="s">
        <v>4329</v>
      </c>
      <c r="D717" s="3">
        <v>6726</v>
      </c>
      <c r="E717" s="1" t="s">
        <v>43</v>
      </c>
      <c r="F717" s="1" t="s">
        <v>4330</v>
      </c>
      <c r="G717" s="1" t="s">
        <v>45</v>
      </c>
      <c r="H717" s="4">
        <v>0.67500000000000004</v>
      </c>
      <c r="I717" s="4">
        <v>4.5</v>
      </c>
      <c r="J717" s="5">
        <v>180</v>
      </c>
      <c r="K717" s="4">
        <v>15</v>
      </c>
      <c r="L717" s="1" t="s">
        <v>46</v>
      </c>
      <c r="M717" s="1" t="s">
        <v>47</v>
      </c>
      <c r="N717" s="3">
        <v>219930104</v>
      </c>
      <c r="O717" s="1" t="s">
        <v>108</v>
      </c>
      <c r="P717" s="1" t="s">
        <v>4331</v>
      </c>
      <c r="Q717" s="1" t="s">
        <v>145</v>
      </c>
      <c r="R717" s="1" t="s">
        <v>145</v>
      </c>
      <c r="S717" s="1"/>
      <c r="T717" s="1" t="s">
        <v>50</v>
      </c>
      <c r="U717" s="8">
        <v>15</v>
      </c>
      <c r="V717" s="8">
        <v>15</v>
      </c>
      <c r="W717" s="7">
        <v>66667</v>
      </c>
      <c r="X717" s="5">
        <v>1</v>
      </c>
      <c r="Y717" s="7">
        <v>12000000</v>
      </c>
      <c r="Z717" s="1"/>
      <c r="AA717" s="1"/>
      <c r="AB717" s="1"/>
      <c r="AC717" s="1"/>
      <c r="AD717" s="1"/>
      <c r="AE717" s="1" t="s">
        <v>51</v>
      </c>
      <c r="AF717" s="1" t="s">
        <v>51</v>
      </c>
      <c r="AG717" s="1" t="s">
        <v>51</v>
      </c>
      <c r="AH717" s="1"/>
      <c r="AI717" s="1"/>
      <c r="AJ717" s="3">
        <v>1</v>
      </c>
      <c r="AK717" s="1" t="s">
        <v>52</v>
      </c>
      <c r="AL717" s="3">
        <v>1</v>
      </c>
      <c r="AM717" s="1"/>
      <c r="AN717" s="1"/>
      <c r="AO717" s="1" t="s">
        <v>45</v>
      </c>
      <c r="AP717" s="1" t="s">
        <v>45</v>
      </c>
      <c r="AQ717" s="1" t="s">
        <v>45</v>
      </c>
      <c r="AR717" s="1" t="s">
        <v>786</v>
      </c>
    </row>
    <row r="718">
      <c r="A718" s="2">
        <f ca="1">DATE(2001,07,27)</f>
        <v>0</v>
      </c>
      <c r="B718" s="2">
        <f ca="1">DATE(2001,09,25)</f>
        <v>0</v>
      </c>
      <c r="C718" s="1" t="s">
        <v>3841</v>
      </c>
      <c r="D718" s="3">
        <v>6726</v>
      </c>
      <c r="E718" s="1" t="s">
        <v>43</v>
      </c>
      <c r="F718" s="1" t="s">
        <v>3842</v>
      </c>
      <c r="G718" s="1" t="s">
        <v>4332</v>
      </c>
      <c r="H718" s="4">
        <v>0.67500000000000004</v>
      </c>
      <c r="I718" s="4">
        <v>4.5</v>
      </c>
      <c r="J718" s="5">
        <v>40.899999999999999</v>
      </c>
      <c r="K718" s="4">
        <v>15</v>
      </c>
      <c r="L718" s="1" t="s">
        <v>46</v>
      </c>
      <c r="M718" s="1" t="s">
        <v>47</v>
      </c>
      <c r="N718" s="1" t="s">
        <v>4333</v>
      </c>
      <c r="O718" s="1" t="s">
        <v>87</v>
      </c>
      <c r="P718" s="1" t="s">
        <v>4334</v>
      </c>
      <c r="Q718" s="4">
        <v>0.93300000000000005</v>
      </c>
      <c r="R718" s="4">
        <v>0.56699999999999995</v>
      </c>
      <c r="S718" s="8">
        <v>3</v>
      </c>
      <c r="T718" s="1" t="s">
        <v>50</v>
      </c>
      <c r="U718" s="8">
        <v>150</v>
      </c>
      <c r="V718" s="8">
        <v>150</v>
      </c>
      <c r="W718" s="7">
        <v>1000</v>
      </c>
      <c r="X718" s="5">
        <v>0.20000000000000001</v>
      </c>
      <c r="Y718" s="7">
        <v>2725000</v>
      </c>
      <c r="Z718" s="1"/>
      <c r="AA718" s="2">
        <f ca="1">DATE(2002,03,24)</f>
        <v>0</v>
      </c>
      <c r="AB718" s="1"/>
      <c r="AC718" s="3">
        <v>180</v>
      </c>
      <c r="AD718" s="1"/>
      <c r="AE718" s="1" t="s">
        <v>51</v>
      </c>
      <c r="AF718" s="1" t="s">
        <v>51</v>
      </c>
      <c r="AG718" s="1" t="s">
        <v>51</v>
      </c>
      <c r="AH718" s="1"/>
      <c r="AI718" s="1"/>
      <c r="AJ718" s="3">
        <v>1</v>
      </c>
      <c r="AK718" s="1" t="s">
        <v>89</v>
      </c>
      <c r="AL718" s="3">
        <v>8</v>
      </c>
      <c r="AM718" s="8">
        <v>14.6</v>
      </c>
      <c r="AN718" s="1"/>
      <c r="AO718" s="1" t="s">
        <v>4335</v>
      </c>
      <c r="AP718" s="1" t="s">
        <v>4336</v>
      </c>
      <c r="AQ718" s="1" t="s">
        <v>4337</v>
      </c>
      <c r="AR718" s="1" t="s">
        <v>4338</v>
      </c>
    </row>
    <row r="719">
      <c r="A719" s="2">
        <f ca="1">DATE(2001,04,16)</f>
        <v>0</v>
      </c>
      <c r="B719" s="2">
        <f ca="1">DATE(2001,09,25)</f>
        <v>0</v>
      </c>
      <c r="C719" s="1" t="s">
        <v>4339</v>
      </c>
      <c r="D719" s="3">
        <v>6726</v>
      </c>
      <c r="E719" s="1" t="s">
        <v>43</v>
      </c>
      <c r="F719" s="1" t="s">
        <v>4340</v>
      </c>
      <c r="G719" s="1" t="s">
        <v>4332</v>
      </c>
      <c r="H719" s="4">
        <v>0.67500000000000004</v>
      </c>
      <c r="I719" s="4">
        <v>4.5</v>
      </c>
      <c r="J719" s="5">
        <v>25.5</v>
      </c>
      <c r="K719" s="4">
        <v>15</v>
      </c>
      <c r="L719" s="1" t="s">
        <v>46</v>
      </c>
      <c r="M719" s="1" t="s">
        <v>47</v>
      </c>
      <c r="N719" s="1" t="s">
        <v>4341</v>
      </c>
      <c r="O719" s="1" t="s">
        <v>87</v>
      </c>
      <c r="P719" s="1" t="s">
        <v>4342</v>
      </c>
      <c r="Q719" s="4">
        <v>0.93300000000000005</v>
      </c>
      <c r="R719" s="4">
        <v>0.56699999999999995</v>
      </c>
      <c r="S719" s="8">
        <v>3</v>
      </c>
      <c r="T719" s="1" t="s">
        <v>50</v>
      </c>
      <c r="U719" s="8">
        <v>15</v>
      </c>
      <c r="V719" s="8">
        <v>15</v>
      </c>
      <c r="W719" s="7">
        <v>1000</v>
      </c>
      <c r="X719" s="5">
        <v>0</v>
      </c>
      <c r="Y719" s="7">
        <v>1700000</v>
      </c>
      <c r="Z719" s="1"/>
      <c r="AA719" s="2">
        <f ca="1">DATE(2002,03,24)</f>
        <v>0</v>
      </c>
      <c r="AB719" s="1"/>
      <c r="AC719" s="3">
        <v>180</v>
      </c>
      <c r="AD719" s="1"/>
      <c r="AE719" s="1" t="s">
        <v>51</v>
      </c>
      <c r="AF719" s="1" t="s">
        <v>51</v>
      </c>
      <c r="AG719" s="1" t="s">
        <v>51</v>
      </c>
      <c r="AH719" s="1"/>
      <c r="AI719" s="1"/>
      <c r="AJ719" s="3">
        <v>1</v>
      </c>
      <c r="AK719" s="1" t="s">
        <v>89</v>
      </c>
      <c r="AL719" s="3">
        <v>7</v>
      </c>
      <c r="AM719" s="1"/>
      <c r="AN719" s="1"/>
      <c r="AO719" s="1" t="s">
        <v>4343</v>
      </c>
      <c r="AP719" s="1" t="s">
        <v>4336</v>
      </c>
      <c r="AQ719" s="1" t="s">
        <v>4344</v>
      </c>
      <c r="AR719" s="1" t="s">
        <v>4345</v>
      </c>
    </row>
    <row r="720">
      <c r="A720" s="2">
        <f ca="1">DATE(2001,04,11)</f>
        <v>0</v>
      </c>
      <c r="B720" s="2">
        <f ca="1">DATE(2001,09,25)</f>
        <v>0</v>
      </c>
      <c r="C720" s="1" t="s">
        <v>4346</v>
      </c>
      <c r="D720" s="3">
        <v>6726</v>
      </c>
      <c r="E720" s="1" t="s">
        <v>43</v>
      </c>
      <c r="F720" s="1" t="s">
        <v>4347</v>
      </c>
      <c r="G720" s="1" t="s">
        <v>4332</v>
      </c>
      <c r="H720" s="4">
        <v>0.67500000000000004</v>
      </c>
      <c r="I720" s="4">
        <v>4.5</v>
      </c>
      <c r="J720" s="5">
        <v>54.399999999999999</v>
      </c>
      <c r="K720" s="4">
        <v>15</v>
      </c>
      <c r="L720" s="1" t="s">
        <v>46</v>
      </c>
      <c r="M720" s="1" t="s">
        <v>47</v>
      </c>
      <c r="N720" s="1" t="s">
        <v>4348</v>
      </c>
      <c r="O720" s="1" t="s">
        <v>87</v>
      </c>
      <c r="P720" s="1" t="s">
        <v>4349</v>
      </c>
      <c r="Q720" s="4">
        <v>3</v>
      </c>
      <c r="R720" s="4">
        <v>0.93300000000000005</v>
      </c>
      <c r="S720" s="6">
        <v>0.56667000000000001</v>
      </c>
      <c r="T720" s="1" t="s">
        <v>50</v>
      </c>
      <c r="U720" s="8">
        <v>15</v>
      </c>
      <c r="V720" s="8">
        <v>15</v>
      </c>
      <c r="W720" s="7">
        <v>1000</v>
      </c>
      <c r="X720" s="5">
        <v>0</v>
      </c>
      <c r="Y720" s="7">
        <v>3625000</v>
      </c>
      <c r="Z720" s="1"/>
      <c r="AA720" s="2">
        <f ca="1">DATE(2002,03,24)</f>
        <v>0</v>
      </c>
      <c r="AB720" s="1"/>
      <c r="AC720" s="3">
        <v>180</v>
      </c>
      <c r="AD720" s="1"/>
      <c r="AE720" s="1" t="s">
        <v>51</v>
      </c>
      <c r="AF720" s="1" t="s">
        <v>51</v>
      </c>
      <c r="AG720" s="1" t="s">
        <v>51</v>
      </c>
      <c r="AH720" s="1"/>
      <c r="AI720" s="1"/>
      <c r="AJ720" s="3">
        <v>1</v>
      </c>
      <c r="AK720" s="1" t="s">
        <v>89</v>
      </c>
      <c r="AL720" s="3">
        <v>8</v>
      </c>
      <c r="AM720" s="1"/>
      <c r="AN720" s="1"/>
      <c r="AO720" s="1" t="s">
        <v>4350</v>
      </c>
      <c r="AP720" s="1" t="s">
        <v>4336</v>
      </c>
      <c r="AQ720" s="1" t="s">
        <v>4351</v>
      </c>
      <c r="AR720" s="1" t="s">
        <v>4352</v>
      </c>
    </row>
    <row r="721">
      <c r="A721" s="2">
        <f ca="1">DATE(2001,04,11)</f>
        <v>0</v>
      </c>
      <c r="B721" s="2">
        <f ca="1">DATE(2001,09,25)</f>
        <v>0</v>
      </c>
      <c r="C721" s="1" t="s">
        <v>4353</v>
      </c>
      <c r="D721" s="3">
        <v>6726</v>
      </c>
      <c r="E721" s="1" t="s">
        <v>43</v>
      </c>
      <c r="F721" s="1" t="s">
        <v>4354</v>
      </c>
      <c r="G721" s="1" t="s">
        <v>4332</v>
      </c>
      <c r="H721" s="4">
        <v>0.67500000000000004</v>
      </c>
      <c r="I721" s="4">
        <v>4.5</v>
      </c>
      <c r="J721" s="5">
        <v>27</v>
      </c>
      <c r="K721" s="4">
        <v>15</v>
      </c>
      <c r="L721" s="1" t="s">
        <v>46</v>
      </c>
      <c r="M721" s="1" t="s">
        <v>47</v>
      </c>
      <c r="N721" s="1" t="s">
        <v>4355</v>
      </c>
      <c r="O721" s="1" t="s">
        <v>87</v>
      </c>
      <c r="P721" s="1" t="s">
        <v>4356</v>
      </c>
      <c r="Q721" s="4">
        <v>0.93300000000000005</v>
      </c>
      <c r="R721" s="4">
        <v>0.56699999999999995</v>
      </c>
      <c r="S721" s="8">
        <v>3</v>
      </c>
      <c r="T721" s="1" t="s">
        <v>50</v>
      </c>
      <c r="U721" s="8">
        <v>15</v>
      </c>
      <c r="V721" s="8">
        <v>15</v>
      </c>
      <c r="W721" s="7">
        <v>1000</v>
      </c>
      <c r="X721" s="5">
        <v>0</v>
      </c>
      <c r="Y721" s="7">
        <v>1800000</v>
      </c>
      <c r="Z721" s="1"/>
      <c r="AA721" s="2">
        <f ca="1">DATE(2002,03,24)</f>
        <v>0</v>
      </c>
      <c r="AB721" s="1"/>
      <c r="AC721" s="3">
        <v>180</v>
      </c>
      <c r="AD721" s="1"/>
      <c r="AE721" s="1" t="s">
        <v>51</v>
      </c>
      <c r="AF721" s="1" t="s">
        <v>51</v>
      </c>
      <c r="AG721" s="1" t="s">
        <v>51</v>
      </c>
      <c r="AH721" s="1"/>
      <c r="AI721" s="1"/>
      <c r="AJ721" s="3">
        <v>1</v>
      </c>
      <c r="AK721" s="1" t="s">
        <v>89</v>
      </c>
      <c r="AL721" s="3">
        <v>8</v>
      </c>
      <c r="AM721" s="1"/>
      <c r="AN721" s="1"/>
      <c r="AO721" s="1" t="s">
        <v>4357</v>
      </c>
      <c r="AP721" s="1" t="s">
        <v>4336</v>
      </c>
      <c r="AQ721" s="1" t="s">
        <v>4358</v>
      </c>
      <c r="AR721" s="1" t="s">
        <v>4359</v>
      </c>
    </row>
    <row r="722">
      <c r="A722" s="2">
        <f ca="1">DATE(2001,04,11)</f>
        <v>0</v>
      </c>
      <c r="B722" s="2">
        <f ca="1">DATE(2001,09,25)</f>
        <v>0</v>
      </c>
      <c r="C722" s="1" t="s">
        <v>4360</v>
      </c>
      <c r="D722" s="3">
        <v>6726</v>
      </c>
      <c r="E722" s="1" t="s">
        <v>43</v>
      </c>
      <c r="F722" s="1" t="s">
        <v>4361</v>
      </c>
      <c r="G722" s="1" t="s">
        <v>4332</v>
      </c>
      <c r="H722" s="4">
        <v>0.67500000000000004</v>
      </c>
      <c r="I722" s="4">
        <v>4.5</v>
      </c>
      <c r="J722" s="5">
        <v>544.5</v>
      </c>
      <c r="K722" s="4">
        <v>15</v>
      </c>
      <c r="L722" s="1" t="s">
        <v>46</v>
      </c>
      <c r="M722" s="1" t="s">
        <v>47</v>
      </c>
      <c r="N722" s="1" t="s">
        <v>4362</v>
      </c>
      <c r="O722" s="1" t="s">
        <v>87</v>
      </c>
      <c r="P722" s="1" t="s">
        <v>4363</v>
      </c>
      <c r="Q722" s="4">
        <v>0.93300000000000005</v>
      </c>
      <c r="R722" s="4">
        <v>0.56699999999999995</v>
      </c>
      <c r="S722" s="8">
        <v>3</v>
      </c>
      <c r="T722" s="1" t="s">
        <v>50</v>
      </c>
      <c r="U722" s="8">
        <v>15</v>
      </c>
      <c r="V722" s="8">
        <v>15</v>
      </c>
      <c r="W722" s="7">
        <v>1000</v>
      </c>
      <c r="X722" s="5">
        <v>0</v>
      </c>
      <c r="Y722" s="7">
        <v>36300000</v>
      </c>
      <c r="Z722" s="1"/>
      <c r="AA722" s="1"/>
      <c r="AB722" s="1"/>
      <c r="AC722" s="1"/>
      <c r="AD722" s="1"/>
      <c r="AE722" s="1" t="s">
        <v>51</v>
      </c>
      <c r="AF722" s="1" t="s">
        <v>51</v>
      </c>
      <c r="AG722" s="1" t="s">
        <v>51</v>
      </c>
      <c r="AH722" s="1"/>
      <c r="AI722" s="1"/>
      <c r="AJ722" s="3">
        <v>1</v>
      </c>
      <c r="AK722" s="1" t="s">
        <v>89</v>
      </c>
      <c r="AL722" s="3">
        <v>13</v>
      </c>
      <c r="AM722" s="8">
        <v>15.01</v>
      </c>
      <c r="AN722" s="1"/>
      <c r="AO722" s="1" t="s">
        <v>4364</v>
      </c>
      <c r="AP722" s="1" t="s">
        <v>4336</v>
      </c>
      <c r="AQ722" s="1" t="s">
        <v>4365</v>
      </c>
      <c r="AR722" s="1" t="s">
        <v>4366</v>
      </c>
    </row>
    <row r="723">
      <c r="A723" s="2">
        <f ca="1">DATE(2001,04,11)</f>
        <v>0</v>
      </c>
      <c r="B723" s="2">
        <f ca="1">DATE(2001,09,25)</f>
        <v>0</v>
      </c>
      <c r="C723" s="1" t="s">
        <v>4367</v>
      </c>
      <c r="D723" s="3">
        <v>6726</v>
      </c>
      <c r="E723" s="1" t="s">
        <v>43</v>
      </c>
      <c r="F723" s="1" t="s">
        <v>4368</v>
      </c>
      <c r="G723" s="1" t="s">
        <v>4332</v>
      </c>
      <c r="H723" s="4">
        <v>0.67500000000000004</v>
      </c>
      <c r="I723" s="4">
        <v>4.5</v>
      </c>
      <c r="J723" s="5">
        <v>320.30000000000001</v>
      </c>
      <c r="K723" s="4">
        <v>15</v>
      </c>
      <c r="L723" s="1" t="s">
        <v>46</v>
      </c>
      <c r="M723" s="1" t="s">
        <v>47</v>
      </c>
      <c r="N723" s="1" t="s">
        <v>4369</v>
      </c>
      <c r="O723" s="1" t="s">
        <v>87</v>
      </c>
      <c r="P723" s="1" t="s">
        <v>4370</v>
      </c>
      <c r="Q723" s="4">
        <v>0.93300000000000005</v>
      </c>
      <c r="R723" s="4">
        <v>0.56699999999999995</v>
      </c>
      <c r="S723" s="8">
        <v>3</v>
      </c>
      <c r="T723" s="1" t="s">
        <v>50</v>
      </c>
      <c r="U723" s="8">
        <v>15</v>
      </c>
      <c r="V723" s="8">
        <v>15</v>
      </c>
      <c r="W723" s="7">
        <v>1000</v>
      </c>
      <c r="X723" s="5">
        <v>0</v>
      </c>
      <c r="Y723" s="7">
        <v>21350000</v>
      </c>
      <c r="Z723" s="1"/>
      <c r="AA723" s="1"/>
      <c r="AB723" s="1"/>
      <c r="AC723" s="1"/>
      <c r="AD723" s="1"/>
      <c r="AE723" s="1" t="s">
        <v>51</v>
      </c>
      <c r="AF723" s="1" t="s">
        <v>51</v>
      </c>
      <c r="AG723" s="1" t="s">
        <v>51</v>
      </c>
      <c r="AH723" s="1"/>
      <c r="AI723" s="1"/>
      <c r="AJ723" s="3">
        <v>1</v>
      </c>
      <c r="AK723" s="1" t="s">
        <v>89</v>
      </c>
      <c r="AL723" s="3">
        <v>11</v>
      </c>
      <c r="AM723" s="1"/>
      <c r="AN723" s="1"/>
      <c r="AO723" s="1" t="s">
        <v>4371</v>
      </c>
      <c r="AP723" s="1" t="s">
        <v>4336</v>
      </c>
      <c r="AQ723" s="1" t="s">
        <v>4372</v>
      </c>
      <c r="AR723" s="1" t="s">
        <v>4370</v>
      </c>
    </row>
    <row r="724">
      <c r="A724" s="2">
        <f ca="1">DATE(2001,08,22)</f>
        <v>0</v>
      </c>
      <c r="B724" s="2">
        <f ca="1">DATE(2001,10,03)</f>
        <v>0</v>
      </c>
      <c r="C724" s="1" t="s">
        <v>4373</v>
      </c>
      <c r="D724" s="3">
        <v>2835</v>
      </c>
      <c r="E724" s="1" t="s">
        <v>934</v>
      </c>
      <c r="F724" s="1" t="s">
        <v>4374</v>
      </c>
      <c r="G724" s="1" t="s">
        <v>813</v>
      </c>
      <c r="H724" s="4">
        <v>0.83999999999999997</v>
      </c>
      <c r="I724" s="8">
        <v>7</v>
      </c>
      <c r="J724" s="5">
        <v>60</v>
      </c>
      <c r="K724" s="4">
        <v>12</v>
      </c>
      <c r="L724" s="1" t="s">
        <v>1057</v>
      </c>
      <c r="M724" s="1" t="s">
        <v>47</v>
      </c>
      <c r="N724" s="1" t="s">
        <v>4375</v>
      </c>
      <c r="O724" s="1" t="s">
        <v>48</v>
      </c>
      <c r="P724" s="1" t="s">
        <v>4376</v>
      </c>
      <c r="Q724" s="4">
        <v>1.417</v>
      </c>
      <c r="R724" s="4">
        <v>1.583</v>
      </c>
      <c r="S724" s="8">
        <v>4</v>
      </c>
      <c r="T724" s="1" t="s">
        <v>50</v>
      </c>
      <c r="U724" s="8">
        <v>14</v>
      </c>
      <c r="V724" s="8">
        <v>12</v>
      </c>
      <c r="W724" s="7">
        <v>5000000</v>
      </c>
      <c r="X724" s="5">
        <v>65</v>
      </c>
      <c r="Y724" s="7">
        <v>5000000</v>
      </c>
      <c r="Z724" s="1"/>
      <c r="AA724" s="1" t="s">
        <v>4377</v>
      </c>
      <c r="AB724" s="1" t="s">
        <v>4378</v>
      </c>
      <c r="AC724" s="1" t="s">
        <v>4379</v>
      </c>
      <c r="AD724" s="1" t="s">
        <v>4380</v>
      </c>
      <c r="AE724" s="1" t="s">
        <v>51</v>
      </c>
      <c r="AF724" s="1" t="s">
        <v>51</v>
      </c>
      <c r="AG724" s="1" t="s">
        <v>47</v>
      </c>
      <c r="AH724" s="1"/>
      <c r="AI724" s="1"/>
      <c r="AJ724" s="3">
        <v>1</v>
      </c>
      <c r="AK724" s="1" t="s">
        <v>89</v>
      </c>
      <c r="AL724" s="3">
        <v>4</v>
      </c>
      <c r="AM724" s="8">
        <v>12.470000000000001</v>
      </c>
      <c r="AN724" s="1"/>
      <c r="AO724" s="1" t="s">
        <v>4381</v>
      </c>
      <c r="AP724" s="1" t="s">
        <v>4382</v>
      </c>
      <c r="AQ724" s="1" t="s">
        <v>4383</v>
      </c>
      <c r="AR724" s="1" t="s">
        <v>4384</v>
      </c>
    </row>
    <row r="725">
      <c r="A725" s="2">
        <f ca="1">DATE(2001,08,13)</f>
        <v>0</v>
      </c>
      <c r="B725" s="2">
        <f ca="1">DATE(2001,10,11)</f>
        <v>0</v>
      </c>
      <c r="C725" s="1" t="s">
        <v>4385</v>
      </c>
      <c r="D725" s="3">
        <v>3841</v>
      </c>
      <c r="E725" s="1" t="s">
        <v>43</v>
      </c>
      <c r="F725" s="1" t="s">
        <v>4386</v>
      </c>
      <c r="G725" s="1" t="s">
        <v>282</v>
      </c>
      <c r="H725" s="4">
        <v>1.3300000000000001</v>
      </c>
      <c r="I725" s="4">
        <v>7</v>
      </c>
      <c r="J725" s="5">
        <v>114</v>
      </c>
      <c r="K725" s="4">
        <v>19</v>
      </c>
      <c r="L725" s="1" t="s">
        <v>46</v>
      </c>
      <c r="M725" s="1" t="s">
        <v>47</v>
      </c>
      <c r="N725" s="3">
        <v>883381105</v>
      </c>
      <c r="O725" s="1" t="s">
        <v>48</v>
      </c>
      <c r="P725" s="1" t="s">
        <v>4387</v>
      </c>
      <c r="Q725" s="4">
        <v>1.3680000000000001</v>
      </c>
      <c r="R725" s="4">
        <v>1.421</v>
      </c>
      <c r="S725" s="6">
        <v>4.2105300000000003</v>
      </c>
      <c r="T725" s="1" t="s">
        <v>50</v>
      </c>
      <c r="U725" s="1"/>
      <c r="V725" s="1"/>
      <c r="W725" s="1"/>
      <c r="X725" s="5">
        <v>115</v>
      </c>
      <c r="Y725" s="7">
        <v>6000000</v>
      </c>
      <c r="Z725" s="1"/>
      <c r="AA725" s="2">
        <f ca="1">DATE(2002,04,09)</f>
        <v>0</v>
      </c>
      <c r="AB725" s="4">
        <v>84.248000000000005</v>
      </c>
      <c r="AC725" s="3">
        <v>180</v>
      </c>
      <c r="AD725" s="8">
        <v>32089847</v>
      </c>
      <c r="AE725" s="1" t="s">
        <v>51</v>
      </c>
      <c r="AF725" s="1" t="s">
        <v>51</v>
      </c>
      <c r="AG725" s="1" t="s">
        <v>47</v>
      </c>
      <c r="AH725" s="1"/>
      <c r="AI725" s="1"/>
      <c r="AJ725" s="3">
        <v>1</v>
      </c>
      <c r="AK725" s="1" t="s">
        <v>52</v>
      </c>
      <c r="AL725" s="3">
        <v>3</v>
      </c>
      <c r="AM725" s="8">
        <v>24.920000000000002</v>
      </c>
      <c r="AN725" s="1"/>
      <c r="AO725" s="1" t="s">
        <v>4388</v>
      </c>
      <c r="AP725" s="1" t="s">
        <v>282</v>
      </c>
      <c r="AQ725" s="1" t="s">
        <v>4389</v>
      </c>
      <c r="AR725" s="1" t="s">
        <v>4390</v>
      </c>
    </row>
    <row r="726">
      <c r="A726" s="2">
        <f ca="1">DATE(2001,06,08)</f>
        <v>0</v>
      </c>
      <c r="B726" s="2">
        <f ca="1">DATE(2001,10,22)</f>
        <v>0</v>
      </c>
      <c r="C726" s="1" t="s">
        <v>4391</v>
      </c>
      <c r="D726" s="3">
        <v>6321</v>
      </c>
      <c r="E726" s="1" t="s">
        <v>43</v>
      </c>
      <c r="F726" s="1" t="s">
        <v>4392</v>
      </c>
      <c r="G726" s="1" t="s">
        <v>160</v>
      </c>
      <c r="H726" s="4">
        <v>0.80500000000000005</v>
      </c>
      <c r="I726" s="4">
        <v>4.351</v>
      </c>
      <c r="J726" s="9">
        <v>1572.5</v>
      </c>
      <c r="K726" s="4">
        <v>18.5</v>
      </c>
      <c r="L726" s="1" t="s">
        <v>46</v>
      </c>
      <c r="M726" s="1" t="s">
        <v>47</v>
      </c>
      <c r="N726" s="1" t="s">
        <v>4393</v>
      </c>
      <c r="O726" s="1" t="s">
        <v>108</v>
      </c>
      <c r="P726" s="1" t="s">
        <v>4394</v>
      </c>
      <c r="Q726" s="4">
        <v>0.86499999999999999</v>
      </c>
      <c r="R726" s="4">
        <v>0.83799999999999997</v>
      </c>
      <c r="S726" s="6">
        <v>2.6486499999999999</v>
      </c>
      <c r="T726" s="1" t="s">
        <v>50</v>
      </c>
      <c r="U726" s="1"/>
      <c r="V726" s="1"/>
      <c r="W726" s="1"/>
      <c r="X726" s="1"/>
      <c r="Y726" s="7">
        <v>85000000</v>
      </c>
      <c r="Z726" s="1"/>
      <c r="AA726" s="1"/>
      <c r="AB726" s="1"/>
      <c r="AC726" s="1"/>
      <c r="AD726" s="1"/>
      <c r="AE726" s="1" t="s">
        <v>51</v>
      </c>
      <c r="AF726" s="1" t="s">
        <v>51</v>
      </c>
      <c r="AG726" s="1" t="s">
        <v>51</v>
      </c>
      <c r="AH726" s="1"/>
      <c r="AI726" s="1"/>
      <c r="AJ726" s="3">
        <v>1</v>
      </c>
      <c r="AK726" s="1" t="s">
        <v>52</v>
      </c>
      <c r="AL726" s="3">
        <v>12</v>
      </c>
      <c r="AM726" s="8">
        <v>21</v>
      </c>
      <c r="AN726" s="1"/>
      <c r="AO726" s="1" t="s">
        <v>4395</v>
      </c>
      <c r="AP726" s="1" t="s">
        <v>160</v>
      </c>
      <c r="AQ726" s="1" t="s">
        <v>4396</v>
      </c>
      <c r="AR726" s="1" t="s">
        <v>4397</v>
      </c>
    </row>
    <row r="727">
      <c r="A727" s="2">
        <f ca="1">DATE(2001,06,08)</f>
        <v>0</v>
      </c>
      <c r="B727" s="2">
        <f ca="1">DATE(2001,10,22)</f>
        <v>0</v>
      </c>
      <c r="C727" s="1" t="s">
        <v>4391</v>
      </c>
      <c r="D727" s="3">
        <v>6321</v>
      </c>
      <c r="E727" s="1" t="s">
        <v>43</v>
      </c>
      <c r="F727" s="1" t="s">
        <v>4392</v>
      </c>
      <c r="G727" s="1" t="s">
        <v>160</v>
      </c>
      <c r="H727" s="4">
        <v>0.80500000000000005</v>
      </c>
      <c r="I727" s="4">
        <v>4.351</v>
      </c>
      <c r="J727" s="5">
        <v>277.5</v>
      </c>
      <c r="K727" s="8">
        <v>18.5</v>
      </c>
      <c r="L727" s="1" t="s">
        <v>58</v>
      </c>
      <c r="M727" s="1" t="s">
        <v>47</v>
      </c>
      <c r="N727" s="1" t="s">
        <v>4393</v>
      </c>
      <c r="O727" s="1" t="s">
        <v>108</v>
      </c>
      <c r="P727" s="1" t="s">
        <v>4398</v>
      </c>
      <c r="Q727" s="4">
        <v>0.86499999999999999</v>
      </c>
      <c r="R727" s="4">
        <v>0.83799999999999997</v>
      </c>
      <c r="S727" s="6">
        <v>2.64859</v>
      </c>
      <c r="T727" s="1" t="s">
        <v>60</v>
      </c>
      <c r="U727" s="1"/>
      <c r="V727" s="1"/>
      <c r="W727" s="1"/>
      <c r="X727" s="1"/>
      <c r="Y727" s="7">
        <v>15000000</v>
      </c>
      <c r="Z727" s="1"/>
      <c r="AA727" s="1"/>
      <c r="AB727" s="1"/>
      <c r="AC727" s="1"/>
      <c r="AD727" s="1"/>
      <c r="AE727" s="1" t="s">
        <v>51</v>
      </c>
      <c r="AF727" s="1" t="s">
        <v>51</v>
      </c>
      <c r="AG727" s="1" t="s">
        <v>51</v>
      </c>
      <c r="AH727" s="1"/>
      <c r="AI727" s="1"/>
      <c r="AJ727" s="3">
        <v>1</v>
      </c>
      <c r="AK727" s="1" t="s">
        <v>52</v>
      </c>
      <c r="AL727" s="3">
        <v>1</v>
      </c>
      <c r="AM727" s="1"/>
      <c r="AN727" s="1"/>
      <c r="AO727" s="1" t="s">
        <v>4399</v>
      </c>
      <c r="AP727" s="1" t="s">
        <v>160</v>
      </c>
      <c r="AQ727" s="1" t="s">
        <v>160</v>
      </c>
      <c r="AR727" s="1" t="s">
        <v>187</v>
      </c>
    </row>
    <row r="728">
      <c r="A728" s="2">
        <f ca="1">DATE(2001,07,11)</f>
        <v>0</v>
      </c>
      <c r="B728" s="2">
        <f ca="1">DATE(2001,10,24)</f>
        <v>0</v>
      </c>
      <c r="C728" s="1" t="s">
        <v>4400</v>
      </c>
      <c r="D728" s="3">
        <v>7361</v>
      </c>
      <c r="E728" s="1" t="s">
        <v>43</v>
      </c>
      <c r="F728" s="1" t="s">
        <v>4401</v>
      </c>
      <c r="G728" s="1" t="s">
        <v>45</v>
      </c>
      <c r="H728" s="4">
        <v>1.19</v>
      </c>
      <c r="I728" s="8">
        <v>7</v>
      </c>
      <c r="J728" s="5">
        <v>120.7</v>
      </c>
      <c r="K728" s="4">
        <v>17</v>
      </c>
      <c r="L728" s="1" t="s">
        <v>46</v>
      </c>
      <c r="M728" s="1" t="s">
        <v>47</v>
      </c>
      <c r="N728" s="1" t="s">
        <v>4402</v>
      </c>
      <c r="O728" s="1" t="s">
        <v>48</v>
      </c>
      <c r="P728" s="1" t="s">
        <v>4403</v>
      </c>
      <c r="Q728" s="4">
        <v>1.4119999999999999</v>
      </c>
      <c r="R728" s="4">
        <v>1.4119999999999999</v>
      </c>
      <c r="S728" s="6">
        <v>4.1764700000000001</v>
      </c>
      <c r="T728" s="1" t="s">
        <v>50</v>
      </c>
      <c r="U728" s="1"/>
      <c r="V728" s="1"/>
      <c r="W728" s="1"/>
      <c r="X728" s="5">
        <v>143.80000000000001</v>
      </c>
      <c r="Y728" s="7">
        <v>7098437</v>
      </c>
      <c r="Z728" s="1"/>
      <c r="AA728" s="1"/>
      <c r="AB728" s="1"/>
      <c r="AC728" s="1"/>
      <c r="AD728" s="1"/>
      <c r="AE728" s="1" t="s">
        <v>51</v>
      </c>
      <c r="AF728" s="1" t="s">
        <v>51</v>
      </c>
      <c r="AG728" s="1" t="s">
        <v>47</v>
      </c>
      <c r="AH728" s="1"/>
      <c r="AI728" s="1"/>
      <c r="AJ728" s="3">
        <v>1</v>
      </c>
      <c r="AK728" s="1" t="s">
        <v>89</v>
      </c>
      <c r="AL728" s="3">
        <v>5</v>
      </c>
      <c r="AM728" s="8">
        <v>20.370000000000001</v>
      </c>
      <c r="AN728" s="1"/>
      <c r="AO728" s="1" t="s">
        <v>4404</v>
      </c>
      <c r="AP728" s="1" t="s">
        <v>4405</v>
      </c>
      <c r="AQ728" s="1" t="s">
        <v>4406</v>
      </c>
      <c r="AR728" s="1" t="s">
        <v>4407</v>
      </c>
    </row>
    <row r="729">
      <c r="A729" s="2">
        <f ca="1">DATE(2001,07,11)</f>
        <v>0</v>
      </c>
      <c r="B729" s="2">
        <f ca="1">DATE(2001,10,24)</f>
        <v>0</v>
      </c>
      <c r="C729" s="1" t="s">
        <v>4400</v>
      </c>
      <c r="D729" s="3">
        <v>7361</v>
      </c>
      <c r="E729" s="1" t="s">
        <v>43</v>
      </c>
      <c r="F729" s="1" t="s">
        <v>4401</v>
      </c>
      <c r="G729" s="1" t="s">
        <v>45</v>
      </c>
      <c r="H729" s="4">
        <v>1.19</v>
      </c>
      <c r="I729" s="8">
        <v>7</v>
      </c>
      <c r="J729" s="5">
        <v>12.1</v>
      </c>
      <c r="K729" s="8">
        <v>17</v>
      </c>
      <c r="L729" s="1" t="s">
        <v>58</v>
      </c>
      <c r="M729" s="1" t="s">
        <v>47</v>
      </c>
      <c r="N729" s="1" t="s">
        <v>4402</v>
      </c>
      <c r="O729" s="1" t="s">
        <v>48</v>
      </c>
      <c r="P729" s="1" t="s">
        <v>4408</v>
      </c>
      <c r="Q729" s="4">
        <v>1.4119999999999999</v>
      </c>
      <c r="R729" s="4">
        <v>1.4119999999999999</v>
      </c>
      <c r="S729" s="6">
        <v>4.1765299999999996</v>
      </c>
      <c r="T729" s="1" t="s">
        <v>60</v>
      </c>
      <c r="U729" s="1"/>
      <c r="V729" s="1"/>
      <c r="W729" s="1"/>
      <c r="X729" s="1"/>
      <c r="Y729" s="7">
        <v>714063</v>
      </c>
      <c r="Z729" s="1"/>
      <c r="AA729" s="1"/>
      <c r="AB729" s="1"/>
      <c r="AC729" s="1"/>
      <c r="AD729" s="1"/>
      <c r="AE729" s="1" t="s">
        <v>51</v>
      </c>
      <c r="AF729" s="1" t="s">
        <v>51</v>
      </c>
      <c r="AG729" s="1" t="s">
        <v>47</v>
      </c>
      <c r="AH729" s="1"/>
      <c r="AI729" s="1"/>
      <c r="AJ729" s="3">
        <v>1</v>
      </c>
      <c r="AK729" s="1" t="s">
        <v>89</v>
      </c>
      <c r="AL729" s="3">
        <v>2</v>
      </c>
      <c r="AM729" s="1"/>
      <c r="AN729" s="1"/>
      <c r="AO729" s="1" t="s">
        <v>4409</v>
      </c>
      <c r="AP729" s="1" t="s">
        <v>1504</v>
      </c>
      <c r="AQ729" s="1" t="s">
        <v>4410</v>
      </c>
      <c r="AR729" s="1" t="s">
        <v>4411</v>
      </c>
    </row>
    <row r="730">
      <c r="A730" s="2">
        <f ca="1">DATE(2001,07,19)</f>
        <v>0</v>
      </c>
      <c r="B730" s="2">
        <f ca="1">DATE(2001,10,24)</f>
        <v>0</v>
      </c>
      <c r="C730" s="1" t="s">
        <v>4412</v>
      </c>
      <c r="D730" s="3">
        <v>1221</v>
      </c>
      <c r="E730" s="1" t="s">
        <v>43</v>
      </c>
      <c r="F730" s="1" t="s">
        <v>4413</v>
      </c>
      <c r="G730" s="1" t="s">
        <v>813</v>
      </c>
      <c r="H730" s="4">
        <v>1.3899999999999999</v>
      </c>
      <c r="I730" s="4">
        <v>6.6189999999999998</v>
      </c>
      <c r="J730" s="5">
        <v>136.5</v>
      </c>
      <c r="K730" s="4">
        <v>21</v>
      </c>
      <c r="L730" s="1" t="s">
        <v>85</v>
      </c>
      <c r="M730" s="1" t="s">
        <v>47</v>
      </c>
      <c r="N730" s="3">
        <v>707884102</v>
      </c>
      <c r="O730" s="1" t="s">
        <v>108</v>
      </c>
      <c r="P730" s="1" t="s">
        <v>4414</v>
      </c>
      <c r="Q730" s="4">
        <v>1.286</v>
      </c>
      <c r="R730" s="4">
        <v>1.286</v>
      </c>
      <c r="S730" s="6">
        <v>4.0476200000000002</v>
      </c>
      <c r="T730" s="1" t="s">
        <v>50</v>
      </c>
      <c r="U730" s="1"/>
      <c r="V730" s="1"/>
      <c r="W730" s="7">
        <v>5000000</v>
      </c>
      <c r="X730" s="1"/>
      <c r="Y730" s="7">
        <v>6500000</v>
      </c>
      <c r="Z730" s="1"/>
      <c r="AA730" s="2">
        <f ca="1">DATE(2002,04,22)</f>
        <v>0</v>
      </c>
      <c r="AB730" s="1"/>
      <c r="AC730" s="3">
        <v>180</v>
      </c>
      <c r="AD730" s="1"/>
      <c r="AE730" s="1" t="s">
        <v>51</v>
      </c>
      <c r="AF730" s="1" t="s">
        <v>47</v>
      </c>
      <c r="AG730" s="1" t="s">
        <v>51</v>
      </c>
      <c r="AH730" s="1" t="s">
        <v>4415</v>
      </c>
      <c r="AI730" s="1" t="s">
        <v>4416</v>
      </c>
      <c r="AJ730" s="3">
        <v>1</v>
      </c>
      <c r="AK730" s="1" t="s">
        <v>89</v>
      </c>
      <c r="AL730" s="3">
        <v>5</v>
      </c>
      <c r="AM730" s="8">
        <v>22.699999999999999</v>
      </c>
      <c r="AN730" s="1"/>
      <c r="AO730" s="1" t="s">
        <v>4417</v>
      </c>
      <c r="AP730" s="1" t="s">
        <v>4418</v>
      </c>
      <c r="AQ730" s="1" t="s">
        <v>4419</v>
      </c>
      <c r="AR730" s="1" t="s">
        <v>4414</v>
      </c>
    </row>
    <row r="731">
      <c r="A731" s="2">
        <f ca="1">DATE(2001,09,18)</f>
        <v>0</v>
      </c>
      <c r="B731" s="2">
        <f ca="1">DATE(2001,10,25)</f>
        <v>0</v>
      </c>
      <c r="C731" s="1" t="s">
        <v>4420</v>
      </c>
      <c r="D731" s="3">
        <v>6726</v>
      </c>
      <c r="E731" s="1" t="s">
        <v>43</v>
      </c>
      <c r="F731" s="1" t="s">
        <v>4421</v>
      </c>
      <c r="G731" s="1" t="s">
        <v>45</v>
      </c>
      <c r="H731" s="4">
        <v>0.67500000000000004</v>
      </c>
      <c r="I731" s="4">
        <v>4.5</v>
      </c>
      <c r="J731" s="5">
        <v>220.5</v>
      </c>
      <c r="K731" s="4">
        <v>15</v>
      </c>
      <c r="L731" s="1" t="s">
        <v>4422</v>
      </c>
      <c r="M731" s="1" t="s">
        <v>47</v>
      </c>
      <c r="N731" s="1" t="s">
        <v>4423</v>
      </c>
      <c r="O731" s="1" t="s">
        <v>108</v>
      </c>
      <c r="P731" s="1" t="s">
        <v>4424</v>
      </c>
      <c r="Q731" s="4">
        <v>0.93300000000000005</v>
      </c>
      <c r="R731" s="4">
        <v>0.56699999999999995</v>
      </c>
      <c r="S731" s="8">
        <v>3</v>
      </c>
      <c r="T731" s="1" t="s">
        <v>50</v>
      </c>
      <c r="U731" s="8">
        <v>15</v>
      </c>
      <c r="V731" s="8">
        <v>15</v>
      </c>
      <c r="W731" s="7">
        <v>100000</v>
      </c>
      <c r="X731" s="5">
        <v>1.5</v>
      </c>
      <c r="Y731" s="7">
        <v>14700000</v>
      </c>
      <c r="Z731" s="1"/>
      <c r="AA731" s="1"/>
      <c r="AB731" s="1"/>
      <c r="AC731" s="1"/>
      <c r="AD731" s="1"/>
      <c r="AE731" s="1" t="s">
        <v>51</v>
      </c>
      <c r="AF731" s="1" t="s">
        <v>51</v>
      </c>
      <c r="AG731" s="1" t="s">
        <v>51</v>
      </c>
      <c r="AH731" s="1"/>
      <c r="AI731" s="1"/>
      <c r="AJ731" s="3">
        <v>1</v>
      </c>
      <c r="AK731" s="1" t="s">
        <v>89</v>
      </c>
      <c r="AL731" s="3">
        <v>11</v>
      </c>
      <c r="AM731" s="8">
        <v>15</v>
      </c>
      <c r="AN731" s="1"/>
      <c r="AO731" s="1" t="s">
        <v>4425</v>
      </c>
      <c r="AP731" s="1" t="s">
        <v>4405</v>
      </c>
      <c r="AQ731" s="1" t="s">
        <v>4426</v>
      </c>
      <c r="AR731" s="1" t="s">
        <v>4427</v>
      </c>
    </row>
    <row r="732">
      <c r="A732" s="2">
        <f ca="1">DATE(2001,09,18)</f>
        <v>0</v>
      </c>
      <c r="B732" s="2">
        <f ca="1">DATE(2001,10,25)</f>
        <v>0</v>
      </c>
      <c r="C732" s="1" t="s">
        <v>4428</v>
      </c>
      <c r="D732" s="3">
        <v>6726</v>
      </c>
      <c r="E732" s="1" t="s">
        <v>43</v>
      </c>
      <c r="F732" s="1" t="s">
        <v>4429</v>
      </c>
      <c r="G732" s="1" t="s">
        <v>45</v>
      </c>
      <c r="H732" s="4">
        <v>0.67500000000000004</v>
      </c>
      <c r="I732" s="4">
        <v>4.5</v>
      </c>
      <c r="J732" s="5">
        <v>52.5</v>
      </c>
      <c r="K732" s="4">
        <v>15</v>
      </c>
      <c r="L732" s="1" t="s">
        <v>4422</v>
      </c>
      <c r="M732" s="1" t="s">
        <v>47</v>
      </c>
      <c r="N732" s="1" t="s">
        <v>4430</v>
      </c>
      <c r="O732" s="1" t="s">
        <v>108</v>
      </c>
      <c r="P732" s="1" t="s">
        <v>4431</v>
      </c>
      <c r="Q732" s="4">
        <v>0.93300000000000005</v>
      </c>
      <c r="R732" s="4">
        <v>0.56699999999999995</v>
      </c>
      <c r="S732" s="8">
        <v>3</v>
      </c>
      <c r="T732" s="1" t="s">
        <v>50</v>
      </c>
      <c r="U732" s="8">
        <v>15</v>
      </c>
      <c r="V732" s="8">
        <v>15</v>
      </c>
      <c r="W732" s="7">
        <v>100000</v>
      </c>
      <c r="X732" s="5">
        <v>1.5</v>
      </c>
      <c r="Y732" s="7">
        <v>3500000</v>
      </c>
      <c r="Z732" s="1"/>
      <c r="AA732" s="2">
        <f ca="1">DATE(2002,01,23)</f>
        <v>0</v>
      </c>
      <c r="AB732" s="1"/>
      <c r="AC732" s="3">
        <v>90</v>
      </c>
      <c r="AD732" s="1"/>
      <c r="AE732" s="1" t="s">
        <v>51</v>
      </c>
      <c r="AF732" s="1" t="s">
        <v>51</v>
      </c>
      <c r="AG732" s="1" t="s">
        <v>51</v>
      </c>
      <c r="AH732" s="1"/>
      <c r="AI732" s="1"/>
      <c r="AJ732" s="3">
        <v>1</v>
      </c>
      <c r="AK732" s="1" t="s">
        <v>89</v>
      </c>
      <c r="AL732" s="3">
        <v>11</v>
      </c>
      <c r="AM732" s="8">
        <v>15</v>
      </c>
      <c r="AN732" s="1"/>
      <c r="AO732" s="1" t="s">
        <v>4432</v>
      </c>
      <c r="AP732" s="1" t="s">
        <v>4405</v>
      </c>
      <c r="AQ732" s="1" t="s">
        <v>4433</v>
      </c>
      <c r="AR732" s="1" t="s">
        <v>4434</v>
      </c>
    </row>
    <row r="733">
      <c r="A733" s="2">
        <f ca="1">DATE(2001,09,18)</f>
        <v>0</v>
      </c>
      <c r="B733" s="2">
        <f ca="1">DATE(2001,10,25)</f>
        <v>0</v>
      </c>
      <c r="C733" s="1" t="s">
        <v>4435</v>
      </c>
      <c r="D733" s="3">
        <v>6726</v>
      </c>
      <c r="E733" s="1" t="s">
        <v>43</v>
      </c>
      <c r="F733" s="1" t="s">
        <v>4436</v>
      </c>
      <c r="G733" s="1" t="s">
        <v>45</v>
      </c>
      <c r="H733" s="4">
        <v>0.67500000000000004</v>
      </c>
      <c r="I733" s="4">
        <v>4.5</v>
      </c>
      <c r="J733" s="5">
        <v>90</v>
      </c>
      <c r="K733" s="4">
        <v>15</v>
      </c>
      <c r="L733" s="1" t="s">
        <v>4422</v>
      </c>
      <c r="M733" s="1" t="s">
        <v>47</v>
      </c>
      <c r="N733" s="1" t="s">
        <v>4437</v>
      </c>
      <c r="O733" s="1" t="s">
        <v>108</v>
      </c>
      <c r="P733" s="1" t="s">
        <v>4438</v>
      </c>
      <c r="Q733" s="4">
        <v>0.93300000000000005</v>
      </c>
      <c r="R733" s="4">
        <v>0.56699999999999995</v>
      </c>
      <c r="S733" s="8">
        <v>3</v>
      </c>
      <c r="T733" s="1" t="s">
        <v>50</v>
      </c>
      <c r="U733" s="8">
        <v>15</v>
      </c>
      <c r="V733" s="8">
        <v>15</v>
      </c>
      <c r="W733" s="7">
        <v>100000</v>
      </c>
      <c r="X733" s="5">
        <v>1.5</v>
      </c>
      <c r="Y733" s="7">
        <v>6000000</v>
      </c>
      <c r="Z733" s="1"/>
      <c r="AA733" s="2">
        <f ca="1">DATE(2002,04,23)</f>
        <v>0</v>
      </c>
      <c r="AB733" s="1"/>
      <c r="AC733" s="3">
        <v>180</v>
      </c>
      <c r="AD733" s="1"/>
      <c r="AE733" s="1" t="s">
        <v>51</v>
      </c>
      <c r="AF733" s="1" t="s">
        <v>51</v>
      </c>
      <c r="AG733" s="1" t="s">
        <v>51</v>
      </c>
      <c r="AH733" s="1"/>
      <c r="AI733" s="1"/>
      <c r="AJ733" s="3">
        <v>1</v>
      </c>
      <c r="AK733" s="1" t="s">
        <v>89</v>
      </c>
      <c r="AL733" s="3">
        <v>9</v>
      </c>
      <c r="AM733" s="8">
        <v>27.300000000000001</v>
      </c>
      <c r="AN733" s="1"/>
      <c r="AO733" s="1" t="s">
        <v>4439</v>
      </c>
      <c r="AP733" s="1" t="s">
        <v>4405</v>
      </c>
      <c r="AQ733" s="1" t="s">
        <v>4440</v>
      </c>
      <c r="AR733" s="1" t="s">
        <v>4441</v>
      </c>
    </row>
    <row r="734">
      <c r="A734" s="2">
        <f ca="1">DATE(2001,08,16)</f>
        <v>0</v>
      </c>
      <c r="B734" s="2">
        <f ca="1">DATE(2001,10,29)</f>
        <v>0</v>
      </c>
      <c r="C734" s="1" t="s">
        <v>4442</v>
      </c>
      <c r="D734" s="3">
        <v>8099</v>
      </c>
      <c r="E734" s="1" t="s">
        <v>43</v>
      </c>
      <c r="F734" s="1"/>
      <c r="G734" s="1" t="s">
        <v>160</v>
      </c>
      <c r="H734" s="4">
        <v>1.6559999999999999</v>
      </c>
      <c r="I734" s="4">
        <v>4.5999999999999996</v>
      </c>
      <c r="J734" s="9">
        <v>1728</v>
      </c>
      <c r="K734" s="4">
        <v>36</v>
      </c>
      <c r="L734" s="1" t="s">
        <v>46</v>
      </c>
      <c r="M734" s="1" t="s">
        <v>47</v>
      </c>
      <c r="N734" s="1" t="s">
        <v>4443</v>
      </c>
      <c r="O734" s="1"/>
      <c r="P734" s="1" t="s">
        <v>4444</v>
      </c>
      <c r="Q734" s="4">
        <v>0.91100000000000003</v>
      </c>
      <c r="R734" s="4">
        <v>0.91100000000000003</v>
      </c>
      <c r="S734" s="6">
        <v>2.7777799999999999</v>
      </c>
      <c r="T734" s="1" t="s">
        <v>50</v>
      </c>
      <c r="U734" s="1"/>
      <c r="V734" s="1"/>
      <c r="W734" s="7">
        <v>28600000</v>
      </c>
      <c r="X734" s="9">
        <v>1151.2000000000001</v>
      </c>
      <c r="Y734" s="7">
        <v>48000000</v>
      </c>
      <c r="Z734" s="1"/>
      <c r="AA734" s="2">
        <f ca="1">DATE(2002,04,27)</f>
        <v>0</v>
      </c>
      <c r="AB734" s="4">
        <v>0.029000000000000001</v>
      </c>
      <c r="AC734" s="3">
        <v>180</v>
      </c>
      <c r="AD734" s="8">
        <v>30000</v>
      </c>
      <c r="AE734" s="1" t="s">
        <v>51</v>
      </c>
      <c r="AF734" s="1" t="s">
        <v>51</v>
      </c>
      <c r="AG734" s="1" t="s">
        <v>51</v>
      </c>
      <c r="AH734" s="1"/>
      <c r="AI734" s="1" t="s">
        <v>4445</v>
      </c>
      <c r="AJ734" s="3">
        <v>1</v>
      </c>
      <c r="AK734" s="1" t="s">
        <v>52</v>
      </c>
      <c r="AL734" s="3">
        <v>13</v>
      </c>
      <c r="AM734" s="8">
        <v>40.899999999999999</v>
      </c>
      <c r="AN734" s="1"/>
      <c r="AO734" s="1" t="s">
        <v>4446</v>
      </c>
      <c r="AP734" s="1" t="s">
        <v>160</v>
      </c>
      <c r="AQ734" s="1" t="s">
        <v>4447</v>
      </c>
      <c r="AR734" s="1" t="s">
        <v>4448</v>
      </c>
    </row>
    <row r="735">
      <c r="A735" s="2">
        <f ca="1">DATE(2000,12,08)</f>
        <v>0</v>
      </c>
      <c r="B735" s="2">
        <f ca="1">DATE(2001,10,30)</f>
        <v>0</v>
      </c>
      <c r="C735" s="1" t="s">
        <v>4449</v>
      </c>
      <c r="D735" s="3">
        <v>8082</v>
      </c>
      <c r="E735" s="1" t="s">
        <v>43</v>
      </c>
      <c r="F735" s="1" t="s">
        <v>4450</v>
      </c>
      <c r="G735" s="1" t="s">
        <v>45</v>
      </c>
      <c r="H735" s="4">
        <v>1.05</v>
      </c>
      <c r="I735" s="4">
        <v>7</v>
      </c>
      <c r="J735" s="5">
        <v>48.799999999999997</v>
      </c>
      <c r="K735" s="4">
        <v>15</v>
      </c>
      <c r="L735" s="1" t="s">
        <v>46</v>
      </c>
      <c r="M735" s="1" t="s">
        <v>47</v>
      </c>
      <c r="N735" s="1" t="s">
        <v>4451</v>
      </c>
      <c r="O735" s="1" t="s">
        <v>48</v>
      </c>
      <c r="P735" s="1" t="s">
        <v>4452</v>
      </c>
      <c r="Q735" s="4">
        <v>1.3999999999999999</v>
      </c>
      <c r="R735" s="4">
        <v>1.3999999999999999</v>
      </c>
      <c r="S735" s="8">
        <v>4.2000000000000002</v>
      </c>
      <c r="T735" s="1" t="s">
        <v>50</v>
      </c>
      <c r="U735" s="1"/>
      <c r="V735" s="1"/>
      <c r="W735" s="1"/>
      <c r="X735" s="5">
        <v>57.5</v>
      </c>
      <c r="Y735" s="7">
        <v>3254040</v>
      </c>
      <c r="Z735" s="1"/>
      <c r="AA735" s="1"/>
      <c r="AB735" s="1"/>
      <c r="AC735" s="1"/>
      <c r="AD735" s="1"/>
      <c r="AE735" s="1" t="s">
        <v>51</v>
      </c>
      <c r="AF735" s="1" t="s">
        <v>51</v>
      </c>
      <c r="AG735" s="1" t="s">
        <v>47</v>
      </c>
      <c r="AH735" s="1"/>
      <c r="AI735" s="1"/>
      <c r="AJ735" s="3">
        <v>1</v>
      </c>
      <c r="AK735" s="1" t="s">
        <v>52</v>
      </c>
      <c r="AL735" s="3">
        <v>3</v>
      </c>
      <c r="AM735" s="8">
        <v>17.25</v>
      </c>
      <c r="AN735" s="1"/>
      <c r="AO735" s="1" t="s">
        <v>4453</v>
      </c>
      <c r="AP735" s="1" t="s">
        <v>45</v>
      </c>
      <c r="AQ735" s="1" t="s">
        <v>4454</v>
      </c>
      <c r="AR735" s="1" t="s">
        <v>4455</v>
      </c>
    </row>
    <row r="736">
      <c r="A736" s="2">
        <f ca="1">DATE(2000,12,08)</f>
        <v>0</v>
      </c>
      <c r="B736" s="2">
        <f ca="1">DATE(2001,10,30)</f>
        <v>0</v>
      </c>
      <c r="C736" s="1" t="s">
        <v>4449</v>
      </c>
      <c r="D736" s="3">
        <v>8082</v>
      </c>
      <c r="E736" s="1" t="s">
        <v>43</v>
      </c>
      <c r="F736" s="1" t="s">
        <v>4450</v>
      </c>
      <c r="G736" s="1" t="s">
        <v>45</v>
      </c>
      <c r="H736" s="4">
        <v>1.05</v>
      </c>
      <c r="I736" s="4">
        <v>7</v>
      </c>
      <c r="J736" s="5">
        <v>5.2000000000000002</v>
      </c>
      <c r="K736" s="8">
        <v>15</v>
      </c>
      <c r="L736" s="1" t="s">
        <v>58</v>
      </c>
      <c r="M736" s="1" t="s">
        <v>47</v>
      </c>
      <c r="N736" s="1" t="s">
        <v>4451</v>
      </c>
      <c r="O736" s="1" t="s">
        <v>48</v>
      </c>
      <c r="P736" s="1" t="s">
        <v>4452</v>
      </c>
      <c r="Q736" s="4">
        <v>1.3999999999999999</v>
      </c>
      <c r="R736" s="4">
        <v>1.3999999999999999</v>
      </c>
      <c r="S736" s="8">
        <v>4.2000000000000002</v>
      </c>
      <c r="T736" s="1" t="s">
        <v>60</v>
      </c>
      <c r="U736" s="1"/>
      <c r="V736" s="1"/>
      <c r="W736" s="1"/>
      <c r="X736" s="1"/>
      <c r="Y736" s="7">
        <v>345960</v>
      </c>
      <c r="Z736" s="1"/>
      <c r="AA736" s="1"/>
      <c r="AB736" s="1"/>
      <c r="AC736" s="1"/>
      <c r="AD736" s="1"/>
      <c r="AE736" s="1" t="s">
        <v>51</v>
      </c>
      <c r="AF736" s="1" t="s">
        <v>51</v>
      </c>
      <c r="AG736" s="1" t="s">
        <v>47</v>
      </c>
      <c r="AH736" s="1"/>
      <c r="AI736" s="1"/>
      <c r="AJ736" s="3">
        <v>1</v>
      </c>
      <c r="AK736" s="1" t="s">
        <v>52</v>
      </c>
      <c r="AL736" s="3">
        <v>1</v>
      </c>
      <c r="AM736" s="1"/>
      <c r="AN736" s="1"/>
      <c r="AO736" s="1" t="s">
        <v>4453</v>
      </c>
      <c r="AP736" s="1" t="s">
        <v>45</v>
      </c>
      <c r="AQ736" s="1" t="s">
        <v>45</v>
      </c>
      <c r="AR736" s="1" t="s">
        <v>786</v>
      </c>
    </row>
    <row r="737">
      <c r="A737" s="2">
        <f ca="1">DATE(2000,08,11)</f>
        <v>0</v>
      </c>
      <c r="B737" s="2">
        <f ca="1">DATE(2001,10,31)</f>
        <v>0</v>
      </c>
      <c r="C737" s="1" t="s">
        <v>4456</v>
      </c>
      <c r="D737" s="3">
        <v>7372</v>
      </c>
      <c r="E737" s="1" t="s">
        <v>43</v>
      </c>
      <c r="F737" s="1" t="s">
        <v>4457</v>
      </c>
      <c r="G737" s="1" t="s">
        <v>1583</v>
      </c>
      <c r="H737" s="4">
        <v>0.63</v>
      </c>
      <c r="I737" s="4">
        <v>7</v>
      </c>
      <c r="J737" s="5">
        <v>40.5</v>
      </c>
      <c r="K737" s="4">
        <v>9</v>
      </c>
      <c r="L737" s="1" t="s">
        <v>46</v>
      </c>
      <c r="M737" s="1" t="s">
        <v>47</v>
      </c>
      <c r="N737" s="1" t="s">
        <v>4458</v>
      </c>
      <c r="O737" s="1" t="s">
        <v>48</v>
      </c>
      <c r="P737" s="1" t="s">
        <v>4459</v>
      </c>
      <c r="Q737" s="4">
        <v>1.444</v>
      </c>
      <c r="R737" s="4">
        <v>1.444</v>
      </c>
      <c r="S737" s="6">
        <v>4.11111</v>
      </c>
      <c r="T737" s="1" t="s">
        <v>50</v>
      </c>
      <c r="U737" s="1"/>
      <c r="V737" s="1"/>
      <c r="W737" s="1"/>
      <c r="X737" s="5">
        <v>50</v>
      </c>
      <c r="Y737" s="7">
        <v>4500000</v>
      </c>
      <c r="Z737" s="1"/>
      <c r="AA737" s="1"/>
      <c r="AB737" s="1"/>
      <c r="AC737" s="1"/>
      <c r="AD737" s="1"/>
      <c r="AE737" s="1" t="s">
        <v>51</v>
      </c>
      <c r="AF737" s="1" t="s">
        <v>51</v>
      </c>
      <c r="AG737" s="1" t="s">
        <v>47</v>
      </c>
      <c r="AH737" s="1"/>
      <c r="AI737" s="1"/>
      <c r="AJ737" s="3">
        <v>1</v>
      </c>
      <c r="AK737" s="1" t="s">
        <v>52</v>
      </c>
      <c r="AL737" s="3">
        <v>3</v>
      </c>
      <c r="AM737" s="8">
        <v>9.6300000000000008</v>
      </c>
      <c r="AN737" s="1"/>
      <c r="AO737" s="1" t="s">
        <v>4460</v>
      </c>
      <c r="AP737" s="1" t="s">
        <v>1583</v>
      </c>
      <c r="AQ737" s="1" t="s">
        <v>4461</v>
      </c>
      <c r="AR737" s="1" t="s">
        <v>4462</v>
      </c>
    </row>
    <row r="738">
      <c r="A738" s="2">
        <f ca="1">DATE(2000,05,19)</f>
        <v>0</v>
      </c>
      <c r="B738" s="2">
        <f ca="1">DATE(2001,11,05)</f>
        <v>0</v>
      </c>
      <c r="C738" s="1" t="s">
        <v>4463</v>
      </c>
      <c r="D738" s="3">
        <v>6324</v>
      </c>
      <c r="E738" s="1" t="s">
        <v>43</v>
      </c>
      <c r="F738" s="1" t="s">
        <v>4464</v>
      </c>
      <c r="G738" s="1" t="s">
        <v>4465</v>
      </c>
      <c r="H738" s="4">
        <v>1.19</v>
      </c>
      <c r="I738" s="8">
        <v>7</v>
      </c>
      <c r="J738" s="5">
        <v>71.400000000000006</v>
      </c>
      <c r="K738" s="4">
        <v>17</v>
      </c>
      <c r="L738" s="1" t="s">
        <v>46</v>
      </c>
      <c r="M738" s="1" t="s">
        <v>47</v>
      </c>
      <c r="N738" s="1" t="s">
        <v>4466</v>
      </c>
      <c r="O738" s="1" t="s">
        <v>48</v>
      </c>
      <c r="P738" s="1" t="s">
        <v>4467</v>
      </c>
      <c r="Q738" s="4">
        <v>1.4119999999999999</v>
      </c>
      <c r="R738" s="4">
        <v>1.5880000000000001</v>
      </c>
      <c r="S738" s="8">
        <v>4</v>
      </c>
      <c r="T738" s="1" t="s">
        <v>50</v>
      </c>
      <c r="U738" s="1"/>
      <c r="V738" s="1"/>
      <c r="W738" s="1"/>
      <c r="X738" s="5">
        <v>86.299999999999997</v>
      </c>
      <c r="Y738" s="7">
        <v>4202000</v>
      </c>
      <c r="Z738" s="1"/>
      <c r="AA738" s="1"/>
      <c r="AB738" s="1"/>
      <c r="AC738" s="1"/>
      <c r="AD738" s="1"/>
      <c r="AE738" s="1" t="s">
        <v>51</v>
      </c>
      <c r="AF738" s="1" t="s">
        <v>51</v>
      </c>
      <c r="AG738" s="1" t="s">
        <v>47</v>
      </c>
      <c r="AH738" s="1"/>
      <c r="AI738" s="1"/>
      <c r="AJ738" s="3">
        <v>2</v>
      </c>
      <c r="AK738" s="1" t="s">
        <v>89</v>
      </c>
      <c r="AL738" s="3">
        <v>4</v>
      </c>
      <c r="AM738" s="8">
        <v>20.899999999999999</v>
      </c>
      <c r="AN738" s="1"/>
      <c r="AO738" s="1" t="s">
        <v>4468</v>
      </c>
      <c r="AP738" s="1" t="s">
        <v>4469</v>
      </c>
      <c r="AQ738" s="1" t="s">
        <v>4470</v>
      </c>
      <c r="AR738" s="1" t="s">
        <v>4471</v>
      </c>
    </row>
    <row r="739">
      <c r="A739" s="2">
        <f ca="1">DATE(2000,05,19)</f>
        <v>0</v>
      </c>
      <c r="B739" s="2">
        <f ca="1">DATE(2001,11,05)</f>
        <v>0</v>
      </c>
      <c r="C739" s="1" t="s">
        <v>4463</v>
      </c>
      <c r="D739" s="3">
        <v>6324</v>
      </c>
      <c r="E739" s="1" t="s">
        <v>43</v>
      </c>
      <c r="F739" s="1" t="s">
        <v>4464</v>
      </c>
      <c r="G739" s="1" t="s">
        <v>4472</v>
      </c>
      <c r="H739" s="4">
        <v>1.19</v>
      </c>
      <c r="I739" s="8">
        <v>7</v>
      </c>
      <c r="J739" s="5">
        <v>3.3999999999999999</v>
      </c>
      <c r="K739" s="8">
        <v>17</v>
      </c>
      <c r="L739" s="1" t="s">
        <v>58</v>
      </c>
      <c r="M739" s="1" t="s">
        <v>47</v>
      </c>
      <c r="N739" s="1" t="s">
        <v>4466</v>
      </c>
      <c r="O739" s="1" t="s">
        <v>48</v>
      </c>
      <c r="P739" s="1" t="s">
        <v>4473</v>
      </c>
      <c r="Q739" s="4">
        <v>1.4119999999999999</v>
      </c>
      <c r="R739" s="4">
        <v>1.5880000000000001</v>
      </c>
      <c r="S739" s="8">
        <v>4</v>
      </c>
      <c r="T739" s="1" t="s">
        <v>60</v>
      </c>
      <c r="U739" s="1"/>
      <c r="V739" s="1"/>
      <c r="W739" s="1"/>
      <c r="X739" s="1"/>
      <c r="Y739" s="7">
        <v>198000</v>
      </c>
      <c r="Z739" s="1"/>
      <c r="AA739" s="1"/>
      <c r="AB739" s="1"/>
      <c r="AC739" s="1"/>
      <c r="AD739" s="1"/>
      <c r="AE739" s="1" t="s">
        <v>51</v>
      </c>
      <c r="AF739" s="1" t="s">
        <v>51</v>
      </c>
      <c r="AG739" s="1" t="s">
        <v>47</v>
      </c>
      <c r="AH739" s="1"/>
      <c r="AI739" s="1"/>
      <c r="AJ739" s="3">
        <v>2</v>
      </c>
      <c r="AK739" s="1" t="s">
        <v>89</v>
      </c>
      <c r="AL739" s="3">
        <v>2</v>
      </c>
      <c r="AM739" s="1"/>
      <c r="AN739" s="1"/>
      <c r="AO739" s="1" t="s">
        <v>4474</v>
      </c>
      <c r="AP739" s="1" t="s">
        <v>4475</v>
      </c>
      <c r="AQ739" s="1" t="s">
        <v>4476</v>
      </c>
      <c r="AR739" s="1" t="s">
        <v>4477</v>
      </c>
    </row>
    <row r="740">
      <c r="A740" s="2">
        <f ca="1">DATE(2001,07,16)</f>
        <v>0</v>
      </c>
      <c r="B740" s="2">
        <f ca="1">DATE(2001,11,12)</f>
        <v>0</v>
      </c>
      <c r="C740" s="1" t="s">
        <v>4478</v>
      </c>
      <c r="D740" s="3">
        <v>7361</v>
      </c>
      <c r="E740" s="1" t="s">
        <v>43</v>
      </c>
      <c r="F740" s="1" t="s">
        <v>4479</v>
      </c>
      <c r="G740" s="1" t="s">
        <v>4465</v>
      </c>
      <c r="H740" s="4">
        <v>1.19</v>
      </c>
      <c r="I740" s="8">
        <v>7</v>
      </c>
      <c r="J740" s="5">
        <v>159.80000000000001</v>
      </c>
      <c r="K740" s="4">
        <v>17</v>
      </c>
      <c r="L740" s="1" t="s">
        <v>46</v>
      </c>
      <c r="M740" s="1" t="s">
        <v>47</v>
      </c>
      <c r="N740" s="1" t="s">
        <v>4480</v>
      </c>
      <c r="O740" s="1" t="s">
        <v>108</v>
      </c>
      <c r="P740" s="1" t="s">
        <v>4481</v>
      </c>
      <c r="Q740" s="4">
        <v>1.4119999999999999</v>
      </c>
      <c r="R740" s="4">
        <v>1.706</v>
      </c>
      <c r="S740" s="6">
        <v>3.8823500000000002</v>
      </c>
      <c r="T740" s="1" t="s">
        <v>50</v>
      </c>
      <c r="U740" s="1"/>
      <c r="V740" s="1"/>
      <c r="W740" s="1"/>
      <c r="X740" s="5">
        <v>172.5</v>
      </c>
      <c r="Y740" s="7">
        <v>9400000</v>
      </c>
      <c r="Z740" s="1"/>
      <c r="AA740" s="1"/>
      <c r="AB740" s="1"/>
      <c r="AC740" s="1"/>
      <c r="AD740" s="1"/>
      <c r="AE740" s="1" t="s">
        <v>51</v>
      </c>
      <c r="AF740" s="1" t="s">
        <v>51</v>
      </c>
      <c r="AG740" s="1" t="s">
        <v>51</v>
      </c>
      <c r="AH740" s="1"/>
      <c r="AI740" s="1" t="s">
        <v>4482</v>
      </c>
      <c r="AJ740" s="3">
        <v>2</v>
      </c>
      <c r="AK740" s="1" t="s">
        <v>89</v>
      </c>
      <c r="AL740" s="3">
        <v>3</v>
      </c>
      <c r="AM740" s="8">
        <v>21.66</v>
      </c>
      <c r="AN740" s="1"/>
      <c r="AO740" s="1" t="s">
        <v>4483</v>
      </c>
      <c r="AP740" s="1" t="s">
        <v>4469</v>
      </c>
      <c r="AQ740" s="1" t="s">
        <v>4484</v>
      </c>
      <c r="AR740" s="1" t="s">
        <v>4485</v>
      </c>
    </row>
    <row r="741">
      <c r="A741" s="2">
        <f ca="1">DATE(2001,07,16)</f>
        <v>0</v>
      </c>
      <c r="B741" s="2">
        <f ca="1">DATE(2001,11,12)</f>
        <v>0</v>
      </c>
      <c r="C741" s="1" t="s">
        <v>4478</v>
      </c>
      <c r="D741" s="3">
        <v>7361</v>
      </c>
      <c r="E741" s="1" t="s">
        <v>43</v>
      </c>
      <c r="F741" s="1" t="s">
        <v>4479</v>
      </c>
      <c r="G741" s="1" t="s">
        <v>4486</v>
      </c>
      <c r="H741" s="4">
        <v>1.19</v>
      </c>
      <c r="I741" s="8">
        <v>7</v>
      </c>
      <c r="J741" s="5">
        <v>10.199999999999999</v>
      </c>
      <c r="K741" s="8">
        <v>17</v>
      </c>
      <c r="L741" s="1" t="s">
        <v>58</v>
      </c>
      <c r="M741" s="1" t="s">
        <v>47</v>
      </c>
      <c r="N741" s="1" t="s">
        <v>4480</v>
      </c>
      <c r="O741" s="1" t="s">
        <v>108</v>
      </c>
      <c r="P741" s="1" t="s">
        <v>4487</v>
      </c>
      <c r="Q741" s="4">
        <v>1.4119999999999999</v>
      </c>
      <c r="R741" s="4">
        <v>1.706</v>
      </c>
      <c r="S741" s="6">
        <v>3.8824100000000001</v>
      </c>
      <c r="T741" s="1" t="s">
        <v>60</v>
      </c>
      <c r="U741" s="1"/>
      <c r="V741" s="1"/>
      <c r="W741" s="1"/>
      <c r="X741" s="1"/>
      <c r="Y741" s="7">
        <v>600000</v>
      </c>
      <c r="Z741" s="1"/>
      <c r="AA741" s="1"/>
      <c r="AB741" s="1"/>
      <c r="AC741" s="1"/>
      <c r="AD741" s="1"/>
      <c r="AE741" s="1" t="s">
        <v>51</v>
      </c>
      <c r="AF741" s="1" t="s">
        <v>51</v>
      </c>
      <c r="AG741" s="1" t="s">
        <v>51</v>
      </c>
      <c r="AH741" s="1"/>
      <c r="AI741" s="1" t="s">
        <v>4482</v>
      </c>
      <c r="AJ741" s="3">
        <v>2</v>
      </c>
      <c r="AK741" s="1" t="s">
        <v>89</v>
      </c>
      <c r="AL741" s="3">
        <v>2</v>
      </c>
      <c r="AM741" s="1"/>
      <c r="AN741" s="1"/>
      <c r="AO741" s="1" t="s">
        <v>4488</v>
      </c>
      <c r="AP741" s="1" t="s">
        <v>4489</v>
      </c>
      <c r="AQ741" s="1" t="s">
        <v>4490</v>
      </c>
      <c r="AR741" s="1" t="s">
        <v>4491</v>
      </c>
    </row>
    <row r="742">
      <c r="A742" s="2">
        <f ca="1">DATE(2001,08,22)</f>
        <v>0</v>
      </c>
      <c r="B742" s="2">
        <f ca="1">DATE(2001,11,12)</f>
        <v>0</v>
      </c>
      <c r="C742" s="1" t="s">
        <v>4492</v>
      </c>
      <c r="D742" s="3">
        <v>8741</v>
      </c>
      <c r="E742" s="1" t="s">
        <v>43</v>
      </c>
      <c r="F742" s="1" t="s">
        <v>4493</v>
      </c>
      <c r="G742" s="1" t="s">
        <v>3575</v>
      </c>
      <c r="H742" s="4">
        <v>1.3300000000000001</v>
      </c>
      <c r="I742" s="4">
        <v>7</v>
      </c>
      <c r="J742" s="5">
        <v>87.400000000000006</v>
      </c>
      <c r="K742" s="4">
        <v>19</v>
      </c>
      <c r="L742" s="1" t="s">
        <v>46</v>
      </c>
      <c r="M742" s="1" t="s">
        <v>47</v>
      </c>
      <c r="N742" s="1" t="s">
        <v>4494</v>
      </c>
      <c r="O742" s="1" t="s">
        <v>48</v>
      </c>
      <c r="P742" s="1" t="s">
        <v>4495</v>
      </c>
      <c r="Q742" s="4">
        <v>1.421</v>
      </c>
      <c r="R742" s="4">
        <v>1.421</v>
      </c>
      <c r="S742" s="6">
        <v>4.1578900000000001</v>
      </c>
      <c r="T742" s="1" t="s">
        <v>50</v>
      </c>
      <c r="U742" s="1"/>
      <c r="V742" s="1"/>
      <c r="W742" s="1"/>
      <c r="X742" s="5">
        <v>90</v>
      </c>
      <c r="Y742" s="1"/>
      <c r="Z742" s="7">
        <v>4599000</v>
      </c>
      <c r="AA742" s="1"/>
      <c r="AB742" s="1"/>
      <c r="AC742" s="1"/>
      <c r="AD742" s="1"/>
      <c r="AE742" s="1" t="s">
        <v>51</v>
      </c>
      <c r="AF742" s="1" t="s">
        <v>51</v>
      </c>
      <c r="AG742" s="1" t="s">
        <v>51</v>
      </c>
      <c r="AH742" s="1"/>
      <c r="AI742" s="1"/>
      <c r="AJ742" s="3">
        <v>2</v>
      </c>
      <c r="AK742" s="1" t="s">
        <v>89</v>
      </c>
      <c r="AL742" s="3">
        <v>4</v>
      </c>
      <c r="AM742" s="8">
        <v>24.25</v>
      </c>
      <c r="AN742" s="1"/>
      <c r="AO742" s="1" t="s">
        <v>4496</v>
      </c>
      <c r="AP742" s="1" t="s">
        <v>3579</v>
      </c>
      <c r="AQ742" s="1" t="s">
        <v>4497</v>
      </c>
      <c r="AR742" s="1" t="s">
        <v>4498</v>
      </c>
    </row>
    <row r="743">
      <c r="A743" s="2">
        <f ca="1">DATE(2001,08,22)</f>
        <v>0</v>
      </c>
      <c r="B743" s="2">
        <f ca="1">DATE(2001,11,12)</f>
        <v>0</v>
      </c>
      <c r="C743" s="1" t="s">
        <v>4492</v>
      </c>
      <c r="D743" s="3">
        <v>8741</v>
      </c>
      <c r="E743" s="1" t="s">
        <v>43</v>
      </c>
      <c r="F743" s="1" t="s">
        <v>4493</v>
      </c>
      <c r="G743" s="1" t="s">
        <v>4499</v>
      </c>
      <c r="H743" s="4">
        <v>1.3300000000000001</v>
      </c>
      <c r="I743" s="4">
        <v>7</v>
      </c>
      <c r="J743" s="5">
        <v>6.5999999999999996</v>
      </c>
      <c r="K743" s="8">
        <v>19</v>
      </c>
      <c r="L743" s="1" t="s">
        <v>58</v>
      </c>
      <c r="M743" s="1" t="s">
        <v>47</v>
      </c>
      <c r="N743" s="1" t="s">
        <v>4494</v>
      </c>
      <c r="O743" s="1" t="s">
        <v>48</v>
      </c>
      <c r="P743" s="1" t="s">
        <v>4500</v>
      </c>
      <c r="Q743" s="4">
        <v>1.3999999999999999</v>
      </c>
      <c r="R743" s="4">
        <v>1.3999999999999999</v>
      </c>
      <c r="S743" s="8">
        <v>4.2000000000000002</v>
      </c>
      <c r="T743" s="1" t="s">
        <v>60</v>
      </c>
      <c r="U743" s="1"/>
      <c r="V743" s="1"/>
      <c r="W743" s="1"/>
      <c r="X743" s="1"/>
      <c r="Y743" s="1"/>
      <c r="Z743" s="7">
        <v>348696</v>
      </c>
      <c r="AA743" s="1"/>
      <c r="AB743" s="1"/>
      <c r="AC743" s="1"/>
      <c r="AD743" s="1"/>
      <c r="AE743" s="1" t="s">
        <v>51</v>
      </c>
      <c r="AF743" s="1" t="s">
        <v>51</v>
      </c>
      <c r="AG743" s="1" t="s">
        <v>51</v>
      </c>
      <c r="AH743" s="1"/>
      <c r="AI743" s="1"/>
      <c r="AJ743" s="3">
        <v>2</v>
      </c>
      <c r="AK743" s="1" t="s">
        <v>89</v>
      </c>
      <c r="AL743" s="3">
        <v>2</v>
      </c>
      <c r="AM743" s="1"/>
      <c r="AN743" s="1"/>
      <c r="AO743" s="1" t="s">
        <v>4501</v>
      </c>
      <c r="AP743" s="1" t="s">
        <v>4502</v>
      </c>
      <c r="AQ743" s="1" t="s">
        <v>4503</v>
      </c>
      <c r="AR743" s="1" t="s">
        <v>4504</v>
      </c>
    </row>
    <row r="744">
      <c r="A744" s="2">
        <f ca="1">DATE(2001,09,13)</f>
        <v>0</v>
      </c>
      <c r="B744" s="2">
        <f ca="1">DATE(2001,11,12)</f>
        <v>0</v>
      </c>
      <c r="C744" s="1" t="s">
        <v>4505</v>
      </c>
      <c r="D744" s="3">
        <v>3841</v>
      </c>
      <c r="E744" s="1" t="s">
        <v>4506</v>
      </c>
      <c r="F744" s="1" t="s">
        <v>4507</v>
      </c>
      <c r="G744" s="1" t="s">
        <v>96</v>
      </c>
      <c r="H744" s="4">
        <v>1.26</v>
      </c>
      <c r="I744" s="4">
        <v>7</v>
      </c>
      <c r="J744" s="5">
        <v>79.200000000000003</v>
      </c>
      <c r="K744" s="4">
        <v>18</v>
      </c>
      <c r="L744" s="1" t="s">
        <v>651</v>
      </c>
      <c r="M744" s="1" t="s">
        <v>47</v>
      </c>
      <c r="N744" s="1" t="s">
        <v>4508</v>
      </c>
      <c r="O744" s="1" t="s">
        <v>48</v>
      </c>
      <c r="P744" s="1" t="s">
        <v>4509</v>
      </c>
      <c r="Q744" s="4">
        <v>1.389</v>
      </c>
      <c r="R744" s="4">
        <v>1.389</v>
      </c>
      <c r="S744" s="6">
        <v>4.2222200000000001</v>
      </c>
      <c r="T744" s="1" t="s">
        <v>50</v>
      </c>
      <c r="U744" s="8">
        <v>19</v>
      </c>
      <c r="V744" s="8">
        <v>17</v>
      </c>
      <c r="W744" s="7">
        <v>4400000</v>
      </c>
      <c r="X744" s="5">
        <v>79.200000000000003</v>
      </c>
      <c r="Y744" s="1"/>
      <c r="Z744" s="7">
        <v>4400000</v>
      </c>
      <c r="AA744" s="2">
        <f ca="1">DATE(2002,05,11)</f>
        <v>0</v>
      </c>
      <c r="AB744" s="1"/>
      <c r="AC744" s="3">
        <v>180</v>
      </c>
      <c r="AD744" s="1"/>
      <c r="AE744" s="1" t="s">
        <v>47</v>
      </c>
      <c r="AF744" s="1" t="s">
        <v>51</v>
      </c>
      <c r="AG744" s="1" t="s">
        <v>47</v>
      </c>
      <c r="AH744" s="1"/>
      <c r="AI744" s="1"/>
      <c r="AJ744" s="3">
        <v>1</v>
      </c>
      <c r="AK744" s="1" t="s">
        <v>52</v>
      </c>
      <c r="AL744" s="3">
        <v>3</v>
      </c>
      <c r="AM744" s="8">
        <v>22.949999999999999</v>
      </c>
      <c r="AN744" s="1"/>
      <c r="AO744" s="1" t="s">
        <v>4510</v>
      </c>
      <c r="AP744" s="1" t="s">
        <v>96</v>
      </c>
      <c r="AQ744" s="1" t="s">
        <v>4511</v>
      </c>
      <c r="AR744" s="1" t="s">
        <v>4512</v>
      </c>
    </row>
    <row r="745">
      <c r="A745" s="2">
        <f ca="1">DATE(2001,06,06)</f>
        <v>0</v>
      </c>
      <c r="B745" s="2">
        <f ca="1">DATE(2001,11,14)</f>
        <v>0</v>
      </c>
      <c r="C745" s="1" t="s">
        <v>4513</v>
      </c>
      <c r="D745" s="3">
        <v>7372</v>
      </c>
      <c r="E745" s="1" t="s">
        <v>43</v>
      </c>
      <c r="F745" s="1" t="s">
        <v>4514</v>
      </c>
      <c r="G745" s="1" t="s">
        <v>3766</v>
      </c>
      <c r="H745" s="4">
        <v>0.56000000000000005</v>
      </c>
      <c r="I745" s="4">
        <v>7</v>
      </c>
      <c r="J745" s="5">
        <v>40</v>
      </c>
      <c r="K745" s="4">
        <v>8</v>
      </c>
      <c r="L745" s="1" t="s">
        <v>46</v>
      </c>
      <c r="M745" s="1" t="s">
        <v>47</v>
      </c>
      <c r="N745" s="1" t="s">
        <v>4515</v>
      </c>
      <c r="O745" s="1" t="s">
        <v>698</v>
      </c>
      <c r="P745" s="1" t="s">
        <v>4516</v>
      </c>
      <c r="Q745" s="4">
        <v>1.375</v>
      </c>
      <c r="R745" s="4">
        <v>1.5</v>
      </c>
      <c r="S745" s="4">
        <v>4.125</v>
      </c>
      <c r="T745" s="1" t="s">
        <v>50</v>
      </c>
      <c r="U745" s="1"/>
      <c r="V745" s="1"/>
      <c r="W745" s="1"/>
      <c r="X745" s="5">
        <v>45</v>
      </c>
      <c r="Y745" s="7">
        <v>5000000</v>
      </c>
      <c r="Z745" s="1"/>
      <c r="AA745" s="2">
        <f ca="1">DATE(2002,05,13)</f>
        <v>0</v>
      </c>
      <c r="AB745" s="4">
        <v>63.448</v>
      </c>
      <c r="AC745" s="3">
        <v>180</v>
      </c>
      <c r="AD745" s="8">
        <v>8678984</v>
      </c>
      <c r="AE745" s="1" t="s">
        <v>51</v>
      </c>
      <c r="AF745" s="1" t="s">
        <v>51</v>
      </c>
      <c r="AG745" s="1" t="s">
        <v>47</v>
      </c>
      <c r="AH745" s="1"/>
      <c r="AI745" s="1"/>
      <c r="AJ745" s="3">
        <v>1</v>
      </c>
      <c r="AK745" s="1" t="s">
        <v>89</v>
      </c>
      <c r="AL745" s="3">
        <v>2</v>
      </c>
      <c r="AM745" s="8">
        <v>8.7100000000000009</v>
      </c>
      <c r="AN745" s="1"/>
      <c r="AO745" s="1" t="s">
        <v>4517</v>
      </c>
      <c r="AP745" s="1" t="s">
        <v>4518</v>
      </c>
      <c r="AQ745" s="1" t="s">
        <v>4519</v>
      </c>
      <c r="AR745" s="1" t="s">
        <v>4520</v>
      </c>
    </row>
    <row r="746">
      <c r="A746" s="2">
        <f ca="1">DATE(2001,08,24)</f>
        <v>0</v>
      </c>
      <c r="B746" s="2">
        <f ca="1">DATE(2001,11,14)</f>
        <v>0</v>
      </c>
      <c r="C746" s="1" t="s">
        <v>4521</v>
      </c>
      <c r="D746" s="3">
        <v>3842</v>
      </c>
      <c r="E746" s="1" t="s">
        <v>43</v>
      </c>
      <c r="F746" s="1" t="s">
        <v>4522</v>
      </c>
      <c r="G746" s="1" t="s">
        <v>160</v>
      </c>
      <c r="H746" s="4">
        <v>1.19</v>
      </c>
      <c r="I746" s="8">
        <v>7</v>
      </c>
      <c r="J746" s="5">
        <v>153</v>
      </c>
      <c r="K746" s="4">
        <v>17</v>
      </c>
      <c r="L746" s="1" t="s">
        <v>46</v>
      </c>
      <c r="M746" s="1" t="s">
        <v>47</v>
      </c>
      <c r="N746" s="1" t="s">
        <v>4523</v>
      </c>
      <c r="O746" s="1" t="s">
        <v>108</v>
      </c>
      <c r="P746" s="1" t="s">
        <v>4524</v>
      </c>
      <c r="Q746" s="4">
        <v>1.4119999999999999</v>
      </c>
      <c r="R746" s="4">
        <v>1.4119999999999999</v>
      </c>
      <c r="S746" s="6">
        <v>4.1764700000000001</v>
      </c>
      <c r="T746" s="1" t="s">
        <v>50</v>
      </c>
      <c r="U746" s="1"/>
      <c r="V746" s="1"/>
      <c r="W746" s="1"/>
      <c r="X746" s="5">
        <v>172.5</v>
      </c>
      <c r="Y746" s="7">
        <v>7800000</v>
      </c>
      <c r="Z746" s="7">
        <v>1200000</v>
      </c>
      <c r="AA746" s="2">
        <f ca="1">DATE(2002,05,13)</f>
        <v>0</v>
      </c>
      <c r="AB746" s="4">
        <v>49.595999999999997</v>
      </c>
      <c r="AC746" s="3">
        <v>180</v>
      </c>
      <c r="AD746" s="8">
        <v>8855566</v>
      </c>
      <c r="AE746" s="1" t="s">
        <v>51</v>
      </c>
      <c r="AF746" s="1" t="s">
        <v>51</v>
      </c>
      <c r="AG746" s="1" t="s">
        <v>51</v>
      </c>
      <c r="AH746" s="1" t="s">
        <v>4525</v>
      </c>
      <c r="AI746" s="1" t="s">
        <v>4526</v>
      </c>
      <c r="AJ746" s="3">
        <v>1</v>
      </c>
      <c r="AK746" s="1" t="s">
        <v>89</v>
      </c>
      <c r="AL746" s="3">
        <v>5</v>
      </c>
      <c r="AM746" s="8">
        <v>15.25</v>
      </c>
      <c r="AN746" s="1"/>
      <c r="AO746" s="1" t="s">
        <v>4527</v>
      </c>
      <c r="AP746" s="1" t="s">
        <v>4528</v>
      </c>
      <c r="AQ746" s="1" t="s">
        <v>4529</v>
      </c>
      <c r="AR746" s="1" t="s">
        <v>4530</v>
      </c>
    </row>
    <row r="747">
      <c r="A747" s="2">
        <f ca="1">DATE(2001,09,13)</f>
        <v>0</v>
      </c>
      <c r="B747" s="2">
        <f ca="1">DATE(2001,11,14)</f>
        <v>0</v>
      </c>
      <c r="C747" s="1" t="s">
        <v>4531</v>
      </c>
      <c r="D747" s="3">
        <v>7299</v>
      </c>
      <c r="E747" s="1" t="s">
        <v>43</v>
      </c>
      <c r="F747" s="1" t="s">
        <v>4532</v>
      </c>
      <c r="G747" s="1" t="s">
        <v>168</v>
      </c>
      <c r="H747" s="4">
        <v>1.26</v>
      </c>
      <c r="I747" s="4">
        <v>5.25</v>
      </c>
      <c r="J747" s="5">
        <v>378.39999999999998</v>
      </c>
      <c r="K747" s="4">
        <v>24</v>
      </c>
      <c r="L747" s="1" t="s">
        <v>46</v>
      </c>
      <c r="M747" s="1" t="s">
        <v>47</v>
      </c>
      <c r="N747" s="3">
        <v>948626106</v>
      </c>
      <c r="O747" s="1" t="s">
        <v>108</v>
      </c>
      <c r="P747" s="1" t="s">
        <v>4533</v>
      </c>
      <c r="Q747" s="4">
        <v>1.05</v>
      </c>
      <c r="R747" s="4">
        <v>1.05</v>
      </c>
      <c r="S747" s="8">
        <v>3.1499999999999999</v>
      </c>
      <c r="T747" s="1" t="s">
        <v>50</v>
      </c>
      <c r="U747" s="1"/>
      <c r="V747" s="1"/>
      <c r="W747" s="1"/>
      <c r="X747" s="5">
        <v>100</v>
      </c>
      <c r="Y747" s="1"/>
      <c r="Z747" s="7">
        <v>15768261</v>
      </c>
      <c r="AA747" s="2">
        <f ca="1">DATE(2002,05,13)</f>
        <v>0</v>
      </c>
      <c r="AB747" s="1"/>
      <c r="AC747" s="3">
        <v>180</v>
      </c>
      <c r="AD747" s="1"/>
      <c r="AE747" s="1" t="s">
        <v>51</v>
      </c>
      <c r="AF747" s="1" t="s">
        <v>51</v>
      </c>
      <c r="AG747" s="1" t="s">
        <v>51</v>
      </c>
      <c r="AH747" s="1"/>
      <c r="AI747" s="1"/>
      <c r="AJ747" s="3">
        <v>1</v>
      </c>
      <c r="AK747" s="1" t="s">
        <v>89</v>
      </c>
      <c r="AL747" s="3">
        <v>5</v>
      </c>
      <c r="AM747" s="8">
        <v>29.5</v>
      </c>
      <c r="AN747" s="1"/>
      <c r="AO747" s="1" t="s">
        <v>4534</v>
      </c>
      <c r="AP747" s="1" t="s">
        <v>4535</v>
      </c>
      <c r="AQ747" s="1" t="s">
        <v>4536</v>
      </c>
      <c r="AR747" s="1" t="s">
        <v>4537</v>
      </c>
    </row>
    <row r="748">
      <c r="A748" s="2">
        <f ca="1">DATE(2001,09,13)</f>
        <v>0</v>
      </c>
      <c r="B748" s="2">
        <f ca="1">DATE(2001,11,14)</f>
        <v>0</v>
      </c>
      <c r="C748" s="1" t="s">
        <v>4531</v>
      </c>
      <c r="D748" s="3">
        <v>7299</v>
      </c>
      <c r="E748" s="1" t="s">
        <v>43</v>
      </c>
      <c r="F748" s="1" t="s">
        <v>4532</v>
      </c>
      <c r="G748" s="1" t="s">
        <v>179</v>
      </c>
      <c r="H748" s="4">
        <v>1.26</v>
      </c>
      <c r="I748" s="4">
        <v>5.25</v>
      </c>
      <c r="J748" s="5">
        <v>33.299999999999997</v>
      </c>
      <c r="K748" s="8">
        <v>24</v>
      </c>
      <c r="L748" s="1" t="s">
        <v>58</v>
      </c>
      <c r="M748" s="1" t="s">
        <v>47</v>
      </c>
      <c r="N748" s="3">
        <v>948626106</v>
      </c>
      <c r="O748" s="1" t="s">
        <v>108</v>
      </c>
      <c r="P748" s="1" t="s">
        <v>4538</v>
      </c>
      <c r="Q748" s="4">
        <v>1.05</v>
      </c>
      <c r="R748" s="4">
        <v>1.05</v>
      </c>
      <c r="S748" s="8">
        <v>3.1499999999999999</v>
      </c>
      <c r="T748" s="1" t="s">
        <v>60</v>
      </c>
      <c r="U748" s="1"/>
      <c r="V748" s="1"/>
      <c r="W748" s="1"/>
      <c r="X748" s="1"/>
      <c r="Y748" s="1"/>
      <c r="Z748" s="7">
        <v>1386978</v>
      </c>
      <c r="AA748" s="1"/>
      <c r="AB748" s="1"/>
      <c r="AC748" s="3">
        <v>180</v>
      </c>
      <c r="AD748" s="1"/>
      <c r="AE748" s="1" t="s">
        <v>51</v>
      </c>
      <c r="AF748" s="1" t="s">
        <v>51</v>
      </c>
      <c r="AG748" s="1" t="s">
        <v>51</v>
      </c>
      <c r="AH748" s="1"/>
      <c r="AI748" s="1"/>
      <c r="AJ748" s="3">
        <v>1</v>
      </c>
      <c r="AK748" s="1" t="s">
        <v>52</v>
      </c>
      <c r="AL748" s="3">
        <v>2</v>
      </c>
      <c r="AM748" s="1"/>
      <c r="AN748" s="1"/>
      <c r="AO748" s="1" t="s">
        <v>4539</v>
      </c>
      <c r="AP748" s="1" t="s">
        <v>179</v>
      </c>
      <c r="AQ748" s="1" t="s">
        <v>4540</v>
      </c>
      <c r="AR748" s="1" t="s">
        <v>4541</v>
      </c>
    </row>
    <row r="749">
      <c r="A749" s="2">
        <f ca="1">DATE(2001,09,05)</f>
        <v>0</v>
      </c>
      <c r="B749" s="2">
        <f ca="1">DATE(2001,11,15)</f>
        <v>0</v>
      </c>
      <c r="C749" s="1" t="s">
        <v>4542</v>
      </c>
      <c r="D749" s="3">
        <v>6726</v>
      </c>
      <c r="E749" s="1" t="s">
        <v>43</v>
      </c>
      <c r="F749" s="1" t="s">
        <v>4543</v>
      </c>
      <c r="G749" s="1" t="s">
        <v>4332</v>
      </c>
      <c r="H749" s="4">
        <v>0.67500000000000004</v>
      </c>
      <c r="I749" s="4">
        <v>4.5</v>
      </c>
      <c r="J749" s="5">
        <v>370.5</v>
      </c>
      <c r="K749" s="4">
        <v>15</v>
      </c>
      <c r="L749" s="1" t="s">
        <v>46</v>
      </c>
      <c r="M749" s="1" t="s">
        <v>47</v>
      </c>
      <c r="N749" s="1" t="s">
        <v>4544</v>
      </c>
      <c r="O749" s="1" t="s">
        <v>87</v>
      </c>
      <c r="P749" s="1" t="s">
        <v>4545</v>
      </c>
      <c r="Q749" s="4">
        <v>0.93300000000000005</v>
      </c>
      <c r="R749" s="4">
        <v>0.56699999999999995</v>
      </c>
      <c r="S749" s="8">
        <v>3</v>
      </c>
      <c r="T749" s="1" t="s">
        <v>50</v>
      </c>
      <c r="U749" s="8">
        <v>15</v>
      </c>
      <c r="V749" s="8">
        <v>15</v>
      </c>
      <c r="W749" s="7">
        <v>1000</v>
      </c>
      <c r="X749" s="5">
        <v>0</v>
      </c>
      <c r="Y749" s="7">
        <v>24700000</v>
      </c>
      <c r="Z749" s="1"/>
      <c r="AA749" s="2">
        <f ca="1">DATE(2002,05,14)</f>
        <v>0</v>
      </c>
      <c r="AB749" s="1"/>
      <c r="AC749" s="3">
        <v>180</v>
      </c>
      <c r="AD749" s="1"/>
      <c r="AE749" s="1" t="s">
        <v>51</v>
      </c>
      <c r="AF749" s="1" t="s">
        <v>51</v>
      </c>
      <c r="AG749" s="1" t="s">
        <v>51</v>
      </c>
      <c r="AH749" s="1"/>
      <c r="AI749" s="1"/>
      <c r="AJ749" s="3">
        <v>1</v>
      </c>
      <c r="AK749" s="1" t="s">
        <v>89</v>
      </c>
      <c r="AL749" s="3">
        <v>9</v>
      </c>
      <c r="AM749" s="8">
        <v>15.25</v>
      </c>
      <c r="AN749" s="1"/>
      <c r="AO749" s="1" t="s">
        <v>4546</v>
      </c>
      <c r="AP749" s="1" t="s">
        <v>4336</v>
      </c>
      <c r="AQ749" s="1" t="s">
        <v>4547</v>
      </c>
      <c r="AR749" s="1" t="s">
        <v>4548</v>
      </c>
    </row>
    <row r="750">
      <c r="A750" s="2">
        <f ca="1">DATE(2001,10,10)</f>
        <v>0</v>
      </c>
      <c r="B750" s="2">
        <f ca="1">DATE(2001,11,15)</f>
        <v>0</v>
      </c>
      <c r="C750" s="1" t="s">
        <v>4549</v>
      </c>
      <c r="D750" s="3">
        <v>6726</v>
      </c>
      <c r="E750" s="1" t="s">
        <v>43</v>
      </c>
      <c r="F750" s="1" t="s">
        <v>4550</v>
      </c>
      <c r="G750" s="1" t="s">
        <v>4332</v>
      </c>
      <c r="H750" s="4">
        <v>0.67500000000000004</v>
      </c>
      <c r="I750" s="4">
        <v>4.5</v>
      </c>
      <c r="J750" s="5">
        <v>50.299999999999997</v>
      </c>
      <c r="K750" s="4">
        <v>15</v>
      </c>
      <c r="L750" s="1" t="s">
        <v>46</v>
      </c>
      <c r="M750" s="1" t="s">
        <v>47</v>
      </c>
      <c r="N750" s="1" t="s">
        <v>4551</v>
      </c>
      <c r="O750" s="1" t="s">
        <v>87</v>
      </c>
      <c r="P750" s="1" t="s">
        <v>4552</v>
      </c>
      <c r="Q750" s="4">
        <v>0.93300000000000005</v>
      </c>
      <c r="R750" s="4">
        <v>0.56699999999999995</v>
      </c>
      <c r="S750" s="8">
        <v>3</v>
      </c>
      <c r="T750" s="1" t="s">
        <v>50</v>
      </c>
      <c r="U750" s="8">
        <v>15</v>
      </c>
      <c r="V750" s="8">
        <v>15</v>
      </c>
      <c r="W750" s="7">
        <v>1000</v>
      </c>
      <c r="X750" s="5">
        <v>0</v>
      </c>
      <c r="Y750" s="7">
        <v>3350000</v>
      </c>
      <c r="Z750" s="1"/>
      <c r="AA750" s="2">
        <f ca="1">DATE(2002,05,14)</f>
        <v>0</v>
      </c>
      <c r="AB750" s="1"/>
      <c r="AC750" s="3">
        <v>180</v>
      </c>
      <c r="AD750" s="1"/>
      <c r="AE750" s="1" t="s">
        <v>51</v>
      </c>
      <c r="AF750" s="1" t="s">
        <v>51</v>
      </c>
      <c r="AG750" s="1" t="s">
        <v>51</v>
      </c>
      <c r="AH750" s="1"/>
      <c r="AI750" s="1"/>
      <c r="AJ750" s="3">
        <v>1</v>
      </c>
      <c r="AK750" s="1" t="s">
        <v>89</v>
      </c>
      <c r="AL750" s="3">
        <v>8</v>
      </c>
      <c r="AM750" s="8">
        <v>15</v>
      </c>
      <c r="AN750" s="1"/>
      <c r="AO750" s="1" t="s">
        <v>4553</v>
      </c>
      <c r="AP750" s="1" t="s">
        <v>4336</v>
      </c>
      <c r="AQ750" s="1" t="s">
        <v>4554</v>
      </c>
      <c r="AR750" s="1" t="s">
        <v>4555</v>
      </c>
    </row>
    <row r="751">
      <c r="A751" s="2">
        <f ca="1">DATE(2000,01,12)</f>
        <v>0</v>
      </c>
      <c r="B751" s="2">
        <f ca="1">DATE(2001,11,16)</f>
        <v>0</v>
      </c>
      <c r="C751" s="1" t="s">
        <v>4556</v>
      </c>
      <c r="D751" s="3">
        <v>7373</v>
      </c>
      <c r="E751" s="1" t="s">
        <v>43</v>
      </c>
      <c r="F751" s="1" t="s">
        <v>4557</v>
      </c>
      <c r="G751" s="1" t="s">
        <v>4558</v>
      </c>
      <c r="H751" s="4">
        <v>0.69999999999999996</v>
      </c>
      <c r="I751" s="4">
        <v>10</v>
      </c>
      <c r="J751" s="5">
        <v>10.5</v>
      </c>
      <c r="K751" s="4">
        <v>7</v>
      </c>
      <c r="L751" s="1" t="s">
        <v>46</v>
      </c>
      <c r="M751" s="1" t="s">
        <v>47</v>
      </c>
      <c r="N751" s="1" t="s">
        <v>4559</v>
      </c>
      <c r="O751" s="1" t="s">
        <v>87</v>
      </c>
      <c r="P751" s="1" t="s">
        <v>4560</v>
      </c>
      <c r="Q751" s="4">
        <v>2.5710000000000002</v>
      </c>
      <c r="R751" s="4">
        <v>2.4289999999999998</v>
      </c>
      <c r="S751" s="8">
        <v>5</v>
      </c>
      <c r="T751" s="1" t="s">
        <v>50</v>
      </c>
      <c r="U751" s="8">
        <v>7.5</v>
      </c>
      <c r="V751" s="8">
        <v>5.2000000000000002</v>
      </c>
      <c r="W751" s="7">
        <v>1000000</v>
      </c>
      <c r="X751" s="5">
        <v>6.4000000000000004</v>
      </c>
      <c r="Y751" s="7">
        <v>1500000</v>
      </c>
      <c r="Z751" s="1"/>
      <c r="AA751" s="2">
        <f ca="1">DATE(2002,11,16)</f>
        <v>0</v>
      </c>
      <c r="AB751" s="4">
        <v>6.5999999999999996</v>
      </c>
      <c r="AC751" s="3">
        <v>365</v>
      </c>
      <c r="AD751" s="8">
        <v>297000</v>
      </c>
      <c r="AE751" s="1" t="s">
        <v>51</v>
      </c>
      <c r="AF751" s="1" t="s">
        <v>51</v>
      </c>
      <c r="AG751" s="1" t="s">
        <v>51</v>
      </c>
      <c r="AH751" s="1"/>
      <c r="AI751" s="1"/>
      <c r="AJ751" s="3">
        <v>1</v>
      </c>
      <c r="AK751" s="1" t="s">
        <v>52</v>
      </c>
      <c r="AL751" s="3">
        <v>1</v>
      </c>
      <c r="AM751" s="8">
        <v>8.1400000000000006</v>
      </c>
      <c r="AN751" s="1"/>
      <c r="AO751" s="1" t="s">
        <v>4558</v>
      </c>
      <c r="AP751" s="1" t="s">
        <v>4558</v>
      </c>
      <c r="AQ751" s="1" t="s">
        <v>4558</v>
      </c>
      <c r="AR751" s="1" t="s">
        <v>4561</v>
      </c>
    </row>
    <row r="752">
      <c r="A752" s="2">
        <f ca="1">DATE(2001,06,26)</f>
        <v>0</v>
      </c>
      <c r="B752" s="2">
        <f ca="1">DATE(2001,11,16)</f>
        <v>0</v>
      </c>
      <c r="C752" s="1" t="s">
        <v>4562</v>
      </c>
      <c r="D752" s="3">
        <v>2298</v>
      </c>
      <c r="E752" s="1" t="s">
        <v>43</v>
      </c>
      <c r="F752" s="1" t="s">
        <v>4563</v>
      </c>
      <c r="G752" s="1" t="s">
        <v>1223</v>
      </c>
      <c r="H752" s="4">
        <v>0.495</v>
      </c>
      <c r="I752" s="4">
        <v>8.25</v>
      </c>
      <c r="J752" s="5">
        <v>12</v>
      </c>
      <c r="K752" s="4">
        <v>6</v>
      </c>
      <c r="L752" s="1" t="s">
        <v>46</v>
      </c>
      <c r="M752" s="1" t="s">
        <v>47</v>
      </c>
      <c r="N752" s="1" t="s">
        <v>4564</v>
      </c>
      <c r="O752" s="1" t="s">
        <v>698</v>
      </c>
      <c r="P752" s="1" t="s">
        <v>1228</v>
      </c>
      <c r="Q752" s="4">
        <v>2.5</v>
      </c>
      <c r="R752" s="4">
        <v>1.583</v>
      </c>
      <c r="S752" s="6">
        <v>4.1666699999999999</v>
      </c>
      <c r="T752" s="1" t="s">
        <v>50</v>
      </c>
      <c r="U752" s="1"/>
      <c r="V752" s="1"/>
      <c r="W752" s="7">
        <v>1500000</v>
      </c>
      <c r="X752" s="1"/>
      <c r="Y752" s="7">
        <v>2000000</v>
      </c>
      <c r="Z752" s="1"/>
      <c r="AA752" s="2">
        <f ca="1">DATE(2002,11,16)</f>
        <v>0</v>
      </c>
      <c r="AB752" s="4">
        <v>53.609000000000002</v>
      </c>
      <c r="AC752" s="3">
        <v>365</v>
      </c>
      <c r="AD752" s="8">
        <v>2335274</v>
      </c>
      <c r="AE752" s="1" t="s">
        <v>51</v>
      </c>
      <c r="AF752" s="1" t="s">
        <v>47</v>
      </c>
      <c r="AG752" s="1" t="s">
        <v>51</v>
      </c>
      <c r="AH752" s="1"/>
      <c r="AI752" s="1"/>
      <c r="AJ752" s="3">
        <v>1</v>
      </c>
      <c r="AK752" s="1" t="s">
        <v>52</v>
      </c>
      <c r="AL752" s="3">
        <v>2</v>
      </c>
      <c r="AM752" s="8">
        <v>5.8499999999999996</v>
      </c>
      <c r="AN752" s="1"/>
      <c r="AO752" s="1" t="s">
        <v>3723</v>
      </c>
      <c r="AP752" s="1" t="s">
        <v>1223</v>
      </c>
      <c r="AQ752" s="1" t="s">
        <v>1227</v>
      </c>
      <c r="AR752" s="1" t="s">
        <v>1228</v>
      </c>
    </row>
    <row r="753">
      <c r="A753" s="2">
        <f ca="1">DATE(2001,10,10)</f>
        <v>0</v>
      </c>
      <c r="B753" s="2">
        <f ca="1">DATE(2001,11,16)</f>
        <v>0</v>
      </c>
      <c r="C753" s="1" t="s">
        <v>4565</v>
      </c>
      <c r="D753" s="3">
        <v>6726</v>
      </c>
      <c r="E753" s="1" t="s">
        <v>43</v>
      </c>
      <c r="F753" s="1" t="s">
        <v>4566</v>
      </c>
      <c r="G753" s="1" t="s">
        <v>4332</v>
      </c>
      <c r="H753" s="4">
        <v>0.67500000000000004</v>
      </c>
      <c r="I753" s="4">
        <v>4.5</v>
      </c>
      <c r="J753" s="5">
        <v>76.5</v>
      </c>
      <c r="K753" s="4">
        <v>15</v>
      </c>
      <c r="L753" s="1" t="s">
        <v>46</v>
      </c>
      <c r="M753" s="1" t="s">
        <v>47</v>
      </c>
      <c r="N753" s="1" t="s">
        <v>4567</v>
      </c>
      <c r="O753" s="1" t="s">
        <v>87</v>
      </c>
      <c r="P753" s="1" t="s">
        <v>4568</v>
      </c>
      <c r="Q753" s="4">
        <v>0.93300000000000005</v>
      </c>
      <c r="R753" s="4">
        <v>0.56699999999999995</v>
      </c>
      <c r="S753" s="8">
        <v>3</v>
      </c>
      <c r="T753" s="1" t="s">
        <v>50</v>
      </c>
      <c r="U753" s="8">
        <v>15</v>
      </c>
      <c r="V753" s="8">
        <v>15</v>
      </c>
      <c r="W753" s="7">
        <v>1000</v>
      </c>
      <c r="X753" s="5">
        <v>0</v>
      </c>
      <c r="Y753" s="7">
        <v>5100000</v>
      </c>
      <c r="Z753" s="1"/>
      <c r="AA753" s="2">
        <f ca="1">DATE(2002,05,15)</f>
        <v>0</v>
      </c>
      <c r="AB753" s="1"/>
      <c r="AC753" s="3">
        <v>180</v>
      </c>
      <c r="AD753" s="1"/>
      <c r="AE753" s="1" t="s">
        <v>51</v>
      </c>
      <c r="AF753" s="1" t="s">
        <v>51</v>
      </c>
      <c r="AG753" s="1" t="s">
        <v>51</v>
      </c>
      <c r="AH753" s="1"/>
      <c r="AI753" s="1"/>
      <c r="AJ753" s="3">
        <v>1</v>
      </c>
      <c r="AK753" s="1" t="s">
        <v>89</v>
      </c>
      <c r="AL753" s="3">
        <v>8</v>
      </c>
      <c r="AM753" s="8">
        <v>15</v>
      </c>
      <c r="AN753" s="1"/>
      <c r="AO753" s="1" t="s">
        <v>4569</v>
      </c>
      <c r="AP753" s="1" t="s">
        <v>4336</v>
      </c>
      <c r="AQ753" s="1" t="s">
        <v>4570</v>
      </c>
      <c r="AR753" s="1" t="s">
        <v>4571</v>
      </c>
    </row>
    <row r="754">
      <c r="A754" s="2">
        <f ca="1">DATE(2001,05,14)</f>
        <v>0</v>
      </c>
      <c r="B754" s="2">
        <f ca="1">DATE(2001,11,19)</f>
        <v>0</v>
      </c>
      <c r="C754" s="1" t="s">
        <v>4572</v>
      </c>
      <c r="D754" s="3">
        <v>7372</v>
      </c>
      <c r="E754" s="1" t="s">
        <v>43</v>
      </c>
      <c r="F754" s="1" t="s">
        <v>4573</v>
      </c>
      <c r="G754" s="1" t="s">
        <v>168</v>
      </c>
      <c r="H754" s="4">
        <v>0.91000000000000003</v>
      </c>
      <c r="I754" s="4">
        <v>7</v>
      </c>
      <c r="J754" s="5">
        <v>57.600000000000001</v>
      </c>
      <c r="K754" s="4">
        <v>13</v>
      </c>
      <c r="L754" s="1" t="s">
        <v>46</v>
      </c>
      <c r="M754" s="1" t="s">
        <v>47</v>
      </c>
      <c r="N754" s="3">
        <v>559181102</v>
      </c>
      <c r="O754" s="1" t="s">
        <v>48</v>
      </c>
      <c r="P754" s="1" t="s">
        <v>4574</v>
      </c>
      <c r="Q754" s="4">
        <v>1.385</v>
      </c>
      <c r="R754" s="4">
        <v>1.385</v>
      </c>
      <c r="S754" s="6">
        <v>4.2307699999999997</v>
      </c>
      <c r="T754" s="1" t="s">
        <v>50</v>
      </c>
      <c r="U754" s="1"/>
      <c r="V754" s="1"/>
      <c r="W754" s="1"/>
      <c r="X754" s="5">
        <v>55</v>
      </c>
      <c r="Y754" s="7">
        <v>4430435</v>
      </c>
      <c r="Z754" s="1"/>
      <c r="AA754" s="2">
        <f ca="1">DATE(2002,05,18)</f>
        <v>0</v>
      </c>
      <c r="AB754" s="1"/>
      <c r="AC754" s="3">
        <v>180</v>
      </c>
      <c r="AD754" s="1"/>
      <c r="AE754" s="1" t="s">
        <v>51</v>
      </c>
      <c r="AF754" s="1" t="s">
        <v>51</v>
      </c>
      <c r="AG754" s="1" t="s">
        <v>47</v>
      </c>
      <c r="AH754" s="1"/>
      <c r="AI754" s="1"/>
      <c r="AJ754" s="3">
        <v>1</v>
      </c>
      <c r="AK754" s="1" t="s">
        <v>52</v>
      </c>
      <c r="AL754" s="3">
        <v>3</v>
      </c>
      <c r="AM754" s="8">
        <v>18.989999999999998</v>
      </c>
      <c r="AN754" s="1"/>
      <c r="AO754" s="1" t="s">
        <v>4575</v>
      </c>
      <c r="AP754" s="1" t="s">
        <v>168</v>
      </c>
      <c r="AQ754" s="1" t="s">
        <v>3915</v>
      </c>
      <c r="AR754" s="1" t="s">
        <v>3916</v>
      </c>
    </row>
    <row r="755">
      <c r="A755" s="2">
        <f ca="1">DATE(2001,05,14)</f>
        <v>0</v>
      </c>
      <c r="B755" s="2">
        <f ca="1">DATE(2001,11,19)</f>
        <v>0</v>
      </c>
      <c r="C755" s="1" t="s">
        <v>4572</v>
      </c>
      <c r="D755" s="3">
        <v>7372</v>
      </c>
      <c r="E755" s="1" t="s">
        <v>43</v>
      </c>
      <c r="F755" s="1" t="s">
        <v>4573</v>
      </c>
      <c r="G755" s="1" t="s">
        <v>179</v>
      </c>
      <c r="H755" s="4">
        <v>0.91000000000000003</v>
      </c>
      <c r="I755" s="4">
        <v>7</v>
      </c>
      <c r="J755" s="5">
        <v>5.5</v>
      </c>
      <c r="K755" s="8">
        <v>13</v>
      </c>
      <c r="L755" s="1" t="s">
        <v>58</v>
      </c>
      <c r="M755" s="1" t="s">
        <v>47</v>
      </c>
      <c r="N755" s="3">
        <v>559181102</v>
      </c>
      <c r="O755" s="1" t="s">
        <v>48</v>
      </c>
      <c r="P755" s="1" t="s">
        <v>3917</v>
      </c>
      <c r="Q755" s="4">
        <v>1.3999999999999999</v>
      </c>
      <c r="R755" s="4">
        <v>1.3999999999999999</v>
      </c>
      <c r="S755" s="8">
        <v>4.2000000000000002</v>
      </c>
      <c r="T755" s="1" t="s">
        <v>60</v>
      </c>
      <c r="U755" s="1"/>
      <c r="V755" s="1"/>
      <c r="W755" s="1"/>
      <c r="X755" s="1"/>
      <c r="Y755" s="7">
        <v>419565</v>
      </c>
      <c r="Z755" s="1"/>
      <c r="AA755" s="1"/>
      <c r="AB755" s="1"/>
      <c r="AC755" s="3">
        <v>180</v>
      </c>
      <c r="AD755" s="1"/>
      <c r="AE755" s="1" t="s">
        <v>51</v>
      </c>
      <c r="AF755" s="1" t="s">
        <v>51</v>
      </c>
      <c r="AG755" s="1" t="s">
        <v>47</v>
      </c>
      <c r="AH755" s="1"/>
      <c r="AI755" s="1"/>
      <c r="AJ755" s="3">
        <v>1</v>
      </c>
      <c r="AK755" s="1" t="s">
        <v>52</v>
      </c>
      <c r="AL755" s="3">
        <v>1</v>
      </c>
      <c r="AM755" s="1"/>
      <c r="AN755" s="1"/>
      <c r="AO755" s="1" t="s">
        <v>3918</v>
      </c>
      <c r="AP755" s="1" t="s">
        <v>179</v>
      </c>
      <c r="AQ755" s="1" t="s">
        <v>179</v>
      </c>
      <c r="AR755" s="1" t="s">
        <v>3919</v>
      </c>
    </row>
    <row r="756">
      <c r="A756" s="2">
        <f ca="1">DATE(2001,08,09)</f>
        <v>0</v>
      </c>
      <c r="B756" s="2">
        <f ca="1">DATE(2001,11,20)</f>
        <v>0</v>
      </c>
      <c r="C756" s="1" t="s">
        <v>4576</v>
      </c>
      <c r="D756" s="1" t="s">
        <v>4577</v>
      </c>
      <c r="E756" s="1" t="s">
        <v>43</v>
      </c>
      <c r="F756" s="1" t="s">
        <v>4578</v>
      </c>
      <c r="G756" s="1" t="s">
        <v>168</v>
      </c>
      <c r="H756" s="4">
        <v>0.65000000000000002</v>
      </c>
      <c r="I756" s="4">
        <v>6.5</v>
      </c>
      <c r="J756" s="5">
        <v>138.09999999999999</v>
      </c>
      <c r="K756" s="4">
        <v>10</v>
      </c>
      <c r="L756" s="1" t="s">
        <v>46</v>
      </c>
      <c r="M756" s="1" t="s">
        <v>47</v>
      </c>
      <c r="N756" s="3">
        <v>918194101</v>
      </c>
      <c r="O756" s="1" t="s">
        <v>48</v>
      </c>
      <c r="P756" s="1" t="s">
        <v>4579</v>
      </c>
      <c r="Q756" s="4">
        <v>1.3</v>
      </c>
      <c r="R756" s="4">
        <v>1.3</v>
      </c>
      <c r="S756" s="8">
        <v>3.8999999999999999</v>
      </c>
      <c r="T756" s="1" t="s">
        <v>50</v>
      </c>
      <c r="U756" s="1"/>
      <c r="V756" s="1"/>
      <c r="W756" s="1"/>
      <c r="X756" s="5">
        <v>241.5</v>
      </c>
      <c r="Y756" s="7">
        <v>13811000</v>
      </c>
      <c r="Z756" s="1"/>
      <c r="AA756" s="2">
        <f ca="1">DATE(2002,05,19)</f>
        <v>0</v>
      </c>
      <c r="AB756" s="1"/>
      <c r="AC756" s="3">
        <v>180</v>
      </c>
      <c r="AD756" s="1"/>
      <c r="AE756" s="1" t="s">
        <v>51</v>
      </c>
      <c r="AF756" s="1" t="s">
        <v>51</v>
      </c>
      <c r="AG756" s="1" t="s">
        <v>47</v>
      </c>
      <c r="AH756" s="1"/>
      <c r="AI756" s="1"/>
      <c r="AJ756" s="3">
        <v>1</v>
      </c>
      <c r="AK756" s="1" t="s">
        <v>89</v>
      </c>
      <c r="AL756" s="3">
        <v>5</v>
      </c>
      <c r="AM756" s="8">
        <v>9.3399999999999999</v>
      </c>
      <c r="AN756" s="1"/>
      <c r="AO756" s="1" t="s">
        <v>4580</v>
      </c>
      <c r="AP756" s="1" t="s">
        <v>4535</v>
      </c>
      <c r="AQ756" s="1" t="s">
        <v>4581</v>
      </c>
      <c r="AR756" s="1" t="s">
        <v>4582</v>
      </c>
    </row>
    <row r="757">
      <c r="A757" s="2">
        <f ca="1">DATE(2001,08,09)</f>
        <v>0</v>
      </c>
      <c r="B757" s="2">
        <f ca="1">DATE(2001,11,20)</f>
        <v>0</v>
      </c>
      <c r="C757" s="1" t="s">
        <v>4576</v>
      </c>
      <c r="D757" s="1" t="s">
        <v>4577</v>
      </c>
      <c r="E757" s="1" t="s">
        <v>43</v>
      </c>
      <c r="F757" s="1" t="s">
        <v>4578</v>
      </c>
      <c r="G757" s="1" t="s">
        <v>179</v>
      </c>
      <c r="H757" s="4">
        <v>0.65000000000000002</v>
      </c>
      <c r="I757" s="4">
        <v>6.5</v>
      </c>
      <c r="J757" s="5">
        <v>1.8999999999999999</v>
      </c>
      <c r="K757" s="8">
        <v>10</v>
      </c>
      <c r="L757" s="1" t="s">
        <v>58</v>
      </c>
      <c r="M757" s="1" t="s">
        <v>47</v>
      </c>
      <c r="N757" s="3">
        <v>918194101</v>
      </c>
      <c r="O757" s="1" t="s">
        <v>48</v>
      </c>
      <c r="P757" s="1" t="s">
        <v>4583</v>
      </c>
      <c r="Q757" s="4">
        <v>1.3</v>
      </c>
      <c r="R757" s="4">
        <v>1.3</v>
      </c>
      <c r="S757" s="8">
        <v>3.8999999999999999</v>
      </c>
      <c r="T757" s="1" t="s">
        <v>60</v>
      </c>
      <c r="U757" s="1"/>
      <c r="V757" s="1"/>
      <c r="W757" s="1"/>
      <c r="X757" s="1"/>
      <c r="Y757" s="7">
        <v>189000</v>
      </c>
      <c r="Z757" s="1"/>
      <c r="AA757" s="1"/>
      <c r="AB757" s="1"/>
      <c r="AC757" s="3">
        <v>180</v>
      </c>
      <c r="AD757" s="1"/>
      <c r="AE757" s="1" t="s">
        <v>51</v>
      </c>
      <c r="AF757" s="1" t="s">
        <v>51</v>
      </c>
      <c r="AG757" s="1" t="s">
        <v>47</v>
      </c>
      <c r="AH757" s="1"/>
      <c r="AI757" s="1"/>
      <c r="AJ757" s="3">
        <v>1</v>
      </c>
      <c r="AK757" s="1" t="s">
        <v>89</v>
      </c>
      <c r="AL757" s="3">
        <v>2</v>
      </c>
      <c r="AM757" s="1"/>
      <c r="AN757" s="1"/>
      <c r="AO757" s="1" t="s">
        <v>4584</v>
      </c>
      <c r="AP757" s="1" t="s">
        <v>4585</v>
      </c>
      <c r="AQ757" s="1" t="s">
        <v>4586</v>
      </c>
      <c r="AR757" s="1" t="s">
        <v>4541</v>
      </c>
    </row>
    <row r="758">
      <c r="A758" s="2">
        <f ca="1">DATE(2001,10,18)</f>
        <v>0</v>
      </c>
      <c r="B758" s="2">
        <f ca="1">DATE(2001,11,27)</f>
        <v>0</v>
      </c>
      <c r="C758" s="1" t="s">
        <v>4587</v>
      </c>
      <c r="D758" s="3">
        <v>6726</v>
      </c>
      <c r="E758" s="1" t="s">
        <v>43</v>
      </c>
      <c r="F758" s="1" t="s">
        <v>4588</v>
      </c>
      <c r="G758" s="1" t="s">
        <v>1583</v>
      </c>
      <c r="H758" s="4">
        <v>0.67500000000000004</v>
      </c>
      <c r="I758" s="4">
        <v>2.7000000000000002</v>
      </c>
      <c r="J758" s="5">
        <v>625</v>
      </c>
      <c r="K758" s="4">
        <v>25</v>
      </c>
      <c r="L758" s="1" t="s">
        <v>4422</v>
      </c>
      <c r="M758" s="1" t="s">
        <v>47</v>
      </c>
      <c r="N758" s="1" t="s">
        <v>4589</v>
      </c>
      <c r="O758" s="1" t="s">
        <v>108</v>
      </c>
      <c r="P758" s="1" t="s">
        <v>4590</v>
      </c>
      <c r="Q758" s="4">
        <v>0.57999999999999996</v>
      </c>
      <c r="R758" s="4">
        <v>0.32000000000000001</v>
      </c>
      <c r="S758" s="8">
        <v>1.8</v>
      </c>
      <c r="T758" s="1" t="s">
        <v>50</v>
      </c>
      <c r="U758" s="8">
        <v>15</v>
      </c>
      <c r="V758" s="8">
        <v>15</v>
      </c>
      <c r="W758" s="7">
        <v>4000000</v>
      </c>
      <c r="X758" s="5">
        <v>60</v>
      </c>
      <c r="Y758" s="7">
        <v>25000000</v>
      </c>
      <c r="Z758" s="1"/>
      <c r="AA758" s="2">
        <f ca="1">DATE(2002,05,26)</f>
        <v>0</v>
      </c>
      <c r="AB758" s="1"/>
      <c r="AC758" s="3">
        <v>180</v>
      </c>
      <c r="AD758" s="1"/>
      <c r="AE758" s="1" t="s">
        <v>51</v>
      </c>
      <c r="AF758" s="1" t="s">
        <v>51</v>
      </c>
      <c r="AG758" s="1" t="s">
        <v>51</v>
      </c>
      <c r="AH758" s="1"/>
      <c r="AI758" s="1"/>
      <c r="AJ758" s="3">
        <v>1</v>
      </c>
      <c r="AK758" s="1" t="s">
        <v>52</v>
      </c>
      <c r="AL758" s="3">
        <v>7</v>
      </c>
      <c r="AM758" s="8">
        <v>15</v>
      </c>
      <c r="AN758" s="1"/>
      <c r="AO758" s="1" t="s">
        <v>4591</v>
      </c>
      <c r="AP758" s="1" t="s">
        <v>1583</v>
      </c>
      <c r="AQ758" s="1" t="s">
        <v>4592</v>
      </c>
      <c r="AR758" s="1" t="s">
        <v>4593</v>
      </c>
    </row>
    <row r="759">
      <c r="A759" s="2">
        <f ca="1">DATE(2001,10,10)</f>
        <v>0</v>
      </c>
      <c r="B759" s="2">
        <f ca="1">DATE(2001,11,27)</f>
        <v>0</v>
      </c>
      <c r="C759" s="1" t="s">
        <v>4594</v>
      </c>
      <c r="D759" s="3">
        <v>6726</v>
      </c>
      <c r="E759" s="1" t="s">
        <v>43</v>
      </c>
      <c r="F759" s="1" t="s">
        <v>4595</v>
      </c>
      <c r="G759" s="1" t="s">
        <v>45</v>
      </c>
      <c r="H759" s="4">
        <v>0.67500000000000004</v>
      </c>
      <c r="I759" s="4">
        <v>4.5</v>
      </c>
      <c r="J759" s="5">
        <v>250.5</v>
      </c>
      <c r="K759" s="4">
        <v>15</v>
      </c>
      <c r="L759" s="1" t="s">
        <v>46</v>
      </c>
      <c r="M759" s="1" t="s">
        <v>47</v>
      </c>
      <c r="N759" s="3">
        <v>219931102</v>
      </c>
      <c r="O759" s="1" t="s">
        <v>108</v>
      </c>
      <c r="P759" s="1" t="s">
        <v>4331</v>
      </c>
      <c r="Q759" s="1" t="s">
        <v>145</v>
      </c>
      <c r="R759" s="1" t="s">
        <v>145</v>
      </c>
      <c r="S759" s="1"/>
      <c r="T759" s="1" t="s">
        <v>50</v>
      </c>
      <c r="U759" s="8">
        <v>15</v>
      </c>
      <c r="V759" s="8">
        <v>15</v>
      </c>
      <c r="W759" s="7">
        <v>66667</v>
      </c>
      <c r="X759" s="5">
        <v>1</v>
      </c>
      <c r="Y759" s="7">
        <v>16700000</v>
      </c>
      <c r="Z759" s="1"/>
      <c r="AA759" s="1"/>
      <c r="AB759" s="1"/>
      <c r="AC759" s="1"/>
      <c r="AD759" s="1"/>
      <c r="AE759" s="1" t="s">
        <v>51</v>
      </c>
      <c r="AF759" s="1" t="s">
        <v>51</v>
      </c>
      <c r="AG759" s="1" t="s">
        <v>51</v>
      </c>
      <c r="AH759" s="1"/>
      <c r="AI759" s="1"/>
      <c r="AJ759" s="3">
        <v>1</v>
      </c>
      <c r="AK759" s="1" t="s">
        <v>52</v>
      </c>
      <c r="AL759" s="3">
        <v>1</v>
      </c>
      <c r="AM759" s="8">
        <v>15.039999999999999</v>
      </c>
      <c r="AN759" s="1"/>
      <c r="AO759" s="1" t="s">
        <v>45</v>
      </c>
      <c r="AP759" s="1" t="s">
        <v>45</v>
      </c>
      <c r="AQ759" s="1" t="s">
        <v>45</v>
      </c>
      <c r="AR759" s="1" t="s">
        <v>786</v>
      </c>
    </row>
    <row r="760">
      <c r="A760" s="2">
        <f ca="1">DATE(2001,07,05)</f>
        <v>0</v>
      </c>
      <c r="B760" s="2">
        <f ca="1">DATE(2001,11,28)</f>
        <v>0</v>
      </c>
      <c r="C760" s="1" t="s">
        <v>4596</v>
      </c>
      <c r="D760" s="3">
        <v>6282</v>
      </c>
      <c r="E760" s="1" t="s">
        <v>43</v>
      </c>
      <c r="F760" s="1" t="s">
        <v>4597</v>
      </c>
      <c r="G760" s="1" t="s">
        <v>4598</v>
      </c>
      <c r="H760" s="4">
        <v>1.105</v>
      </c>
      <c r="I760" s="4">
        <v>6.5</v>
      </c>
      <c r="J760" s="5">
        <v>227.40000000000001</v>
      </c>
      <c r="K760" s="4">
        <v>17</v>
      </c>
      <c r="L760" s="1" t="s">
        <v>46</v>
      </c>
      <c r="M760" s="1" t="s">
        <v>47</v>
      </c>
      <c r="N760" s="1" t="s">
        <v>4599</v>
      </c>
      <c r="O760" s="1" t="s">
        <v>48</v>
      </c>
      <c r="P760" s="1" t="s">
        <v>4600</v>
      </c>
      <c r="Q760" s="4">
        <v>1.294</v>
      </c>
      <c r="R760" s="4">
        <v>1.2649999999999999</v>
      </c>
      <c r="S760" s="6">
        <v>3.9411800000000001</v>
      </c>
      <c r="T760" s="1" t="s">
        <v>50</v>
      </c>
      <c r="U760" s="1"/>
      <c r="V760" s="1"/>
      <c r="W760" s="1"/>
      <c r="X760" s="5">
        <v>250</v>
      </c>
      <c r="Y760" s="7">
        <v>13375000</v>
      </c>
      <c r="Z760" s="1"/>
      <c r="AA760" s="1"/>
      <c r="AB760" s="1"/>
      <c r="AC760" s="1"/>
      <c r="AD760" s="1"/>
      <c r="AE760" s="1" t="s">
        <v>51</v>
      </c>
      <c r="AF760" s="1" t="s">
        <v>51</v>
      </c>
      <c r="AG760" s="1" t="s">
        <v>47</v>
      </c>
      <c r="AH760" s="1"/>
      <c r="AI760" s="1"/>
      <c r="AJ760" s="3">
        <v>1</v>
      </c>
      <c r="AK760" s="1" t="s">
        <v>52</v>
      </c>
      <c r="AL760" s="3">
        <v>2</v>
      </c>
      <c r="AM760" s="8">
        <v>16.77</v>
      </c>
      <c r="AN760" s="1"/>
      <c r="AO760" s="1" t="s">
        <v>4601</v>
      </c>
      <c r="AP760" s="1" t="s">
        <v>4598</v>
      </c>
      <c r="AQ760" s="1" t="s">
        <v>4602</v>
      </c>
      <c r="AR760" s="1" t="s">
        <v>4603</v>
      </c>
    </row>
    <row r="761">
      <c r="A761" s="2">
        <f ca="1">DATE(2001,07,03)</f>
        <v>0</v>
      </c>
      <c r="B761" s="2">
        <f ca="1">DATE(2001,11,28)</f>
        <v>0</v>
      </c>
      <c r="C761" s="1" t="s">
        <v>4596</v>
      </c>
      <c r="D761" s="3">
        <v>6282</v>
      </c>
      <c r="E761" s="1" t="s">
        <v>43</v>
      </c>
      <c r="F761" s="1" t="s">
        <v>4597</v>
      </c>
      <c r="G761" s="1" t="s">
        <v>84</v>
      </c>
      <c r="H761" s="1" t="s">
        <v>57</v>
      </c>
      <c r="I761" s="1" t="s">
        <v>57</v>
      </c>
      <c r="J761" s="5">
        <v>10.199999999999999</v>
      </c>
      <c r="K761" s="8">
        <v>16.329999999999998</v>
      </c>
      <c r="L761" s="1" t="s">
        <v>46</v>
      </c>
      <c r="M761" s="1" t="s">
        <v>47</v>
      </c>
      <c r="N761" s="1" t="s">
        <v>4599</v>
      </c>
      <c r="O761" s="1" t="s">
        <v>48</v>
      </c>
      <c r="P761" s="1" t="s">
        <v>4604</v>
      </c>
      <c r="Q761" s="1"/>
      <c r="R761" s="1"/>
      <c r="S761" s="1"/>
      <c r="T761" s="1" t="s">
        <v>4605</v>
      </c>
      <c r="U761" s="1"/>
      <c r="V761" s="1"/>
      <c r="W761" s="1"/>
      <c r="X761" s="1"/>
      <c r="Y761" s="1"/>
      <c r="Z761" s="1"/>
      <c r="AA761" s="1"/>
      <c r="AB761" s="1"/>
      <c r="AC761" s="1"/>
      <c r="AD761" s="1"/>
      <c r="AE761" s="1" t="s">
        <v>51</v>
      </c>
      <c r="AF761" s="1" t="s">
        <v>51</v>
      </c>
      <c r="AG761" s="1"/>
      <c r="AH761" s="1"/>
      <c r="AI761" s="1"/>
      <c r="AJ761" s="3">
        <v>1</v>
      </c>
      <c r="AK761" s="1" t="s">
        <v>52</v>
      </c>
      <c r="AL761" s="3">
        <v>2</v>
      </c>
      <c r="AM761" s="1"/>
      <c r="AN761" s="1"/>
      <c r="AO761" s="1" t="s">
        <v>4606</v>
      </c>
      <c r="AP761" s="1" t="s">
        <v>84</v>
      </c>
      <c r="AQ761" s="1" t="s">
        <v>4607</v>
      </c>
      <c r="AR761" s="1" t="s">
        <v>4608</v>
      </c>
    </row>
    <row r="762">
      <c r="A762" s="2">
        <f ca="1">DATE(2001,11,05)</f>
        <v>0</v>
      </c>
      <c r="B762" s="2">
        <f ca="1">DATE(2001,12,05)</f>
        <v>0</v>
      </c>
      <c r="C762" s="1" t="s">
        <v>4609</v>
      </c>
      <c r="D762" s="3">
        <v>3334</v>
      </c>
      <c r="E762" s="1" t="s">
        <v>744</v>
      </c>
      <c r="F762" s="3">
        <v>2600</v>
      </c>
      <c r="G762" s="1" t="s">
        <v>796</v>
      </c>
      <c r="H762" s="4">
        <v>0.0080000000000000002</v>
      </c>
      <c r="I762" s="4">
        <v>4.7480000000000002</v>
      </c>
      <c r="J762" s="5">
        <v>132.80000000000001</v>
      </c>
      <c r="K762" s="4">
        <v>0.17699999999999999</v>
      </c>
      <c r="L762" s="1" t="s">
        <v>58</v>
      </c>
      <c r="M762" s="1" t="s">
        <v>47</v>
      </c>
      <c r="N762" s="1" t="s">
        <v>4610</v>
      </c>
      <c r="O762" s="1" t="s">
        <v>845</v>
      </c>
      <c r="P762" s="1" t="s">
        <v>4611</v>
      </c>
      <c r="Q762" s="8">
        <v>0.94999999999999996</v>
      </c>
      <c r="R762" s="4">
        <v>0.71199999999999997</v>
      </c>
      <c r="S762" s="6">
        <v>3.07484</v>
      </c>
      <c r="T762" s="1" t="s">
        <v>50</v>
      </c>
      <c r="U762" s="1"/>
      <c r="V762" s="1"/>
      <c r="W762" s="1"/>
      <c r="X762" s="5">
        <v>600</v>
      </c>
      <c r="Y762" s="7">
        <v>750590300</v>
      </c>
      <c r="Z762" s="1"/>
      <c r="AA762" s="1"/>
      <c r="AB762" s="1"/>
      <c r="AC762" s="1"/>
      <c r="AD762" s="1"/>
      <c r="AE762" s="1" t="s">
        <v>51</v>
      </c>
      <c r="AF762" s="1" t="s">
        <v>51</v>
      </c>
      <c r="AG762" s="1" t="s">
        <v>51</v>
      </c>
      <c r="AH762" s="1"/>
      <c r="AI762" s="1" t="s">
        <v>4612</v>
      </c>
      <c r="AJ762" s="3">
        <v>1</v>
      </c>
      <c r="AK762" s="1" t="s">
        <v>89</v>
      </c>
      <c r="AL762" s="3">
        <v>3</v>
      </c>
      <c r="AM762" s="8">
        <v>17.829999999999998</v>
      </c>
      <c r="AN762" s="1"/>
      <c r="AO762" s="1" t="s">
        <v>4613</v>
      </c>
      <c r="AP762" s="1" t="s">
        <v>4614</v>
      </c>
      <c r="AQ762" s="1" t="s">
        <v>4615</v>
      </c>
      <c r="AR762" s="1" t="s">
        <v>4616</v>
      </c>
    </row>
    <row r="763">
      <c r="A763" s="2">
        <f ca="1">DATE(2001,12,05)</f>
        <v>0</v>
      </c>
      <c r="B763" s="2">
        <f ca="1">DATE(2001,12,05)</f>
        <v>0</v>
      </c>
      <c r="C763" s="1" t="s">
        <v>4617</v>
      </c>
      <c r="D763" s="3">
        <v>6799</v>
      </c>
      <c r="E763" s="1" t="s">
        <v>1445</v>
      </c>
      <c r="F763" s="1" t="s">
        <v>4618</v>
      </c>
      <c r="G763" s="1" t="s">
        <v>4619</v>
      </c>
      <c r="H763" s="1"/>
      <c r="I763" s="1" t="s">
        <v>57</v>
      </c>
      <c r="J763" s="5">
        <v>51.399999999999999</v>
      </c>
      <c r="K763" s="4">
        <v>1</v>
      </c>
      <c r="L763" s="1" t="s">
        <v>46</v>
      </c>
      <c r="M763" s="1" t="s">
        <v>47</v>
      </c>
      <c r="N763" s="1"/>
      <c r="O763" s="1" t="s">
        <v>4620</v>
      </c>
      <c r="P763" s="1" t="s">
        <v>4621</v>
      </c>
      <c r="Q763" s="1"/>
      <c r="R763" s="1"/>
      <c r="S763" s="1"/>
      <c r="T763" s="1" t="s">
        <v>4091</v>
      </c>
      <c r="U763" s="1"/>
      <c r="V763" s="1"/>
      <c r="W763" s="7">
        <v>128700000</v>
      </c>
      <c r="X763" s="5">
        <v>51.399999999999999</v>
      </c>
      <c r="Y763" s="7">
        <v>128700000</v>
      </c>
      <c r="Z763" s="1"/>
      <c r="AA763" s="1"/>
      <c r="AB763" s="1"/>
      <c r="AC763" s="1"/>
      <c r="AD763" s="1"/>
      <c r="AE763" s="1"/>
      <c r="AF763" s="1" t="s">
        <v>51</v>
      </c>
      <c r="AG763" s="1"/>
      <c r="AH763" s="1"/>
      <c r="AI763" s="1"/>
      <c r="AJ763" s="3">
        <v>1</v>
      </c>
      <c r="AK763" s="1" t="s">
        <v>52</v>
      </c>
      <c r="AL763" s="3">
        <v>2</v>
      </c>
      <c r="AM763" s="1"/>
      <c r="AN763" s="1"/>
      <c r="AO763" s="1" t="s">
        <v>4622</v>
      </c>
      <c r="AP763" s="1" t="s">
        <v>4619</v>
      </c>
      <c r="AQ763" s="1" t="s">
        <v>4623</v>
      </c>
      <c r="AR763" s="1" t="s">
        <v>4624</v>
      </c>
    </row>
    <row r="764">
      <c r="A764" s="2">
        <f ca="1">DATE(2001,06,20)</f>
        <v>0</v>
      </c>
      <c r="B764" s="2">
        <f ca="1">DATE(2001,12,06)</f>
        <v>0</v>
      </c>
      <c r="C764" s="1" t="s">
        <v>4625</v>
      </c>
      <c r="D764" s="3">
        <v>7372</v>
      </c>
      <c r="E764" s="1" t="s">
        <v>43</v>
      </c>
      <c r="F764" s="1" t="s">
        <v>4626</v>
      </c>
      <c r="G764" s="1" t="s">
        <v>813</v>
      </c>
      <c r="H764" s="4">
        <v>0.91000000000000003</v>
      </c>
      <c r="I764" s="4">
        <v>6.5</v>
      </c>
      <c r="J764" s="5">
        <v>196</v>
      </c>
      <c r="K764" s="8">
        <v>14</v>
      </c>
      <c r="L764" s="1" t="s">
        <v>46</v>
      </c>
      <c r="M764" s="1" t="s">
        <v>47</v>
      </c>
      <c r="N764" s="3">
        <v>520780107</v>
      </c>
      <c r="O764" s="1" t="s">
        <v>48</v>
      </c>
      <c r="P764" s="1" t="s">
        <v>4627</v>
      </c>
      <c r="Q764" s="4">
        <v>1.321</v>
      </c>
      <c r="R764" s="4">
        <v>1.321</v>
      </c>
      <c r="S764" s="6">
        <v>3.8571399999999998</v>
      </c>
      <c r="T764" s="1" t="s">
        <v>60</v>
      </c>
      <c r="U764" s="1"/>
      <c r="V764" s="1"/>
      <c r="W764" s="1"/>
      <c r="X764" s="5">
        <v>200</v>
      </c>
      <c r="Y764" s="7">
        <v>13675000</v>
      </c>
      <c r="Z764" s="7">
        <v>325000</v>
      </c>
      <c r="AA764" s="1"/>
      <c r="AB764" s="1"/>
      <c r="AC764" s="1"/>
      <c r="AD764" s="1"/>
      <c r="AE764" s="1" t="s">
        <v>51</v>
      </c>
      <c r="AF764" s="1" t="s">
        <v>51</v>
      </c>
      <c r="AG764" s="1" t="s">
        <v>51</v>
      </c>
      <c r="AH764" s="1"/>
      <c r="AI764" s="1"/>
      <c r="AJ764" s="3">
        <v>1</v>
      </c>
      <c r="AK764" s="1" t="s">
        <v>89</v>
      </c>
      <c r="AL764" s="3">
        <v>2</v>
      </c>
      <c r="AM764" s="1"/>
      <c r="AN764" s="1"/>
      <c r="AO764" s="1" t="s">
        <v>4628</v>
      </c>
      <c r="AP764" s="1" t="s">
        <v>4629</v>
      </c>
      <c r="AQ764" s="1" t="s">
        <v>4630</v>
      </c>
      <c r="AR764" s="1" t="s">
        <v>4631</v>
      </c>
    </row>
    <row r="765">
      <c r="A765" s="2">
        <f ca="1">DATE(2001,07,17)</f>
        <v>0</v>
      </c>
      <c r="B765" s="2">
        <f ca="1">DATE(2001,12,10)</f>
        <v>0</v>
      </c>
      <c r="C765" s="1" t="s">
        <v>4632</v>
      </c>
      <c r="D765" s="3">
        <v>7349</v>
      </c>
      <c r="E765" s="1" t="s">
        <v>43</v>
      </c>
      <c r="F765" s="1" t="s">
        <v>4633</v>
      </c>
      <c r="G765" s="1" t="s">
        <v>4634</v>
      </c>
      <c r="H765" s="4">
        <v>1.2649999999999999</v>
      </c>
      <c r="I765" s="8">
        <v>5.5</v>
      </c>
      <c r="J765" s="5">
        <v>690</v>
      </c>
      <c r="K765" s="4">
        <v>23</v>
      </c>
      <c r="L765" s="1" t="s">
        <v>2698</v>
      </c>
      <c r="M765" s="1" t="s">
        <v>47</v>
      </c>
      <c r="N765" s="1" t="s">
        <v>4635</v>
      </c>
      <c r="O765" s="1" t="s">
        <v>108</v>
      </c>
      <c r="P765" s="1" t="s">
        <v>4636</v>
      </c>
      <c r="Q765" s="4">
        <v>1.109</v>
      </c>
      <c r="R765" s="4">
        <v>1.087</v>
      </c>
      <c r="S765" s="6">
        <v>3.3043499999999999</v>
      </c>
      <c r="T765" s="1" t="s">
        <v>50</v>
      </c>
      <c r="U765" s="1"/>
      <c r="V765" s="1"/>
      <c r="W765" s="1"/>
      <c r="X765" s="5">
        <v>600</v>
      </c>
      <c r="Y765" s="7">
        <v>30000000</v>
      </c>
      <c r="Z765" s="1"/>
      <c r="AA765" s="1" t="s">
        <v>4637</v>
      </c>
      <c r="AB765" s="1" t="s">
        <v>4638</v>
      </c>
      <c r="AC765" s="1" t="s">
        <v>4639</v>
      </c>
      <c r="AD765" s="1" t="s">
        <v>4640</v>
      </c>
      <c r="AE765" s="1" t="s">
        <v>51</v>
      </c>
      <c r="AF765" s="1" t="s">
        <v>51</v>
      </c>
      <c r="AG765" s="1" t="s">
        <v>51</v>
      </c>
      <c r="AH765" s="1"/>
      <c r="AI765" s="1"/>
      <c r="AJ765" s="3">
        <v>2</v>
      </c>
      <c r="AK765" s="1" t="s">
        <v>89</v>
      </c>
      <c r="AL765" s="3">
        <v>5</v>
      </c>
      <c r="AM765" s="8">
        <v>0.059999999999999998</v>
      </c>
      <c r="AN765" s="1"/>
      <c r="AO765" s="1" t="s">
        <v>4641</v>
      </c>
      <c r="AP765" s="1" t="s">
        <v>4642</v>
      </c>
      <c r="AQ765" s="1" t="s">
        <v>4643</v>
      </c>
      <c r="AR765" s="1" t="s">
        <v>4644</v>
      </c>
    </row>
    <row r="766">
      <c r="A766" s="2">
        <f ca="1">DATE(2001,11,19)</f>
        <v>0</v>
      </c>
      <c r="B766" s="2">
        <f ca="1">DATE(2001,12,10)</f>
        <v>0</v>
      </c>
      <c r="C766" s="1" t="s">
        <v>4645</v>
      </c>
      <c r="D766" s="3">
        <v>6311</v>
      </c>
      <c r="E766" s="1" t="s">
        <v>3385</v>
      </c>
      <c r="F766" s="1" t="s">
        <v>4646</v>
      </c>
      <c r="G766" s="1" t="s">
        <v>4647</v>
      </c>
      <c r="H766" s="4">
        <v>0.67600000000000005</v>
      </c>
      <c r="I766" s="8">
        <v>2.75</v>
      </c>
      <c r="J766" s="5">
        <v>688.5</v>
      </c>
      <c r="K766" s="4">
        <v>24.59</v>
      </c>
      <c r="L766" s="1" t="s">
        <v>651</v>
      </c>
      <c r="M766" s="1" t="s">
        <v>47</v>
      </c>
      <c r="N766" s="1" t="s">
        <v>4648</v>
      </c>
      <c r="O766" s="1" t="s">
        <v>4649</v>
      </c>
      <c r="P766" s="1" t="s">
        <v>4650</v>
      </c>
      <c r="Q766" s="8">
        <v>0.55000000000000004</v>
      </c>
      <c r="R766" s="8">
        <v>0.55000000000000004</v>
      </c>
      <c r="S766" s="6">
        <v>1.6502600000000001</v>
      </c>
      <c r="T766" s="1" t="s">
        <v>50</v>
      </c>
      <c r="U766" s="8">
        <v>27.190000000000001</v>
      </c>
      <c r="V766" s="8">
        <v>21.75</v>
      </c>
      <c r="W766" s="1"/>
      <c r="X766" s="1"/>
      <c r="Y766" s="1"/>
      <c r="Z766" s="7">
        <v>28000000</v>
      </c>
      <c r="AA766" s="2">
        <f ca="1">DATE(2002,09,06)</f>
        <v>0</v>
      </c>
      <c r="AB766" s="1"/>
      <c r="AC766" s="3">
        <v>270</v>
      </c>
      <c r="AD766" s="1"/>
      <c r="AE766" s="1" t="s">
        <v>47</v>
      </c>
      <c r="AF766" s="1" t="s">
        <v>51</v>
      </c>
      <c r="AG766" s="1" t="s">
        <v>51</v>
      </c>
      <c r="AH766" s="1" t="s">
        <v>4651</v>
      </c>
      <c r="AI766" s="1" t="s">
        <v>4652</v>
      </c>
      <c r="AJ766" s="3">
        <v>2</v>
      </c>
      <c r="AK766" s="1" t="s">
        <v>89</v>
      </c>
      <c r="AL766" s="3">
        <v>5</v>
      </c>
      <c r="AM766" s="8">
        <v>24.59</v>
      </c>
      <c r="AN766" s="1"/>
      <c r="AO766" s="1" t="s">
        <v>4653</v>
      </c>
      <c r="AP766" s="1" t="s">
        <v>4654</v>
      </c>
      <c r="AQ766" s="1" t="s">
        <v>4655</v>
      </c>
      <c r="AR766" s="1" t="s">
        <v>4656</v>
      </c>
    </row>
    <row r="767">
      <c r="A767" s="2">
        <f ca="1">DATE(2001,11,19)</f>
        <v>0</v>
      </c>
      <c r="B767" s="2">
        <f ca="1">DATE(2001,12,10)</f>
        <v>0</v>
      </c>
      <c r="C767" s="1" t="s">
        <v>4645</v>
      </c>
      <c r="D767" s="3">
        <v>6311</v>
      </c>
      <c r="E767" s="1" t="s">
        <v>3385</v>
      </c>
      <c r="F767" s="1" t="s">
        <v>4646</v>
      </c>
      <c r="G767" s="1" t="s">
        <v>4647</v>
      </c>
      <c r="H767" s="4">
        <v>1.3560000000000001</v>
      </c>
      <c r="I767" s="8">
        <v>2.75</v>
      </c>
      <c r="J767" s="5">
        <v>724.79999999999995</v>
      </c>
      <c r="K767" s="8">
        <v>82</v>
      </c>
      <c r="L767" s="1" t="s">
        <v>58</v>
      </c>
      <c r="M767" s="1" t="s">
        <v>47</v>
      </c>
      <c r="N767" s="1"/>
      <c r="O767" s="1" t="s">
        <v>4649</v>
      </c>
      <c r="P767" s="1" t="s">
        <v>4657</v>
      </c>
      <c r="Q767" s="1" t="s">
        <v>145</v>
      </c>
      <c r="R767" s="1" t="s">
        <v>145</v>
      </c>
      <c r="S767" s="1"/>
      <c r="T767" s="1" t="s">
        <v>60</v>
      </c>
      <c r="U767" s="8">
        <v>27.190000000000001</v>
      </c>
      <c r="V767" s="8">
        <v>21.75</v>
      </c>
      <c r="W767" s="1"/>
      <c r="X767" s="1"/>
      <c r="Y767" s="7">
        <v>14700000</v>
      </c>
      <c r="Z767" s="1"/>
      <c r="AA767" s="1"/>
      <c r="AB767" s="1"/>
      <c r="AC767" s="3">
        <v>270</v>
      </c>
      <c r="AD767" s="1"/>
      <c r="AE767" s="1" t="s">
        <v>51</v>
      </c>
      <c r="AF767" s="1" t="s">
        <v>51</v>
      </c>
      <c r="AG767" s="1" t="s">
        <v>51</v>
      </c>
      <c r="AH767" s="1" t="s">
        <v>4651</v>
      </c>
      <c r="AI767" s="1" t="s">
        <v>4652</v>
      </c>
      <c r="AJ767" s="3">
        <v>2</v>
      </c>
      <c r="AK767" s="1" t="s">
        <v>89</v>
      </c>
      <c r="AL767" s="3">
        <v>5</v>
      </c>
      <c r="AM767" s="4">
        <v>49.637999999999998</v>
      </c>
      <c r="AN767" s="4">
        <v>50.786000000000001</v>
      </c>
      <c r="AO767" s="1" t="s">
        <v>4658</v>
      </c>
      <c r="AP767" s="1" t="s">
        <v>4654</v>
      </c>
      <c r="AQ767" s="1" t="s">
        <v>4659</v>
      </c>
      <c r="AR767" s="1" t="s">
        <v>4660</v>
      </c>
    </row>
    <row r="768">
      <c r="A768" s="2">
        <f ca="1">DATE(1999,08,20)</f>
        <v>0</v>
      </c>
      <c r="B768" s="2">
        <f ca="1">DATE(2001,12,10)</f>
        <v>0</v>
      </c>
      <c r="C768" s="1" t="s">
        <v>4661</v>
      </c>
      <c r="D768" s="3">
        <v>2087</v>
      </c>
      <c r="E768" s="1" t="s">
        <v>43</v>
      </c>
      <c r="F768" s="1" t="s">
        <v>4662</v>
      </c>
      <c r="G768" s="1" t="s">
        <v>3705</v>
      </c>
      <c r="H768" s="1" t="s">
        <v>57</v>
      </c>
      <c r="I768" s="1" t="s">
        <v>57</v>
      </c>
      <c r="J768" s="5">
        <v>8.0999999999999996</v>
      </c>
      <c r="K768" s="4">
        <v>6.25</v>
      </c>
      <c r="L768" s="1" t="s">
        <v>46</v>
      </c>
      <c r="M768" s="1" t="s">
        <v>47</v>
      </c>
      <c r="N768" s="1"/>
      <c r="O768" s="1" t="s">
        <v>698</v>
      </c>
      <c r="P768" s="1" t="s">
        <v>4663</v>
      </c>
      <c r="Q768" s="1"/>
      <c r="R768" s="1"/>
      <c r="S768" s="1"/>
      <c r="T768" s="1" t="s">
        <v>50</v>
      </c>
      <c r="U768" s="1"/>
      <c r="V768" s="1"/>
      <c r="W768" s="7">
        <v>1200000</v>
      </c>
      <c r="X768" s="5">
        <v>6.9000000000000004</v>
      </c>
      <c r="Y768" s="7">
        <v>1300000</v>
      </c>
      <c r="Z768" s="1"/>
      <c r="AA768" s="1"/>
      <c r="AB768" s="1"/>
      <c r="AC768" s="1"/>
      <c r="AD768" s="1"/>
      <c r="AE768" s="1" t="s">
        <v>51</v>
      </c>
      <c r="AF768" s="1" t="s">
        <v>51</v>
      </c>
      <c r="AG768" s="1" t="s">
        <v>51</v>
      </c>
      <c r="AH768" s="1"/>
      <c r="AI768" s="1"/>
      <c r="AJ768" s="3">
        <v>1</v>
      </c>
      <c r="AK768" s="1" t="s">
        <v>89</v>
      </c>
      <c r="AL768" s="3">
        <v>2</v>
      </c>
      <c r="AM768" s="1"/>
      <c r="AN768" s="1"/>
      <c r="AO768" s="1" t="s">
        <v>4664</v>
      </c>
      <c r="AP768" s="1" t="s">
        <v>4665</v>
      </c>
      <c r="AQ768" s="1" t="s">
        <v>4666</v>
      </c>
      <c r="AR768" s="1" t="s">
        <v>4667</v>
      </c>
    </row>
    <row r="769">
      <c r="A769" s="2">
        <f ca="1">DATE(2001,10,05)</f>
        <v>0</v>
      </c>
      <c r="B769" s="2">
        <f ca="1">DATE(2001,12,11)</f>
        <v>0</v>
      </c>
      <c r="C769" s="1" t="s">
        <v>4668</v>
      </c>
      <c r="D769" s="3">
        <v>7371</v>
      </c>
      <c r="E769" s="1" t="s">
        <v>43</v>
      </c>
      <c r="F769" s="1" t="s">
        <v>4669</v>
      </c>
      <c r="G769" s="1" t="s">
        <v>160</v>
      </c>
      <c r="H769" s="4">
        <v>1.1200000000000001</v>
      </c>
      <c r="I769" s="4">
        <v>7</v>
      </c>
      <c r="J769" s="5">
        <v>160</v>
      </c>
      <c r="K769" s="4">
        <v>16</v>
      </c>
      <c r="L769" s="1" t="s">
        <v>46</v>
      </c>
      <c r="M769" s="1" t="s">
        <v>47</v>
      </c>
      <c r="N769" s="1" t="s">
        <v>4670</v>
      </c>
      <c r="O769" s="1" t="s">
        <v>48</v>
      </c>
      <c r="P769" s="1" t="s">
        <v>4671</v>
      </c>
      <c r="Q769" s="4">
        <v>1.4379999999999999</v>
      </c>
      <c r="R769" s="4">
        <v>1.375</v>
      </c>
      <c r="S769" s="10">
        <v>4.1875</v>
      </c>
      <c r="T769" s="1" t="s">
        <v>50</v>
      </c>
      <c r="U769" s="1"/>
      <c r="V769" s="1"/>
      <c r="W769" s="1"/>
      <c r="X769" s="5">
        <v>92</v>
      </c>
      <c r="Y769" s="7">
        <v>10000000</v>
      </c>
      <c r="Z769" s="1"/>
      <c r="AA769" s="2">
        <f ca="1">DATE(2002,06,09)</f>
        <v>0</v>
      </c>
      <c r="AB769" s="4">
        <v>78.113</v>
      </c>
      <c r="AC769" s="3">
        <v>180</v>
      </c>
      <c r="AD769" s="8">
        <v>56253824</v>
      </c>
      <c r="AE769" s="1" t="s">
        <v>51</v>
      </c>
      <c r="AF769" s="1" t="s">
        <v>51</v>
      </c>
      <c r="AG769" s="1" t="s">
        <v>47</v>
      </c>
      <c r="AH769" s="1"/>
      <c r="AI769" s="1"/>
      <c r="AJ769" s="3">
        <v>1</v>
      </c>
      <c r="AK769" s="1" t="s">
        <v>52</v>
      </c>
      <c r="AL769" s="3">
        <v>4</v>
      </c>
      <c r="AM769" s="8">
        <v>23.719999999999999</v>
      </c>
      <c r="AN769" s="1"/>
      <c r="AO769" s="1" t="s">
        <v>4672</v>
      </c>
      <c r="AP769" s="1" t="s">
        <v>160</v>
      </c>
      <c r="AQ769" s="1" t="s">
        <v>4673</v>
      </c>
      <c r="AR769" s="1" t="s">
        <v>4674</v>
      </c>
    </row>
    <row r="770">
      <c r="A770" s="2">
        <f ca="1">DATE(2001,10,09)</f>
        <v>0</v>
      </c>
      <c r="B770" s="2">
        <f ca="1">DATE(2001,12,12)</f>
        <v>0</v>
      </c>
      <c r="C770" s="1" t="s">
        <v>4675</v>
      </c>
      <c r="D770" s="3">
        <v>6324</v>
      </c>
      <c r="E770" s="1" t="s">
        <v>43</v>
      </c>
      <c r="F770" s="1" t="s">
        <v>4676</v>
      </c>
      <c r="G770" s="1" t="s">
        <v>75</v>
      </c>
      <c r="H770" s="4">
        <v>0.97999999999999998</v>
      </c>
      <c r="I770" s="8">
        <v>7</v>
      </c>
      <c r="J770" s="5">
        <v>49</v>
      </c>
      <c r="K770" s="4">
        <v>14</v>
      </c>
      <c r="L770" s="1" t="s">
        <v>46</v>
      </c>
      <c r="M770" s="1" t="s">
        <v>47</v>
      </c>
      <c r="N770" s="1" t="s">
        <v>4677</v>
      </c>
      <c r="O770" s="1" t="s">
        <v>48</v>
      </c>
      <c r="P770" s="1" t="s">
        <v>4678</v>
      </c>
      <c r="Q770" s="4">
        <v>1.4290000000000001</v>
      </c>
      <c r="R770" s="4">
        <v>1.5</v>
      </c>
      <c r="S770" s="6">
        <v>4.0714300000000003</v>
      </c>
      <c r="T770" s="1" t="s">
        <v>50</v>
      </c>
      <c r="U770" s="1"/>
      <c r="V770" s="1"/>
      <c r="W770" s="1"/>
      <c r="X770" s="5">
        <v>57.5</v>
      </c>
      <c r="Y770" s="7">
        <v>3250000</v>
      </c>
      <c r="Z770" s="7">
        <v>250000</v>
      </c>
      <c r="AA770" s="2">
        <f ca="1">DATE(2002,06,10)</f>
        <v>0</v>
      </c>
      <c r="AB770" s="4">
        <v>64.825999999999993</v>
      </c>
      <c r="AC770" s="3">
        <v>180</v>
      </c>
      <c r="AD770" s="8">
        <v>6528898</v>
      </c>
      <c r="AE770" s="1" t="s">
        <v>51</v>
      </c>
      <c r="AF770" s="1" t="s">
        <v>51</v>
      </c>
      <c r="AG770" s="1" t="s">
        <v>47</v>
      </c>
      <c r="AH770" s="1"/>
      <c r="AI770" s="1"/>
      <c r="AJ770" s="3">
        <v>1</v>
      </c>
      <c r="AK770" s="1" t="s">
        <v>52</v>
      </c>
      <c r="AL770" s="3">
        <v>3</v>
      </c>
      <c r="AM770" s="8">
        <v>17.199999999999999</v>
      </c>
      <c r="AN770" s="1"/>
      <c r="AO770" s="1" t="s">
        <v>4679</v>
      </c>
      <c r="AP770" s="1" t="s">
        <v>75</v>
      </c>
      <c r="AQ770" s="1" t="s">
        <v>4680</v>
      </c>
      <c r="AR770" s="1" t="s">
        <v>4681</v>
      </c>
    </row>
    <row r="771">
      <c r="A771" s="2">
        <f ca="1">DATE(2001,09,04)</f>
        <v>0</v>
      </c>
      <c r="B771" s="2">
        <f ca="1">DATE(2001,12,12)</f>
        <v>0</v>
      </c>
      <c r="C771" s="1" t="s">
        <v>4682</v>
      </c>
      <c r="D771" s="3">
        <v>7372</v>
      </c>
      <c r="E771" s="1" t="s">
        <v>43</v>
      </c>
      <c r="F771" s="1" t="s">
        <v>4683</v>
      </c>
      <c r="G771" s="1" t="s">
        <v>122</v>
      </c>
      <c r="H771" s="4">
        <v>0.77000000000000002</v>
      </c>
      <c r="I771" s="4">
        <v>7</v>
      </c>
      <c r="J771" s="5">
        <v>55</v>
      </c>
      <c r="K771" s="4">
        <v>11</v>
      </c>
      <c r="L771" s="1" t="s">
        <v>46</v>
      </c>
      <c r="M771" s="1" t="s">
        <v>47</v>
      </c>
      <c r="N771" s="1" t="s">
        <v>4684</v>
      </c>
      <c r="O771" s="1" t="s">
        <v>48</v>
      </c>
      <c r="P771" s="1" t="s">
        <v>4685</v>
      </c>
      <c r="Q771" s="4">
        <v>1.3640000000000001</v>
      </c>
      <c r="R771" s="4">
        <v>1.4550000000000001</v>
      </c>
      <c r="S771" s="6">
        <v>4.1818200000000001</v>
      </c>
      <c r="T771" s="1" t="s">
        <v>50</v>
      </c>
      <c r="U771" s="1"/>
      <c r="V771" s="1"/>
      <c r="W771" s="1"/>
      <c r="X771" s="5">
        <v>57.5</v>
      </c>
      <c r="Y771" s="7">
        <v>5000000</v>
      </c>
      <c r="Z771" s="1"/>
      <c r="AA771" s="1" t="s">
        <v>4686</v>
      </c>
      <c r="AB771" s="1" t="s">
        <v>4687</v>
      </c>
      <c r="AC771" s="1" t="s">
        <v>3966</v>
      </c>
      <c r="AD771" s="1" t="s">
        <v>4688</v>
      </c>
      <c r="AE771" s="1" t="s">
        <v>51</v>
      </c>
      <c r="AF771" s="1" t="s">
        <v>51</v>
      </c>
      <c r="AG771" s="1" t="s">
        <v>51</v>
      </c>
      <c r="AH771" s="1"/>
      <c r="AI771" s="1"/>
      <c r="AJ771" s="3">
        <v>1</v>
      </c>
      <c r="AK771" s="1" t="s">
        <v>89</v>
      </c>
      <c r="AL771" s="3">
        <v>3</v>
      </c>
      <c r="AM771" s="8">
        <v>15.449999999999999</v>
      </c>
      <c r="AN771" s="1"/>
      <c r="AO771" s="1" t="s">
        <v>4689</v>
      </c>
      <c r="AP771" s="1" t="s">
        <v>4690</v>
      </c>
      <c r="AQ771" s="1" t="s">
        <v>4691</v>
      </c>
      <c r="AR771" s="1" t="s">
        <v>4692</v>
      </c>
    </row>
    <row r="772">
      <c r="A772" s="2">
        <f ca="1">DATE(2001,04,09)</f>
        <v>0</v>
      </c>
      <c r="B772" s="2">
        <f ca="1">DATE(2001,12,12)</f>
        <v>0</v>
      </c>
      <c r="C772" s="1" t="s">
        <v>4693</v>
      </c>
      <c r="D772" s="3">
        <v>6311</v>
      </c>
      <c r="E772" s="1" t="s">
        <v>43</v>
      </c>
      <c r="F772" s="1" t="s">
        <v>1957</v>
      </c>
      <c r="G772" s="1" t="s">
        <v>160</v>
      </c>
      <c r="H772" s="4">
        <v>1.24</v>
      </c>
      <c r="I772" s="4">
        <v>4.5090000000000003</v>
      </c>
      <c r="J772" s="9">
        <v>2571.3000000000002</v>
      </c>
      <c r="K772" s="4">
        <v>27.5</v>
      </c>
      <c r="L772" s="1" t="s">
        <v>46</v>
      </c>
      <c r="M772" s="1" t="s">
        <v>47</v>
      </c>
      <c r="N772" s="3">
        <v>744320102</v>
      </c>
      <c r="O772" s="1" t="s">
        <v>108</v>
      </c>
      <c r="P772" s="1" t="s">
        <v>4694</v>
      </c>
      <c r="Q772" s="4">
        <v>0.90900000000000003</v>
      </c>
      <c r="R772" s="4">
        <v>0.90900000000000003</v>
      </c>
      <c r="S772" s="6">
        <v>2.6909100000000001</v>
      </c>
      <c r="T772" s="1" t="s">
        <v>50</v>
      </c>
      <c r="U772" s="1"/>
      <c r="V772" s="1"/>
      <c r="W772" s="7">
        <v>89000000</v>
      </c>
      <c r="X772" s="1"/>
      <c r="Y772" s="7">
        <v>93500000</v>
      </c>
      <c r="Z772" s="1"/>
      <c r="AA772" s="1"/>
      <c r="AB772" s="1"/>
      <c r="AC772" s="1"/>
      <c r="AD772" s="1"/>
      <c r="AE772" s="1" t="s">
        <v>51</v>
      </c>
      <c r="AF772" s="1" t="s">
        <v>51</v>
      </c>
      <c r="AG772" s="1" t="s">
        <v>51</v>
      </c>
      <c r="AH772" s="1"/>
      <c r="AI772" s="1"/>
      <c r="AJ772" s="3">
        <v>1</v>
      </c>
      <c r="AK772" s="1" t="s">
        <v>89</v>
      </c>
      <c r="AL772" s="3">
        <v>15</v>
      </c>
      <c r="AM772" s="8">
        <v>29.300000000000001</v>
      </c>
      <c r="AN772" s="1"/>
      <c r="AO772" s="1" t="s">
        <v>4695</v>
      </c>
      <c r="AP772" s="1" t="s">
        <v>4696</v>
      </c>
      <c r="AQ772" s="1" t="s">
        <v>4697</v>
      </c>
      <c r="AR772" s="1" t="s">
        <v>4698</v>
      </c>
    </row>
    <row r="773">
      <c r="A773" s="2">
        <f ca="1">DATE(2001,04,09)</f>
        <v>0</v>
      </c>
      <c r="B773" s="2">
        <f ca="1">DATE(2001,12,12)</f>
        <v>0</v>
      </c>
      <c r="C773" s="1" t="s">
        <v>4693</v>
      </c>
      <c r="D773" s="3">
        <v>6311</v>
      </c>
      <c r="E773" s="1" t="s">
        <v>43</v>
      </c>
      <c r="F773" s="1" t="s">
        <v>1957</v>
      </c>
      <c r="G773" s="1" t="s">
        <v>160</v>
      </c>
      <c r="H773" s="4">
        <v>1.24</v>
      </c>
      <c r="I773" s="4">
        <v>4.5090000000000003</v>
      </c>
      <c r="J773" s="5">
        <v>453.80000000000001</v>
      </c>
      <c r="K773" s="8">
        <v>27.5</v>
      </c>
      <c r="L773" s="1" t="s">
        <v>58</v>
      </c>
      <c r="M773" s="1" t="s">
        <v>47</v>
      </c>
      <c r="N773" s="3">
        <v>744320102</v>
      </c>
      <c r="O773" s="1" t="s">
        <v>108</v>
      </c>
      <c r="P773" s="1" t="s">
        <v>4699</v>
      </c>
      <c r="Q773" s="4">
        <v>0.90900000000000003</v>
      </c>
      <c r="R773" s="4">
        <v>0.90900000000000003</v>
      </c>
      <c r="S773" s="6">
        <v>2.6909100000000001</v>
      </c>
      <c r="T773" s="1" t="s">
        <v>60</v>
      </c>
      <c r="U773" s="1"/>
      <c r="V773" s="1"/>
      <c r="W773" s="1"/>
      <c r="X773" s="1"/>
      <c r="Y773" s="7">
        <v>16500000</v>
      </c>
      <c r="Z773" s="1"/>
      <c r="AA773" s="1"/>
      <c r="AB773" s="1"/>
      <c r="AC773" s="1"/>
      <c r="AD773" s="1"/>
      <c r="AE773" s="1" t="s">
        <v>51</v>
      </c>
      <c r="AF773" s="1" t="s">
        <v>51</v>
      </c>
      <c r="AG773" s="1" t="s">
        <v>51</v>
      </c>
      <c r="AH773" s="1"/>
      <c r="AI773" s="1"/>
      <c r="AJ773" s="3">
        <v>1</v>
      </c>
      <c r="AK773" s="1" t="s">
        <v>89</v>
      </c>
      <c r="AL773" s="3">
        <v>2</v>
      </c>
      <c r="AM773" s="1"/>
      <c r="AN773" s="1"/>
      <c r="AO773" s="1" t="s">
        <v>4700</v>
      </c>
      <c r="AP773" s="1" t="s">
        <v>4696</v>
      </c>
      <c r="AQ773" s="1" t="s">
        <v>4701</v>
      </c>
      <c r="AR773" s="1" t="s">
        <v>4702</v>
      </c>
    </row>
    <row r="774">
      <c r="A774" s="2">
        <f ca="1">DATE(2001,10,03)</f>
        <v>0</v>
      </c>
      <c r="B774" s="2">
        <f ca="1">DATE(2001,12,13)</f>
        <v>0</v>
      </c>
      <c r="C774" s="1" t="s">
        <v>4703</v>
      </c>
      <c r="D774" s="3">
        <v>2834</v>
      </c>
      <c r="E774" s="1" t="s">
        <v>43</v>
      </c>
      <c r="F774" s="1" t="s">
        <v>4704</v>
      </c>
      <c r="G774" s="1" t="s">
        <v>1056</v>
      </c>
      <c r="H774" s="4">
        <v>1.1200000000000001</v>
      </c>
      <c r="I774" s="4">
        <v>7</v>
      </c>
      <c r="J774" s="5">
        <v>144</v>
      </c>
      <c r="K774" s="4">
        <v>16</v>
      </c>
      <c r="L774" s="1" t="s">
        <v>46</v>
      </c>
      <c r="M774" s="1" t="s">
        <v>47</v>
      </c>
      <c r="N774" s="1" t="s">
        <v>4705</v>
      </c>
      <c r="O774" s="1" t="s">
        <v>48</v>
      </c>
      <c r="P774" s="1" t="s">
        <v>4706</v>
      </c>
      <c r="Q774" s="4">
        <v>1.375</v>
      </c>
      <c r="R774" s="4">
        <v>1.5</v>
      </c>
      <c r="S774" s="4">
        <v>4.125</v>
      </c>
      <c r="T774" s="1" t="s">
        <v>50</v>
      </c>
      <c r="U774" s="8">
        <v>16</v>
      </c>
      <c r="V774" s="8">
        <v>13</v>
      </c>
      <c r="W774" s="7">
        <v>9000000</v>
      </c>
      <c r="X774" s="5">
        <v>130.5</v>
      </c>
      <c r="Y774" s="7">
        <v>9000000</v>
      </c>
      <c r="Z774" s="1"/>
      <c r="AA774" s="2">
        <f ca="1">DATE(2002,06,11)</f>
        <v>0</v>
      </c>
      <c r="AB774" s="4">
        <v>81.277000000000001</v>
      </c>
      <c r="AC774" s="3">
        <v>180</v>
      </c>
      <c r="AD774" s="8">
        <v>39068078</v>
      </c>
      <c r="AE774" s="1" t="s">
        <v>51</v>
      </c>
      <c r="AF774" s="1" t="s">
        <v>51</v>
      </c>
      <c r="AG774" s="1" t="s">
        <v>47</v>
      </c>
      <c r="AH774" s="1"/>
      <c r="AI774" s="1"/>
      <c r="AJ774" s="3">
        <v>1</v>
      </c>
      <c r="AK774" s="1" t="s">
        <v>52</v>
      </c>
      <c r="AL774" s="3">
        <v>3</v>
      </c>
      <c r="AM774" s="8">
        <v>19.75</v>
      </c>
      <c r="AN774" s="1"/>
      <c r="AO774" s="1" t="s">
        <v>4707</v>
      </c>
      <c r="AP774" s="1" t="s">
        <v>1056</v>
      </c>
      <c r="AQ774" s="1" t="s">
        <v>4708</v>
      </c>
      <c r="AR774" s="1" t="s">
        <v>4709</v>
      </c>
    </row>
    <row r="775">
      <c r="A775" s="2">
        <f ca="1">DATE(2001,10,22)</f>
        <v>0</v>
      </c>
      <c r="B775" s="2">
        <f ca="1">DATE(2001,12,13)</f>
        <v>0</v>
      </c>
      <c r="C775" s="1" t="s">
        <v>4710</v>
      </c>
      <c r="D775" s="3">
        <v>3795</v>
      </c>
      <c r="E775" s="1" t="s">
        <v>43</v>
      </c>
      <c r="F775" s="1" t="s">
        <v>4711</v>
      </c>
      <c r="G775" s="1" t="s">
        <v>4712</v>
      </c>
      <c r="H775" s="4">
        <v>1.1399999999999999</v>
      </c>
      <c r="I775" s="4">
        <v>6</v>
      </c>
      <c r="J775" s="5">
        <v>399</v>
      </c>
      <c r="K775" s="4">
        <v>19</v>
      </c>
      <c r="L775" s="1" t="s">
        <v>46</v>
      </c>
      <c r="M775" s="1" t="s">
        <v>47</v>
      </c>
      <c r="N775" s="1" t="s">
        <v>4713</v>
      </c>
      <c r="O775" s="1" t="s">
        <v>108</v>
      </c>
      <c r="P775" s="1" t="s">
        <v>4714</v>
      </c>
      <c r="Q775" s="4">
        <v>1.2110000000000001</v>
      </c>
      <c r="R775" s="4">
        <v>1.2110000000000001</v>
      </c>
      <c r="S775" s="6">
        <v>3.5789499999999999</v>
      </c>
      <c r="T775" s="1" t="s">
        <v>50</v>
      </c>
      <c r="U775" s="1"/>
      <c r="V775" s="1"/>
      <c r="W775" s="1"/>
      <c r="X775" s="5">
        <v>300</v>
      </c>
      <c r="Y775" s="7">
        <v>9150000</v>
      </c>
      <c r="Z775" s="7">
        <v>11850000</v>
      </c>
      <c r="AA775" s="1"/>
      <c r="AB775" s="1"/>
      <c r="AC775" s="1"/>
      <c r="AD775" s="1"/>
      <c r="AE775" s="1" t="s">
        <v>51</v>
      </c>
      <c r="AF775" s="1" t="s">
        <v>51</v>
      </c>
      <c r="AG775" s="1" t="s">
        <v>51</v>
      </c>
      <c r="AH775" s="1"/>
      <c r="AI775" s="1" t="s">
        <v>4715</v>
      </c>
      <c r="AJ775" s="3">
        <v>2</v>
      </c>
      <c r="AK775" s="1" t="s">
        <v>89</v>
      </c>
      <c r="AL775" s="3">
        <v>4</v>
      </c>
      <c r="AM775" s="8">
        <v>19.27</v>
      </c>
      <c r="AN775" s="1"/>
      <c r="AO775" s="1" t="s">
        <v>4716</v>
      </c>
      <c r="AP775" s="1" t="s">
        <v>4717</v>
      </c>
      <c r="AQ775" s="1" t="s">
        <v>4718</v>
      </c>
      <c r="AR775" s="1" t="s">
        <v>4719</v>
      </c>
    </row>
    <row r="776">
      <c r="A776" s="2">
        <f ca="1">DATE(2001,07,27)</f>
        <v>0</v>
      </c>
      <c r="B776" s="2">
        <f ca="1">DATE(2001,12,14)</f>
        <v>0</v>
      </c>
      <c r="C776" s="1" t="s">
        <v>4720</v>
      </c>
      <c r="D776" s="3">
        <v>3844</v>
      </c>
      <c r="E776" s="1" t="s">
        <v>43</v>
      </c>
      <c r="F776" s="1"/>
      <c r="G776" s="1" t="s">
        <v>1583</v>
      </c>
      <c r="H776" s="4">
        <v>0.45500000000000002</v>
      </c>
      <c r="I776" s="4">
        <v>7</v>
      </c>
      <c r="J776" s="5">
        <v>58.5</v>
      </c>
      <c r="K776" s="4">
        <v>6.5</v>
      </c>
      <c r="L776" s="1" t="s">
        <v>46</v>
      </c>
      <c r="M776" s="1" t="s">
        <v>47</v>
      </c>
      <c r="N776" s="1" t="s">
        <v>4721</v>
      </c>
      <c r="O776" s="1"/>
      <c r="P776" s="1" t="s">
        <v>4722</v>
      </c>
      <c r="Q776" s="4">
        <v>1.385</v>
      </c>
      <c r="R776" s="4">
        <v>1.385</v>
      </c>
      <c r="S776" s="6">
        <v>4.2307699999999997</v>
      </c>
      <c r="T776" s="1" t="s">
        <v>50</v>
      </c>
      <c r="U776" s="1"/>
      <c r="V776" s="1"/>
      <c r="W776" s="1"/>
      <c r="X776" s="5">
        <v>100</v>
      </c>
      <c r="Y776" s="7">
        <v>9000000</v>
      </c>
      <c r="Z776" s="1"/>
      <c r="AA776" s="1"/>
      <c r="AB776" s="1"/>
      <c r="AC776" s="1"/>
      <c r="AD776" s="1"/>
      <c r="AE776" s="1" t="s">
        <v>51</v>
      </c>
      <c r="AF776" s="1" t="s">
        <v>51</v>
      </c>
      <c r="AG776" s="1" t="s">
        <v>47</v>
      </c>
      <c r="AH776" s="1"/>
      <c r="AI776" s="1"/>
      <c r="AJ776" s="3">
        <v>1</v>
      </c>
      <c r="AK776" s="1" t="s">
        <v>89</v>
      </c>
      <c r="AL776" s="3">
        <v>5</v>
      </c>
      <c r="AM776" s="8">
        <v>6.5</v>
      </c>
      <c r="AN776" s="1"/>
      <c r="AO776" s="1" t="s">
        <v>4723</v>
      </c>
      <c r="AP776" s="1" t="s">
        <v>4724</v>
      </c>
      <c r="AQ776" s="1" t="s">
        <v>4725</v>
      </c>
      <c r="AR776" s="1" t="s">
        <v>4726</v>
      </c>
    </row>
    <row r="777">
      <c r="A777" s="2">
        <f ca="1">DATE(2001,08,13)</f>
        <v>0</v>
      </c>
      <c r="B777" s="2">
        <f ca="1">DATE(2001,12,14)</f>
        <v>0</v>
      </c>
      <c r="C777" s="1" t="s">
        <v>4727</v>
      </c>
      <c r="D777" s="3">
        <v>2836</v>
      </c>
      <c r="E777" s="1" t="s">
        <v>43</v>
      </c>
      <c r="F777" s="1" t="s">
        <v>4728</v>
      </c>
      <c r="G777" s="1" t="s">
        <v>2896</v>
      </c>
      <c r="H777" s="4">
        <v>0.34999999999999998</v>
      </c>
      <c r="I777" s="8">
        <v>7</v>
      </c>
      <c r="J777" s="5">
        <v>20</v>
      </c>
      <c r="K777" s="4">
        <v>5</v>
      </c>
      <c r="L777" s="1" t="s">
        <v>46</v>
      </c>
      <c r="M777" s="1" t="s">
        <v>47</v>
      </c>
      <c r="N777" s="1" t="s">
        <v>4729</v>
      </c>
      <c r="O777" s="1" t="s">
        <v>77</v>
      </c>
      <c r="P777" s="1" t="s">
        <v>4730</v>
      </c>
      <c r="Q777" s="4">
        <v>1.8</v>
      </c>
      <c r="R777" s="4">
        <v>1.3999999999999999</v>
      </c>
      <c r="S777" s="8">
        <v>3.7999999999999998</v>
      </c>
      <c r="T777" s="1" t="s">
        <v>50</v>
      </c>
      <c r="U777" s="1"/>
      <c r="V777" s="1"/>
      <c r="W777" s="1"/>
      <c r="X777" s="5">
        <v>48.299999999999997</v>
      </c>
      <c r="Y777" s="7">
        <v>4000000</v>
      </c>
      <c r="Z777" s="1"/>
      <c r="AA777" s="2">
        <f ca="1">DATE(2002,06,12)</f>
        <v>0</v>
      </c>
      <c r="AB777" s="4">
        <v>78.590999999999994</v>
      </c>
      <c r="AC777" s="3">
        <v>180</v>
      </c>
      <c r="AD777" s="8">
        <v>12848305</v>
      </c>
      <c r="AE777" s="1" t="s">
        <v>51</v>
      </c>
      <c r="AF777" s="1" t="s">
        <v>51</v>
      </c>
      <c r="AG777" s="1" t="s">
        <v>51</v>
      </c>
      <c r="AH777" s="1"/>
      <c r="AI777" s="1"/>
      <c r="AJ777" s="3">
        <v>1</v>
      </c>
      <c r="AK777" s="1" t="s">
        <v>52</v>
      </c>
      <c r="AL777" s="3">
        <v>3</v>
      </c>
      <c r="AM777" s="8">
        <v>5.3099999999999996</v>
      </c>
      <c r="AN777" s="1"/>
      <c r="AO777" s="1" t="s">
        <v>4731</v>
      </c>
      <c r="AP777" s="1" t="s">
        <v>2896</v>
      </c>
      <c r="AQ777" s="1" t="s">
        <v>4732</v>
      </c>
      <c r="AR777" s="1" t="s">
        <v>4733</v>
      </c>
    </row>
    <row r="778">
      <c r="A778" s="2">
        <f ca="1">DATE(2001,10,19)</f>
        <v>0</v>
      </c>
      <c r="B778" s="2">
        <f ca="1">DATE(2001,12,18)</f>
        <v>0</v>
      </c>
      <c r="C778" s="1" t="s">
        <v>4734</v>
      </c>
      <c r="D778" s="3">
        <v>6726</v>
      </c>
      <c r="E778" s="1" t="s">
        <v>43</v>
      </c>
      <c r="F778" s="1" t="s">
        <v>4735</v>
      </c>
      <c r="G778" s="1" t="s">
        <v>4332</v>
      </c>
      <c r="H778" s="4">
        <v>0.67500000000000004</v>
      </c>
      <c r="I778" s="4">
        <v>4.5</v>
      </c>
      <c r="J778" s="5">
        <v>476.30000000000001</v>
      </c>
      <c r="K778" s="4">
        <v>15</v>
      </c>
      <c r="L778" s="1" t="s">
        <v>46</v>
      </c>
      <c r="M778" s="1" t="s">
        <v>47</v>
      </c>
      <c r="N778" s="1" t="s">
        <v>4736</v>
      </c>
      <c r="O778" s="1" t="s">
        <v>108</v>
      </c>
      <c r="P778" s="1" t="s">
        <v>4737</v>
      </c>
      <c r="Q778" s="4">
        <v>0.93300000000000005</v>
      </c>
      <c r="R778" s="4">
        <v>0.56699999999999995</v>
      </c>
      <c r="S778" s="8">
        <v>3</v>
      </c>
      <c r="T778" s="1" t="s">
        <v>50</v>
      </c>
      <c r="U778" s="8">
        <v>15</v>
      </c>
      <c r="V778" s="8">
        <v>15</v>
      </c>
      <c r="W778" s="7">
        <v>1000</v>
      </c>
      <c r="X778" s="5">
        <v>0</v>
      </c>
      <c r="Y778" s="7">
        <v>31750000</v>
      </c>
      <c r="Z778" s="1"/>
      <c r="AA778" s="2">
        <f ca="1">DATE(2002,06,16)</f>
        <v>0</v>
      </c>
      <c r="AB778" s="1"/>
      <c r="AC778" s="3">
        <v>180</v>
      </c>
      <c r="AD778" s="1"/>
      <c r="AE778" s="1" t="s">
        <v>51</v>
      </c>
      <c r="AF778" s="1" t="s">
        <v>51</v>
      </c>
      <c r="AG778" s="1" t="s">
        <v>51</v>
      </c>
      <c r="AH778" s="1"/>
      <c r="AI778" s="1"/>
      <c r="AJ778" s="3">
        <v>1</v>
      </c>
      <c r="AK778" s="1" t="s">
        <v>52</v>
      </c>
      <c r="AL778" s="3">
        <v>5</v>
      </c>
      <c r="AM778" s="8">
        <v>15.01</v>
      </c>
      <c r="AN778" s="1"/>
      <c r="AO778" s="1" t="s">
        <v>4738</v>
      </c>
      <c r="AP778" s="1" t="s">
        <v>4332</v>
      </c>
      <c r="AQ778" s="1" t="s">
        <v>4739</v>
      </c>
      <c r="AR778" s="1" t="s">
        <v>4740</v>
      </c>
    </row>
    <row r="779">
      <c r="A779" s="2">
        <f ca="1">DATE(2001,11,09)</f>
        <v>0</v>
      </c>
      <c r="B779" s="2">
        <f ca="1">DATE(2002,01,28)</f>
        <v>0</v>
      </c>
      <c r="C779" s="1" t="s">
        <v>4741</v>
      </c>
      <c r="D779" s="3">
        <v>6726</v>
      </c>
      <c r="E779" s="1" t="s">
        <v>43</v>
      </c>
      <c r="F779" s="1" t="s">
        <v>4742</v>
      </c>
      <c r="G779" s="1" t="s">
        <v>4332</v>
      </c>
      <c r="H779" s="4">
        <v>0.67500000000000004</v>
      </c>
      <c r="I779" s="4">
        <v>4.5</v>
      </c>
      <c r="J779" s="5">
        <v>117</v>
      </c>
      <c r="K779" s="4">
        <v>15</v>
      </c>
      <c r="L779" s="1" t="s">
        <v>46</v>
      </c>
      <c r="M779" s="1" t="s">
        <v>47</v>
      </c>
      <c r="N779" s="1" t="s">
        <v>4743</v>
      </c>
      <c r="O779" s="1" t="s">
        <v>108</v>
      </c>
      <c r="P779" s="1" t="s">
        <v>4744</v>
      </c>
      <c r="Q779" s="4">
        <v>0.93300000000000005</v>
      </c>
      <c r="R779" s="4">
        <v>0.56699999999999995</v>
      </c>
      <c r="S779" s="8">
        <v>3</v>
      </c>
      <c r="T779" s="1" t="s">
        <v>50</v>
      </c>
      <c r="U779" s="8">
        <v>15</v>
      </c>
      <c r="V779" s="8">
        <v>15</v>
      </c>
      <c r="W779" s="7">
        <v>14000000</v>
      </c>
      <c r="X779" s="1"/>
      <c r="Y779" s="7">
        <v>7800000</v>
      </c>
      <c r="Z779" s="1"/>
      <c r="AA779" s="1"/>
      <c r="AB779" s="1"/>
      <c r="AC779" s="1"/>
      <c r="AD779" s="1"/>
      <c r="AE779" s="1" t="s">
        <v>51</v>
      </c>
      <c r="AF779" s="1" t="s">
        <v>51</v>
      </c>
      <c r="AG779" s="1" t="s">
        <v>51</v>
      </c>
      <c r="AH779" s="1"/>
      <c r="AI779" s="1"/>
      <c r="AJ779" s="3">
        <v>1</v>
      </c>
      <c r="AK779" s="1" t="s">
        <v>52</v>
      </c>
      <c r="AL779" s="3">
        <v>5</v>
      </c>
      <c r="AM779" s="8">
        <v>15</v>
      </c>
      <c r="AN779" s="1"/>
      <c r="AO779" s="1" t="s">
        <v>4745</v>
      </c>
      <c r="AP779" s="1" t="s">
        <v>4332</v>
      </c>
      <c r="AQ779" s="1" t="s">
        <v>4746</v>
      </c>
      <c r="AR779" s="1" t="s">
        <v>4747</v>
      </c>
    </row>
    <row r="780">
      <c r="A780" s="2">
        <f ca="1">DATE(2001,11,09)</f>
        <v>0</v>
      </c>
      <c r="B780" s="2">
        <f ca="1">DATE(2002,01,28)</f>
        <v>0</v>
      </c>
      <c r="C780" s="1" t="s">
        <v>4748</v>
      </c>
      <c r="D780" s="3">
        <v>6726</v>
      </c>
      <c r="E780" s="1" t="s">
        <v>43</v>
      </c>
      <c r="F780" s="1" t="s">
        <v>4749</v>
      </c>
      <c r="G780" s="1" t="s">
        <v>4332</v>
      </c>
      <c r="H780" s="4">
        <v>0.67500000000000004</v>
      </c>
      <c r="I780" s="4">
        <v>4.5</v>
      </c>
      <c r="J780" s="5">
        <v>283.5</v>
      </c>
      <c r="K780" s="4">
        <v>15</v>
      </c>
      <c r="L780" s="1" t="s">
        <v>46</v>
      </c>
      <c r="M780" s="1" t="s">
        <v>47</v>
      </c>
      <c r="N780" s="1" t="s">
        <v>4750</v>
      </c>
      <c r="O780" s="1" t="s">
        <v>108</v>
      </c>
      <c r="P780" s="1" t="s">
        <v>4751</v>
      </c>
      <c r="Q780" s="4">
        <v>0.93300000000000005</v>
      </c>
      <c r="R780" s="4">
        <v>0.56699999999999995</v>
      </c>
      <c r="S780" s="8">
        <v>3</v>
      </c>
      <c r="T780" s="1" t="s">
        <v>50</v>
      </c>
      <c r="U780" s="8">
        <v>15</v>
      </c>
      <c r="V780" s="8">
        <v>15</v>
      </c>
      <c r="W780" s="7">
        <v>4000000</v>
      </c>
      <c r="X780" s="5">
        <v>60</v>
      </c>
      <c r="Y780" s="7">
        <v>18900000</v>
      </c>
      <c r="Z780" s="1"/>
      <c r="AA780" s="1"/>
      <c r="AB780" s="1"/>
      <c r="AC780" s="1"/>
      <c r="AD780" s="1"/>
      <c r="AE780" s="1" t="s">
        <v>51</v>
      </c>
      <c r="AF780" s="1" t="s">
        <v>51</v>
      </c>
      <c r="AG780" s="1" t="s">
        <v>51</v>
      </c>
      <c r="AH780" s="1"/>
      <c r="AI780" s="1"/>
      <c r="AJ780" s="3">
        <v>1</v>
      </c>
      <c r="AK780" s="1" t="s">
        <v>52</v>
      </c>
      <c r="AL780" s="3">
        <v>7</v>
      </c>
      <c r="AM780" s="1"/>
      <c r="AN780" s="1"/>
      <c r="AO780" s="1" t="s">
        <v>4752</v>
      </c>
      <c r="AP780" s="1" t="s">
        <v>4332</v>
      </c>
      <c r="AQ780" s="1" t="s">
        <v>4753</v>
      </c>
      <c r="AR780" s="1" t="s">
        <v>4754</v>
      </c>
    </row>
    <row r="781">
      <c r="A781" s="2">
        <f ca="1">DATE(2001,11,09)</f>
        <v>0</v>
      </c>
      <c r="B781" s="2">
        <f ca="1">DATE(2002,01,28)</f>
        <v>0</v>
      </c>
      <c r="C781" s="1" t="s">
        <v>4755</v>
      </c>
      <c r="D781" s="3">
        <v>6726</v>
      </c>
      <c r="E781" s="1" t="s">
        <v>43</v>
      </c>
      <c r="F781" s="1" t="s">
        <v>4756</v>
      </c>
      <c r="G781" s="1" t="s">
        <v>4332</v>
      </c>
      <c r="H781" s="4">
        <v>0.67500000000000004</v>
      </c>
      <c r="I781" s="4">
        <v>4.5</v>
      </c>
      <c r="J781" s="5">
        <v>68.599999999999994</v>
      </c>
      <c r="K781" s="4">
        <v>15</v>
      </c>
      <c r="L781" s="1" t="s">
        <v>46</v>
      </c>
      <c r="M781" s="1" t="s">
        <v>47</v>
      </c>
      <c r="N781" s="1" t="s">
        <v>4757</v>
      </c>
      <c r="O781" s="1" t="s">
        <v>108</v>
      </c>
      <c r="P781" s="1" t="s">
        <v>4758</v>
      </c>
      <c r="Q781" s="4">
        <v>0.93300000000000005</v>
      </c>
      <c r="R781" s="4">
        <v>0.56699999999999995</v>
      </c>
      <c r="S781" s="8">
        <v>3</v>
      </c>
      <c r="T781" s="1" t="s">
        <v>50</v>
      </c>
      <c r="U781" s="8">
        <v>15</v>
      </c>
      <c r="V781" s="8">
        <v>15</v>
      </c>
      <c r="W781" s="7">
        <v>4000000</v>
      </c>
      <c r="X781" s="5">
        <v>60</v>
      </c>
      <c r="Y781" s="7">
        <v>4575000</v>
      </c>
      <c r="Z781" s="1"/>
      <c r="AA781" s="1"/>
      <c r="AB781" s="1"/>
      <c r="AC781" s="1"/>
      <c r="AD781" s="1"/>
      <c r="AE781" s="1" t="s">
        <v>51</v>
      </c>
      <c r="AF781" s="1" t="s">
        <v>51</v>
      </c>
      <c r="AG781" s="1" t="s">
        <v>51</v>
      </c>
      <c r="AH781" s="1"/>
      <c r="AI781" s="1"/>
      <c r="AJ781" s="3">
        <v>1</v>
      </c>
      <c r="AK781" s="1" t="s">
        <v>52</v>
      </c>
      <c r="AL781" s="3">
        <v>5</v>
      </c>
      <c r="AM781" s="1"/>
      <c r="AN781" s="1"/>
      <c r="AO781" s="1" t="s">
        <v>4759</v>
      </c>
      <c r="AP781" s="1" t="s">
        <v>4332</v>
      </c>
      <c r="AQ781" s="1" t="s">
        <v>4760</v>
      </c>
      <c r="AR781" s="1" t="s">
        <v>4761</v>
      </c>
    </row>
    <row r="782">
      <c r="A782" s="2">
        <f ca="1">DATE(2001,02,22)</f>
        <v>0</v>
      </c>
      <c r="B782" s="2">
        <f ca="1">DATE(2002,01,28)</f>
        <v>0</v>
      </c>
      <c r="C782" s="1" t="s">
        <v>4762</v>
      </c>
      <c r="D782" s="3">
        <v>7372</v>
      </c>
      <c r="E782" s="1" t="s">
        <v>43</v>
      </c>
      <c r="F782" s="1" t="s">
        <v>4763</v>
      </c>
      <c r="G782" s="1" t="s">
        <v>411</v>
      </c>
      <c r="H782" s="4">
        <v>0.77000000000000002</v>
      </c>
      <c r="I782" s="4">
        <v>7</v>
      </c>
      <c r="J782" s="5">
        <v>55</v>
      </c>
      <c r="K782" s="4">
        <v>11</v>
      </c>
      <c r="L782" s="1" t="s">
        <v>46</v>
      </c>
      <c r="M782" s="1" t="s">
        <v>47</v>
      </c>
      <c r="N782" s="1" t="s">
        <v>4764</v>
      </c>
      <c r="O782" s="1" t="s">
        <v>48</v>
      </c>
      <c r="P782" s="1" t="s">
        <v>4765</v>
      </c>
      <c r="Q782" s="4">
        <v>1.409</v>
      </c>
      <c r="R782" s="4">
        <v>1.409</v>
      </c>
      <c r="S782" s="6">
        <v>4.1818200000000001</v>
      </c>
      <c r="T782" s="1" t="s">
        <v>50</v>
      </c>
      <c r="U782" s="1"/>
      <c r="V782" s="1"/>
      <c r="W782" s="1"/>
      <c r="X782" s="5">
        <v>50</v>
      </c>
      <c r="Y782" s="7">
        <v>5000000</v>
      </c>
      <c r="Z782" s="1"/>
      <c r="AA782" s="2">
        <f ca="1">DATE(2002,07,27)</f>
        <v>0</v>
      </c>
      <c r="AB782" s="4">
        <v>78.052999999999997</v>
      </c>
      <c r="AC782" s="3">
        <v>180</v>
      </c>
      <c r="AD782" s="8">
        <v>17782052</v>
      </c>
      <c r="AE782" s="1" t="s">
        <v>51</v>
      </c>
      <c r="AF782" s="1" t="s">
        <v>51</v>
      </c>
      <c r="AG782" s="1" t="s">
        <v>47</v>
      </c>
      <c r="AH782" s="1"/>
      <c r="AI782" s="1"/>
      <c r="AJ782" s="3">
        <v>1</v>
      </c>
      <c r="AK782" s="1" t="s">
        <v>52</v>
      </c>
      <c r="AL782" s="3">
        <v>3</v>
      </c>
      <c r="AM782" s="8">
        <v>13.109999999999999</v>
      </c>
      <c r="AN782" s="1"/>
      <c r="AO782" s="1" t="s">
        <v>4766</v>
      </c>
      <c r="AP782" s="1" t="s">
        <v>411</v>
      </c>
      <c r="AQ782" s="1" t="s">
        <v>4767</v>
      </c>
      <c r="AR782" s="1" t="s">
        <v>4768</v>
      </c>
    </row>
    <row r="783">
      <c r="A783" s="2">
        <f ca="1">DATE(2001,11,09)</f>
        <v>0</v>
      </c>
      <c r="B783" s="2">
        <f ca="1">DATE(2002,01,31)</f>
        <v>0</v>
      </c>
      <c r="C783" s="1" t="s">
        <v>4769</v>
      </c>
      <c r="D783" s="3">
        <v>2111</v>
      </c>
      <c r="E783" s="1" t="s">
        <v>43</v>
      </c>
      <c r="F783" s="1" t="s">
        <v>4770</v>
      </c>
      <c r="G783" s="1" t="s">
        <v>4311</v>
      </c>
      <c r="H783" s="4">
        <v>1.3300000000000001</v>
      </c>
      <c r="I783" s="4">
        <v>4.75</v>
      </c>
      <c r="J783" s="5">
        <v>980</v>
      </c>
      <c r="K783" s="4">
        <v>28</v>
      </c>
      <c r="L783" s="1" t="s">
        <v>46</v>
      </c>
      <c r="M783" s="1" t="s">
        <v>47</v>
      </c>
      <c r="N783" s="3">
        <v>540424207</v>
      </c>
      <c r="O783" s="1" t="s">
        <v>108</v>
      </c>
      <c r="P783" s="1" t="s">
        <v>4771</v>
      </c>
      <c r="Q783" s="4">
        <v>0.92900000000000005</v>
      </c>
      <c r="R783" s="4">
        <v>0.71399999999999997</v>
      </c>
      <c r="S783" s="6">
        <v>3.1071399999999998</v>
      </c>
      <c r="T783" s="1" t="s">
        <v>50</v>
      </c>
      <c r="U783" s="1"/>
      <c r="V783" s="1"/>
      <c r="W783" s="1"/>
      <c r="X783" s="5">
        <v>250</v>
      </c>
      <c r="Y783" s="7">
        <v>35000000</v>
      </c>
      <c r="Z783" s="1"/>
      <c r="AA783" s="2">
        <f ca="1">DATE(2002,07,30)</f>
        <v>0</v>
      </c>
      <c r="AB783" s="1"/>
      <c r="AC783" s="3">
        <v>180</v>
      </c>
      <c r="AD783" s="1"/>
      <c r="AE783" s="1" t="s">
        <v>51</v>
      </c>
      <c r="AF783" s="1" t="s">
        <v>51</v>
      </c>
      <c r="AG783" s="1" t="s">
        <v>51</v>
      </c>
      <c r="AH783" s="1"/>
      <c r="AI783" s="1"/>
      <c r="AJ783" s="3">
        <v>2</v>
      </c>
      <c r="AK783" s="1" t="s">
        <v>89</v>
      </c>
      <c r="AL783" s="3">
        <v>9</v>
      </c>
      <c r="AM783" s="1"/>
      <c r="AN783" s="1"/>
      <c r="AO783" s="1" t="s">
        <v>4772</v>
      </c>
      <c r="AP783" s="1" t="s">
        <v>4315</v>
      </c>
      <c r="AQ783" s="1" t="s">
        <v>4773</v>
      </c>
      <c r="AR783" s="1" t="s">
        <v>4774</v>
      </c>
    </row>
    <row r="784">
      <c r="A784" s="2">
        <f ca="1">DATE(2001,09,10)</f>
        <v>0</v>
      </c>
      <c r="B784" s="2">
        <f ca="1">DATE(2002,01,31)</f>
        <v>0</v>
      </c>
      <c r="C784" s="1" t="s">
        <v>4775</v>
      </c>
      <c r="D784" s="3">
        <v>2836</v>
      </c>
      <c r="E784" s="1" t="s">
        <v>43</v>
      </c>
      <c r="F784" s="1" t="s">
        <v>4776</v>
      </c>
      <c r="G784" s="1" t="s">
        <v>3882</v>
      </c>
      <c r="H784" s="4">
        <v>0.83999999999999997</v>
      </c>
      <c r="I784" s="8">
        <v>7</v>
      </c>
      <c r="J784" s="5">
        <v>107.3</v>
      </c>
      <c r="K784" s="4">
        <v>12</v>
      </c>
      <c r="L784" s="1" t="s">
        <v>46</v>
      </c>
      <c r="M784" s="1" t="s">
        <v>47</v>
      </c>
      <c r="N784" s="1" t="s">
        <v>4777</v>
      </c>
      <c r="O784" s="1" t="s">
        <v>48</v>
      </c>
      <c r="P784" s="1" t="s">
        <v>4778</v>
      </c>
      <c r="Q784" s="4">
        <v>1.417</v>
      </c>
      <c r="R784" s="4">
        <v>1.417</v>
      </c>
      <c r="S784" s="6">
        <v>4.1666699999999999</v>
      </c>
      <c r="T784" s="1" t="s">
        <v>50</v>
      </c>
      <c r="U784" s="1"/>
      <c r="V784" s="1"/>
      <c r="W784" s="1"/>
      <c r="X784" s="5">
        <v>180</v>
      </c>
      <c r="Y784" s="7">
        <v>8940000</v>
      </c>
      <c r="Z784" s="1"/>
      <c r="AA784" s="2">
        <f ca="1">DATE(2002,07,30)</f>
        <v>0</v>
      </c>
      <c r="AB784" s="4">
        <v>74.917000000000002</v>
      </c>
      <c r="AC784" s="3">
        <v>180</v>
      </c>
      <c r="AD784" s="8">
        <v>34163872</v>
      </c>
      <c r="AE784" s="1" t="s">
        <v>51</v>
      </c>
      <c r="AF784" s="1" t="s">
        <v>51</v>
      </c>
      <c r="AG784" s="1" t="s">
        <v>47</v>
      </c>
      <c r="AH784" s="1" t="s">
        <v>4779</v>
      </c>
      <c r="AI784" s="1" t="s">
        <v>4780</v>
      </c>
      <c r="AJ784" s="3">
        <v>2</v>
      </c>
      <c r="AK784" s="1" t="s">
        <v>89</v>
      </c>
      <c r="AL784" s="3">
        <v>4</v>
      </c>
      <c r="AM784" s="8">
        <v>12.050000000000001</v>
      </c>
      <c r="AN784" s="1"/>
      <c r="AO784" s="1" t="s">
        <v>4781</v>
      </c>
      <c r="AP784" s="1" t="s">
        <v>3886</v>
      </c>
      <c r="AQ784" s="1" t="s">
        <v>4782</v>
      </c>
      <c r="AR784" s="1" t="s">
        <v>4783</v>
      </c>
    </row>
    <row r="785">
      <c r="A785" s="2">
        <f ca="1">DATE(2001,10,19)</f>
        <v>0</v>
      </c>
      <c r="B785" s="2">
        <f ca="1">DATE(2002,02,04)</f>
        <v>0</v>
      </c>
      <c r="C785" s="1" t="s">
        <v>4784</v>
      </c>
      <c r="D785" s="3">
        <v>4612</v>
      </c>
      <c r="E785" s="1" t="s">
        <v>43</v>
      </c>
      <c r="F785" s="1" t="s">
        <v>4785</v>
      </c>
      <c r="G785" s="1" t="s">
        <v>813</v>
      </c>
      <c r="H785" s="4">
        <v>1.3400000000000001</v>
      </c>
      <c r="I785" s="4">
        <v>6.617</v>
      </c>
      <c r="J785" s="5">
        <v>101.3</v>
      </c>
      <c r="K785" s="4">
        <v>20.25</v>
      </c>
      <c r="L785" s="1" t="s">
        <v>46</v>
      </c>
      <c r="M785" s="1" t="s">
        <v>47</v>
      </c>
      <c r="N785" s="1" t="s">
        <v>4786</v>
      </c>
      <c r="O785" s="1" t="s">
        <v>108</v>
      </c>
      <c r="P785" s="1" t="s">
        <v>4787</v>
      </c>
      <c r="Q785" s="8">
        <v>1.21</v>
      </c>
      <c r="R785" s="8">
        <v>1.21</v>
      </c>
      <c r="S785" s="6">
        <v>4.1975300000000004</v>
      </c>
      <c r="T785" s="1" t="s">
        <v>50</v>
      </c>
      <c r="U785" s="1"/>
      <c r="V785" s="1"/>
      <c r="W785" s="7">
        <v>5000000</v>
      </c>
      <c r="X785" s="1"/>
      <c r="Y785" s="7">
        <v>5000000</v>
      </c>
      <c r="Z785" s="1"/>
      <c r="AA785" s="2">
        <f ca="1">DATE(2002,08,03)</f>
        <v>0</v>
      </c>
      <c r="AB785" s="4">
        <v>56.076999999999998</v>
      </c>
      <c r="AC785" s="3">
        <v>180</v>
      </c>
      <c r="AD785" s="8">
        <v>6383639</v>
      </c>
      <c r="AE785" s="1" t="s">
        <v>51</v>
      </c>
      <c r="AF785" s="1" t="s">
        <v>47</v>
      </c>
      <c r="AG785" s="1" t="s">
        <v>51</v>
      </c>
      <c r="AH785" s="1" t="s">
        <v>4788</v>
      </c>
      <c r="AI785" s="1" t="s">
        <v>4789</v>
      </c>
      <c r="AJ785" s="3">
        <v>1</v>
      </c>
      <c r="AK785" s="1" t="s">
        <v>52</v>
      </c>
      <c r="AL785" s="3">
        <v>6</v>
      </c>
      <c r="AM785" s="8">
        <v>22.100000000000001</v>
      </c>
      <c r="AN785" s="1"/>
      <c r="AO785" s="1" t="s">
        <v>4790</v>
      </c>
      <c r="AP785" s="1" t="s">
        <v>813</v>
      </c>
      <c r="AQ785" s="1" t="s">
        <v>4791</v>
      </c>
      <c r="AR785" s="1" t="s">
        <v>4792</v>
      </c>
    </row>
    <row r="786">
      <c r="A786" s="2">
        <f ca="1">DATE(2001,11,23)</f>
        <v>0</v>
      </c>
      <c r="B786" s="2">
        <f ca="1">DATE(2002,02,07)</f>
        <v>0</v>
      </c>
      <c r="C786" s="1" t="s">
        <v>4793</v>
      </c>
      <c r="D786" s="3">
        <v>7376</v>
      </c>
      <c r="E786" s="1" t="s">
        <v>43</v>
      </c>
      <c r="F786" s="1" t="s">
        <v>4794</v>
      </c>
      <c r="G786" s="1" t="s">
        <v>3766</v>
      </c>
      <c r="H786" s="4">
        <v>1.1200000000000001</v>
      </c>
      <c r="I786" s="4">
        <v>7</v>
      </c>
      <c r="J786" s="5">
        <v>115.2</v>
      </c>
      <c r="K786" s="4">
        <v>16</v>
      </c>
      <c r="L786" s="1" t="s">
        <v>46</v>
      </c>
      <c r="M786" s="1" t="s">
        <v>47</v>
      </c>
      <c r="N786" s="3">
        <v>564563104</v>
      </c>
      <c r="O786" s="1" t="s">
        <v>48</v>
      </c>
      <c r="P786" s="1" t="s">
        <v>4795</v>
      </c>
      <c r="Q786" s="4">
        <v>1.4379999999999999</v>
      </c>
      <c r="R786" s="4">
        <v>1.375</v>
      </c>
      <c r="S786" s="10">
        <v>4.1875</v>
      </c>
      <c r="T786" s="1" t="s">
        <v>50</v>
      </c>
      <c r="U786" s="1"/>
      <c r="V786" s="1"/>
      <c r="W786" s="1"/>
      <c r="X786" s="5">
        <v>92</v>
      </c>
      <c r="Y786" s="7">
        <v>6866667</v>
      </c>
      <c r="Z786" s="7">
        <v>333333</v>
      </c>
      <c r="AA786" s="2">
        <f ca="1">DATE(2002,08,06)</f>
        <v>0</v>
      </c>
      <c r="AB786" s="4">
        <v>71.802000000000007</v>
      </c>
      <c r="AC786" s="3">
        <v>180</v>
      </c>
      <c r="AD786" s="8">
        <v>18333330</v>
      </c>
      <c r="AE786" s="1" t="s">
        <v>51</v>
      </c>
      <c r="AF786" s="1" t="s">
        <v>51</v>
      </c>
      <c r="AG786" s="1" t="s">
        <v>51</v>
      </c>
      <c r="AH786" s="1"/>
      <c r="AI786" s="1"/>
      <c r="AJ786" s="3">
        <v>1</v>
      </c>
      <c r="AK786" s="1" t="s">
        <v>52</v>
      </c>
      <c r="AL786" s="3">
        <v>3</v>
      </c>
      <c r="AM786" s="8">
        <v>18.210000000000001</v>
      </c>
      <c r="AN786" s="1"/>
      <c r="AO786" s="1" t="s">
        <v>4796</v>
      </c>
      <c r="AP786" s="1" t="s">
        <v>3766</v>
      </c>
      <c r="AQ786" s="1" t="s">
        <v>4797</v>
      </c>
      <c r="AR786" s="1" t="s">
        <v>4798</v>
      </c>
    </row>
    <row r="787">
      <c r="A787" s="2">
        <f ca="1">DATE(2002,01,16)</f>
        <v>0</v>
      </c>
      <c r="B787" s="2">
        <f ca="1">DATE(2002,02,08)</f>
        <v>0</v>
      </c>
      <c r="C787" s="1" t="s">
        <v>4799</v>
      </c>
      <c r="D787" s="3">
        <v>2026</v>
      </c>
      <c r="E787" s="1" t="s">
        <v>1998</v>
      </c>
      <c r="F787" s="1" t="s">
        <v>4800</v>
      </c>
      <c r="G787" s="1" t="s">
        <v>380</v>
      </c>
      <c r="H787" s="4">
        <v>0.97499999999999998</v>
      </c>
      <c r="I787" s="4">
        <v>5</v>
      </c>
      <c r="J787" s="5">
        <v>68.299999999999997</v>
      </c>
      <c r="K787" s="4">
        <v>19.5</v>
      </c>
      <c r="L787" s="1" t="s">
        <v>651</v>
      </c>
      <c r="M787" s="1" t="s">
        <v>47</v>
      </c>
      <c r="N787" s="1" t="s">
        <v>4801</v>
      </c>
      <c r="O787" s="1" t="s">
        <v>108</v>
      </c>
      <c r="P787" s="1" t="s">
        <v>4802</v>
      </c>
      <c r="Q787" s="4">
        <v>1</v>
      </c>
      <c r="R787" s="4">
        <v>1</v>
      </c>
      <c r="S787" s="8">
        <v>3</v>
      </c>
      <c r="T787" s="1" t="s">
        <v>50</v>
      </c>
      <c r="U787" s="1"/>
      <c r="V787" s="1"/>
      <c r="W787" s="7">
        <v>10620001</v>
      </c>
      <c r="X787" s="1"/>
      <c r="Y787" s="7">
        <v>2468400</v>
      </c>
      <c r="Z787" s="7">
        <v>1036200</v>
      </c>
      <c r="AA787" s="2">
        <f ca="1">DATE(2002,08,07)</f>
        <v>0</v>
      </c>
      <c r="AB787" s="4">
        <v>82.391999999999996</v>
      </c>
      <c r="AC787" s="3">
        <v>180</v>
      </c>
      <c r="AD787" s="8">
        <v>35000000</v>
      </c>
      <c r="AE787" s="1" t="s">
        <v>47</v>
      </c>
      <c r="AF787" s="1" t="s">
        <v>51</v>
      </c>
      <c r="AG787" s="1" t="s">
        <v>51</v>
      </c>
      <c r="AH787" s="1"/>
      <c r="AI787" s="1"/>
      <c r="AJ787" s="3">
        <v>1</v>
      </c>
      <c r="AK787" s="1" t="s">
        <v>52</v>
      </c>
      <c r="AL787" s="3">
        <v>1</v>
      </c>
      <c r="AM787" s="8">
        <v>22.600000000000001</v>
      </c>
      <c r="AN787" s="1"/>
      <c r="AO787" s="1" t="s">
        <v>4803</v>
      </c>
      <c r="AP787" s="1" t="s">
        <v>380</v>
      </c>
      <c r="AQ787" s="1" t="s">
        <v>380</v>
      </c>
      <c r="AR787" s="1" t="s">
        <v>4804</v>
      </c>
    </row>
    <row r="788">
      <c r="A788" s="2">
        <f ca="1">DATE(2002,01,16)</f>
        <v>0</v>
      </c>
      <c r="B788" s="2">
        <f ca="1">DATE(2002,02,08)</f>
        <v>0</v>
      </c>
      <c r="C788" s="1" t="s">
        <v>4799</v>
      </c>
      <c r="D788" s="3">
        <v>2026</v>
      </c>
      <c r="E788" s="1" t="s">
        <v>1998</v>
      </c>
      <c r="F788" s="1" t="s">
        <v>4800</v>
      </c>
      <c r="G788" s="1" t="s">
        <v>380</v>
      </c>
      <c r="H788" s="4">
        <v>0.97499999999999998</v>
      </c>
      <c r="I788" s="4">
        <v>5</v>
      </c>
      <c r="J788" s="5">
        <v>80.799999999999997</v>
      </c>
      <c r="K788" s="8">
        <v>19.5</v>
      </c>
      <c r="L788" s="1" t="s">
        <v>1207</v>
      </c>
      <c r="M788" s="1" t="s">
        <v>47</v>
      </c>
      <c r="N788" s="1"/>
      <c r="O788" s="1" t="s">
        <v>108</v>
      </c>
      <c r="P788" s="1" t="s">
        <v>4802</v>
      </c>
      <c r="Q788" s="4">
        <v>1</v>
      </c>
      <c r="R788" s="4">
        <v>1</v>
      </c>
      <c r="S788" s="8">
        <v>3</v>
      </c>
      <c r="T788" s="1" t="s">
        <v>60</v>
      </c>
      <c r="U788" s="1"/>
      <c r="V788" s="1"/>
      <c r="W788" s="1"/>
      <c r="X788" s="1"/>
      <c r="Y788" s="7">
        <v>2917200</v>
      </c>
      <c r="Z788" s="7">
        <v>1224600</v>
      </c>
      <c r="AA788" s="1"/>
      <c r="AB788" s="1"/>
      <c r="AC788" s="3">
        <v>180</v>
      </c>
      <c r="AD788" s="8">
        <v>35000000</v>
      </c>
      <c r="AE788" s="1" t="s">
        <v>47</v>
      </c>
      <c r="AF788" s="1" t="s">
        <v>51</v>
      </c>
      <c r="AG788" s="1" t="s">
        <v>51</v>
      </c>
      <c r="AH788" s="1"/>
      <c r="AI788" s="1"/>
      <c r="AJ788" s="3">
        <v>1</v>
      </c>
      <c r="AK788" s="1" t="s">
        <v>52</v>
      </c>
      <c r="AL788" s="3">
        <v>1</v>
      </c>
      <c r="AM788" s="1"/>
      <c r="AN788" s="1"/>
      <c r="AO788" s="1" t="s">
        <v>4803</v>
      </c>
      <c r="AP788" s="1" t="s">
        <v>380</v>
      </c>
      <c r="AQ788" s="1" t="s">
        <v>380</v>
      </c>
      <c r="AR788" s="1" t="s">
        <v>4804</v>
      </c>
    </row>
    <row r="789">
      <c r="A789" s="2">
        <f ca="1">DATE(2002,01,16)</f>
        <v>0</v>
      </c>
      <c r="B789" s="2">
        <f ca="1">DATE(2002,02,08)</f>
        <v>0</v>
      </c>
      <c r="C789" s="1" t="s">
        <v>4799</v>
      </c>
      <c r="D789" s="3">
        <v>2026</v>
      </c>
      <c r="E789" s="1" t="s">
        <v>1998</v>
      </c>
      <c r="F789" s="1" t="s">
        <v>4800</v>
      </c>
      <c r="G789" s="1" t="s">
        <v>380</v>
      </c>
      <c r="H789" s="4">
        <v>0.97499999999999998</v>
      </c>
      <c r="I789" s="4">
        <v>5</v>
      </c>
      <c r="J789" s="5">
        <v>58</v>
      </c>
      <c r="K789" s="8">
        <v>19.5</v>
      </c>
      <c r="L789" s="1" t="s">
        <v>1207</v>
      </c>
      <c r="M789" s="1" t="s">
        <v>47</v>
      </c>
      <c r="N789" s="1"/>
      <c r="O789" s="1" t="s">
        <v>108</v>
      </c>
      <c r="P789" s="1" t="s">
        <v>4802</v>
      </c>
      <c r="Q789" s="4">
        <v>1</v>
      </c>
      <c r="R789" s="4">
        <v>1</v>
      </c>
      <c r="S789" s="8">
        <v>3</v>
      </c>
      <c r="T789" s="1" t="s">
        <v>60</v>
      </c>
      <c r="U789" s="1"/>
      <c r="V789" s="1"/>
      <c r="W789" s="1"/>
      <c r="X789" s="1"/>
      <c r="Y789" s="7">
        <v>2094400</v>
      </c>
      <c r="Z789" s="7">
        <v>879201</v>
      </c>
      <c r="AA789" s="1"/>
      <c r="AB789" s="1"/>
      <c r="AC789" s="3">
        <v>180</v>
      </c>
      <c r="AD789" s="8">
        <v>35000000</v>
      </c>
      <c r="AE789" s="1" t="s">
        <v>47</v>
      </c>
      <c r="AF789" s="1" t="s">
        <v>51</v>
      </c>
      <c r="AG789" s="1" t="s">
        <v>51</v>
      </c>
      <c r="AH789" s="1"/>
      <c r="AI789" s="1"/>
      <c r="AJ789" s="3">
        <v>1</v>
      </c>
      <c r="AK789" s="1" t="s">
        <v>52</v>
      </c>
      <c r="AL789" s="3">
        <v>1</v>
      </c>
      <c r="AM789" s="1"/>
      <c r="AN789" s="1"/>
      <c r="AO789" s="1" t="s">
        <v>4803</v>
      </c>
      <c r="AP789" s="1" t="s">
        <v>380</v>
      </c>
      <c r="AQ789" s="1" t="s">
        <v>380</v>
      </c>
      <c r="AR789" s="1" t="s">
        <v>4804</v>
      </c>
    </row>
    <row r="790">
      <c r="A790" s="2">
        <f ca="1">DATE(2001,08,24)</f>
        <v>0</v>
      </c>
      <c r="B790" s="2">
        <f ca="1">DATE(2002,02,12)</f>
        <v>0</v>
      </c>
      <c r="C790" s="1" t="s">
        <v>4805</v>
      </c>
      <c r="D790" s="3">
        <v>5734</v>
      </c>
      <c r="E790" s="1" t="s">
        <v>43</v>
      </c>
      <c r="F790" s="1" t="s">
        <v>4806</v>
      </c>
      <c r="G790" s="1" t="s">
        <v>4332</v>
      </c>
      <c r="H790" s="4">
        <v>1.1699999999999999</v>
      </c>
      <c r="I790" s="4">
        <v>6.5</v>
      </c>
      <c r="J790" s="5">
        <v>325</v>
      </c>
      <c r="K790" s="4">
        <v>18</v>
      </c>
      <c r="L790" s="1" t="s">
        <v>46</v>
      </c>
      <c r="M790" s="1" t="s">
        <v>47</v>
      </c>
      <c r="N790" s="1" t="s">
        <v>4807</v>
      </c>
      <c r="O790" s="1" t="s">
        <v>108</v>
      </c>
      <c r="P790" s="1" t="s">
        <v>4808</v>
      </c>
      <c r="Q790" s="4">
        <v>1.3</v>
      </c>
      <c r="R790" s="4">
        <v>1.3</v>
      </c>
      <c r="S790" s="8">
        <v>3.8999999999999999</v>
      </c>
      <c r="T790" s="1" t="s">
        <v>50</v>
      </c>
      <c r="U790" s="1"/>
      <c r="V790" s="1"/>
      <c r="W790" s="1"/>
      <c r="X790" s="5">
        <v>325</v>
      </c>
      <c r="Y790" s="7">
        <v>18055555</v>
      </c>
      <c r="Z790" s="1"/>
      <c r="AA790" s="2">
        <f ca="1">DATE(2002,08,11)</f>
        <v>0</v>
      </c>
      <c r="AB790" s="4">
        <v>10.694000000000001</v>
      </c>
      <c r="AC790" s="3">
        <v>180</v>
      </c>
      <c r="AD790" s="8">
        <v>5781627</v>
      </c>
      <c r="AE790" s="1" t="s">
        <v>51</v>
      </c>
      <c r="AF790" s="1" t="s">
        <v>51</v>
      </c>
      <c r="AG790" s="1" t="s">
        <v>51</v>
      </c>
      <c r="AH790" s="1" t="s">
        <v>4809</v>
      </c>
      <c r="AI790" s="1" t="s">
        <v>4810</v>
      </c>
      <c r="AJ790" s="3">
        <v>1</v>
      </c>
      <c r="AK790" s="1" t="s">
        <v>89</v>
      </c>
      <c r="AL790" s="3">
        <v>4</v>
      </c>
      <c r="AM790" s="1"/>
      <c r="AN790" s="1"/>
      <c r="AO790" s="1" t="s">
        <v>4811</v>
      </c>
      <c r="AP790" s="1" t="s">
        <v>4812</v>
      </c>
      <c r="AQ790" s="1" t="s">
        <v>4813</v>
      </c>
      <c r="AR790" s="1" t="s">
        <v>4814</v>
      </c>
    </row>
    <row r="791">
      <c r="A791" s="2">
        <f ca="1">DATE(2001,09,28)</f>
        <v>0</v>
      </c>
      <c r="B791" s="2">
        <f ca="1">DATE(2002,02,14)</f>
        <v>0</v>
      </c>
      <c r="C791" s="1" t="s">
        <v>4815</v>
      </c>
      <c r="D791" s="3">
        <v>7374</v>
      </c>
      <c r="E791" s="1" t="s">
        <v>43</v>
      </c>
      <c r="F791" s="1" t="s">
        <v>4816</v>
      </c>
      <c r="G791" s="1" t="s">
        <v>4332</v>
      </c>
      <c r="H791" s="4">
        <v>0.91000000000000003</v>
      </c>
      <c r="I791" s="4">
        <v>7</v>
      </c>
      <c r="J791" s="5">
        <v>70.200000000000003</v>
      </c>
      <c r="K791" s="4">
        <v>13</v>
      </c>
      <c r="L791" s="1" t="s">
        <v>46</v>
      </c>
      <c r="M791" s="1" t="s">
        <v>47</v>
      </c>
      <c r="N791" s="3">
        <v>704508100</v>
      </c>
      <c r="O791" s="1" t="s">
        <v>48</v>
      </c>
      <c r="P791" s="1" t="s">
        <v>4817</v>
      </c>
      <c r="Q791" s="4">
        <v>1.3999999999999999</v>
      </c>
      <c r="R791" s="4">
        <v>1.3999999999999999</v>
      </c>
      <c r="S791" s="8">
        <v>4.2000000000000002</v>
      </c>
      <c r="T791" s="1" t="s">
        <v>50</v>
      </c>
      <c r="U791" s="1"/>
      <c r="V791" s="1"/>
      <c r="W791" s="1"/>
      <c r="X791" s="5">
        <v>80.5</v>
      </c>
      <c r="Y791" s="7">
        <v>5400000</v>
      </c>
      <c r="Z791" s="1"/>
      <c r="AA791" s="2">
        <f ca="1">DATE(2002,08,13)</f>
        <v>0</v>
      </c>
      <c r="AB791" s="4">
        <v>88.741</v>
      </c>
      <c r="AC791" s="3">
        <v>180</v>
      </c>
      <c r="AD791" s="8">
        <v>53096179</v>
      </c>
      <c r="AE791" s="1" t="s">
        <v>51</v>
      </c>
      <c r="AF791" s="1" t="s">
        <v>51</v>
      </c>
      <c r="AG791" s="1" t="s">
        <v>47</v>
      </c>
      <c r="AH791" s="1"/>
      <c r="AI791" s="1"/>
      <c r="AJ791" s="3">
        <v>1</v>
      </c>
      <c r="AK791" s="1" t="s">
        <v>52</v>
      </c>
      <c r="AL791" s="3">
        <v>5</v>
      </c>
      <c r="AM791" s="8">
        <v>20.09</v>
      </c>
      <c r="AN791" s="1"/>
      <c r="AO791" s="1" t="s">
        <v>4818</v>
      </c>
      <c r="AP791" s="1" t="s">
        <v>4332</v>
      </c>
      <c r="AQ791" s="1" t="s">
        <v>4819</v>
      </c>
      <c r="AR791" s="1" t="s">
        <v>4820</v>
      </c>
    </row>
    <row r="792">
      <c r="A792" s="2">
        <f ca="1">DATE(2001,12,21)</f>
        <v>0</v>
      </c>
      <c r="B792" s="2">
        <f ca="1">DATE(2002,02,21)</f>
        <v>0</v>
      </c>
      <c r="C792" s="1" t="s">
        <v>4821</v>
      </c>
      <c r="D792" s="3">
        <v>5999</v>
      </c>
      <c r="E792" s="1" t="s">
        <v>43</v>
      </c>
      <c r="F792" s="1" t="s">
        <v>4822</v>
      </c>
      <c r="G792" s="1" t="s">
        <v>4823</v>
      </c>
      <c r="H792" s="4">
        <v>1.2829999999999999</v>
      </c>
      <c r="I792" s="4">
        <v>6.75</v>
      </c>
      <c r="J792" s="5">
        <v>243.19999999999999</v>
      </c>
      <c r="K792" s="4">
        <v>19</v>
      </c>
      <c r="L792" s="1" t="s">
        <v>46</v>
      </c>
      <c r="M792" s="1" t="s">
        <v>47</v>
      </c>
      <c r="N792" s="3">
        <v>716016209</v>
      </c>
      <c r="O792" s="1" t="s">
        <v>48</v>
      </c>
      <c r="P792" s="1" t="s">
        <v>4824</v>
      </c>
      <c r="Q792" s="4">
        <v>1.5529999999999999</v>
      </c>
      <c r="R792" s="4">
        <v>1.3029999999999999</v>
      </c>
      <c r="S792" s="6">
        <v>3.8947400000000001</v>
      </c>
      <c r="T792" s="1" t="s">
        <v>50</v>
      </c>
      <c r="U792" s="1"/>
      <c r="V792" s="1"/>
      <c r="W792" s="1"/>
      <c r="X792" s="5">
        <v>287.5</v>
      </c>
      <c r="Y792" s="7">
        <v>12799150</v>
      </c>
      <c r="Z792" s="1"/>
      <c r="AA792" s="1"/>
      <c r="AB792" s="1"/>
      <c r="AC792" s="1"/>
      <c r="AD792" s="1"/>
      <c r="AE792" s="1" t="s">
        <v>51</v>
      </c>
      <c r="AF792" s="1" t="s">
        <v>51</v>
      </c>
      <c r="AG792" s="1" t="s">
        <v>51</v>
      </c>
      <c r="AH792" s="1"/>
      <c r="AI792" s="1"/>
      <c r="AJ792" s="3">
        <v>2</v>
      </c>
      <c r="AK792" s="1" t="s">
        <v>89</v>
      </c>
      <c r="AL792" s="3">
        <v>6</v>
      </c>
      <c r="AM792" s="8">
        <v>20</v>
      </c>
      <c r="AN792" s="1"/>
      <c r="AO792" s="1" t="s">
        <v>4825</v>
      </c>
      <c r="AP792" s="1" t="s">
        <v>4826</v>
      </c>
      <c r="AQ792" s="1" t="s">
        <v>4827</v>
      </c>
      <c r="AR792" s="1" t="s">
        <v>4828</v>
      </c>
    </row>
    <row r="793">
      <c r="A793" s="2">
        <f ca="1">DATE(2001,12,21)</f>
        <v>0</v>
      </c>
      <c r="B793" s="2">
        <f ca="1">DATE(2002,02,21)</f>
        <v>0</v>
      </c>
      <c r="C793" s="1" t="s">
        <v>4821</v>
      </c>
      <c r="D793" s="3">
        <v>5999</v>
      </c>
      <c r="E793" s="1" t="s">
        <v>43</v>
      </c>
      <c r="F793" s="1" t="s">
        <v>4822</v>
      </c>
      <c r="G793" s="1" t="s">
        <v>4829</v>
      </c>
      <c r="H793" s="4">
        <v>1.2829999999999999</v>
      </c>
      <c r="I793" s="4">
        <v>6.75</v>
      </c>
      <c r="J793" s="5">
        <v>32.299999999999997</v>
      </c>
      <c r="K793" s="8">
        <v>19</v>
      </c>
      <c r="L793" s="1" t="s">
        <v>58</v>
      </c>
      <c r="M793" s="1" t="s">
        <v>47</v>
      </c>
      <c r="N793" s="3">
        <v>716016209</v>
      </c>
      <c r="O793" s="1" t="s">
        <v>48</v>
      </c>
      <c r="P793" s="1" t="s">
        <v>4830</v>
      </c>
      <c r="Q793" s="4">
        <v>1.5529999999999999</v>
      </c>
      <c r="R793" s="4">
        <v>1.3029999999999999</v>
      </c>
      <c r="S793" s="6">
        <v>3.8947400000000001</v>
      </c>
      <c r="T793" s="1" t="s">
        <v>60</v>
      </c>
      <c r="U793" s="1"/>
      <c r="V793" s="1"/>
      <c r="W793" s="1"/>
      <c r="X793" s="1"/>
      <c r="Y793" s="7">
        <v>1700850</v>
      </c>
      <c r="Z793" s="1"/>
      <c r="AA793" s="1"/>
      <c r="AB793" s="1"/>
      <c r="AC793" s="1"/>
      <c r="AD793" s="1"/>
      <c r="AE793" s="1" t="s">
        <v>51</v>
      </c>
      <c r="AF793" s="1" t="s">
        <v>51</v>
      </c>
      <c r="AG793" s="1" t="s">
        <v>51</v>
      </c>
      <c r="AH793" s="1"/>
      <c r="AI793" s="1"/>
      <c r="AJ793" s="3">
        <v>2</v>
      </c>
      <c r="AK793" s="1" t="s">
        <v>89</v>
      </c>
      <c r="AL793" s="3">
        <v>2</v>
      </c>
      <c r="AM793" s="1"/>
      <c r="AN793" s="1"/>
      <c r="AO793" s="1" t="s">
        <v>4831</v>
      </c>
      <c r="AP793" s="1" t="s">
        <v>4832</v>
      </c>
      <c r="AQ793" s="1" t="s">
        <v>4833</v>
      </c>
      <c r="AR793" s="1" t="s">
        <v>4834</v>
      </c>
    </row>
    <row r="794">
      <c r="A794" s="2">
        <f ca="1">DATE(2001,08,22)</f>
        <v>0</v>
      </c>
      <c r="B794" s="2">
        <f ca="1">DATE(2002,02,25)</f>
        <v>0</v>
      </c>
      <c r="C794" s="1" t="s">
        <v>4835</v>
      </c>
      <c r="D794" s="3">
        <v>6726</v>
      </c>
      <c r="E794" s="1" t="s">
        <v>43</v>
      </c>
      <c r="F794" s="1" t="s">
        <v>4836</v>
      </c>
      <c r="G794" s="1" t="s">
        <v>45</v>
      </c>
      <c r="H794" s="4">
        <v>0.67500000000000004</v>
      </c>
      <c r="I794" s="4">
        <v>4.5</v>
      </c>
      <c r="J794" s="5">
        <v>510</v>
      </c>
      <c r="K794" s="4">
        <v>15</v>
      </c>
      <c r="L794" s="1" t="s">
        <v>46</v>
      </c>
      <c r="M794" s="1" t="s">
        <v>47</v>
      </c>
      <c r="N794" s="1" t="s">
        <v>4837</v>
      </c>
      <c r="O794" s="1" t="s">
        <v>108</v>
      </c>
      <c r="P794" s="1" t="s">
        <v>4838</v>
      </c>
      <c r="Q794" s="4">
        <v>0.93300000000000005</v>
      </c>
      <c r="R794" s="4">
        <v>0.56699999999999995</v>
      </c>
      <c r="S794" s="8">
        <v>3</v>
      </c>
      <c r="T794" s="1" t="s">
        <v>50</v>
      </c>
      <c r="U794" s="8">
        <v>15</v>
      </c>
      <c r="V794" s="8">
        <v>15</v>
      </c>
      <c r="W794" s="7">
        <v>66666</v>
      </c>
      <c r="X794" s="5">
        <v>1</v>
      </c>
      <c r="Y794" s="7">
        <v>34000000</v>
      </c>
      <c r="Z794" s="1"/>
      <c r="AA794" s="1"/>
      <c r="AB794" s="1"/>
      <c r="AC794" s="1"/>
      <c r="AD794" s="1"/>
      <c r="AE794" s="1" t="s">
        <v>51</v>
      </c>
      <c r="AF794" s="1" t="s">
        <v>51</v>
      </c>
      <c r="AG794" s="1" t="s">
        <v>51</v>
      </c>
      <c r="AH794" s="1"/>
      <c r="AI794" s="1"/>
      <c r="AJ794" s="3">
        <v>1</v>
      </c>
      <c r="AK794" s="1" t="s">
        <v>52</v>
      </c>
      <c r="AL794" s="3">
        <v>15</v>
      </c>
      <c r="AM794" s="8">
        <v>15.01</v>
      </c>
      <c r="AN794" s="1"/>
      <c r="AO794" s="1" t="s">
        <v>4839</v>
      </c>
      <c r="AP794" s="1" t="s">
        <v>45</v>
      </c>
      <c r="AQ794" s="1" t="s">
        <v>4840</v>
      </c>
      <c r="AR794" s="1" t="s">
        <v>4841</v>
      </c>
    </row>
    <row r="795">
      <c r="A795" s="2">
        <f ca="1">DATE(2001,12,19)</f>
        <v>0</v>
      </c>
      <c r="B795" s="2">
        <f ca="1">DATE(2002,02,26)</f>
        <v>0</v>
      </c>
      <c r="C795" s="1" t="s">
        <v>4842</v>
      </c>
      <c r="D795" s="3">
        <v>3812</v>
      </c>
      <c r="E795" s="1" t="s">
        <v>43</v>
      </c>
      <c r="F795" s="1" t="s">
        <v>4843</v>
      </c>
      <c r="G795" s="1" t="s">
        <v>168</v>
      </c>
      <c r="H795" s="4">
        <v>1.54</v>
      </c>
      <c r="I795" s="4">
        <v>7</v>
      </c>
      <c r="J795" s="5">
        <v>154</v>
      </c>
      <c r="K795" s="4">
        <v>22</v>
      </c>
      <c r="L795" s="1" t="s">
        <v>46</v>
      </c>
      <c r="M795" s="1" t="s">
        <v>47</v>
      </c>
      <c r="N795" s="1" t="s">
        <v>4844</v>
      </c>
      <c r="O795" s="1" t="s">
        <v>108</v>
      </c>
      <c r="P795" s="1" t="s">
        <v>4845</v>
      </c>
      <c r="Q795" s="4">
        <v>1.409</v>
      </c>
      <c r="R795" s="4">
        <v>1.409</v>
      </c>
      <c r="S795" s="6">
        <v>4.1818200000000001</v>
      </c>
      <c r="T795" s="1" t="s">
        <v>50</v>
      </c>
      <c r="U795" s="1"/>
      <c r="V795" s="1"/>
      <c r="W795" s="1"/>
      <c r="X795" s="5">
        <v>125</v>
      </c>
      <c r="Y795" s="7">
        <v>6000000</v>
      </c>
      <c r="Z795" s="7">
        <v>1000000</v>
      </c>
      <c r="AA795" s="2">
        <f ca="1">DATE(2002,08,25)</f>
        <v>0</v>
      </c>
      <c r="AB795" s="1"/>
      <c r="AC795" s="3">
        <v>180</v>
      </c>
      <c r="AD795" s="1"/>
      <c r="AE795" s="1" t="s">
        <v>51</v>
      </c>
      <c r="AF795" s="1" t="s">
        <v>51</v>
      </c>
      <c r="AG795" s="1" t="s">
        <v>51</v>
      </c>
      <c r="AH795" s="1"/>
      <c r="AI795" s="1"/>
      <c r="AJ795" s="3">
        <v>1</v>
      </c>
      <c r="AK795" s="1" t="s">
        <v>52</v>
      </c>
      <c r="AL795" s="3">
        <v>4</v>
      </c>
      <c r="AM795" s="8">
        <v>25</v>
      </c>
      <c r="AN795" s="1"/>
      <c r="AO795" s="1" t="s">
        <v>4846</v>
      </c>
      <c r="AP795" s="1" t="s">
        <v>168</v>
      </c>
      <c r="AQ795" s="1" t="s">
        <v>4847</v>
      </c>
      <c r="AR795" s="1" t="s">
        <v>4848</v>
      </c>
    </row>
    <row r="796">
      <c r="A796" s="2">
        <f ca="1">DATE(2002,01,17)</f>
        <v>0</v>
      </c>
      <c r="B796" s="2">
        <f ca="1">DATE(2002,02,27)</f>
        <v>0</v>
      </c>
      <c r="C796" s="1" t="s">
        <v>4849</v>
      </c>
      <c r="D796" s="3">
        <v>6726</v>
      </c>
      <c r="E796" s="1" t="s">
        <v>43</v>
      </c>
      <c r="F796" s="1" t="s">
        <v>4850</v>
      </c>
      <c r="G796" s="1" t="s">
        <v>1583</v>
      </c>
      <c r="H796" s="4">
        <v>0.67500000000000004</v>
      </c>
      <c r="I796" s="4">
        <v>4.5</v>
      </c>
      <c r="J796" s="5">
        <v>105</v>
      </c>
      <c r="K796" s="4">
        <v>15</v>
      </c>
      <c r="L796" s="1" t="s">
        <v>4851</v>
      </c>
      <c r="M796" s="1" t="s">
        <v>47</v>
      </c>
      <c r="N796" s="1" t="s">
        <v>4852</v>
      </c>
      <c r="O796" s="1" t="s">
        <v>108</v>
      </c>
      <c r="P796" s="1" t="s">
        <v>4853</v>
      </c>
      <c r="Q796" s="1" t="s">
        <v>145</v>
      </c>
      <c r="R796" s="1" t="s">
        <v>145</v>
      </c>
      <c r="S796" s="1"/>
      <c r="T796" s="1" t="s">
        <v>50</v>
      </c>
      <c r="U796" s="8">
        <v>15</v>
      </c>
      <c r="V796" s="8">
        <v>15</v>
      </c>
      <c r="W796" s="7">
        <v>4000000</v>
      </c>
      <c r="X796" s="5">
        <v>60</v>
      </c>
      <c r="Y796" s="7">
        <v>7000000</v>
      </c>
      <c r="Z796" s="1"/>
      <c r="AA796" s="1"/>
      <c r="AB796" s="1"/>
      <c r="AC796" s="1"/>
      <c r="AD796" s="1"/>
      <c r="AE796" s="1" t="s">
        <v>51</v>
      </c>
      <c r="AF796" s="1" t="s">
        <v>51</v>
      </c>
      <c r="AG796" s="1" t="s">
        <v>51</v>
      </c>
      <c r="AH796" s="1"/>
      <c r="AI796" s="1"/>
      <c r="AJ796" s="3">
        <v>1</v>
      </c>
      <c r="AK796" s="1" t="s">
        <v>52</v>
      </c>
      <c r="AL796" s="3">
        <v>5</v>
      </c>
      <c r="AM796" s="8">
        <v>14.98</v>
      </c>
      <c r="AN796" s="1"/>
      <c r="AO796" s="1" t="s">
        <v>4854</v>
      </c>
      <c r="AP796" s="1" t="s">
        <v>1583</v>
      </c>
      <c r="AQ796" s="1" t="s">
        <v>4855</v>
      </c>
      <c r="AR796" s="1" t="s">
        <v>4856</v>
      </c>
    </row>
    <row r="797">
      <c r="A797" s="2">
        <f ca="1">DATE(2002,02,05)</f>
        <v>0</v>
      </c>
      <c r="B797" s="2">
        <f ca="1">DATE(2002,03,04)</f>
        <v>0</v>
      </c>
      <c r="C797" s="1" t="s">
        <v>4857</v>
      </c>
      <c r="D797" s="3">
        <v>4412</v>
      </c>
      <c r="E797" s="1" t="s">
        <v>3764</v>
      </c>
      <c r="F797" s="1" t="s">
        <v>4858</v>
      </c>
      <c r="G797" s="1" t="s">
        <v>400</v>
      </c>
      <c r="H797" s="4">
        <v>1.01</v>
      </c>
      <c r="I797" s="4">
        <v>6.7329999999999997</v>
      </c>
      <c r="J797" s="5">
        <v>95.299999999999997</v>
      </c>
      <c r="K797" s="4">
        <v>15</v>
      </c>
      <c r="L797" s="1" t="s">
        <v>46</v>
      </c>
      <c r="M797" s="1" t="s">
        <v>47</v>
      </c>
      <c r="N797" s="1" t="s">
        <v>4859</v>
      </c>
      <c r="O797" s="1" t="s">
        <v>108</v>
      </c>
      <c r="P797" s="1" t="s">
        <v>4860</v>
      </c>
      <c r="Q797" s="4">
        <v>1.333</v>
      </c>
      <c r="R797" s="4">
        <v>1.333</v>
      </c>
      <c r="S797" s="6">
        <v>4.0666700000000002</v>
      </c>
      <c r="T797" s="1" t="s">
        <v>50</v>
      </c>
      <c r="U797" s="8">
        <v>18</v>
      </c>
      <c r="V797" s="8">
        <v>16</v>
      </c>
      <c r="W797" s="7">
        <v>6350000</v>
      </c>
      <c r="X797" s="5">
        <v>108</v>
      </c>
      <c r="Y797" s="7">
        <v>6350000</v>
      </c>
      <c r="Z797" s="1"/>
      <c r="AA797" s="1"/>
      <c r="AB797" s="1"/>
      <c r="AC797" s="1"/>
      <c r="AD797" s="1"/>
      <c r="AE797" s="1" t="s">
        <v>51</v>
      </c>
      <c r="AF797" s="1" t="s">
        <v>51</v>
      </c>
      <c r="AG797" s="1" t="s">
        <v>51</v>
      </c>
      <c r="AH797" s="1"/>
      <c r="AI797" s="1"/>
      <c r="AJ797" s="3">
        <v>1</v>
      </c>
      <c r="AK797" s="1" t="s">
        <v>52</v>
      </c>
      <c r="AL797" s="3">
        <v>5</v>
      </c>
      <c r="AM797" s="8">
        <v>15.1</v>
      </c>
      <c r="AN797" s="1"/>
      <c r="AO797" s="1" t="s">
        <v>4861</v>
      </c>
      <c r="AP797" s="1" t="s">
        <v>400</v>
      </c>
      <c r="AQ797" s="1" t="s">
        <v>4862</v>
      </c>
      <c r="AR797" s="1" t="s">
        <v>4863</v>
      </c>
    </row>
    <row r="798">
      <c r="A798" s="2">
        <f ca="1">DATE(2001,12,21)</f>
        <v>0</v>
      </c>
      <c r="B798" s="2">
        <f ca="1">DATE(2002,03,11)</f>
        <v>0</v>
      </c>
      <c r="C798" s="1" t="s">
        <v>4864</v>
      </c>
      <c r="D798" s="3">
        <v>7373</v>
      </c>
      <c r="E798" s="1" t="s">
        <v>43</v>
      </c>
      <c r="F798" s="1" t="s">
        <v>4865</v>
      </c>
      <c r="G798" s="1" t="s">
        <v>160</v>
      </c>
      <c r="H798" s="4">
        <v>1.26</v>
      </c>
      <c r="I798" s="4">
        <v>7</v>
      </c>
      <c r="J798" s="5">
        <v>270</v>
      </c>
      <c r="K798" s="4">
        <v>18</v>
      </c>
      <c r="L798" s="1" t="s">
        <v>46</v>
      </c>
      <c r="M798" s="1" t="s">
        <v>47</v>
      </c>
      <c r="N798" s="1" t="s">
        <v>4866</v>
      </c>
      <c r="O798" s="1" t="s">
        <v>108</v>
      </c>
      <c r="P798" s="1" t="s">
        <v>4867</v>
      </c>
      <c r="Q798" s="4">
        <v>1.389</v>
      </c>
      <c r="R798" s="4">
        <v>1.389</v>
      </c>
      <c r="S798" s="6">
        <v>4.2222200000000001</v>
      </c>
      <c r="T798" s="1" t="s">
        <v>50</v>
      </c>
      <c r="U798" s="1"/>
      <c r="V798" s="1"/>
      <c r="W798" s="1"/>
      <c r="X798" s="5">
        <v>230</v>
      </c>
      <c r="Y798" s="7">
        <v>4687500</v>
      </c>
      <c r="Z798" s="7">
        <v>10312500</v>
      </c>
      <c r="AA798" s="2">
        <f ca="1">DATE(2002,09,07)</f>
        <v>0</v>
      </c>
      <c r="AB798" s="4">
        <v>54.121000000000002</v>
      </c>
      <c r="AC798" s="3">
        <v>180</v>
      </c>
      <c r="AD798" s="8">
        <v>18209261</v>
      </c>
      <c r="AE798" s="1" t="s">
        <v>51</v>
      </c>
      <c r="AF798" s="1" t="s">
        <v>51</v>
      </c>
      <c r="AG798" s="1" t="s">
        <v>51</v>
      </c>
      <c r="AH798" s="1"/>
      <c r="AI798" s="1"/>
      <c r="AJ798" s="3">
        <v>1</v>
      </c>
      <c r="AK798" s="1" t="s">
        <v>52</v>
      </c>
      <c r="AL798" s="3">
        <v>5</v>
      </c>
      <c r="AM798" s="8">
        <v>20.050000000000001</v>
      </c>
      <c r="AN798" s="1"/>
      <c r="AO798" s="1" t="s">
        <v>4868</v>
      </c>
      <c r="AP798" s="1" t="s">
        <v>160</v>
      </c>
      <c r="AQ798" s="1" t="s">
        <v>4869</v>
      </c>
      <c r="AR798" s="1" t="s">
        <v>4870</v>
      </c>
    </row>
    <row r="799">
      <c r="A799" s="2">
        <f ca="1">DATE(2001,09,06)</f>
        <v>0</v>
      </c>
      <c r="B799" s="2">
        <f ca="1">DATE(2002,03,11)</f>
        <v>0</v>
      </c>
      <c r="C799" s="1" t="s">
        <v>4871</v>
      </c>
      <c r="D799" s="3">
        <v>1521</v>
      </c>
      <c r="E799" s="1" t="s">
        <v>43</v>
      </c>
      <c r="F799" s="1" t="s">
        <v>4872</v>
      </c>
      <c r="G799" s="1" t="s">
        <v>1583</v>
      </c>
      <c r="H799" s="4">
        <v>1.3300000000000001</v>
      </c>
      <c r="I799" s="4">
        <v>7</v>
      </c>
      <c r="J799" s="5">
        <v>131.09999999999999</v>
      </c>
      <c r="K799" s="4">
        <v>19</v>
      </c>
      <c r="L799" s="1" t="s">
        <v>46</v>
      </c>
      <c r="M799" s="1" t="s">
        <v>47</v>
      </c>
      <c r="N799" s="1" t="s">
        <v>4873</v>
      </c>
      <c r="O799" s="1" t="s">
        <v>108</v>
      </c>
      <c r="P799" s="1" t="s">
        <v>4874</v>
      </c>
      <c r="Q799" s="4">
        <v>1.421</v>
      </c>
      <c r="R799" s="4">
        <v>1.421</v>
      </c>
      <c r="S799" s="6">
        <v>4.1578900000000001</v>
      </c>
      <c r="T799" s="1" t="s">
        <v>50</v>
      </c>
      <c r="U799" s="1"/>
      <c r="V799" s="1"/>
      <c r="W799" s="1"/>
      <c r="X799" s="5">
        <v>144</v>
      </c>
      <c r="Y799" s="7">
        <v>6900000</v>
      </c>
      <c r="Z799" s="1"/>
      <c r="AA799" s="2">
        <f ca="1">DATE(2002,09,07)</f>
        <v>0</v>
      </c>
      <c r="AB799" s="4">
        <v>81.700999999999993</v>
      </c>
      <c r="AC799" s="3">
        <v>180</v>
      </c>
      <c r="AD799" s="8">
        <v>35361672</v>
      </c>
      <c r="AE799" s="1" t="s">
        <v>51</v>
      </c>
      <c r="AF799" s="1" t="s">
        <v>51</v>
      </c>
      <c r="AG799" s="1" t="s">
        <v>47</v>
      </c>
      <c r="AH799" s="1"/>
      <c r="AI799" s="1"/>
      <c r="AJ799" s="3">
        <v>1</v>
      </c>
      <c r="AK799" s="1" t="s">
        <v>110</v>
      </c>
      <c r="AL799" s="3">
        <v>3</v>
      </c>
      <c r="AM799" s="8">
        <v>22.670000000000002</v>
      </c>
      <c r="AN799" s="1"/>
      <c r="AO799" s="1" t="s">
        <v>4875</v>
      </c>
      <c r="AP799" s="1" t="s">
        <v>4876</v>
      </c>
      <c r="AQ799" s="1" t="s">
        <v>4877</v>
      </c>
      <c r="AR799" s="1" t="s">
        <v>4878</v>
      </c>
    </row>
    <row r="800">
      <c r="A800" s="2">
        <f ca="1">DATE(2001,07,27)</f>
        <v>0</v>
      </c>
      <c r="B800" s="2">
        <f ca="1">DATE(2002,03,13)</f>
        <v>0</v>
      </c>
      <c r="C800" s="1" t="s">
        <v>4879</v>
      </c>
      <c r="D800" s="3">
        <v>5511</v>
      </c>
      <c r="E800" s="1" t="s">
        <v>43</v>
      </c>
      <c r="F800" s="1" t="s">
        <v>4880</v>
      </c>
      <c r="G800" s="1" t="s">
        <v>160</v>
      </c>
      <c r="H800" s="4">
        <v>1.1599999999999999</v>
      </c>
      <c r="I800" s="4">
        <v>7.0300000000000002</v>
      </c>
      <c r="J800" s="5">
        <v>127.09999999999999</v>
      </c>
      <c r="K800" s="4">
        <v>16.5</v>
      </c>
      <c r="L800" s="1" t="s">
        <v>46</v>
      </c>
      <c r="M800" s="1" t="s">
        <v>47</v>
      </c>
      <c r="N800" s="1" t="s">
        <v>4881</v>
      </c>
      <c r="O800" s="1" t="s">
        <v>108</v>
      </c>
      <c r="P800" s="1" t="s">
        <v>4882</v>
      </c>
      <c r="Q800" s="4">
        <v>1.3939999999999999</v>
      </c>
      <c r="R800" s="4">
        <v>1.3939999999999999</v>
      </c>
      <c r="S800" s="6">
        <v>4.2424200000000001</v>
      </c>
      <c r="T800" s="1" t="s">
        <v>50</v>
      </c>
      <c r="U800" s="1"/>
      <c r="V800" s="1"/>
      <c r="W800" s="1"/>
      <c r="X800" s="5">
        <v>150</v>
      </c>
      <c r="Y800" s="7">
        <v>4500000</v>
      </c>
      <c r="Z800" s="7">
        <v>3200000</v>
      </c>
      <c r="AA800" s="2">
        <f ca="1">DATE(2002,09,09)</f>
        <v>0</v>
      </c>
      <c r="AB800" s="4">
        <v>77.352999999999994</v>
      </c>
      <c r="AC800" s="3">
        <v>180</v>
      </c>
      <c r="AD800" s="8">
        <v>26300000</v>
      </c>
      <c r="AE800" s="1" t="s">
        <v>51</v>
      </c>
      <c r="AF800" s="1" t="s">
        <v>51</v>
      </c>
      <c r="AG800" s="1" t="s">
        <v>51</v>
      </c>
      <c r="AH800" s="1"/>
      <c r="AI800" s="1"/>
      <c r="AJ800" s="3">
        <v>1</v>
      </c>
      <c r="AK800" s="1" t="s">
        <v>89</v>
      </c>
      <c r="AL800" s="3">
        <v>5</v>
      </c>
      <c r="AM800" s="8">
        <v>16.800000000000001</v>
      </c>
      <c r="AN800" s="1"/>
      <c r="AO800" s="1" t="s">
        <v>4883</v>
      </c>
      <c r="AP800" s="1" t="s">
        <v>4884</v>
      </c>
      <c r="AQ800" s="1" t="s">
        <v>4885</v>
      </c>
      <c r="AR800" s="1" t="s">
        <v>4886</v>
      </c>
    </row>
    <row r="801">
      <c r="A801" s="1"/>
      <c r="B801" s="2">
        <f ca="1">DATE(2002,03,20)</f>
        <v>0</v>
      </c>
      <c r="C801" s="1" t="s">
        <v>4887</v>
      </c>
      <c r="D801" s="3">
        <v>1011</v>
      </c>
      <c r="E801" s="1" t="s">
        <v>1445</v>
      </c>
      <c r="F801" s="1" t="s">
        <v>4888</v>
      </c>
      <c r="G801" s="1" t="s">
        <v>45</v>
      </c>
      <c r="H801" s="4">
        <v>0.46800000000000003</v>
      </c>
      <c r="I801" s="4">
        <v>1.9099999999999999</v>
      </c>
      <c r="J801" s="5">
        <v>805.70000000000005</v>
      </c>
      <c r="K801" s="4">
        <v>24.5</v>
      </c>
      <c r="L801" s="1" t="s">
        <v>651</v>
      </c>
      <c r="M801" s="1" t="s">
        <v>47</v>
      </c>
      <c r="N801" s="3">
        <v>204412209</v>
      </c>
      <c r="O801" s="1" t="s">
        <v>108</v>
      </c>
      <c r="P801" s="1" t="s">
        <v>4889</v>
      </c>
      <c r="Q801" s="4">
        <v>0.35199999999999998</v>
      </c>
      <c r="R801" s="4">
        <v>1.9099999999999999</v>
      </c>
      <c r="S801" s="6">
        <v>1.05633</v>
      </c>
      <c r="T801" s="1" t="s">
        <v>50</v>
      </c>
      <c r="U801" s="1"/>
      <c r="V801" s="1"/>
      <c r="W801" s="1"/>
      <c r="X801" s="1"/>
      <c r="Y801" s="1"/>
      <c r="Z801" s="7">
        <v>32885379</v>
      </c>
      <c r="AA801" s="1"/>
      <c r="AB801" s="1"/>
      <c r="AC801" s="1"/>
      <c r="AD801" s="1"/>
      <c r="AE801" s="1" t="s">
        <v>47</v>
      </c>
      <c r="AF801" s="1" t="s">
        <v>51</v>
      </c>
      <c r="AG801" s="1" t="s">
        <v>51</v>
      </c>
      <c r="AH801" s="1"/>
      <c r="AI801" s="1" t="s">
        <v>4890</v>
      </c>
      <c r="AJ801" s="3">
        <v>1</v>
      </c>
      <c r="AK801" s="1" t="s">
        <v>89</v>
      </c>
      <c r="AL801" s="3">
        <v>6</v>
      </c>
      <c r="AM801" s="8">
        <v>27.25</v>
      </c>
      <c r="AN801" s="1"/>
      <c r="AO801" s="1" t="s">
        <v>4891</v>
      </c>
      <c r="AP801" s="1" t="s">
        <v>4892</v>
      </c>
      <c r="AQ801" s="1" t="s">
        <v>4893</v>
      </c>
      <c r="AR801" s="1" t="s">
        <v>4894</v>
      </c>
    </row>
    <row r="802">
      <c r="A802" s="2">
        <f ca="1">DATE(2002,02,22)</f>
        <v>0</v>
      </c>
      <c r="B802" s="2">
        <f ca="1">DATE(2002,03,20)</f>
        <v>0</v>
      </c>
      <c r="C802" s="1" t="s">
        <v>4895</v>
      </c>
      <c r="D802" s="3">
        <v>3851</v>
      </c>
      <c r="E802" s="1" t="s">
        <v>3385</v>
      </c>
      <c r="F802" s="1" t="s">
        <v>4896</v>
      </c>
      <c r="G802" s="1" t="s">
        <v>3549</v>
      </c>
      <c r="H802" s="4">
        <v>1.2709999999999999</v>
      </c>
      <c r="I802" s="4">
        <v>3.8500000000000001</v>
      </c>
      <c r="J802" s="9">
        <v>2268.8000000000002</v>
      </c>
      <c r="K802" s="4">
        <v>33</v>
      </c>
      <c r="L802" s="1" t="s">
        <v>46</v>
      </c>
      <c r="M802" s="1" t="s">
        <v>47</v>
      </c>
      <c r="N802" s="1" t="s">
        <v>4897</v>
      </c>
      <c r="O802" s="1" t="s">
        <v>108</v>
      </c>
      <c r="P802" s="1" t="s">
        <v>4898</v>
      </c>
      <c r="Q802" s="4">
        <v>0.77000000000000002</v>
      </c>
      <c r="R802" s="4">
        <v>0.77000000000000002</v>
      </c>
      <c r="S802" s="8">
        <v>2.3100000000000001</v>
      </c>
      <c r="T802" s="1" t="s">
        <v>50</v>
      </c>
      <c r="U802" s="8">
        <v>35</v>
      </c>
      <c r="V802" s="8">
        <v>31</v>
      </c>
      <c r="W802" s="1"/>
      <c r="X802" s="1"/>
      <c r="Y802" s="1"/>
      <c r="Z802" s="7">
        <v>68750000</v>
      </c>
      <c r="AA802" s="2">
        <f ca="1">DATE(2002,09,16)</f>
        <v>0</v>
      </c>
      <c r="AB802" s="1"/>
      <c r="AC802" s="3">
        <v>180</v>
      </c>
      <c r="AD802" s="1"/>
      <c r="AE802" s="1" t="s">
        <v>51</v>
      </c>
      <c r="AF802" s="1" t="s">
        <v>51</v>
      </c>
      <c r="AG802" s="1" t="s">
        <v>51</v>
      </c>
      <c r="AH802" s="1" t="s">
        <v>4899</v>
      </c>
      <c r="AI802" s="1" t="s">
        <v>4900</v>
      </c>
      <c r="AJ802" s="3">
        <v>2</v>
      </c>
      <c r="AK802" s="1" t="s">
        <v>89</v>
      </c>
      <c r="AL802" s="3">
        <v>10</v>
      </c>
      <c r="AM802" s="8">
        <v>34</v>
      </c>
      <c r="AN802" s="1"/>
      <c r="AO802" s="1" t="s">
        <v>4901</v>
      </c>
      <c r="AP802" s="1" t="s">
        <v>3553</v>
      </c>
      <c r="AQ802" s="1" t="s">
        <v>4902</v>
      </c>
      <c r="AR802" s="1" t="s">
        <v>4903</v>
      </c>
    </row>
    <row r="803">
      <c r="A803" s="2">
        <f ca="1">DATE(2002,02,22)</f>
        <v>0</v>
      </c>
      <c r="B803" s="2">
        <f ca="1">DATE(2002,03,20)</f>
        <v>0</v>
      </c>
      <c r="C803" s="1" t="s">
        <v>4895</v>
      </c>
      <c r="D803" s="3">
        <v>3851</v>
      </c>
      <c r="E803" s="1" t="s">
        <v>3385</v>
      </c>
      <c r="F803" s="1" t="s">
        <v>4896</v>
      </c>
      <c r="G803" s="1" t="s">
        <v>4904</v>
      </c>
      <c r="H803" s="4">
        <v>1.2709999999999999</v>
      </c>
      <c r="I803" s="4">
        <v>3.8500000000000001</v>
      </c>
      <c r="J803" s="5">
        <v>33</v>
      </c>
      <c r="K803" s="4">
        <v>33</v>
      </c>
      <c r="L803" s="1" t="s">
        <v>58</v>
      </c>
      <c r="M803" s="1" t="s">
        <v>47</v>
      </c>
      <c r="N803" s="1" t="s">
        <v>4897</v>
      </c>
      <c r="O803" s="1" t="s">
        <v>108</v>
      </c>
      <c r="P803" s="1" t="s">
        <v>4905</v>
      </c>
      <c r="Q803" s="4">
        <v>0.77000000000000002</v>
      </c>
      <c r="R803" s="4">
        <v>0.77000000000000002</v>
      </c>
      <c r="S803" s="8">
        <v>2.3100000000000001</v>
      </c>
      <c r="T803" s="1" t="s">
        <v>4906</v>
      </c>
      <c r="U803" s="8">
        <v>35</v>
      </c>
      <c r="V803" s="8">
        <v>31</v>
      </c>
      <c r="W803" s="7">
        <v>69750000</v>
      </c>
      <c r="X803" s="9">
        <v>2301.8000000000002</v>
      </c>
      <c r="Y803" s="1"/>
      <c r="Z803" s="7">
        <v>1000000</v>
      </c>
      <c r="AA803" s="1"/>
      <c r="AB803" s="1"/>
      <c r="AC803" s="1"/>
      <c r="AD803" s="1"/>
      <c r="AE803" s="1" t="s">
        <v>51</v>
      </c>
      <c r="AF803" s="1" t="s">
        <v>51</v>
      </c>
      <c r="AG803" s="1" t="s">
        <v>51</v>
      </c>
      <c r="AH803" s="1" t="s">
        <v>4899</v>
      </c>
      <c r="AI803" s="1" t="s">
        <v>4900</v>
      </c>
      <c r="AJ803" s="3">
        <v>2</v>
      </c>
      <c r="AK803" s="1" t="s">
        <v>89</v>
      </c>
      <c r="AL803" s="3">
        <v>2</v>
      </c>
      <c r="AM803" s="1"/>
      <c r="AN803" s="1"/>
      <c r="AO803" s="1" t="s">
        <v>4907</v>
      </c>
      <c r="AP803" s="1" t="s">
        <v>4908</v>
      </c>
      <c r="AQ803" s="1" t="s">
        <v>4909</v>
      </c>
      <c r="AR803" s="1" t="s">
        <v>4910</v>
      </c>
    </row>
    <row r="804">
      <c r="A804" s="2">
        <f ca="1">DATE(2002,02,08)</f>
        <v>0</v>
      </c>
      <c r="B804" s="2">
        <f ca="1">DATE(2002,03,21)</f>
        <v>0</v>
      </c>
      <c r="C804" s="1" t="s">
        <v>4911</v>
      </c>
      <c r="D804" s="3">
        <v>6331</v>
      </c>
      <c r="E804" s="1" t="s">
        <v>43</v>
      </c>
      <c r="F804" s="1" t="s">
        <v>4912</v>
      </c>
      <c r="G804" s="1" t="s">
        <v>4332</v>
      </c>
      <c r="H804" s="4">
        <v>0.73999999999999999</v>
      </c>
      <c r="I804" s="4">
        <v>4</v>
      </c>
      <c r="J804" s="9">
        <v>3885</v>
      </c>
      <c r="K804" s="4">
        <v>18.5</v>
      </c>
      <c r="L804" s="1" t="s">
        <v>152</v>
      </c>
      <c r="M804" s="1" t="s">
        <v>47</v>
      </c>
      <c r="N804" s="1" t="s">
        <v>4913</v>
      </c>
      <c r="O804" s="1" t="s">
        <v>108</v>
      </c>
      <c r="P804" s="1" t="s">
        <v>4914</v>
      </c>
      <c r="Q804" s="4">
        <v>0.80000000000000004</v>
      </c>
      <c r="R804" s="4">
        <v>0.69699999999999995</v>
      </c>
      <c r="S804" s="10">
        <v>2.5026999999999999</v>
      </c>
      <c r="T804" s="1" t="s">
        <v>50</v>
      </c>
      <c r="U804" s="1"/>
      <c r="V804" s="1"/>
      <c r="W804" s="1"/>
      <c r="X804" s="9">
        <v>1000</v>
      </c>
      <c r="Y804" s="7">
        <v>210000000</v>
      </c>
      <c r="Z804" s="1"/>
      <c r="AA804" s="1"/>
      <c r="AB804" s="1"/>
      <c r="AC804" s="1"/>
      <c r="AD804" s="1"/>
      <c r="AE804" s="1" t="s">
        <v>51</v>
      </c>
      <c r="AF804" s="1" t="s">
        <v>51</v>
      </c>
      <c r="AG804" s="1" t="s">
        <v>51</v>
      </c>
      <c r="AH804" s="1" t="s">
        <v>4915</v>
      </c>
      <c r="AI804" s="1" t="s">
        <v>4916</v>
      </c>
      <c r="AJ804" s="3">
        <v>1</v>
      </c>
      <c r="AK804" s="1" t="s">
        <v>52</v>
      </c>
      <c r="AL804" s="3">
        <v>27</v>
      </c>
      <c r="AM804" s="8">
        <v>19.559999999999999</v>
      </c>
      <c r="AN804" s="1"/>
      <c r="AO804" s="1" t="s">
        <v>4917</v>
      </c>
      <c r="AP804" s="1" t="s">
        <v>4332</v>
      </c>
      <c r="AQ804" s="1" t="s">
        <v>4918</v>
      </c>
      <c r="AR804" s="1" t="s">
        <v>4919</v>
      </c>
    </row>
    <row r="805">
      <c r="A805" s="2">
        <f ca="1">DATE(2001,04,27)</f>
        <v>0</v>
      </c>
      <c r="B805" s="2">
        <f ca="1">DATE(2002,03,25)</f>
        <v>0</v>
      </c>
      <c r="C805" s="1" t="s">
        <v>4920</v>
      </c>
      <c r="D805" s="3">
        <v>6726</v>
      </c>
      <c r="E805" s="1" t="s">
        <v>43</v>
      </c>
      <c r="F805" s="1" t="s">
        <v>4921</v>
      </c>
      <c r="G805" s="1" t="s">
        <v>4922</v>
      </c>
      <c r="H805" s="4">
        <v>0.67500000000000004</v>
      </c>
      <c r="I805" s="4">
        <v>4.5</v>
      </c>
      <c r="J805" s="5">
        <v>400.5</v>
      </c>
      <c r="K805" s="4">
        <v>15</v>
      </c>
      <c r="L805" s="1" t="s">
        <v>46</v>
      </c>
      <c r="M805" s="1" t="s">
        <v>47</v>
      </c>
      <c r="N805" s="1" t="s">
        <v>4923</v>
      </c>
      <c r="O805" s="1" t="s">
        <v>87</v>
      </c>
      <c r="P805" s="1" t="s">
        <v>4924</v>
      </c>
      <c r="Q805" s="4">
        <v>0.93300000000000005</v>
      </c>
      <c r="R805" s="4">
        <v>0.56699999999999995</v>
      </c>
      <c r="S805" s="8">
        <v>3</v>
      </c>
      <c r="T805" s="1" t="s">
        <v>50</v>
      </c>
      <c r="U805" s="8">
        <v>15</v>
      </c>
      <c r="V805" s="8">
        <v>15</v>
      </c>
      <c r="W805" s="7">
        <v>1000</v>
      </c>
      <c r="X805" s="5">
        <v>0</v>
      </c>
      <c r="Y805" s="7">
        <v>26700000</v>
      </c>
      <c r="Z805" s="1"/>
      <c r="AA805" s="1"/>
      <c r="AB805" s="1"/>
      <c r="AC805" s="1"/>
      <c r="AD805" s="1"/>
      <c r="AE805" s="1" t="s">
        <v>51</v>
      </c>
      <c r="AF805" s="1" t="s">
        <v>51</v>
      </c>
      <c r="AG805" s="1" t="s">
        <v>51</v>
      </c>
      <c r="AH805" s="1"/>
      <c r="AI805" s="1"/>
      <c r="AJ805" s="3">
        <v>2</v>
      </c>
      <c r="AK805" s="1" t="s">
        <v>1209</v>
      </c>
      <c r="AL805" s="3">
        <v>16</v>
      </c>
      <c r="AM805" s="8">
        <v>15.01</v>
      </c>
      <c r="AN805" s="1"/>
      <c r="AO805" s="1" t="s">
        <v>4925</v>
      </c>
      <c r="AP805" s="1" t="s">
        <v>4926</v>
      </c>
      <c r="AQ805" s="1" t="s">
        <v>4927</v>
      </c>
      <c r="AR805" s="1" t="s">
        <v>4928</v>
      </c>
    </row>
    <row r="806">
      <c r="A806" s="2">
        <f ca="1">DATE(2001,04,11)</f>
        <v>0</v>
      </c>
      <c r="B806" s="2">
        <f ca="1">DATE(2002,03,25)</f>
        <v>0</v>
      </c>
      <c r="C806" s="1" t="s">
        <v>4929</v>
      </c>
      <c r="D806" s="3">
        <v>6726</v>
      </c>
      <c r="E806" s="1" t="s">
        <v>43</v>
      </c>
      <c r="F806" s="1" t="s">
        <v>4930</v>
      </c>
      <c r="G806" s="1" t="s">
        <v>4332</v>
      </c>
      <c r="H806" s="4">
        <v>0.67500000000000004</v>
      </c>
      <c r="I806" s="4">
        <v>4.5</v>
      </c>
      <c r="J806" s="5">
        <v>202.5</v>
      </c>
      <c r="K806" s="4">
        <v>15</v>
      </c>
      <c r="L806" s="1" t="s">
        <v>4422</v>
      </c>
      <c r="M806" s="1" t="s">
        <v>47</v>
      </c>
      <c r="N806" s="1" t="s">
        <v>4931</v>
      </c>
      <c r="O806" s="1" t="s">
        <v>87</v>
      </c>
      <c r="P806" s="1" t="s">
        <v>4932</v>
      </c>
      <c r="Q806" s="4">
        <v>0.93300000000000005</v>
      </c>
      <c r="R806" s="4">
        <v>0.56699999999999995</v>
      </c>
      <c r="S806" s="8">
        <v>3</v>
      </c>
      <c r="T806" s="1" t="s">
        <v>50</v>
      </c>
      <c r="U806" s="8">
        <v>15</v>
      </c>
      <c r="V806" s="8">
        <v>15</v>
      </c>
      <c r="W806" s="7">
        <v>1000</v>
      </c>
      <c r="X806" s="5">
        <v>0</v>
      </c>
      <c r="Y806" s="7">
        <v>13500000</v>
      </c>
      <c r="Z806" s="1"/>
      <c r="AA806" s="2">
        <f ca="1">DATE(2002,09,21)</f>
        <v>0</v>
      </c>
      <c r="AB806" s="1"/>
      <c r="AC806" s="3">
        <v>180</v>
      </c>
      <c r="AD806" s="1"/>
      <c r="AE806" s="1" t="s">
        <v>51</v>
      </c>
      <c r="AF806" s="1" t="s">
        <v>51</v>
      </c>
      <c r="AG806" s="1" t="s">
        <v>51</v>
      </c>
      <c r="AH806" s="1"/>
      <c r="AI806" s="1"/>
      <c r="AJ806" s="3">
        <v>1</v>
      </c>
      <c r="AK806" s="1" t="s">
        <v>52</v>
      </c>
      <c r="AL806" s="3">
        <v>11</v>
      </c>
      <c r="AM806" s="8">
        <v>15</v>
      </c>
      <c r="AN806" s="1"/>
      <c r="AO806" s="1" t="s">
        <v>4933</v>
      </c>
      <c r="AP806" s="1" t="s">
        <v>4332</v>
      </c>
      <c r="AQ806" s="1" t="s">
        <v>4934</v>
      </c>
      <c r="AR806" s="1" t="s">
        <v>4935</v>
      </c>
    </row>
    <row r="807">
      <c r="A807" s="2">
        <f ca="1">DATE(2002,01,28)</f>
        <v>0</v>
      </c>
      <c r="B807" s="2">
        <f ca="1">DATE(2002,03,25)</f>
        <v>0</v>
      </c>
      <c r="C807" s="1" t="s">
        <v>4936</v>
      </c>
      <c r="D807" s="3">
        <v>6726</v>
      </c>
      <c r="E807" s="1" t="s">
        <v>43</v>
      </c>
      <c r="F807" s="1" t="s">
        <v>4937</v>
      </c>
      <c r="G807" s="1" t="s">
        <v>4332</v>
      </c>
      <c r="H807" s="4">
        <v>0.67500000000000004</v>
      </c>
      <c r="I807" s="4">
        <v>4.5</v>
      </c>
      <c r="J807" s="5">
        <v>105</v>
      </c>
      <c r="K807" s="4">
        <v>15</v>
      </c>
      <c r="L807" s="1" t="s">
        <v>4422</v>
      </c>
      <c r="M807" s="1" t="s">
        <v>47</v>
      </c>
      <c r="N807" s="1" t="s">
        <v>4938</v>
      </c>
      <c r="O807" s="1" t="s">
        <v>87</v>
      </c>
      <c r="P807" s="1" t="s">
        <v>4939</v>
      </c>
      <c r="Q807" s="4">
        <v>0.93300000000000005</v>
      </c>
      <c r="R807" s="4">
        <v>0.56699999999999995</v>
      </c>
      <c r="S807" s="8">
        <v>3</v>
      </c>
      <c r="T807" s="1" t="s">
        <v>50</v>
      </c>
      <c r="U807" s="8">
        <v>15</v>
      </c>
      <c r="V807" s="8">
        <v>15</v>
      </c>
      <c r="W807" s="7">
        <v>1000</v>
      </c>
      <c r="X807" s="5">
        <v>0</v>
      </c>
      <c r="Y807" s="7">
        <v>7000000</v>
      </c>
      <c r="Z807" s="1"/>
      <c r="AA807" s="2">
        <f ca="1">DATE(2002,09,21)</f>
        <v>0</v>
      </c>
      <c r="AB807" s="1"/>
      <c r="AC807" s="3">
        <v>180</v>
      </c>
      <c r="AD807" s="1"/>
      <c r="AE807" s="1" t="s">
        <v>51</v>
      </c>
      <c r="AF807" s="1" t="s">
        <v>51</v>
      </c>
      <c r="AG807" s="1" t="s">
        <v>51</v>
      </c>
      <c r="AH807" s="1"/>
      <c r="AI807" s="1"/>
      <c r="AJ807" s="3">
        <v>1</v>
      </c>
      <c r="AK807" s="1" t="s">
        <v>110</v>
      </c>
      <c r="AL807" s="3">
        <v>11</v>
      </c>
      <c r="AM807" s="8">
        <v>15.01</v>
      </c>
      <c r="AN807" s="1"/>
      <c r="AO807" s="1" t="s">
        <v>4940</v>
      </c>
      <c r="AP807" s="1" t="s">
        <v>4941</v>
      </c>
      <c r="AQ807" s="1" t="s">
        <v>4942</v>
      </c>
      <c r="AR807" s="1" t="s">
        <v>4943</v>
      </c>
    </row>
    <row r="808">
      <c r="A808" s="2">
        <f ca="1">DATE(2001,10,19)</f>
        <v>0</v>
      </c>
      <c r="B808" s="2">
        <f ca="1">DATE(2002,03,25)</f>
        <v>0</v>
      </c>
      <c r="C808" s="1" t="s">
        <v>4944</v>
      </c>
      <c r="D808" s="3">
        <v>6726</v>
      </c>
      <c r="E808" s="1" t="s">
        <v>43</v>
      </c>
      <c r="F808" s="1" t="s">
        <v>4945</v>
      </c>
      <c r="G808" s="1" t="s">
        <v>4332</v>
      </c>
      <c r="H808" s="4">
        <v>0.67500000000000004</v>
      </c>
      <c r="I808" s="4">
        <v>4.5</v>
      </c>
      <c r="J808" s="5">
        <v>32</v>
      </c>
      <c r="K808" s="4">
        <v>15</v>
      </c>
      <c r="L808" s="1" t="s">
        <v>4422</v>
      </c>
      <c r="M808" s="1" t="s">
        <v>47</v>
      </c>
      <c r="N808" s="1" t="s">
        <v>4946</v>
      </c>
      <c r="O808" s="1" t="s">
        <v>87</v>
      </c>
      <c r="P808" s="1" t="s">
        <v>4947</v>
      </c>
      <c r="Q808" s="4">
        <v>0.93300000000000005</v>
      </c>
      <c r="R808" s="4">
        <v>0.56699999999999995</v>
      </c>
      <c r="S808" s="8">
        <v>3</v>
      </c>
      <c r="T808" s="1" t="s">
        <v>50</v>
      </c>
      <c r="U808" s="8">
        <v>15</v>
      </c>
      <c r="V808" s="8">
        <v>15</v>
      </c>
      <c r="W808" s="7">
        <v>1000</v>
      </c>
      <c r="X808" s="5">
        <v>0</v>
      </c>
      <c r="Y808" s="7">
        <v>2130000</v>
      </c>
      <c r="Z808" s="1"/>
      <c r="AA808" s="2">
        <f ca="1">DATE(2002,09,21)</f>
        <v>0</v>
      </c>
      <c r="AB808" s="1"/>
      <c r="AC808" s="3">
        <v>180</v>
      </c>
      <c r="AD808" s="1"/>
      <c r="AE808" s="1" t="s">
        <v>51</v>
      </c>
      <c r="AF808" s="1" t="s">
        <v>51</v>
      </c>
      <c r="AG808" s="1" t="s">
        <v>51</v>
      </c>
      <c r="AH808" s="1"/>
      <c r="AI808" s="1"/>
      <c r="AJ808" s="3">
        <v>1</v>
      </c>
      <c r="AK808" s="1" t="s">
        <v>110</v>
      </c>
      <c r="AL808" s="3">
        <v>8</v>
      </c>
      <c r="AM808" s="8">
        <v>15</v>
      </c>
      <c r="AN808" s="1"/>
      <c r="AO808" s="1" t="s">
        <v>4948</v>
      </c>
      <c r="AP808" s="1" t="s">
        <v>4941</v>
      </c>
      <c r="AQ808" s="1" t="s">
        <v>4949</v>
      </c>
      <c r="AR808" s="1" t="s">
        <v>4950</v>
      </c>
    </row>
    <row r="809">
      <c r="A809" s="2">
        <f ca="1">DATE(2002,02,05)</f>
        <v>0</v>
      </c>
      <c r="B809" s="2">
        <f ca="1">DATE(2002,03,25)</f>
        <v>0</v>
      </c>
      <c r="C809" s="1" t="s">
        <v>4951</v>
      </c>
      <c r="D809" s="3">
        <v>6726</v>
      </c>
      <c r="E809" s="1" t="s">
        <v>43</v>
      </c>
      <c r="F809" s="1" t="s">
        <v>4952</v>
      </c>
      <c r="G809" s="1" t="s">
        <v>4332</v>
      </c>
      <c r="H809" s="4">
        <v>0.67500000000000004</v>
      </c>
      <c r="I809" s="4">
        <v>4.5</v>
      </c>
      <c r="J809" s="5">
        <v>30.800000000000001</v>
      </c>
      <c r="K809" s="4">
        <v>15</v>
      </c>
      <c r="L809" s="1" t="s">
        <v>4422</v>
      </c>
      <c r="M809" s="1" t="s">
        <v>47</v>
      </c>
      <c r="N809" s="1" t="s">
        <v>4953</v>
      </c>
      <c r="O809" s="1" t="s">
        <v>87</v>
      </c>
      <c r="P809" s="1" t="s">
        <v>4954</v>
      </c>
      <c r="Q809" s="4">
        <v>0.93300000000000005</v>
      </c>
      <c r="R809" s="4">
        <v>0.56699999999999995</v>
      </c>
      <c r="S809" s="8">
        <v>3</v>
      </c>
      <c r="T809" s="1" t="s">
        <v>50</v>
      </c>
      <c r="U809" s="8">
        <v>15</v>
      </c>
      <c r="V809" s="8">
        <v>15</v>
      </c>
      <c r="W809" s="7">
        <v>1000</v>
      </c>
      <c r="X809" s="5">
        <v>0</v>
      </c>
      <c r="Y809" s="7">
        <v>2050000</v>
      </c>
      <c r="Z809" s="1"/>
      <c r="AA809" s="2">
        <f ca="1">DATE(2002,09,21)</f>
        <v>0</v>
      </c>
      <c r="AB809" s="1"/>
      <c r="AC809" s="3">
        <v>180</v>
      </c>
      <c r="AD809" s="1"/>
      <c r="AE809" s="1" t="s">
        <v>51</v>
      </c>
      <c r="AF809" s="1" t="s">
        <v>51</v>
      </c>
      <c r="AG809" s="1" t="s">
        <v>51</v>
      </c>
      <c r="AH809" s="1"/>
      <c r="AI809" s="1"/>
      <c r="AJ809" s="3">
        <v>1</v>
      </c>
      <c r="AK809" s="1" t="s">
        <v>52</v>
      </c>
      <c r="AL809" s="3">
        <v>8</v>
      </c>
      <c r="AM809" s="8">
        <v>15.01</v>
      </c>
      <c r="AN809" s="1"/>
      <c r="AO809" s="1" t="s">
        <v>4955</v>
      </c>
      <c r="AP809" s="1" t="s">
        <v>4332</v>
      </c>
      <c r="AQ809" s="1" t="s">
        <v>4956</v>
      </c>
      <c r="AR809" s="1" t="s">
        <v>4957</v>
      </c>
    </row>
    <row r="810">
      <c r="A810" s="2">
        <f ca="1">DATE(2001,10,19)</f>
        <v>0</v>
      </c>
      <c r="B810" s="2">
        <f ca="1">DATE(2002,03,25)</f>
        <v>0</v>
      </c>
      <c r="C810" s="1" t="s">
        <v>4958</v>
      </c>
      <c r="D810" s="3">
        <v>6726</v>
      </c>
      <c r="E810" s="1" t="s">
        <v>43</v>
      </c>
      <c r="F810" s="1" t="s">
        <v>4959</v>
      </c>
      <c r="G810" s="1" t="s">
        <v>4332</v>
      </c>
      <c r="H810" s="4">
        <v>0.67500000000000004</v>
      </c>
      <c r="I810" s="4">
        <v>4.5</v>
      </c>
      <c r="J810" s="5">
        <v>60</v>
      </c>
      <c r="K810" s="4">
        <v>15</v>
      </c>
      <c r="L810" s="1" t="s">
        <v>4422</v>
      </c>
      <c r="M810" s="1" t="s">
        <v>47</v>
      </c>
      <c r="N810" s="1" t="s">
        <v>4960</v>
      </c>
      <c r="O810" s="1" t="s">
        <v>87</v>
      </c>
      <c r="P810" s="1" t="s">
        <v>4961</v>
      </c>
      <c r="Q810" s="4">
        <v>0.93300000000000005</v>
      </c>
      <c r="R810" s="4">
        <v>0.56699999999999995</v>
      </c>
      <c r="S810" s="8">
        <v>3</v>
      </c>
      <c r="T810" s="1" t="s">
        <v>50</v>
      </c>
      <c r="U810" s="8">
        <v>15</v>
      </c>
      <c r="V810" s="8">
        <v>15</v>
      </c>
      <c r="W810" s="7">
        <v>1000</v>
      </c>
      <c r="X810" s="5">
        <v>0</v>
      </c>
      <c r="Y810" s="7">
        <v>4000000</v>
      </c>
      <c r="Z810" s="1"/>
      <c r="AA810" s="1"/>
      <c r="AB810" s="1"/>
      <c r="AC810" s="1"/>
      <c r="AD810" s="1"/>
      <c r="AE810" s="1" t="s">
        <v>51</v>
      </c>
      <c r="AF810" s="1" t="s">
        <v>51</v>
      </c>
      <c r="AG810" s="1" t="s">
        <v>51</v>
      </c>
      <c r="AH810" s="1"/>
      <c r="AI810" s="1"/>
      <c r="AJ810" s="3">
        <v>1</v>
      </c>
      <c r="AK810" s="1" t="s">
        <v>110</v>
      </c>
      <c r="AL810" s="3">
        <v>20</v>
      </c>
      <c r="AM810" s="8">
        <v>15.01</v>
      </c>
      <c r="AN810" s="1"/>
      <c r="AO810" s="1" t="s">
        <v>4962</v>
      </c>
      <c r="AP810" s="1" t="s">
        <v>4941</v>
      </c>
      <c r="AQ810" s="1" t="s">
        <v>4963</v>
      </c>
      <c r="AR810" s="1" t="s">
        <v>4964</v>
      </c>
    </row>
    <row r="811">
      <c r="A811" s="2">
        <f ca="1">DATE(2002,01,18)</f>
        <v>0</v>
      </c>
      <c r="B811" s="2">
        <f ca="1">DATE(2002,03,25)</f>
        <v>0</v>
      </c>
      <c r="C811" s="1" t="s">
        <v>4965</v>
      </c>
      <c r="D811" s="3">
        <v>6726</v>
      </c>
      <c r="E811" s="1" t="s">
        <v>43</v>
      </c>
      <c r="F811" s="1" t="s">
        <v>4966</v>
      </c>
      <c r="G811" s="1" t="s">
        <v>4332</v>
      </c>
      <c r="H811" s="4">
        <v>0.67500000000000004</v>
      </c>
      <c r="I811" s="4">
        <v>4.5</v>
      </c>
      <c r="J811" s="5">
        <v>30</v>
      </c>
      <c r="K811" s="4">
        <v>15</v>
      </c>
      <c r="L811" s="1" t="s">
        <v>4422</v>
      </c>
      <c r="M811" s="1" t="s">
        <v>47</v>
      </c>
      <c r="N811" s="1" t="s">
        <v>4967</v>
      </c>
      <c r="O811" s="1" t="s">
        <v>87</v>
      </c>
      <c r="P811" s="1" t="s">
        <v>4968</v>
      </c>
      <c r="Q811" s="4">
        <v>0.93300000000000005</v>
      </c>
      <c r="R811" s="4">
        <v>0.56699999999999995</v>
      </c>
      <c r="S811" s="8">
        <v>3</v>
      </c>
      <c r="T811" s="1" t="s">
        <v>50</v>
      </c>
      <c r="U811" s="8">
        <v>15</v>
      </c>
      <c r="V811" s="8">
        <v>15</v>
      </c>
      <c r="W811" s="7">
        <v>1000</v>
      </c>
      <c r="X811" s="5">
        <v>0</v>
      </c>
      <c r="Y811" s="7">
        <v>2000000</v>
      </c>
      <c r="Z811" s="1"/>
      <c r="AA811" s="2">
        <f ca="1">DATE(2002,09,21)</f>
        <v>0</v>
      </c>
      <c r="AB811" s="1"/>
      <c r="AC811" s="3">
        <v>180</v>
      </c>
      <c r="AD811" s="1"/>
      <c r="AE811" s="1" t="s">
        <v>51</v>
      </c>
      <c r="AF811" s="1" t="s">
        <v>51</v>
      </c>
      <c r="AG811" s="1" t="s">
        <v>51</v>
      </c>
      <c r="AH811" s="1"/>
      <c r="AI811" s="1"/>
      <c r="AJ811" s="3">
        <v>1</v>
      </c>
      <c r="AK811" s="1" t="s">
        <v>52</v>
      </c>
      <c r="AL811" s="3">
        <v>8</v>
      </c>
      <c r="AM811" s="8">
        <v>15.09</v>
      </c>
      <c r="AN811" s="1"/>
      <c r="AO811" s="1" t="s">
        <v>4969</v>
      </c>
      <c r="AP811" s="1" t="s">
        <v>4332</v>
      </c>
      <c r="AQ811" s="1" t="s">
        <v>4970</v>
      </c>
      <c r="AR811" s="1" t="s">
        <v>4971</v>
      </c>
    </row>
    <row r="812">
      <c r="A812" s="2">
        <f ca="1">DATE(2001,10,19)</f>
        <v>0</v>
      </c>
      <c r="B812" s="2">
        <f ca="1">DATE(2002,03,25)</f>
        <v>0</v>
      </c>
      <c r="C812" s="1" t="s">
        <v>4972</v>
      </c>
      <c r="D812" s="3">
        <v>6726</v>
      </c>
      <c r="E812" s="1" t="s">
        <v>43</v>
      </c>
      <c r="F812" s="1" t="s">
        <v>4973</v>
      </c>
      <c r="G812" s="1" t="s">
        <v>4332</v>
      </c>
      <c r="H812" s="4">
        <v>0.67500000000000004</v>
      </c>
      <c r="I812" s="4">
        <v>4.5</v>
      </c>
      <c r="J812" s="5">
        <v>49.899999999999999</v>
      </c>
      <c r="K812" s="4">
        <v>15</v>
      </c>
      <c r="L812" s="1" t="s">
        <v>4422</v>
      </c>
      <c r="M812" s="1" t="s">
        <v>47</v>
      </c>
      <c r="N812" s="1" t="s">
        <v>4974</v>
      </c>
      <c r="O812" s="1" t="s">
        <v>87</v>
      </c>
      <c r="P812" s="1" t="s">
        <v>4975</v>
      </c>
      <c r="Q812" s="4">
        <v>0.93300000000000005</v>
      </c>
      <c r="R812" s="4">
        <v>0.56699999999999995</v>
      </c>
      <c r="S812" s="8">
        <v>3</v>
      </c>
      <c r="T812" s="1" t="s">
        <v>50</v>
      </c>
      <c r="U812" s="8">
        <v>15</v>
      </c>
      <c r="V812" s="8">
        <v>15</v>
      </c>
      <c r="W812" s="7">
        <v>1000</v>
      </c>
      <c r="X812" s="5">
        <v>0</v>
      </c>
      <c r="Y812" s="7">
        <v>3325000</v>
      </c>
      <c r="Z812" s="1"/>
      <c r="AA812" s="1"/>
      <c r="AB812" s="1"/>
      <c r="AC812" s="1"/>
      <c r="AD812" s="1"/>
      <c r="AE812" s="1" t="s">
        <v>51</v>
      </c>
      <c r="AF812" s="1" t="s">
        <v>51</v>
      </c>
      <c r="AG812" s="1" t="s">
        <v>51</v>
      </c>
      <c r="AH812" s="1"/>
      <c r="AI812" s="1"/>
      <c r="AJ812" s="3">
        <v>1</v>
      </c>
      <c r="AK812" s="1" t="s">
        <v>110</v>
      </c>
      <c r="AL812" s="3">
        <v>9</v>
      </c>
      <c r="AM812" s="8">
        <v>15</v>
      </c>
      <c r="AN812" s="1"/>
      <c r="AO812" s="1" t="s">
        <v>4976</v>
      </c>
      <c r="AP812" s="1" t="s">
        <v>4941</v>
      </c>
      <c r="AQ812" s="1" t="s">
        <v>4977</v>
      </c>
      <c r="AR812" s="1" t="s">
        <v>4978</v>
      </c>
    </row>
    <row r="813">
      <c r="A813" s="2">
        <f ca="1">DATE(2001,12,19)</f>
        <v>0</v>
      </c>
      <c r="B813" s="2">
        <f ca="1">DATE(2002,03,25)</f>
        <v>0</v>
      </c>
      <c r="C813" s="1" t="s">
        <v>4979</v>
      </c>
      <c r="D813" s="3">
        <v>6726</v>
      </c>
      <c r="E813" s="1" t="s">
        <v>43</v>
      </c>
      <c r="F813" s="1" t="s">
        <v>4980</v>
      </c>
      <c r="G813" s="1" t="s">
        <v>45</v>
      </c>
      <c r="H813" s="4">
        <v>0.67500000000000004</v>
      </c>
      <c r="I813" s="4">
        <v>4.5</v>
      </c>
      <c r="J813" s="5">
        <v>150</v>
      </c>
      <c r="K813" s="4">
        <v>15</v>
      </c>
      <c r="L813" s="1" t="s">
        <v>4422</v>
      </c>
      <c r="M813" s="1" t="s">
        <v>47</v>
      </c>
      <c r="N813" s="3">
        <v>957664105</v>
      </c>
      <c r="O813" s="1" t="s">
        <v>108</v>
      </c>
      <c r="P813" s="1" t="s">
        <v>4981</v>
      </c>
      <c r="Q813" s="4">
        <v>0.93300000000000005</v>
      </c>
      <c r="R813" s="4">
        <v>0.56699999999999995</v>
      </c>
      <c r="S813" s="8">
        <v>3</v>
      </c>
      <c r="T813" s="1" t="s">
        <v>50</v>
      </c>
      <c r="U813" s="8">
        <v>15</v>
      </c>
      <c r="V813" s="8">
        <v>15</v>
      </c>
      <c r="W813" s="7">
        <v>1000</v>
      </c>
      <c r="X813" s="5">
        <v>0</v>
      </c>
      <c r="Y813" s="7">
        <v>10000000</v>
      </c>
      <c r="Z813" s="1"/>
      <c r="AA813" s="1"/>
      <c r="AB813" s="1"/>
      <c r="AC813" s="1"/>
      <c r="AD813" s="1"/>
      <c r="AE813" s="1" t="s">
        <v>51</v>
      </c>
      <c r="AF813" s="1" t="s">
        <v>51</v>
      </c>
      <c r="AG813" s="1" t="s">
        <v>51</v>
      </c>
      <c r="AH813" s="1"/>
      <c r="AI813" s="1"/>
      <c r="AJ813" s="3">
        <v>1</v>
      </c>
      <c r="AK813" s="1" t="s">
        <v>89</v>
      </c>
      <c r="AL813" s="3">
        <v>10</v>
      </c>
      <c r="AM813" s="8">
        <v>15</v>
      </c>
      <c r="AN813" s="1"/>
      <c r="AO813" s="1" t="s">
        <v>4982</v>
      </c>
      <c r="AP813" s="1" t="s">
        <v>4983</v>
      </c>
      <c r="AQ813" s="1" t="s">
        <v>4984</v>
      </c>
      <c r="AR813" s="1" t="s">
        <v>4985</v>
      </c>
    </row>
    <row r="814">
      <c r="A814" s="2">
        <f ca="1">DATE(2002,01,16)</f>
        <v>0</v>
      </c>
      <c r="B814" s="2">
        <f ca="1">DATE(2002,03,27)</f>
        <v>0</v>
      </c>
      <c r="C814" s="1" t="s">
        <v>4986</v>
      </c>
      <c r="D814" s="3">
        <v>3841</v>
      </c>
      <c r="E814" s="1" t="s">
        <v>43</v>
      </c>
      <c r="F814" s="1" t="s">
        <v>4987</v>
      </c>
      <c r="G814" s="1" t="s">
        <v>796</v>
      </c>
      <c r="H814" s="4">
        <v>0.83999999999999997</v>
      </c>
      <c r="I814" s="8">
        <v>7</v>
      </c>
      <c r="J814" s="5">
        <v>100.09999999999999</v>
      </c>
      <c r="K814" s="4">
        <v>12</v>
      </c>
      <c r="L814" s="1" t="s">
        <v>46</v>
      </c>
      <c r="M814" s="1" t="s">
        <v>47</v>
      </c>
      <c r="N814" s="1" t="s">
        <v>4988</v>
      </c>
      <c r="O814" s="1" t="s">
        <v>48</v>
      </c>
      <c r="P814" s="1" t="s">
        <v>4989</v>
      </c>
      <c r="Q814" s="4">
        <v>1.417</v>
      </c>
      <c r="R814" s="4">
        <v>1.417</v>
      </c>
      <c r="S814" s="6">
        <v>4.1666699999999999</v>
      </c>
      <c r="T814" s="1" t="s">
        <v>50</v>
      </c>
      <c r="U814" s="1"/>
      <c r="V814" s="1"/>
      <c r="W814" s="1"/>
      <c r="X814" s="5">
        <v>138</v>
      </c>
      <c r="Y814" s="7">
        <v>8340000</v>
      </c>
      <c r="Z814" s="1"/>
      <c r="AA814" s="2">
        <f ca="1">DATE(2002,09,22)</f>
        <v>0</v>
      </c>
      <c r="AB814" s="4">
        <v>64.778000000000006</v>
      </c>
      <c r="AC814" s="3">
        <v>180</v>
      </c>
      <c r="AD814" s="8">
        <v>16853881</v>
      </c>
      <c r="AE814" s="1" t="s">
        <v>51</v>
      </c>
      <c r="AF814" s="1" t="s">
        <v>51</v>
      </c>
      <c r="AG814" s="1" t="s">
        <v>51</v>
      </c>
      <c r="AH814" s="1"/>
      <c r="AI814" s="1"/>
      <c r="AJ814" s="3">
        <v>1</v>
      </c>
      <c r="AK814" s="1" t="s">
        <v>89</v>
      </c>
      <c r="AL814" s="3">
        <v>4</v>
      </c>
      <c r="AM814" s="8">
        <v>13</v>
      </c>
      <c r="AN814" s="1"/>
      <c r="AO814" s="1" t="s">
        <v>4990</v>
      </c>
      <c r="AP814" s="1" t="s">
        <v>4991</v>
      </c>
      <c r="AQ814" s="1" t="s">
        <v>4992</v>
      </c>
      <c r="AR814" s="1" t="s">
        <v>4993</v>
      </c>
    </row>
    <row r="815">
      <c r="A815" s="2">
        <f ca="1">DATE(1999,09,01)</f>
        <v>0</v>
      </c>
      <c r="B815" s="2">
        <f ca="1">DATE(2002,04,09)</f>
        <v>0</v>
      </c>
      <c r="C815" s="1" t="s">
        <v>4994</v>
      </c>
      <c r="D815" s="3">
        <v>6211</v>
      </c>
      <c r="E815" s="1" t="s">
        <v>43</v>
      </c>
      <c r="F815" s="1" t="s">
        <v>4995</v>
      </c>
      <c r="G815" s="1" t="s">
        <v>4996</v>
      </c>
      <c r="H815" s="4">
        <v>0.41999999999999998</v>
      </c>
      <c r="I815" s="8">
        <v>7</v>
      </c>
      <c r="J815" s="5">
        <v>6</v>
      </c>
      <c r="K815" s="4">
        <v>6</v>
      </c>
      <c r="L815" s="1" t="s">
        <v>46</v>
      </c>
      <c r="M815" s="1" t="s">
        <v>47</v>
      </c>
      <c r="N815" s="3">
        <v>291658102</v>
      </c>
      <c r="O815" s="1" t="s">
        <v>87</v>
      </c>
      <c r="P815" s="1" t="s">
        <v>4997</v>
      </c>
      <c r="Q815" s="4">
        <v>1.3999999999999999</v>
      </c>
      <c r="R815" s="4">
        <v>1.3999999999999999</v>
      </c>
      <c r="S815" s="8">
        <v>4.2000000000000002</v>
      </c>
      <c r="T815" s="1" t="s">
        <v>50</v>
      </c>
      <c r="U815" s="8">
        <v>15</v>
      </c>
      <c r="V815" s="8">
        <v>10</v>
      </c>
      <c r="W815" s="7">
        <v>2000000</v>
      </c>
      <c r="X815" s="5">
        <v>25</v>
      </c>
      <c r="Y815" s="7">
        <v>1000000</v>
      </c>
      <c r="Z815" s="1"/>
      <c r="AA815" s="2">
        <f ca="1">DATE(2002,10,06)</f>
        <v>0</v>
      </c>
      <c r="AB815" s="4">
        <v>80</v>
      </c>
      <c r="AC815" s="3">
        <v>180</v>
      </c>
      <c r="AD815" s="8">
        <v>4000000</v>
      </c>
      <c r="AE815" s="1" t="s">
        <v>51</v>
      </c>
      <c r="AF815" s="1" t="s">
        <v>51</v>
      </c>
      <c r="AG815" s="1" t="s">
        <v>51</v>
      </c>
      <c r="AH815" s="1"/>
      <c r="AI815" s="1"/>
      <c r="AJ815" s="3">
        <v>1</v>
      </c>
      <c r="AK815" s="1" t="s">
        <v>52</v>
      </c>
      <c r="AL815" s="3">
        <v>2</v>
      </c>
      <c r="AM815" s="1"/>
      <c r="AN815" s="1"/>
      <c r="AO815" s="1" t="s">
        <v>4998</v>
      </c>
      <c r="AP815" s="1" t="s">
        <v>4996</v>
      </c>
      <c r="AQ815" s="1" t="s">
        <v>4999</v>
      </c>
      <c r="AR815" s="1" t="s">
        <v>5000</v>
      </c>
    </row>
    <row r="816">
      <c r="A816" s="2">
        <f ca="1">DATE(2002,02,12)</f>
        <v>0</v>
      </c>
      <c r="B816" s="2">
        <f ca="1">DATE(2002,04,11)</f>
        <v>0</v>
      </c>
      <c r="C816" s="1" t="s">
        <v>5001</v>
      </c>
      <c r="D816" s="3">
        <v>4512</v>
      </c>
      <c r="E816" s="1" t="s">
        <v>43</v>
      </c>
      <c r="F816" s="1" t="s">
        <v>5002</v>
      </c>
      <c r="G816" s="1" t="s">
        <v>796</v>
      </c>
      <c r="H816" s="4">
        <v>1.8899999999999999</v>
      </c>
      <c r="I816" s="8">
        <v>7</v>
      </c>
      <c r="J816" s="5">
        <v>158.40000000000001</v>
      </c>
      <c r="K816" s="4">
        <v>27</v>
      </c>
      <c r="L816" s="1" t="s">
        <v>46</v>
      </c>
      <c r="M816" s="1" t="s">
        <v>47</v>
      </c>
      <c r="N816" s="3">
        <v>477143101</v>
      </c>
      <c r="O816" s="1" t="s">
        <v>48</v>
      </c>
      <c r="P816" s="1" t="s">
        <v>5003</v>
      </c>
      <c r="Q816" s="4">
        <v>1.407</v>
      </c>
      <c r="R816" s="4">
        <v>1.0369999999999999</v>
      </c>
      <c r="S816" s="6">
        <v>4.5555599999999998</v>
      </c>
      <c r="T816" s="1" t="s">
        <v>50</v>
      </c>
      <c r="U816" s="1"/>
      <c r="V816" s="1"/>
      <c r="W816" s="7">
        <v>5500000</v>
      </c>
      <c r="X816" s="1"/>
      <c r="Y816" s="7">
        <v>5866667</v>
      </c>
      <c r="Z816" s="1"/>
      <c r="AA816" s="2">
        <f ca="1">DATE(2002,10,08)</f>
        <v>0</v>
      </c>
      <c r="AB816" s="4">
        <v>80.688000000000002</v>
      </c>
      <c r="AC816" s="3">
        <v>180</v>
      </c>
      <c r="AD816" s="8">
        <v>33038234</v>
      </c>
      <c r="AE816" s="1" t="s">
        <v>51</v>
      </c>
      <c r="AF816" s="1" t="s">
        <v>51</v>
      </c>
      <c r="AG816" s="1" t="s">
        <v>47</v>
      </c>
      <c r="AH816" s="1"/>
      <c r="AI816" s="1"/>
      <c r="AJ816" s="3">
        <v>1</v>
      </c>
      <c r="AK816" s="1" t="s">
        <v>89</v>
      </c>
      <c r="AL816" s="3">
        <v>4</v>
      </c>
      <c r="AM816" s="8">
        <v>45</v>
      </c>
      <c r="AN816" s="1"/>
      <c r="AO816" s="1" t="s">
        <v>5004</v>
      </c>
      <c r="AP816" s="1" t="s">
        <v>4103</v>
      </c>
      <c r="AQ816" s="1" t="s">
        <v>5005</v>
      </c>
      <c r="AR816" s="1" t="s">
        <v>5006</v>
      </c>
    </row>
    <row r="817">
      <c r="A817" s="2">
        <f ca="1">DATE(2000,06,15)</f>
        <v>0</v>
      </c>
      <c r="B817" s="2">
        <f ca="1">DATE(2002,04,12)</f>
        <v>0</v>
      </c>
      <c r="C817" s="1" t="s">
        <v>5007</v>
      </c>
      <c r="D817" s="3">
        <v>2836</v>
      </c>
      <c r="E817" s="1" t="s">
        <v>43</v>
      </c>
      <c r="F817" s="1" t="s">
        <v>5008</v>
      </c>
      <c r="G817" s="1" t="s">
        <v>1583</v>
      </c>
      <c r="H817" s="4">
        <v>0.69999999999999996</v>
      </c>
      <c r="I817" s="8">
        <v>7</v>
      </c>
      <c r="J817" s="5">
        <v>260</v>
      </c>
      <c r="K817" s="4">
        <v>10</v>
      </c>
      <c r="L817" s="1" t="s">
        <v>46</v>
      </c>
      <c r="M817" s="1" t="s">
        <v>47</v>
      </c>
      <c r="N817" s="3">
        <v>762537108</v>
      </c>
      <c r="O817" s="1" t="s">
        <v>108</v>
      </c>
      <c r="P817" s="1" t="s">
        <v>5009</v>
      </c>
      <c r="Q817" s="4">
        <v>1.5</v>
      </c>
      <c r="R817" s="4">
        <v>1.5</v>
      </c>
      <c r="S817" s="8">
        <v>4</v>
      </c>
      <c r="T817" s="1" t="s">
        <v>50</v>
      </c>
      <c r="U817" s="1"/>
      <c r="V817" s="1"/>
      <c r="W817" s="1"/>
      <c r="X817" s="5">
        <v>250</v>
      </c>
      <c r="Y817" s="1"/>
      <c r="Z817" s="7">
        <v>26000000</v>
      </c>
      <c r="AA817" s="2">
        <f ca="1">DATE(2002,10,09)</f>
        <v>0</v>
      </c>
      <c r="AB817" s="4">
        <v>82.667000000000002</v>
      </c>
      <c r="AC817" s="3">
        <v>180</v>
      </c>
      <c r="AD817" s="8">
        <v>124000000</v>
      </c>
      <c r="AE817" s="1" t="s">
        <v>51</v>
      </c>
      <c r="AF817" s="1" t="s">
        <v>51</v>
      </c>
      <c r="AG817" s="1" t="s">
        <v>51</v>
      </c>
      <c r="AH817" s="1"/>
      <c r="AI817" s="1"/>
      <c r="AJ817" s="3">
        <v>1</v>
      </c>
      <c r="AK817" s="1" t="s">
        <v>52</v>
      </c>
      <c r="AL817" s="3">
        <v>3</v>
      </c>
      <c r="AM817" s="8">
        <v>10.800000000000001</v>
      </c>
      <c r="AN817" s="1"/>
      <c r="AO817" s="1" t="s">
        <v>5010</v>
      </c>
      <c r="AP817" s="1" t="s">
        <v>1583</v>
      </c>
      <c r="AQ817" s="1" t="s">
        <v>2948</v>
      </c>
      <c r="AR817" s="1" t="s">
        <v>2949</v>
      </c>
    </row>
    <row r="818">
      <c r="A818" s="2">
        <f ca="1">DATE(2001,07,10)</f>
        <v>0</v>
      </c>
      <c r="B818" s="2">
        <f ca="1">DATE(2002,04,17)</f>
        <v>0</v>
      </c>
      <c r="C818" s="1" t="s">
        <v>5011</v>
      </c>
      <c r="D818" s="3">
        <v>4512</v>
      </c>
      <c r="E818" s="1" t="s">
        <v>43</v>
      </c>
      <c r="F818" s="1" t="s">
        <v>5012</v>
      </c>
      <c r="G818" s="1" t="s">
        <v>4332</v>
      </c>
      <c r="H818" s="4">
        <v>1.02</v>
      </c>
      <c r="I818" s="4">
        <v>6.375</v>
      </c>
      <c r="J818" s="5">
        <v>480</v>
      </c>
      <c r="K818" s="4">
        <v>16</v>
      </c>
      <c r="L818" s="1" t="s">
        <v>46</v>
      </c>
      <c r="M818" s="1" t="s">
        <v>47</v>
      </c>
      <c r="N818" s="1" t="s">
        <v>5013</v>
      </c>
      <c r="O818" s="1" t="s">
        <v>108</v>
      </c>
      <c r="P818" s="1" t="s">
        <v>5014</v>
      </c>
      <c r="Q818" s="1" t="s">
        <v>145</v>
      </c>
      <c r="R818" s="1" t="s">
        <v>145</v>
      </c>
      <c r="S818" s="1"/>
      <c r="T818" s="1" t="s">
        <v>50</v>
      </c>
      <c r="U818" s="1"/>
      <c r="V818" s="1"/>
      <c r="W818" s="1"/>
      <c r="X818" s="5">
        <v>320</v>
      </c>
      <c r="Y818" s="7">
        <v>10000000</v>
      </c>
      <c r="Z818" s="7">
        <v>20000000</v>
      </c>
      <c r="AA818" s="2">
        <f ca="1">DATE(2002,10,14)</f>
        <v>0</v>
      </c>
      <c r="AB818" s="4">
        <v>53.125</v>
      </c>
      <c r="AC818" s="3">
        <v>180</v>
      </c>
      <c r="AD818" s="8">
        <v>34000000</v>
      </c>
      <c r="AE818" s="1" t="s">
        <v>51</v>
      </c>
      <c r="AF818" s="1" t="s">
        <v>51</v>
      </c>
      <c r="AG818" s="1" t="s">
        <v>51</v>
      </c>
      <c r="AH818" s="1"/>
      <c r="AI818" s="1"/>
      <c r="AJ818" s="3">
        <v>1</v>
      </c>
      <c r="AK818" s="1" t="s">
        <v>89</v>
      </c>
      <c r="AL818" s="3">
        <v>6</v>
      </c>
      <c r="AM818" s="8">
        <v>16</v>
      </c>
      <c r="AN818" s="1"/>
      <c r="AO818" s="1" t="s">
        <v>5015</v>
      </c>
      <c r="AP818" s="1" t="s">
        <v>5016</v>
      </c>
      <c r="AQ818" s="1" t="s">
        <v>5017</v>
      </c>
      <c r="AR818" s="1" t="s">
        <v>5018</v>
      </c>
    </row>
    <row r="819">
      <c r="A819" s="2">
        <f ca="1">DATE(2002,02,08)</f>
        <v>0</v>
      </c>
      <c r="B819" s="2">
        <f ca="1">DATE(2002,04,17)</f>
        <v>0</v>
      </c>
      <c r="C819" s="1" t="s">
        <v>5019</v>
      </c>
      <c r="D819" s="3">
        <v>7361</v>
      </c>
      <c r="E819" s="1" t="s">
        <v>43</v>
      </c>
      <c r="F819" s="1"/>
      <c r="G819" s="1" t="s">
        <v>5020</v>
      </c>
      <c r="H819" s="4">
        <v>1.3300000000000001</v>
      </c>
      <c r="I819" s="4">
        <v>7</v>
      </c>
      <c r="J819" s="5">
        <v>148.40000000000001</v>
      </c>
      <c r="K819" s="4">
        <v>19</v>
      </c>
      <c r="L819" s="1" t="s">
        <v>46</v>
      </c>
      <c r="M819" s="1" t="s">
        <v>47</v>
      </c>
      <c r="N819" s="1" t="s">
        <v>5021</v>
      </c>
      <c r="O819" s="1"/>
      <c r="P819" s="1" t="s">
        <v>5022</v>
      </c>
      <c r="Q819" s="4">
        <v>1.421</v>
      </c>
      <c r="R819" s="4">
        <v>1.421</v>
      </c>
      <c r="S819" s="6">
        <v>4.1578900000000001</v>
      </c>
      <c r="T819" s="1" t="s">
        <v>50</v>
      </c>
      <c r="U819" s="1"/>
      <c r="V819" s="1"/>
      <c r="W819" s="1"/>
      <c r="X819" s="5">
        <v>143.80000000000001</v>
      </c>
      <c r="Y819" s="7">
        <v>7812500</v>
      </c>
      <c r="Z819" s="1"/>
      <c r="AA819" s="2">
        <f ca="1">DATE(2002,10,14)</f>
        <v>0</v>
      </c>
      <c r="AB819" s="4">
        <v>72.980999999999995</v>
      </c>
      <c r="AC819" s="3">
        <v>180</v>
      </c>
      <c r="AD819" s="8">
        <v>21102192</v>
      </c>
      <c r="AE819" s="1" t="s">
        <v>51</v>
      </c>
      <c r="AF819" s="1" t="s">
        <v>51</v>
      </c>
      <c r="AG819" s="1" t="s">
        <v>51</v>
      </c>
      <c r="AH819" s="1"/>
      <c r="AI819" s="1" t="s">
        <v>5023</v>
      </c>
      <c r="AJ819" s="3">
        <v>2</v>
      </c>
      <c r="AK819" s="1" t="s">
        <v>89</v>
      </c>
      <c r="AL819" s="3">
        <v>4</v>
      </c>
      <c r="AM819" s="8">
        <v>21.5</v>
      </c>
      <c r="AN819" s="1"/>
      <c r="AO819" s="1" t="s">
        <v>5024</v>
      </c>
      <c r="AP819" s="1" t="s">
        <v>5025</v>
      </c>
      <c r="AQ819" s="1" t="s">
        <v>5026</v>
      </c>
      <c r="AR819" s="1" t="s">
        <v>5027</v>
      </c>
    </row>
    <row r="820">
      <c r="A820" s="2">
        <f ca="1">DATE(2001,09,07)</f>
        <v>0</v>
      </c>
      <c r="B820" s="2">
        <f ca="1">DATE(2002,04,23)</f>
        <v>0</v>
      </c>
      <c r="C820" s="1" t="s">
        <v>5028</v>
      </c>
      <c r="D820" s="3">
        <v>6798</v>
      </c>
      <c r="E820" s="1" t="s">
        <v>43</v>
      </c>
      <c r="F820" s="1" t="s">
        <v>5029</v>
      </c>
      <c r="G820" s="1" t="s">
        <v>45</v>
      </c>
      <c r="H820" s="4">
        <v>1.5629999999999999</v>
      </c>
      <c r="I820" s="4">
        <v>6.25</v>
      </c>
      <c r="J820" s="5">
        <v>429.69999999999999</v>
      </c>
      <c r="K820" s="4">
        <v>25</v>
      </c>
      <c r="L820" s="1" t="s">
        <v>46</v>
      </c>
      <c r="M820" s="1" t="s">
        <v>47</v>
      </c>
      <c r="N820" s="1" t="s">
        <v>5030</v>
      </c>
      <c r="O820" s="1" t="s">
        <v>108</v>
      </c>
      <c r="P820" s="1" t="s">
        <v>5031</v>
      </c>
      <c r="Q820" s="4">
        <v>1.28</v>
      </c>
      <c r="R820" s="4">
        <v>1.1699999999999999</v>
      </c>
      <c r="S820" s="8">
        <v>3.7999999999999998</v>
      </c>
      <c r="T820" s="1" t="s">
        <v>50</v>
      </c>
      <c r="U820" s="1"/>
      <c r="V820" s="1"/>
      <c r="W820" s="1"/>
      <c r="X820" s="1"/>
      <c r="Y820" s="7">
        <v>13368600</v>
      </c>
      <c r="Z820" s="7">
        <v>3819600</v>
      </c>
      <c r="AA820" s="2">
        <f ca="1">DATE(2002,10,20)</f>
        <v>0</v>
      </c>
      <c r="AB820" s="4">
        <v>55.048999999999999</v>
      </c>
      <c r="AC820" s="3">
        <v>180</v>
      </c>
      <c r="AD820" s="8">
        <v>23268652</v>
      </c>
      <c r="AE820" s="1" t="s">
        <v>51</v>
      </c>
      <c r="AF820" s="1" t="s">
        <v>51</v>
      </c>
      <c r="AG820" s="1" t="s">
        <v>51</v>
      </c>
      <c r="AH820" s="1"/>
      <c r="AI820" s="1"/>
      <c r="AJ820" s="3">
        <v>1</v>
      </c>
      <c r="AK820" s="1" t="s">
        <v>52</v>
      </c>
      <c r="AL820" s="3">
        <v>6</v>
      </c>
      <c r="AM820" s="8">
        <v>25.050000000000001</v>
      </c>
      <c r="AN820" s="1"/>
      <c r="AO820" s="1" t="s">
        <v>5032</v>
      </c>
      <c r="AP820" s="1" t="s">
        <v>45</v>
      </c>
      <c r="AQ820" s="1" t="s">
        <v>5033</v>
      </c>
      <c r="AR820" s="1" t="s">
        <v>5034</v>
      </c>
    </row>
    <row r="821">
      <c r="A821" s="2">
        <f ca="1">DATE(2001,09,07)</f>
        <v>0</v>
      </c>
      <c r="B821" s="2">
        <f ca="1">DATE(2002,04,23)</f>
        <v>0</v>
      </c>
      <c r="C821" s="1" t="s">
        <v>5028</v>
      </c>
      <c r="D821" s="3">
        <v>6798</v>
      </c>
      <c r="E821" s="1" t="s">
        <v>43</v>
      </c>
      <c r="F821" s="1" t="s">
        <v>5029</v>
      </c>
      <c r="G821" s="1" t="s">
        <v>45</v>
      </c>
      <c r="H821" s="4">
        <v>1.5629999999999999</v>
      </c>
      <c r="I821" s="4">
        <v>6.25</v>
      </c>
      <c r="J821" s="5">
        <v>20.300000000000001</v>
      </c>
      <c r="K821" s="8">
        <v>25</v>
      </c>
      <c r="L821" s="1" t="s">
        <v>58</v>
      </c>
      <c r="M821" s="1" t="s">
        <v>47</v>
      </c>
      <c r="N821" s="1" t="s">
        <v>5030</v>
      </c>
      <c r="O821" s="1" t="s">
        <v>108</v>
      </c>
      <c r="P821" s="1" t="s">
        <v>5035</v>
      </c>
      <c r="Q821" s="4">
        <v>1.28</v>
      </c>
      <c r="R821" s="4">
        <v>1.1699999999999999</v>
      </c>
      <c r="S821" s="8">
        <v>3.7999999999999998</v>
      </c>
      <c r="T821" s="1" t="s">
        <v>60</v>
      </c>
      <c r="U821" s="1"/>
      <c r="V821" s="1"/>
      <c r="W821" s="1"/>
      <c r="X821" s="1"/>
      <c r="Y821" s="7">
        <v>631400</v>
      </c>
      <c r="Z821" s="7">
        <v>180400</v>
      </c>
      <c r="AA821" s="1"/>
      <c r="AB821" s="1"/>
      <c r="AC821" s="3">
        <v>180</v>
      </c>
      <c r="AD821" s="8">
        <v>23268652</v>
      </c>
      <c r="AE821" s="1" t="s">
        <v>51</v>
      </c>
      <c r="AF821" s="1" t="s">
        <v>51</v>
      </c>
      <c r="AG821" s="1" t="s">
        <v>51</v>
      </c>
      <c r="AH821" s="1"/>
      <c r="AI821" s="1"/>
      <c r="AJ821" s="3">
        <v>1</v>
      </c>
      <c r="AK821" s="1" t="s">
        <v>52</v>
      </c>
      <c r="AL821" s="3">
        <v>1</v>
      </c>
      <c r="AM821" s="1"/>
      <c r="AN821" s="1"/>
      <c r="AO821" s="1" t="s">
        <v>5036</v>
      </c>
      <c r="AP821" s="1" t="s">
        <v>45</v>
      </c>
      <c r="AQ821" s="1" t="s">
        <v>45</v>
      </c>
      <c r="AR821" s="1" t="s">
        <v>786</v>
      </c>
    </row>
    <row r="822">
      <c r="A822" s="2">
        <f ca="1">DATE(2002,01,28)</f>
        <v>0</v>
      </c>
      <c r="B822" s="2">
        <f ca="1">DATE(2002,04,24)</f>
        <v>0</v>
      </c>
      <c r="C822" s="1" t="s">
        <v>5037</v>
      </c>
      <c r="D822" s="3">
        <v>2836</v>
      </c>
      <c r="E822" s="1" t="s">
        <v>43</v>
      </c>
      <c r="F822" s="1" t="s">
        <v>5038</v>
      </c>
      <c r="G822" s="1" t="s">
        <v>5039</v>
      </c>
      <c r="H822" s="4">
        <v>0.91000000000000003</v>
      </c>
      <c r="I822" s="4">
        <v>7</v>
      </c>
      <c r="J822" s="5">
        <v>65</v>
      </c>
      <c r="K822" s="4">
        <v>13</v>
      </c>
      <c r="L822" s="1" t="s">
        <v>46</v>
      </c>
      <c r="M822" s="1" t="s">
        <v>47</v>
      </c>
      <c r="N822" s="3">
        <v>259858108</v>
      </c>
      <c r="O822" s="1" t="s">
        <v>67</v>
      </c>
      <c r="P822" s="1" t="s">
        <v>5040</v>
      </c>
      <c r="Q822" s="4">
        <v>1.3080000000000001</v>
      </c>
      <c r="R822" s="4">
        <v>1.462</v>
      </c>
      <c r="S822" s="6">
        <v>4.2307699999999997</v>
      </c>
      <c r="T822" s="1" t="s">
        <v>50</v>
      </c>
      <c r="U822" s="1"/>
      <c r="V822" s="1"/>
      <c r="W822" s="1"/>
      <c r="X822" s="5">
        <v>86.299999999999997</v>
      </c>
      <c r="Y822" s="7">
        <v>5000000</v>
      </c>
      <c r="Z822" s="1"/>
      <c r="AA822" s="1" t="s">
        <v>5041</v>
      </c>
      <c r="AB822" s="1" t="s">
        <v>5042</v>
      </c>
      <c r="AC822" s="1" t="s">
        <v>5043</v>
      </c>
      <c r="AD822" s="1" t="s">
        <v>5044</v>
      </c>
      <c r="AE822" s="1" t="s">
        <v>51</v>
      </c>
      <c r="AF822" s="1" t="s">
        <v>51</v>
      </c>
      <c r="AG822" s="1" t="s">
        <v>47</v>
      </c>
      <c r="AH822" s="1"/>
      <c r="AI822" s="1"/>
      <c r="AJ822" s="3">
        <v>2</v>
      </c>
      <c r="AK822" s="1" t="s">
        <v>89</v>
      </c>
      <c r="AL822" s="3">
        <v>4</v>
      </c>
      <c r="AM822" s="8">
        <v>8.6999999999999993</v>
      </c>
      <c r="AN822" s="1"/>
      <c r="AO822" s="1" t="s">
        <v>5045</v>
      </c>
      <c r="AP822" s="1" t="s">
        <v>5046</v>
      </c>
      <c r="AQ822" s="1" t="s">
        <v>5047</v>
      </c>
      <c r="AR822" s="1" t="s">
        <v>5048</v>
      </c>
    </row>
    <row r="823">
      <c r="A823" s="2">
        <f ca="1">DATE(2002,03,19)</f>
        <v>0</v>
      </c>
      <c r="B823" s="2">
        <f ca="1">DATE(2002,04,25)</f>
        <v>0</v>
      </c>
      <c r="C823" s="1" t="s">
        <v>5049</v>
      </c>
      <c r="D823" s="3">
        <v>6726</v>
      </c>
      <c r="E823" s="1" t="s">
        <v>43</v>
      </c>
      <c r="F823" s="1" t="s">
        <v>5050</v>
      </c>
      <c r="G823" s="1" t="s">
        <v>4332</v>
      </c>
      <c r="H823" s="4">
        <v>0.67500000000000004</v>
      </c>
      <c r="I823" s="4">
        <v>4.5</v>
      </c>
      <c r="J823" s="5">
        <v>20.100000000000001</v>
      </c>
      <c r="K823" s="4">
        <v>15</v>
      </c>
      <c r="L823" s="1" t="s">
        <v>4851</v>
      </c>
      <c r="M823" s="1" t="s">
        <v>47</v>
      </c>
      <c r="N823" s="1" t="s">
        <v>5051</v>
      </c>
      <c r="O823" s="1" t="s">
        <v>87</v>
      </c>
      <c r="P823" s="1" t="s">
        <v>5052</v>
      </c>
      <c r="Q823" s="4">
        <v>0.93300000000000005</v>
      </c>
      <c r="R823" s="4">
        <v>0.56699999999999995</v>
      </c>
      <c r="S823" s="8">
        <v>3</v>
      </c>
      <c r="T823" s="1" t="s">
        <v>50</v>
      </c>
      <c r="U823" s="8">
        <v>15</v>
      </c>
      <c r="V823" s="8">
        <v>15</v>
      </c>
      <c r="W823" s="7">
        <v>4000000</v>
      </c>
      <c r="X823" s="5">
        <v>60</v>
      </c>
      <c r="Y823" s="7">
        <v>1340000</v>
      </c>
      <c r="Z823" s="1"/>
      <c r="AA823" s="1"/>
      <c r="AB823" s="1"/>
      <c r="AC823" s="1"/>
      <c r="AD823" s="1"/>
      <c r="AE823" s="1" t="s">
        <v>51</v>
      </c>
      <c r="AF823" s="1" t="s">
        <v>51</v>
      </c>
      <c r="AG823" s="1" t="s">
        <v>51</v>
      </c>
      <c r="AH823" s="1"/>
      <c r="AI823" s="1"/>
      <c r="AJ823" s="3">
        <v>1</v>
      </c>
      <c r="AK823" s="1" t="s">
        <v>52</v>
      </c>
      <c r="AL823" s="3">
        <v>4</v>
      </c>
      <c r="AM823" s="8">
        <v>15</v>
      </c>
      <c r="AN823" s="1"/>
      <c r="AO823" s="1" t="s">
        <v>5053</v>
      </c>
      <c r="AP823" s="1" t="s">
        <v>4332</v>
      </c>
      <c r="AQ823" s="1" t="s">
        <v>5054</v>
      </c>
      <c r="AR823" s="1" t="s">
        <v>5055</v>
      </c>
    </row>
    <row r="824">
      <c r="A824" s="2">
        <f ca="1">DATE(2002,03,19)</f>
        <v>0</v>
      </c>
      <c r="B824" s="2">
        <f ca="1">DATE(2002,04,25)</f>
        <v>0</v>
      </c>
      <c r="C824" s="1" t="s">
        <v>5056</v>
      </c>
      <c r="D824" s="3">
        <v>6726</v>
      </c>
      <c r="E824" s="1" t="s">
        <v>43</v>
      </c>
      <c r="F824" s="1" t="s">
        <v>4429</v>
      </c>
      <c r="G824" s="1" t="s">
        <v>4332</v>
      </c>
      <c r="H824" s="4">
        <v>0.67500000000000004</v>
      </c>
      <c r="I824" s="4">
        <v>4.5</v>
      </c>
      <c r="J824" s="5">
        <v>30</v>
      </c>
      <c r="K824" s="4">
        <v>15</v>
      </c>
      <c r="L824" s="1" t="s">
        <v>4851</v>
      </c>
      <c r="M824" s="1" t="s">
        <v>47</v>
      </c>
      <c r="N824" s="1" t="s">
        <v>5057</v>
      </c>
      <c r="O824" s="1" t="s">
        <v>87</v>
      </c>
      <c r="P824" s="1" t="s">
        <v>5058</v>
      </c>
      <c r="Q824" s="4">
        <v>0.93300000000000005</v>
      </c>
      <c r="R824" s="4">
        <v>0.56699999999999995</v>
      </c>
      <c r="S824" s="8">
        <v>3</v>
      </c>
      <c r="T824" s="1" t="s">
        <v>50</v>
      </c>
      <c r="U824" s="8">
        <v>15</v>
      </c>
      <c r="V824" s="8">
        <v>15</v>
      </c>
      <c r="W824" s="7">
        <v>4000000</v>
      </c>
      <c r="X824" s="5">
        <v>60</v>
      </c>
      <c r="Y824" s="7">
        <v>2000000</v>
      </c>
      <c r="Z824" s="1"/>
      <c r="AA824" s="1"/>
      <c r="AB824" s="1"/>
      <c r="AC824" s="1"/>
      <c r="AD824" s="1"/>
      <c r="AE824" s="1" t="s">
        <v>51</v>
      </c>
      <c r="AF824" s="1" t="s">
        <v>51</v>
      </c>
      <c r="AG824" s="1" t="s">
        <v>51</v>
      </c>
      <c r="AH824" s="1"/>
      <c r="AI824" s="1"/>
      <c r="AJ824" s="3">
        <v>1</v>
      </c>
      <c r="AK824" s="1" t="s">
        <v>52</v>
      </c>
      <c r="AL824" s="3">
        <v>6</v>
      </c>
      <c r="AM824" s="8">
        <v>15</v>
      </c>
      <c r="AN824" s="1"/>
      <c r="AO824" s="1" t="s">
        <v>5059</v>
      </c>
      <c r="AP824" s="1" t="s">
        <v>4332</v>
      </c>
      <c r="AQ824" s="1" t="s">
        <v>5060</v>
      </c>
      <c r="AR824" s="1" t="s">
        <v>5061</v>
      </c>
    </row>
    <row r="825">
      <c r="A825" s="2">
        <f ca="1">DATE(2002,02,15)</f>
        <v>0</v>
      </c>
      <c r="B825" s="2">
        <f ca="1">DATE(2002,04,25)</f>
        <v>0</v>
      </c>
      <c r="C825" s="1" t="s">
        <v>5062</v>
      </c>
      <c r="D825" s="3">
        <v>6726</v>
      </c>
      <c r="E825" s="1" t="s">
        <v>43</v>
      </c>
      <c r="F825" s="1" t="s">
        <v>5063</v>
      </c>
      <c r="G825" s="1" t="s">
        <v>4332</v>
      </c>
      <c r="H825" s="4">
        <v>0.67500000000000004</v>
      </c>
      <c r="I825" s="4">
        <v>4.5</v>
      </c>
      <c r="J825" s="5">
        <v>140.09999999999999</v>
      </c>
      <c r="K825" s="4">
        <v>15</v>
      </c>
      <c r="L825" s="1" t="s">
        <v>4851</v>
      </c>
      <c r="M825" s="1" t="s">
        <v>47</v>
      </c>
      <c r="N825" s="1" t="s">
        <v>5064</v>
      </c>
      <c r="O825" s="1" t="s">
        <v>108</v>
      </c>
      <c r="P825" s="1" t="s">
        <v>5065</v>
      </c>
      <c r="Q825" s="4">
        <v>0.93300000000000005</v>
      </c>
      <c r="R825" s="4">
        <v>0.56699999999999995</v>
      </c>
      <c r="S825" s="8">
        <v>3</v>
      </c>
      <c r="T825" s="1" t="s">
        <v>50</v>
      </c>
      <c r="U825" s="8">
        <v>15</v>
      </c>
      <c r="V825" s="8">
        <v>15</v>
      </c>
      <c r="W825" s="7">
        <v>100000</v>
      </c>
      <c r="X825" s="5">
        <v>1.5</v>
      </c>
      <c r="Y825" s="7">
        <v>9340000</v>
      </c>
      <c r="Z825" s="1"/>
      <c r="AA825" s="2">
        <f ca="1">DATE(2002,10,22)</f>
        <v>0</v>
      </c>
      <c r="AB825" s="1"/>
      <c r="AC825" s="3">
        <v>180</v>
      </c>
      <c r="AD825" s="1"/>
      <c r="AE825" s="1" t="s">
        <v>51</v>
      </c>
      <c r="AF825" s="1" t="s">
        <v>51</v>
      </c>
      <c r="AG825" s="1" t="s">
        <v>51</v>
      </c>
      <c r="AH825" s="1"/>
      <c r="AI825" s="1"/>
      <c r="AJ825" s="3">
        <v>1</v>
      </c>
      <c r="AK825" s="1" t="s">
        <v>52</v>
      </c>
      <c r="AL825" s="3">
        <v>7</v>
      </c>
      <c r="AM825" s="8">
        <v>15</v>
      </c>
      <c r="AN825" s="1"/>
      <c r="AO825" s="1" t="s">
        <v>5066</v>
      </c>
      <c r="AP825" s="1" t="s">
        <v>4332</v>
      </c>
      <c r="AQ825" s="1" t="s">
        <v>5067</v>
      </c>
      <c r="AR825" s="1" t="s">
        <v>5068</v>
      </c>
    </row>
    <row r="826">
      <c r="A826" s="2">
        <f ca="1">DATE(2002,03,19)</f>
        <v>0</v>
      </c>
      <c r="B826" s="2">
        <f ca="1">DATE(2002,04,25)</f>
        <v>0</v>
      </c>
      <c r="C826" s="1" t="s">
        <v>5069</v>
      </c>
      <c r="D826" s="3">
        <v>6726</v>
      </c>
      <c r="E826" s="1" t="s">
        <v>43</v>
      </c>
      <c r="F826" s="1" t="s">
        <v>5070</v>
      </c>
      <c r="G826" s="1" t="s">
        <v>4332</v>
      </c>
      <c r="H826" s="4">
        <v>0.67500000000000004</v>
      </c>
      <c r="I826" s="4">
        <v>4.5</v>
      </c>
      <c r="J826" s="5">
        <v>45</v>
      </c>
      <c r="K826" s="4">
        <v>15</v>
      </c>
      <c r="L826" s="1" t="s">
        <v>4851</v>
      </c>
      <c r="M826" s="1" t="s">
        <v>47</v>
      </c>
      <c r="N826" s="1" t="s">
        <v>5071</v>
      </c>
      <c r="O826" s="1" t="s">
        <v>108</v>
      </c>
      <c r="P826" s="1" t="s">
        <v>5072</v>
      </c>
      <c r="Q826" s="4">
        <v>0.93300000000000005</v>
      </c>
      <c r="R826" s="4">
        <v>0.56699999999999995</v>
      </c>
      <c r="S826" s="8">
        <v>3</v>
      </c>
      <c r="T826" s="1" t="s">
        <v>50</v>
      </c>
      <c r="U826" s="8">
        <v>15</v>
      </c>
      <c r="V826" s="8">
        <v>15</v>
      </c>
      <c r="W826" s="7">
        <v>4000000</v>
      </c>
      <c r="X826" s="5">
        <v>60</v>
      </c>
      <c r="Y826" s="7">
        <v>3000000</v>
      </c>
      <c r="Z826" s="1"/>
      <c r="AA826" s="2">
        <f ca="1">DATE(2002,10,22)</f>
        <v>0</v>
      </c>
      <c r="AB826" s="1"/>
      <c r="AC826" s="3">
        <v>180</v>
      </c>
      <c r="AD826" s="1"/>
      <c r="AE826" s="1" t="s">
        <v>51</v>
      </c>
      <c r="AF826" s="1" t="s">
        <v>51</v>
      </c>
      <c r="AG826" s="1" t="s">
        <v>51</v>
      </c>
      <c r="AH826" s="1"/>
      <c r="AI826" s="1"/>
      <c r="AJ826" s="3">
        <v>1</v>
      </c>
      <c r="AK826" s="1" t="s">
        <v>52</v>
      </c>
      <c r="AL826" s="3">
        <v>4</v>
      </c>
      <c r="AM826" s="8">
        <v>15</v>
      </c>
      <c r="AN826" s="1"/>
      <c r="AO826" s="1" t="s">
        <v>5073</v>
      </c>
      <c r="AP826" s="1" t="s">
        <v>4332</v>
      </c>
      <c r="AQ826" s="1" t="s">
        <v>5054</v>
      </c>
      <c r="AR826" s="1" t="s">
        <v>5055</v>
      </c>
    </row>
    <row r="827">
      <c r="A827" s="2">
        <f ca="1">DATE(2002,03,19)</f>
        <v>0</v>
      </c>
      <c r="B827" s="2">
        <f ca="1">DATE(2002,04,25)</f>
        <v>0</v>
      </c>
      <c r="C827" s="1" t="s">
        <v>5074</v>
      </c>
      <c r="D827" s="3">
        <v>6726</v>
      </c>
      <c r="E827" s="1" t="s">
        <v>43</v>
      </c>
      <c r="F827" s="1" t="s">
        <v>5075</v>
      </c>
      <c r="G827" s="1" t="s">
        <v>4332</v>
      </c>
      <c r="H827" s="4">
        <v>0.67500000000000004</v>
      </c>
      <c r="I827" s="4">
        <v>4.5</v>
      </c>
      <c r="J827" s="5">
        <v>43.899999999999999</v>
      </c>
      <c r="K827" s="4">
        <v>15</v>
      </c>
      <c r="L827" s="1" t="s">
        <v>4851</v>
      </c>
      <c r="M827" s="1" t="s">
        <v>47</v>
      </c>
      <c r="N827" s="1" t="s">
        <v>5076</v>
      </c>
      <c r="O827" s="1" t="s">
        <v>108</v>
      </c>
      <c r="P827" s="1" t="s">
        <v>5077</v>
      </c>
      <c r="Q827" s="4">
        <v>0.93300000000000005</v>
      </c>
      <c r="R827" s="4">
        <v>0.56699999999999995</v>
      </c>
      <c r="S827" s="8">
        <v>3</v>
      </c>
      <c r="T827" s="1" t="s">
        <v>50</v>
      </c>
      <c r="U827" s="8">
        <v>15</v>
      </c>
      <c r="V827" s="8">
        <v>15</v>
      </c>
      <c r="W827" s="7">
        <v>4000000</v>
      </c>
      <c r="X827" s="5">
        <v>60</v>
      </c>
      <c r="Y827" s="7">
        <v>2925000</v>
      </c>
      <c r="Z827" s="1"/>
      <c r="AA827" s="2">
        <f ca="1">DATE(2002,10,22)</f>
        <v>0</v>
      </c>
      <c r="AB827" s="1"/>
      <c r="AC827" s="3">
        <v>180</v>
      </c>
      <c r="AD827" s="1"/>
      <c r="AE827" s="1" t="s">
        <v>51</v>
      </c>
      <c r="AF827" s="1" t="s">
        <v>51</v>
      </c>
      <c r="AG827" s="1" t="s">
        <v>51</v>
      </c>
      <c r="AH827" s="1"/>
      <c r="AI827" s="1"/>
      <c r="AJ827" s="3">
        <v>1</v>
      </c>
      <c r="AK827" s="1" t="s">
        <v>52</v>
      </c>
      <c r="AL827" s="3">
        <v>6</v>
      </c>
      <c r="AM827" s="8">
        <v>15</v>
      </c>
      <c r="AN827" s="1"/>
      <c r="AO827" s="1" t="s">
        <v>5078</v>
      </c>
      <c r="AP827" s="1" t="s">
        <v>4332</v>
      </c>
      <c r="AQ827" s="1" t="s">
        <v>5079</v>
      </c>
      <c r="AR827" s="1" t="s">
        <v>5080</v>
      </c>
    </row>
    <row r="828">
      <c r="A828" s="2">
        <f ca="1">DATE(2002,03,19)</f>
        <v>0</v>
      </c>
      <c r="B828" s="2">
        <f ca="1">DATE(2002,04,25)</f>
        <v>0</v>
      </c>
      <c r="C828" s="1" t="s">
        <v>5081</v>
      </c>
      <c r="D828" s="3">
        <v>6726</v>
      </c>
      <c r="E828" s="1" t="s">
        <v>43</v>
      </c>
      <c r="F828" s="1" t="s">
        <v>5082</v>
      </c>
      <c r="G828" s="1" t="s">
        <v>4332</v>
      </c>
      <c r="H828" s="4">
        <v>0.67500000000000004</v>
      </c>
      <c r="I828" s="4">
        <v>4.5</v>
      </c>
      <c r="J828" s="5">
        <v>26.399999999999999</v>
      </c>
      <c r="K828" s="4">
        <v>15</v>
      </c>
      <c r="L828" s="1" t="s">
        <v>4851</v>
      </c>
      <c r="M828" s="1" t="s">
        <v>47</v>
      </c>
      <c r="N828" s="1" t="s">
        <v>5083</v>
      </c>
      <c r="O828" s="1" t="s">
        <v>87</v>
      </c>
      <c r="P828" s="1" t="s">
        <v>5084</v>
      </c>
      <c r="Q828" s="4">
        <v>0.93300000000000005</v>
      </c>
      <c r="R828" s="4">
        <v>0.56699999999999995</v>
      </c>
      <c r="S828" s="8">
        <v>3</v>
      </c>
      <c r="T828" s="1" t="s">
        <v>50</v>
      </c>
      <c r="U828" s="8">
        <v>15</v>
      </c>
      <c r="V828" s="8">
        <v>15</v>
      </c>
      <c r="W828" s="7">
        <v>4000000</v>
      </c>
      <c r="X828" s="5">
        <v>60</v>
      </c>
      <c r="Y828" s="7">
        <v>1760000</v>
      </c>
      <c r="Z828" s="1"/>
      <c r="AA828" s="2">
        <f ca="1">DATE(2002,10,22)</f>
        <v>0</v>
      </c>
      <c r="AB828" s="1"/>
      <c r="AC828" s="3">
        <v>180</v>
      </c>
      <c r="AD828" s="1"/>
      <c r="AE828" s="1" t="s">
        <v>51</v>
      </c>
      <c r="AF828" s="1" t="s">
        <v>51</v>
      </c>
      <c r="AG828" s="1" t="s">
        <v>51</v>
      </c>
      <c r="AH828" s="1"/>
      <c r="AI828" s="1"/>
      <c r="AJ828" s="3">
        <v>1</v>
      </c>
      <c r="AK828" s="1" t="s">
        <v>52</v>
      </c>
      <c r="AL828" s="3">
        <v>5</v>
      </c>
      <c r="AM828" s="8">
        <v>15</v>
      </c>
      <c r="AN828" s="1"/>
      <c r="AO828" s="1" t="s">
        <v>5085</v>
      </c>
      <c r="AP828" s="1" t="s">
        <v>4332</v>
      </c>
      <c r="AQ828" s="1" t="s">
        <v>5086</v>
      </c>
      <c r="AR828" s="1" t="s">
        <v>5087</v>
      </c>
    </row>
    <row r="829">
      <c r="A829" s="2">
        <f ca="1">DATE(2002,02,15)</f>
        <v>0</v>
      </c>
      <c r="B829" s="2">
        <f ca="1">DATE(2002,04,25)</f>
        <v>0</v>
      </c>
      <c r="C829" s="1" t="s">
        <v>4248</v>
      </c>
      <c r="D829" s="3">
        <v>6726</v>
      </c>
      <c r="E829" s="1" t="s">
        <v>43</v>
      </c>
      <c r="F829" s="1" t="s">
        <v>5088</v>
      </c>
      <c r="G829" s="1" t="s">
        <v>4332</v>
      </c>
      <c r="H829" s="4">
        <v>0.67500000000000004</v>
      </c>
      <c r="I829" s="4">
        <v>4.5</v>
      </c>
      <c r="J829" s="5">
        <v>36.799999999999997</v>
      </c>
      <c r="K829" s="4">
        <v>15</v>
      </c>
      <c r="L829" s="1" t="s">
        <v>4851</v>
      </c>
      <c r="M829" s="1" t="s">
        <v>47</v>
      </c>
      <c r="N829" s="1" t="s">
        <v>5089</v>
      </c>
      <c r="O829" s="1" t="s">
        <v>108</v>
      </c>
      <c r="P829" s="1" t="s">
        <v>5090</v>
      </c>
      <c r="Q829" s="4">
        <v>0.93300000000000005</v>
      </c>
      <c r="R829" s="4">
        <v>0.56699999999999995</v>
      </c>
      <c r="S829" s="8">
        <v>3</v>
      </c>
      <c r="T829" s="1" t="s">
        <v>50</v>
      </c>
      <c r="U829" s="8">
        <v>15</v>
      </c>
      <c r="V829" s="8">
        <v>15</v>
      </c>
      <c r="W829" s="7">
        <v>4000000</v>
      </c>
      <c r="X829" s="5">
        <v>60</v>
      </c>
      <c r="Y829" s="7">
        <v>2450000</v>
      </c>
      <c r="Z829" s="1"/>
      <c r="AA829" s="2">
        <f ca="1">DATE(2002,10,22)</f>
        <v>0</v>
      </c>
      <c r="AB829" s="1"/>
      <c r="AC829" s="3">
        <v>180</v>
      </c>
      <c r="AD829" s="1"/>
      <c r="AE829" s="1" t="s">
        <v>51</v>
      </c>
      <c r="AF829" s="1" t="s">
        <v>51</v>
      </c>
      <c r="AG829" s="1" t="s">
        <v>51</v>
      </c>
      <c r="AH829" s="1"/>
      <c r="AI829" s="1"/>
      <c r="AJ829" s="3">
        <v>1</v>
      </c>
      <c r="AK829" s="1" t="s">
        <v>52</v>
      </c>
      <c r="AL829" s="3">
        <v>6</v>
      </c>
      <c r="AM829" s="8">
        <v>15</v>
      </c>
      <c r="AN829" s="1"/>
      <c r="AO829" s="1" t="s">
        <v>5091</v>
      </c>
      <c r="AP829" s="1" t="s">
        <v>4332</v>
      </c>
      <c r="AQ829" s="1" t="s">
        <v>5092</v>
      </c>
      <c r="AR829" s="1" t="s">
        <v>5093</v>
      </c>
    </row>
    <row r="830">
      <c r="A830" s="2">
        <f ca="1">DATE(2002,02,26)</f>
        <v>0</v>
      </c>
      <c r="B830" s="2">
        <f ca="1">DATE(2002,04,25)</f>
        <v>0</v>
      </c>
      <c r="C830" s="1" t="s">
        <v>5094</v>
      </c>
      <c r="D830" s="3">
        <v>6726</v>
      </c>
      <c r="E830" s="1" t="s">
        <v>43</v>
      </c>
      <c r="F830" s="1" t="s">
        <v>5095</v>
      </c>
      <c r="G830" s="1" t="s">
        <v>45</v>
      </c>
      <c r="H830" s="4">
        <v>0.67500000000000004</v>
      </c>
      <c r="I830" s="4">
        <v>4.5</v>
      </c>
      <c r="J830" s="5">
        <v>360</v>
      </c>
      <c r="K830" s="4">
        <v>15</v>
      </c>
      <c r="L830" s="1" t="s">
        <v>46</v>
      </c>
      <c r="M830" s="1" t="s">
        <v>47</v>
      </c>
      <c r="N830" s="1" t="s">
        <v>5096</v>
      </c>
      <c r="O830" s="1" t="s">
        <v>108</v>
      </c>
      <c r="P830" s="1" t="s">
        <v>5097</v>
      </c>
      <c r="Q830" s="4">
        <v>0.93300000000000005</v>
      </c>
      <c r="R830" s="4">
        <v>0.56699999999999995</v>
      </c>
      <c r="S830" s="8">
        <v>3</v>
      </c>
      <c r="T830" s="1" t="s">
        <v>50</v>
      </c>
      <c r="U830" s="8">
        <v>15</v>
      </c>
      <c r="V830" s="8">
        <v>15</v>
      </c>
      <c r="W830" s="7">
        <v>66667</v>
      </c>
      <c r="X830" s="5">
        <v>1</v>
      </c>
      <c r="Y830" s="7">
        <v>24000000</v>
      </c>
      <c r="Z830" s="1"/>
      <c r="AA830" s="2">
        <f ca="1">DATE(2002,10,22)</f>
        <v>0</v>
      </c>
      <c r="AB830" s="1"/>
      <c r="AC830" s="3">
        <v>180</v>
      </c>
      <c r="AD830" s="1"/>
      <c r="AE830" s="1" t="s">
        <v>51</v>
      </c>
      <c r="AF830" s="1" t="s">
        <v>51</v>
      </c>
      <c r="AG830" s="1" t="s">
        <v>51</v>
      </c>
      <c r="AH830" s="1"/>
      <c r="AI830" s="1"/>
      <c r="AJ830" s="3">
        <v>1</v>
      </c>
      <c r="AK830" s="1" t="s">
        <v>52</v>
      </c>
      <c r="AL830" s="3">
        <v>7</v>
      </c>
      <c r="AM830" s="8">
        <v>15</v>
      </c>
      <c r="AN830" s="1"/>
      <c r="AO830" s="1" t="s">
        <v>5098</v>
      </c>
      <c r="AP830" s="1" t="s">
        <v>45</v>
      </c>
      <c r="AQ830" s="1" t="s">
        <v>5099</v>
      </c>
      <c r="AR830" s="1" t="s">
        <v>5100</v>
      </c>
    </row>
    <row r="831">
      <c r="A831" s="2">
        <f ca="1">DATE(2001,09,27)</f>
        <v>0</v>
      </c>
      <c r="B831" s="2">
        <f ca="1">DATE(2002,04,29)</f>
        <v>0</v>
      </c>
      <c r="C831" s="1" t="s">
        <v>5101</v>
      </c>
      <c r="D831" s="3">
        <v>2911</v>
      </c>
      <c r="E831" s="1" t="s">
        <v>43</v>
      </c>
      <c r="F831" s="1" t="s">
        <v>5102</v>
      </c>
      <c r="G831" s="1" t="s">
        <v>796</v>
      </c>
      <c r="H831" s="4">
        <v>1.5</v>
      </c>
      <c r="I831" s="4">
        <v>6.25</v>
      </c>
      <c r="J831" s="5">
        <v>432</v>
      </c>
      <c r="K831" s="4">
        <v>24</v>
      </c>
      <c r="L831" s="1" t="s">
        <v>46</v>
      </c>
      <c r="M831" s="1" t="s">
        <v>47</v>
      </c>
      <c r="N831" s="1" t="s">
        <v>5103</v>
      </c>
      <c r="O831" s="1" t="s">
        <v>108</v>
      </c>
      <c r="P831" s="1" t="s">
        <v>5104</v>
      </c>
      <c r="Q831" s="4">
        <v>1.25</v>
      </c>
      <c r="R831" s="4">
        <v>0.91700000000000004</v>
      </c>
      <c r="S831" s="6">
        <v>4.0833300000000001</v>
      </c>
      <c r="T831" s="1" t="s">
        <v>50</v>
      </c>
      <c r="U831" s="1"/>
      <c r="V831" s="1"/>
      <c r="W831" s="1"/>
      <c r="X831" s="5">
        <v>300</v>
      </c>
      <c r="Y831" s="7">
        <v>18000000</v>
      </c>
      <c r="Z831" s="1"/>
      <c r="AA831" s="2">
        <f ca="1">DATE(2002,10,26)</f>
        <v>0</v>
      </c>
      <c r="AB831" s="4">
        <v>64.305000000000007</v>
      </c>
      <c r="AC831" s="3">
        <v>180</v>
      </c>
      <c r="AD831" s="8">
        <v>34320436</v>
      </c>
      <c r="AE831" s="1" t="s">
        <v>51</v>
      </c>
      <c r="AF831" s="1" t="s">
        <v>51</v>
      </c>
      <c r="AG831" s="1" t="s">
        <v>51</v>
      </c>
      <c r="AH831" s="1"/>
      <c r="AI831" s="1"/>
      <c r="AJ831" s="3">
        <v>1</v>
      </c>
      <c r="AK831" s="1" t="s">
        <v>89</v>
      </c>
      <c r="AL831" s="3">
        <v>6</v>
      </c>
      <c r="AM831" s="8">
        <v>28.25</v>
      </c>
      <c r="AN831" s="1"/>
      <c r="AO831" s="1" t="s">
        <v>5105</v>
      </c>
      <c r="AP831" s="1" t="s">
        <v>4289</v>
      </c>
      <c r="AQ831" s="1" t="s">
        <v>5106</v>
      </c>
      <c r="AR831" s="1" t="s">
        <v>5107</v>
      </c>
    </row>
    <row r="832">
      <c r="A832" s="2">
        <f ca="1">DATE(2002,02,20)</f>
        <v>0</v>
      </c>
      <c r="B832" s="2">
        <f ca="1">DATE(2002,05,02)</f>
        <v>0</v>
      </c>
      <c r="C832" s="1" t="s">
        <v>5108</v>
      </c>
      <c r="D832" s="3">
        <v>4833</v>
      </c>
      <c r="E832" s="1" t="s">
        <v>43</v>
      </c>
      <c r="F832" s="1" t="s">
        <v>5109</v>
      </c>
      <c r="G832" s="1" t="s">
        <v>5110</v>
      </c>
      <c r="H832" s="4">
        <v>1.375</v>
      </c>
      <c r="I832" s="4">
        <v>6.25</v>
      </c>
      <c r="J832" s="5">
        <v>374</v>
      </c>
      <c r="K832" s="4">
        <v>22</v>
      </c>
      <c r="L832" s="1" t="s">
        <v>152</v>
      </c>
      <c r="M832" s="1" t="s">
        <v>47</v>
      </c>
      <c r="N832" s="3">
        <v>532774106</v>
      </c>
      <c r="O832" s="1" t="s">
        <v>108</v>
      </c>
      <c r="P832" s="1" t="s">
        <v>5111</v>
      </c>
      <c r="Q832" s="4">
        <v>1.4770000000000001</v>
      </c>
      <c r="R832" s="4">
        <v>1.1819999999999999</v>
      </c>
      <c r="S832" s="6">
        <v>3.59091</v>
      </c>
      <c r="T832" s="1" t="s">
        <v>50</v>
      </c>
      <c r="U832" s="1"/>
      <c r="V832" s="1"/>
      <c r="W832" s="1"/>
      <c r="X832" s="5">
        <v>345</v>
      </c>
      <c r="Y832" s="7">
        <v>17000000</v>
      </c>
      <c r="Z832" s="1"/>
      <c r="AA832" s="2">
        <f ca="1">DATE(2002,10,29)</f>
        <v>0</v>
      </c>
      <c r="AB832" s="4">
        <v>64.256</v>
      </c>
      <c r="AC832" s="3">
        <v>180</v>
      </c>
      <c r="AD832" s="8">
        <v>30560672</v>
      </c>
      <c r="AE832" s="1" t="s">
        <v>51</v>
      </c>
      <c r="AF832" s="1" t="s">
        <v>51</v>
      </c>
      <c r="AG832" s="1" t="s">
        <v>51</v>
      </c>
      <c r="AH832" s="1"/>
      <c r="AI832" s="1"/>
      <c r="AJ832" s="3">
        <v>1</v>
      </c>
      <c r="AK832" s="1" t="s">
        <v>52</v>
      </c>
      <c r="AL832" s="3">
        <v>5</v>
      </c>
      <c r="AM832" s="8">
        <v>25</v>
      </c>
      <c r="AN832" s="1"/>
      <c r="AO832" s="1" t="s">
        <v>5112</v>
      </c>
      <c r="AP832" s="1" t="s">
        <v>5110</v>
      </c>
      <c r="AQ832" s="1" t="s">
        <v>5113</v>
      </c>
      <c r="AR832" s="1" t="s">
        <v>5114</v>
      </c>
    </row>
    <row r="833">
      <c r="A833" s="2">
        <f ca="1">DATE(2002,02,22)</f>
        <v>0</v>
      </c>
      <c r="B833" s="2">
        <f ca="1">DATE(2002,05,06)</f>
        <v>0</v>
      </c>
      <c r="C833" s="1" t="s">
        <v>5115</v>
      </c>
      <c r="D833" s="3">
        <v>3841</v>
      </c>
      <c r="E833" s="1" t="s">
        <v>43</v>
      </c>
      <c r="F833" s="1" t="s">
        <v>5116</v>
      </c>
      <c r="G833" s="1" t="s">
        <v>349</v>
      </c>
      <c r="H833" s="4">
        <v>0.48999999999999999</v>
      </c>
      <c r="I833" s="8">
        <v>7</v>
      </c>
      <c r="J833" s="5">
        <v>28</v>
      </c>
      <c r="K833" s="4">
        <v>7</v>
      </c>
      <c r="L833" s="1" t="s">
        <v>46</v>
      </c>
      <c r="M833" s="1" t="s">
        <v>47</v>
      </c>
      <c r="N833" s="3">
        <v>748773108</v>
      </c>
      <c r="O833" s="1" t="s">
        <v>48</v>
      </c>
      <c r="P833" s="1" t="s">
        <v>5117</v>
      </c>
      <c r="Q833" s="4">
        <v>1.4290000000000001</v>
      </c>
      <c r="R833" s="4">
        <v>1.714</v>
      </c>
      <c r="S833" s="6">
        <v>3.8571399999999998</v>
      </c>
      <c r="T833" s="1" t="s">
        <v>50</v>
      </c>
      <c r="U833" s="1"/>
      <c r="V833" s="1"/>
      <c r="W833" s="1"/>
      <c r="X833" s="5">
        <v>57.5</v>
      </c>
      <c r="Y833" s="7">
        <v>4000000</v>
      </c>
      <c r="Z833" s="1"/>
      <c r="AA833" s="2">
        <f ca="1">DATE(2002,11,02)</f>
        <v>0</v>
      </c>
      <c r="AB833" s="4">
        <v>54.018000000000001</v>
      </c>
      <c r="AC833" s="3">
        <v>180</v>
      </c>
      <c r="AD833" s="8">
        <v>6112989</v>
      </c>
      <c r="AE833" s="1" t="s">
        <v>51</v>
      </c>
      <c r="AF833" s="1" t="s">
        <v>51</v>
      </c>
      <c r="AG833" s="1" t="s">
        <v>47</v>
      </c>
      <c r="AH833" s="1"/>
      <c r="AI833" s="1"/>
      <c r="AJ833" s="3">
        <v>1</v>
      </c>
      <c r="AK833" s="1" t="s">
        <v>52</v>
      </c>
      <c r="AL833" s="3">
        <v>2</v>
      </c>
      <c r="AM833" s="8">
        <v>7.1900000000000004</v>
      </c>
      <c r="AN833" s="1"/>
      <c r="AO833" s="1" t="s">
        <v>5118</v>
      </c>
      <c r="AP833" s="1" t="s">
        <v>349</v>
      </c>
      <c r="AQ833" s="1" t="s">
        <v>5119</v>
      </c>
      <c r="AR833" s="1" t="s">
        <v>5120</v>
      </c>
    </row>
    <row r="834">
      <c r="A834" s="2">
        <f ca="1">DATE(2002,03,11)</f>
        <v>0</v>
      </c>
      <c r="B834" s="2">
        <f ca="1">DATE(2002,05,08)</f>
        <v>0</v>
      </c>
      <c r="C834" s="1" t="s">
        <v>5121</v>
      </c>
      <c r="D834" s="3">
        <v>7832</v>
      </c>
      <c r="E834" s="1" t="s">
        <v>43</v>
      </c>
      <c r="F834" s="1" t="s">
        <v>5122</v>
      </c>
      <c r="G834" s="1" t="s">
        <v>5123</v>
      </c>
      <c r="H834" s="4">
        <v>1.28</v>
      </c>
      <c r="I834" s="4">
        <v>6.7370000000000001</v>
      </c>
      <c r="J834" s="5">
        <v>309.30000000000001</v>
      </c>
      <c r="K834" s="4">
        <v>19</v>
      </c>
      <c r="L834" s="1" t="s">
        <v>46</v>
      </c>
      <c r="M834" s="1" t="s">
        <v>47</v>
      </c>
      <c r="N834" s="3">
        <v>758766109</v>
      </c>
      <c r="O834" s="1" t="s">
        <v>108</v>
      </c>
      <c r="P834" s="1" t="s">
        <v>5124</v>
      </c>
      <c r="Q834" s="4">
        <v>1.55</v>
      </c>
      <c r="R834" s="4">
        <v>1.3</v>
      </c>
      <c r="S834" s="8">
        <v>3.8999999999999999</v>
      </c>
      <c r="T834" s="1" t="s">
        <v>50</v>
      </c>
      <c r="U834" s="1"/>
      <c r="V834" s="1"/>
      <c r="W834" s="1"/>
      <c r="X834" s="5">
        <v>345</v>
      </c>
      <c r="Y834" s="7">
        <v>16279565</v>
      </c>
      <c r="Z834" s="1"/>
      <c r="AA834" s="2">
        <f ca="1">DATE(2002,11,04)</f>
        <v>0</v>
      </c>
      <c r="AB834" s="4">
        <v>86.236999999999995</v>
      </c>
      <c r="AC834" s="3">
        <v>180</v>
      </c>
      <c r="AD834" s="8">
        <v>112781532</v>
      </c>
      <c r="AE834" s="1" t="s">
        <v>51</v>
      </c>
      <c r="AF834" s="1" t="s">
        <v>51</v>
      </c>
      <c r="AG834" s="1" t="s">
        <v>51</v>
      </c>
      <c r="AH834" s="1"/>
      <c r="AI834" s="1"/>
      <c r="AJ834" s="3">
        <v>2</v>
      </c>
      <c r="AK834" s="1" t="s">
        <v>89</v>
      </c>
      <c r="AL834" s="3">
        <v>4</v>
      </c>
      <c r="AM834" s="8">
        <v>21.75</v>
      </c>
      <c r="AN834" s="1"/>
      <c r="AO834" s="1" t="s">
        <v>5125</v>
      </c>
      <c r="AP834" s="1" t="s">
        <v>5126</v>
      </c>
      <c r="AQ834" s="1" t="s">
        <v>5127</v>
      </c>
      <c r="AR834" s="1" t="s">
        <v>5128</v>
      </c>
    </row>
    <row r="835">
      <c r="A835" s="2">
        <f ca="1">DATE(2002,03,11)</f>
        <v>0</v>
      </c>
      <c r="B835" s="2">
        <f ca="1">DATE(2002,05,08)</f>
        <v>0</v>
      </c>
      <c r="C835" s="1" t="s">
        <v>5121</v>
      </c>
      <c r="D835" s="3">
        <v>7832</v>
      </c>
      <c r="E835" s="1" t="s">
        <v>43</v>
      </c>
      <c r="F835" s="1" t="s">
        <v>5122</v>
      </c>
      <c r="G835" s="1" t="s">
        <v>5123</v>
      </c>
      <c r="H835" s="4">
        <v>1.2829999999999999</v>
      </c>
      <c r="I835" s="4">
        <v>6.75</v>
      </c>
      <c r="J835" s="5">
        <v>32.700000000000003</v>
      </c>
      <c r="K835" s="8">
        <v>19</v>
      </c>
      <c r="L835" s="1" t="s">
        <v>5129</v>
      </c>
      <c r="M835" s="1" t="s">
        <v>47</v>
      </c>
      <c r="N835" s="3">
        <v>758766109</v>
      </c>
      <c r="O835" s="1" t="s">
        <v>108</v>
      </c>
      <c r="P835" s="1" t="s">
        <v>5130</v>
      </c>
      <c r="Q835" s="4">
        <v>1.55</v>
      </c>
      <c r="R835" s="4">
        <v>1.3</v>
      </c>
      <c r="S835" s="8">
        <v>3.8999999999999999</v>
      </c>
      <c r="T835" s="1" t="s">
        <v>60</v>
      </c>
      <c r="U835" s="1"/>
      <c r="V835" s="1"/>
      <c r="W835" s="1"/>
      <c r="X835" s="1"/>
      <c r="Y835" s="7">
        <v>1720435</v>
      </c>
      <c r="Z835" s="1"/>
      <c r="AA835" s="1"/>
      <c r="AB835" s="1"/>
      <c r="AC835" s="3">
        <v>180</v>
      </c>
      <c r="AD835" s="8">
        <v>112781532</v>
      </c>
      <c r="AE835" s="1" t="s">
        <v>51</v>
      </c>
      <c r="AF835" s="1" t="s">
        <v>51</v>
      </c>
      <c r="AG835" s="1" t="s">
        <v>51</v>
      </c>
      <c r="AH835" s="1"/>
      <c r="AI835" s="1"/>
      <c r="AJ835" s="3">
        <v>2</v>
      </c>
      <c r="AK835" s="1" t="s">
        <v>89</v>
      </c>
      <c r="AL835" s="3">
        <v>2</v>
      </c>
      <c r="AM835" s="1"/>
      <c r="AN835" s="1"/>
      <c r="AO835" s="1" t="s">
        <v>5131</v>
      </c>
      <c r="AP835" s="1" t="s">
        <v>5126</v>
      </c>
      <c r="AQ835" s="1" t="s">
        <v>5132</v>
      </c>
      <c r="AR835" s="1" t="s">
        <v>5133</v>
      </c>
    </row>
    <row r="836">
      <c r="A836" s="1"/>
      <c r="B836" s="2">
        <f ca="1">DATE(2002,05,09)</f>
        <v>0</v>
      </c>
      <c r="C836" s="1" t="s">
        <v>5134</v>
      </c>
      <c r="D836" s="3">
        <v>4941</v>
      </c>
      <c r="E836" s="1" t="s">
        <v>1445</v>
      </c>
      <c r="F836" s="1" t="s">
        <v>5135</v>
      </c>
      <c r="G836" s="1" t="s">
        <v>1583</v>
      </c>
      <c r="H836" s="4">
        <v>0.14499999999999999</v>
      </c>
      <c r="I836" s="4">
        <v>1.292</v>
      </c>
      <c r="J836" s="5">
        <v>58.899999999999999</v>
      </c>
      <c r="K836" s="4">
        <v>11.220000000000001</v>
      </c>
      <c r="L836" s="1" t="s">
        <v>651</v>
      </c>
      <c r="M836" s="1" t="s">
        <v>47</v>
      </c>
      <c r="N836" s="1"/>
      <c r="O836" s="1" t="s">
        <v>108</v>
      </c>
      <c r="P836" s="1" t="s">
        <v>5136</v>
      </c>
      <c r="Q836" s="4">
        <v>0.26700000000000002</v>
      </c>
      <c r="R836" s="4">
        <v>0.26700000000000002</v>
      </c>
      <c r="S836" s="6">
        <v>0.75758000000000003</v>
      </c>
      <c r="T836" s="1" t="s">
        <v>50</v>
      </c>
      <c r="U836" s="1"/>
      <c r="V836" s="1"/>
      <c r="W836" s="1"/>
      <c r="X836" s="1"/>
      <c r="Y836" s="1"/>
      <c r="Z836" s="7">
        <v>5247272</v>
      </c>
      <c r="AA836" s="2">
        <f ca="1">DATE(2002,11,05)</f>
        <v>0</v>
      </c>
      <c r="AB836" s="1"/>
      <c r="AC836" s="3">
        <v>180</v>
      </c>
      <c r="AD836" s="8">
        <v>95457271</v>
      </c>
      <c r="AE836" s="1" t="s">
        <v>47</v>
      </c>
      <c r="AF836" s="1" t="s">
        <v>51</v>
      </c>
      <c r="AG836" s="1" t="s">
        <v>51</v>
      </c>
      <c r="AH836" s="1"/>
      <c r="AI836" s="1"/>
      <c r="AJ836" s="3">
        <v>1</v>
      </c>
      <c r="AK836" s="1" t="s">
        <v>52</v>
      </c>
      <c r="AL836" s="3">
        <v>2</v>
      </c>
      <c r="AM836" s="8">
        <v>11.5</v>
      </c>
      <c r="AN836" s="1"/>
      <c r="AO836" s="1" t="s">
        <v>5137</v>
      </c>
      <c r="AP836" s="1" t="s">
        <v>1583</v>
      </c>
      <c r="AQ836" s="1" t="s">
        <v>5138</v>
      </c>
      <c r="AR836" s="1" t="s">
        <v>5139</v>
      </c>
    </row>
    <row r="837">
      <c r="A837" s="1"/>
      <c r="B837" s="2">
        <f ca="1">DATE(2002,05,09)</f>
        <v>0</v>
      </c>
      <c r="C837" s="1" t="s">
        <v>5134</v>
      </c>
      <c r="D837" s="3">
        <v>4941</v>
      </c>
      <c r="E837" s="1" t="s">
        <v>1445</v>
      </c>
      <c r="F837" s="1" t="s">
        <v>5135</v>
      </c>
      <c r="G837" s="1" t="s">
        <v>1583</v>
      </c>
      <c r="H837" s="4">
        <v>0.14499999999999999</v>
      </c>
      <c r="I837" s="4">
        <v>1.292</v>
      </c>
      <c r="J837" s="5">
        <v>26.399999999999999</v>
      </c>
      <c r="K837" s="4">
        <v>11.220000000000001</v>
      </c>
      <c r="L837" s="1" t="s">
        <v>651</v>
      </c>
      <c r="M837" s="1" t="s">
        <v>47</v>
      </c>
      <c r="N837" s="1" t="s">
        <v>5140</v>
      </c>
      <c r="O837" s="1" t="s">
        <v>108</v>
      </c>
      <c r="P837" s="1" t="s">
        <v>5136</v>
      </c>
      <c r="Q837" s="4">
        <v>0.26700000000000002</v>
      </c>
      <c r="R837" s="4">
        <v>0.26700000000000002</v>
      </c>
      <c r="S837" s="6">
        <v>0.75758000000000003</v>
      </c>
      <c r="T837" s="1" t="s">
        <v>50</v>
      </c>
      <c r="U837" s="1"/>
      <c r="V837" s="1"/>
      <c r="W837" s="1"/>
      <c r="X837" s="1"/>
      <c r="Y837" s="1"/>
      <c r="Z837" s="7">
        <v>2349650</v>
      </c>
      <c r="AA837" s="2">
        <f ca="1">DATE(2002,08,07)</f>
        <v>0</v>
      </c>
      <c r="AB837" s="1"/>
      <c r="AC837" s="3">
        <v>90</v>
      </c>
      <c r="AD837" s="8">
        <v>95457271</v>
      </c>
      <c r="AE837" s="1" t="s">
        <v>47</v>
      </c>
      <c r="AF837" s="1" t="s">
        <v>51</v>
      </c>
      <c r="AG837" s="1" t="s">
        <v>51</v>
      </c>
      <c r="AH837" s="1"/>
      <c r="AI837" s="1"/>
      <c r="AJ837" s="3">
        <v>1</v>
      </c>
      <c r="AK837" s="1" t="s">
        <v>52</v>
      </c>
      <c r="AL837" s="3">
        <v>2</v>
      </c>
      <c r="AM837" s="8">
        <v>11.5</v>
      </c>
      <c r="AN837" s="1"/>
      <c r="AO837" s="1" t="s">
        <v>5137</v>
      </c>
      <c r="AP837" s="1" t="s">
        <v>1583</v>
      </c>
      <c r="AQ837" s="1" t="s">
        <v>5138</v>
      </c>
      <c r="AR837" s="1" t="s">
        <v>5139</v>
      </c>
    </row>
    <row r="838">
      <c r="A838" s="2">
        <f ca="1">DATE(2002,04,08)</f>
        <v>0</v>
      </c>
      <c r="B838" s="2">
        <f ca="1">DATE(2002,05,09)</f>
        <v>0</v>
      </c>
      <c r="C838" s="1" t="s">
        <v>5134</v>
      </c>
      <c r="D838" s="3">
        <v>4941</v>
      </c>
      <c r="E838" s="1" t="s">
        <v>1445</v>
      </c>
      <c r="F838" s="1" t="s">
        <v>5135</v>
      </c>
      <c r="G838" s="1" t="s">
        <v>1583</v>
      </c>
      <c r="H838" s="4">
        <v>0.14499999999999999</v>
      </c>
      <c r="I838" s="4">
        <v>1.292</v>
      </c>
      <c r="J838" s="5">
        <v>2.8999999999999999</v>
      </c>
      <c r="K838" s="8">
        <v>11.220000000000001</v>
      </c>
      <c r="L838" s="1" t="s">
        <v>651</v>
      </c>
      <c r="M838" s="1" t="s">
        <v>47</v>
      </c>
      <c r="N838" s="1"/>
      <c r="O838" s="1" t="s">
        <v>108</v>
      </c>
      <c r="P838" s="1" t="s">
        <v>5136</v>
      </c>
      <c r="Q838" s="4">
        <v>0.26700000000000002</v>
      </c>
      <c r="R838" s="4">
        <v>0.26700000000000002</v>
      </c>
      <c r="S838" s="6">
        <v>0.75758000000000003</v>
      </c>
      <c r="T838" s="1" t="s">
        <v>60</v>
      </c>
      <c r="U838" s="1"/>
      <c r="V838" s="1"/>
      <c r="W838" s="1"/>
      <c r="X838" s="1"/>
      <c r="Y838" s="1"/>
      <c r="Z838" s="7">
        <v>261072</v>
      </c>
      <c r="AA838" s="1"/>
      <c r="AB838" s="1"/>
      <c r="AC838" s="3">
        <v>90</v>
      </c>
      <c r="AD838" s="8">
        <v>95457271</v>
      </c>
      <c r="AE838" s="1" t="s">
        <v>47</v>
      </c>
      <c r="AF838" s="1" t="s">
        <v>51</v>
      </c>
      <c r="AG838" s="1" t="s">
        <v>51</v>
      </c>
      <c r="AH838" s="1"/>
      <c r="AI838" s="1"/>
      <c r="AJ838" s="3">
        <v>1</v>
      </c>
      <c r="AK838" s="1" t="s">
        <v>52</v>
      </c>
      <c r="AL838" s="3">
        <v>2</v>
      </c>
      <c r="AM838" s="1"/>
      <c r="AN838" s="1"/>
      <c r="AO838" s="1" t="s">
        <v>5137</v>
      </c>
      <c r="AP838" s="1" t="s">
        <v>1583</v>
      </c>
      <c r="AQ838" s="1" t="s">
        <v>5138</v>
      </c>
      <c r="AR838" s="1" t="s">
        <v>5139</v>
      </c>
    </row>
    <row r="839">
      <c r="A839" s="2">
        <f ca="1">DATE(2002,04,08)</f>
        <v>0</v>
      </c>
      <c r="B839" s="2">
        <f ca="1">DATE(2002,05,09)</f>
        <v>0</v>
      </c>
      <c r="C839" s="1" t="s">
        <v>5134</v>
      </c>
      <c r="D839" s="3">
        <v>4941</v>
      </c>
      <c r="E839" s="1" t="s">
        <v>1445</v>
      </c>
      <c r="F839" s="1" t="s">
        <v>5135</v>
      </c>
      <c r="G839" s="1" t="s">
        <v>1583</v>
      </c>
      <c r="H839" s="4">
        <v>0.14499999999999999</v>
      </c>
      <c r="I839" s="4">
        <v>1.292</v>
      </c>
      <c r="J839" s="5">
        <v>39.299999999999997</v>
      </c>
      <c r="K839" s="8">
        <v>11.220000000000001</v>
      </c>
      <c r="L839" s="1" t="s">
        <v>651</v>
      </c>
      <c r="M839" s="1" t="s">
        <v>47</v>
      </c>
      <c r="N839" s="1" t="s">
        <v>5140</v>
      </c>
      <c r="O839" s="1" t="s">
        <v>108</v>
      </c>
      <c r="P839" s="1" t="s">
        <v>5136</v>
      </c>
      <c r="Q839" s="4">
        <v>0.26700000000000002</v>
      </c>
      <c r="R839" s="4">
        <v>0.26700000000000002</v>
      </c>
      <c r="S839" s="6">
        <v>0.75758000000000003</v>
      </c>
      <c r="T839" s="1" t="s">
        <v>60</v>
      </c>
      <c r="U839" s="1"/>
      <c r="V839" s="1"/>
      <c r="W839" s="1"/>
      <c r="X839" s="1"/>
      <c r="Y839" s="1"/>
      <c r="Z839" s="7">
        <v>3498182</v>
      </c>
      <c r="AA839" s="1"/>
      <c r="AB839" s="1"/>
      <c r="AC839" s="3">
        <v>180</v>
      </c>
      <c r="AD839" s="8">
        <v>95457271</v>
      </c>
      <c r="AE839" s="1" t="s">
        <v>47</v>
      </c>
      <c r="AF839" s="1" t="s">
        <v>51</v>
      </c>
      <c r="AG839" s="1" t="s">
        <v>51</v>
      </c>
      <c r="AH839" s="1"/>
      <c r="AI839" s="1"/>
      <c r="AJ839" s="3">
        <v>1</v>
      </c>
      <c r="AK839" s="1" t="s">
        <v>52</v>
      </c>
      <c r="AL839" s="3">
        <v>2</v>
      </c>
      <c r="AM839" s="1"/>
      <c r="AN839" s="1"/>
      <c r="AO839" s="1" t="s">
        <v>5137</v>
      </c>
      <c r="AP839" s="1" t="s">
        <v>1583</v>
      </c>
      <c r="AQ839" s="1" t="s">
        <v>5138</v>
      </c>
      <c r="AR839" s="1" t="s">
        <v>5139</v>
      </c>
    </row>
    <row r="840">
      <c r="A840" s="2">
        <f ca="1">DATE(2002,03,08)</f>
        <v>0</v>
      </c>
      <c r="B840" s="2">
        <f ca="1">DATE(2002,05,15)</f>
        <v>0</v>
      </c>
      <c r="C840" s="1" t="s">
        <v>5141</v>
      </c>
      <c r="D840" s="3">
        <v>5651</v>
      </c>
      <c r="E840" s="1" t="s">
        <v>43</v>
      </c>
      <c r="F840" s="1" t="s">
        <v>5142</v>
      </c>
      <c r="G840" s="1" t="s">
        <v>5143</v>
      </c>
      <c r="H840" s="4">
        <v>1.26</v>
      </c>
      <c r="I840" s="4">
        <v>7</v>
      </c>
      <c r="J840" s="5">
        <v>212.69999999999999</v>
      </c>
      <c r="K840" s="4">
        <v>18</v>
      </c>
      <c r="L840" s="1" t="s">
        <v>46</v>
      </c>
      <c r="M840" s="1" t="s">
        <v>47</v>
      </c>
      <c r="N840" s="1" t="s">
        <v>5144</v>
      </c>
      <c r="O840" s="1" t="s">
        <v>108</v>
      </c>
      <c r="P840" s="1" t="s">
        <v>5145</v>
      </c>
      <c r="Q840" s="4">
        <v>1.389</v>
      </c>
      <c r="R840" s="4">
        <v>1.389</v>
      </c>
      <c r="S840" s="6">
        <v>4.2222200000000001</v>
      </c>
      <c r="T840" s="1" t="s">
        <v>50</v>
      </c>
      <c r="U840" s="1"/>
      <c r="V840" s="1"/>
      <c r="W840" s="1"/>
      <c r="X840" s="1"/>
      <c r="Y840" s="7">
        <v>1829000</v>
      </c>
      <c r="Z840" s="7">
        <v>9987500</v>
      </c>
      <c r="AA840" s="2">
        <f ca="1">DATE(2002,11,11)</f>
        <v>0</v>
      </c>
      <c r="AB840" s="4">
        <v>63.279000000000003</v>
      </c>
      <c r="AC840" s="3">
        <v>180</v>
      </c>
      <c r="AD840" s="8">
        <v>21540507</v>
      </c>
      <c r="AE840" s="1" t="s">
        <v>51</v>
      </c>
      <c r="AF840" s="1" t="s">
        <v>51</v>
      </c>
      <c r="AG840" s="1" t="s">
        <v>51</v>
      </c>
      <c r="AH840" s="1"/>
      <c r="AI840" s="1"/>
      <c r="AJ840" s="3">
        <v>2</v>
      </c>
      <c r="AK840" s="1" t="s">
        <v>89</v>
      </c>
      <c r="AL840" s="3">
        <v>5</v>
      </c>
      <c r="AM840" s="8">
        <v>27.75</v>
      </c>
      <c r="AN840" s="1"/>
      <c r="AO840" s="1" t="s">
        <v>5146</v>
      </c>
      <c r="AP840" s="1" t="s">
        <v>4015</v>
      </c>
      <c r="AQ840" s="1" t="s">
        <v>5147</v>
      </c>
      <c r="AR840" s="1" t="s">
        <v>5148</v>
      </c>
    </row>
    <row r="841">
      <c r="A841" s="2">
        <f ca="1">DATE(2002,03,08)</f>
        <v>0</v>
      </c>
      <c r="B841" s="2">
        <f ca="1">DATE(2002,05,15)</f>
        <v>0</v>
      </c>
      <c r="C841" s="1" t="s">
        <v>5141</v>
      </c>
      <c r="D841" s="3">
        <v>5651</v>
      </c>
      <c r="E841" s="1" t="s">
        <v>43</v>
      </c>
      <c r="F841" s="1" t="s">
        <v>5142</v>
      </c>
      <c r="G841" s="1" t="s">
        <v>5143</v>
      </c>
      <c r="H841" s="4">
        <v>1.26</v>
      </c>
      <c r="I841" s="4">
        <v>7</v>
      </c>
      <c r="J841" s="5">
        <v>12.300000000000001</v>
      </c>
      <c r="K841" s="8">
        <v>18</v>
      </c>
      <c r="L841" s="1" t="s">
        <v>46</v>
      </c>
      <c r="M841" s="1" t="s">
        <v>47</v>
      </c>
      <c r="N841" s="1" t="s">
        <v>5144</v>
      </c>
      <c r="O841" s="1" t="s">
        <v>108</v>
      </c>
      <c r="P841" s="1" t="s">
        <v>5149</v>
      </c>
      <c r="Q841" s="4">
        <v>1.389</v>
      </c>
      <c r="R841" s="4">
        <v>1.389</v>
      </c>
      <c r="S841" s="6">
        <v>4.2222200000000001</v>
      </c>
      <c r="T841" s="1" t="s">
        <v>60</v>
      </c>
      <c r="U841" s="1"/>
      <c r="V841" s="1"/>
      <c r="W841" s="1"/>
      <c r="X841" s="1"/>
      <c r="Y841" s="7">
        <v>46000</v>
      </c>
      <c r="Z841" s="7">
        <v>637500</v>
      </c>
      <c r="AA841" s="1"/>
      <c r="AB841" s="1"/>
      <c r="AC841" s="3">
        <v>180</v>
      </c>
      <c r="AD841" s="8">
        <v>21540507</v>
      </c>
      <c r="AE841" s="1" t="s">
        <v>51</v>
      </c>
      <c r="AF841" s="1" t="s">
        <v>51</v>
      </c>
      <c r="AG841" s="1" t="s">
        <v>51</v>
      </c>
      <c r="AH841" s="1"/>
      <c r="AI841" s="1"/>
      <c r="AJ841" s="3">
        <v>2</v>
      </c>
      <c r="AK841" s="1" t="s">
        <v>89</v>
      </c>
      <c r="AL841" s="3">
        <v>2</v>
      </c>
      <c r="AM841" s="1"/>
      <c r="AN841" s="1"/>
      <c r="AO841" s="1" t="s">
        <v>5150</v>
      </c>
      <c r="AP841" s="1" t="s">
        <v>4015</v>
      </c>
      <c r="AQ841" s="1" t="s">
        <v>5151</v>
      </c>
      <c r="AR841" s="1" t="s">
        <v>5152</v>
      </c>
    </row>
    <row r="842">
      <c r="A842" s="2">
        <f ca="1">DATE(2002,02,11)</f>
        <v>0</v>
      </c>
      <c r="B842" s="2">
        <f ca="1">DATE(2002,05,15)</f>
        <v>0</v>
      </c>
      <c r="C842" s="1" t="s">
        <v>5153</v>
      </c>
      <c r="D842" s="3">
        <v>2326</v>
      </c>
      <c r="E842" s="1" t="s">
        <v>43</v>
      </c>
      <c r="F842" s="1"/>
      <c r="G842" s="1" t="s">
        <v>3299</v>
      </c>
      <c r="H842" s="4">
        <v>0.5</v>
      </c>
      <c r="I842" s="4">
        <v>10</v>
      </c>
      <c r="J842" s="5">
        <v>6</v>
      </c>
      <c r="K842" s="4">
        <v>5</v>
      </c>
      <c r="L842" s="1" t="s">
        <v>46</v>
      </c>
      <c r="M842" s="1" t="s">
        <v>47</v>
      </c>
      <c r="N842" s="3">
        <v>253134100</v>
      </c>
      <c r="O842" s="1"/>
      <c r="P842" s="1" t="s">
        <v>5154</v>
      </c>
      <c r="Q842" s="8">
        <v>4.4000000000000004</v>
      </c>
      <c r="R842" s="4">
        <v>1</v>
      </c>
      <c r="S842" s="8">
        <v>4.5999999999999996</v>
      </c>
      <c r="T842" s="1" t="s">
        <v>50</v>
      </c>
      <c r="U842" s="8">
        <v>5</v>
      </c>
      <c r="V842" s="8">
        <v>5</v>
      </c>
      <c r="W842" s="7">
        <v>1200000</v>
      </c>
      <c r="X842" s="5">
        <v>6</v>
      </c>
      <c r="Y842" s="7">
        <v>1200000</v>
      </c>
      <c r="Z842" s="1"/>
      <c r="AA842" s="2">
        <f ca="1">DATE(2003,05,11)</f>
        <v>0</v>
      </c>
      <c r="AB842" s="4">
        <v>100</v>
      </c>
      <c r="AC842" s="3">
        <v>360</v>
      </c>
      <c r="AD842" s="8">
        <v>2300000</v>
      </c>
      <c r="AE842" s="1" t="s">
        <v>51</v>
      </c>
      <c r="AF842" s="1" t="s">
        <v>51</v>
      </c>
      <c r="AG842" s="1" t="s">
        <v>51</v>
      </c>
      <c r="AH842" s="1"/>
      <c r="AI842" s="1"/>
      <c r="AJ842" s="3">
        <v>1</v>
      </c>
      <c r="AK842" s="1" t="s">
        <v>52</v>
      </c>
      <c r="AL842" s="3">
        <v>1</v>
      </c>
      <c r="AM842" s="8">
        <v>5.3700000000000001</v>
      </c>
      <c r="AN842" s="1"/>
      <c r="AO842" s="1" t="s">
        <v>5155</v>
      </c>
      <c r="AP842" s="1" t="s">
        <v>3299</v>
      </c>
      <c r="AQ842" s="1" t="s">
        <v>3299</v>
      </c>
      <c r="AR842" s="1" t="s">
        <v>3303</v>
      </c>
    </row>
    <row r="843">
      <c r="A843" s="2">
        <f ca="1">DATE(2002,02,07)</f>
        <v>0</v>
      </c>
      <c r="B843" s="2">
        <f ca="1">DATE(2002,05,15)</f>
        <v>0</v>
      </c>
      <c r="C843" s="1" t="s">
        <v>5156</v>
      </c>
      <c r="D843" s="3">
        <v>7373</v>
      </c>
      <c r="E843" s="1" t="s">
        <v>43</v>
      </c>
      <c r="F843" s="1" t="s">
        <v>5157</v>
      </c>
      <c r="G843" s="1" t="s">
        <v>813</v>
      </c>
      <c r="H843" s="4">
        <v>1.1200000000000001</v>
      </c>
      <c r="I843" s="4">
        <v>7</v>
      </c>
      <c r="J843" s="5">
        <v>72</v>
      </c>
      <c r="K843" s="4">
        <v>16</v>
      </c>
      <c r="L843" s="1" t="s">
        <v>46</v>
      </c>
      <c r="M843" s="1" t="s">
        <v>47</v>
      </c>
      <c r="N843" s="1" t="s">
        <v>5158</v>
      </c>
      <c r="O843" s="1" t="s">
        <v>48</v>
      </c>
      <c r="P843" s="1" t="s">
        <v>5159</v>
      </c>
      <c r="Q843" s="4">
        <v>1.375</v>
      </c>
      <c r="R843" s="4">
        <v>1.375</v>
      </c>
      <c r="S843" s="8">
        <v>4.25</v>
      </c>
      <c r="T843" s="1" t="s">
        <v>50</v>
      </c>
      <c r="U843" s="1"/>
      <c r="V843" s="1"/>
      <c r="W843" s="1"/>
      <c r="X843" s="5">
        <v>75</v>
      </c>
      <c r="Y843" s="7">
        <v>4500000</v>
      </c>
      <c r="Z843" s="1"/>
      <c r="AA843" s="2">
        <f ca="1">DATE(2002,11,11)</f>
        <v>0</v>
      </c>
      <c r="AB843" s="4">
        <v>80.373999999999995</v>
      </c>
      <c r="AC843" s="3">
        <v>180</v>
      </c>
      <c r="AD843" s="8">
        <v>18799968</v>
      </c>
      <c r="AE843" s="1" t="s">
        <v>51</v>
      </c>
      <c r="AF843" s="1" t="s">
        <v>51</v>
      </c>
      <c r="AG843" s="1" t="s">
        <v>51</v>
      </c>
      <c r="AH843" s="1" t="s">
        <v>5160</v>
      </c>
      <c r="AI843" s="1" t="s">
        <v>5161</v>
      </c>
      <c r="AJ843" s="3">
        <v>1</v>
      </c>
      <c r="AK843" s="1" t="s">
        <v>52</v>
      </c>
      <c r="AL843" s="3">
        <v>5</v>
      </c>
      <c r="AM843" s="8">
        <v>14.49</v>
      </c>
      <c r="AN843" s="1"/>
      <c r="AO843" s="1" t="s">
        <v>5162</v>
      </c>
      <c r="AP843" s="1" t="s">
        <v>813</v>
      </c>
      <c r="AQ843" s="1" t="s">
        <v>5163</v>
      </c>
      <c r="AR843" s="1" t="s">
        <v>5164</v>
      </c>
    </row>
    <row r="844">
      <c r="A844" s="2">
        <f ca="1">DATE(2002,03,04)</f>
        <v>0</v>
      </c>
      <c r="B844" s="2">
        <f ca="1">DATE(2002,05,17)</f>
        <v>0</v>
      </c>
      <c r="C844" s="1" t="s">
        <v>5165</v>
      </c>
      <c r="D844" s="3">
        <v>3841</v>
      </c>
      <c r="E844" s="1" t="s">
        <v>43</v>
      </c>
      <c r="F844" s="1" t="s">
        <v>5166</v>
      </c>
      <c r="G844" s="1" t="s">
        <v>282</v>
      </c>
      <c r="H844" s="4">
        <v>1.05</v>
      </c>
      <c r="I844" s="4">
        <v>7</v>
      </c>
      <c r="J844" s="5">
        <v>90</v>
      </c>
      <c r="K844" s="4">
        <v>15</v>
      </c>
      <c r="L844" s="1" t="s">
        <v>46</v>
      </c>
      <c r="M844" s="1" t="s">
        <v>47</v>
      </c>
      <c r="N844" s="3">
        <v>501577100</v>
      </c>
      <c r="O844" s="1" t="s">
        <v>48</v>
      </c>
      <c r="P844" s="1" t="s">
        <v>5167</v>
      </c>
      <c r="Q844" s="4">
        <v>1.333</v>
      </c>
      <c r="R844" s="4">
        <v>1.4670000000000001</v>
      </c>
      <c r="S844" s="8">
        <v>4.2000000000000002</v>
      </c>
      <c r="T844" s="1" t="s">
        <v>50</v>
      </c>
      <c r="U844" s="1"/>
      <c r="V844" s="1"/>
      <c r="W844" s="1"/>
      <c r="X844" s="5">
        <v>86.299999999999997</v>
      </c>
      <c r="Y844" s="7">
        <v>6000000</v>
      </c>
      <c r="Z844" s="1"/>
      <c r="AA844" s="2">
        <f ca="1">DATE(2002,11,13)</f>
        <v>0</v>
      </c>
      <c r="AB844" s="4">
        <v>83.168000000000006</v>
      </c>
      <c r="AC844" s="3">
        <v>180</v>
      </c>
      <c r="AD844" s="8">
        <v>29644750</v>
      </c>
      <c r="AE844" s="1" t="s">
        <v>51</v>
      </c>
      <c r="AF844" s="1" t="s">
        <v>51</v>
      </c>
      <c r="AG844" s="1" t="s">
        <v>47</v>
      </c>
      <c r="AH844" s="1"/>
      <c r="AI844" s="1"/>
      <c r="AJ844" s="3">
        <v>1</v>
      </c>
      <c r="AK844" s="1" t="s">
        <v>52</v>
      </c>
      <c r="AL844" s="3">
        <v>3</v>
      </c>
      <c r="AM844" s="8">
        <v>17.050000000000001</v>
      </c>
      <c r="AN844" s="1"/>
      <c r="AO844" s="1" t="s">
        <v>5168</v>
      </c>
      <c r="AP844" s="1" t="s">
        <v>282</v>
      </c>
      <c r="AQ844" s="1" t="s">
        <v>5169</v>
      </c>
      <c r="AR844" s="1" t="s">
        <v>5170</v>
      </c>
    </row>
    <row r="845">
      <c r="A845" s="2">
        <f ca="1">DATE(2002,03,21)</f>
        <v>0</v>
      </c>
      <c r="B845" s="2">
        <f ca="1">DATE(2002,05,21)</f>
        <v>0</v>
      </c>
      <c r="C845" s="1" t="s">
        <v>5171</v>
      </c>
      <c r="D845" s="3">
        <v>7372</v>
      </c>
      <c r="E845" s="1" t="s">
        <v>43</v>
      </c>
      <c r="F845" s="1" t="s">
        <v>5172</v>
      </c>
      <c r="G845" s="1" t="s">
        <v>2705</v>
      </c>
      <c r="H845" s="4">
        <v>1.155</v>
      </c>
      <c r="I845" s="4">
        <v>7</v>
      </c>
      <c r="J845" s="5">
        <v>49.5</v>
      </c>
      <c r="K845" s="4">
        <v>16.5</v>
      </c>
      <c r="L845" s="1" t="s">
        <v>46</v>
      </c>
      <c r="M845" s="1" t="s">
        <v>47</v>
      </c>
      <c r="N845" s="3">
        <v>205306103</v>
      </c>
      <c r="O845" s="1" t="s">
        <v>77</v>
      </c>
      <c r="P845" s="1" t="s">
        <v>5173</v>
      </c>
      <c r="Q845" s="4">
        <v>1.3999999999999999</v>
      </c>
      <c r="R845" s="4">
        <v>1.3999999999999999</v>
      </c>
      <c r="S845" s="8">
        <v>4.2000000000000002</v>
      </c>
      <c r="T845" s="1" t="s">
        <v>50</v>
      </c>
      <c r="U845" s="8">
        <v>18</v>
      </c>
      <c r="V845" s="8">
        <v>16</v>
      </c>
      <c r="W845" s="7">
        <v>3000000</v>
      </c>
      <c r="X845" s="5">
        <v>51</v>
      </c>
      <c r="Y845" s="7">
        <v>3000000</v>
      </c>
      <c r="Z845" s="1"/>
      <c r="AA845" s="2">
        <f ca="1">DATE(2002,11,16)</f>
        <v>0</v>
      </c>
      <c r="AB845" s="4">
        <v>71.396000000000001</v>
      </c>
      <c r="AC845" s="3">
        <v>180</v>
      </c>
      <c r="AD845" s="8">
        <v>7488000</v>
      </c>
      <c r="AE845" s="1" t="s">
        <v>51</v>
      </c>
      <c r="AF845" s="1" t="s">
        <v>51</v>
      </c>
      <c r="AG845" s="1" t="s">
        <v>51</v>
      </c>
      <c r="AH845" s="1"/>
      <c r="AI845" s="1"/>
      <c r="AJ845" s="3">
        <v>1</v>
      </c>
      <c r="AK845" s="1" t="s">
        <v>89</v>
      </c>
      <c r="AL845" s="3">
        <v>2</v>
      </c>
      <c r="AM845" s="8">
        <v>18.120000000000001</v>
      </c>
      <c r="AN845" s="1"/>
      <c r="AO845" s="1" t="s">
        <v>5174</v>
      </c>
      <c r="AP845" s="1" t="s">
        <v>5175</v>
      </c>
      <c r="AQ845" s="1" t="s">
        <v>5176</v>
      </c>
      <c r="AR845" s="1" t="s">
        <v>5177</v>
      </c>
    </row>
    <row r="846">
      <c r="A846" s="2">
        <f ca="1">DATE(2001,11,19)</f>
        <v>0</v>
      </c>
      <c r="B846" s="2">
        <f ca="1">DATE(2002,05,21)</f>
        <v>0</v>
      </c>
      <c r="C846" s="1" t="s">
        <v>5178</v>
      </c>
      <c r="D846" s="3">
        <v>3399</v>
      </c>
      <c r="E846" s="1" t="s">
        <v>43</v>
      </c>
      <c r="F846" s="1" t="s">
        <v>5179</v>
      </c>
      <c r="G846" s="1" t="s">
        <v>45</v>
      </c>
      <c r="H846" s="4">
        <v>1.05</v>
      </c>
      <c r="I846" s="4">
        <v>7</v>
      </c>
      <c r="J846" s="5">
        <v>64.299999999999997</v>
      </c>
      <c r="K846" s="4">
        <v>15</v>
      </c>
      <c r="L846" s="1" t="s">
        <v>46</v>
      </c>
      <c r="M846" s="1" t="s">
        <v>47</v>
      </c>
      <c r="N846" s="1" t="s">
        <v>5180</v>
      </c>
      <c r="O846" s="1" t="s">
        <v>48</v>
      </c>
      <c r="P846" s="1" t="s">
        <v>5181</v>
      </c>
      <c r="Q846" s="4">
        <v>1.3999999999999999</v>
      </c>
      <c r="R846" s="4">
        <v>1.3999999999999999</v>
      </c>
      <c r="S846" s="8">
        <v>4.2000000000000002</v>
      </c>
      <c r="T846" s="1" t="s">
        <v>50</v>
      </c>
      <c r="U846" s="1"/>
      <c r="V846" s="1"/>
      <c r="W846" s="1"/>
      <c r="X846" s="5">
        <v>120</v>
      </c>
      <c r="Y846" s="7">
        <v>4283500</v>
      </c>
      <c r="Z846" s="1"/>
      <c r="AA846" s="2">
        <f ca="1">DATE(2002,11,17)</f>
        <v>0</v>
      </c>
      <c r="AB846" s="4">
        <v>87.733999999999995</v>
      </c>
      <c r="AC846" s="3">
        <v>180</v>
      </c>
      <c r="AD846" s="8">
        <v>35764245</v>
      </c>
      <c r="AE846" s="1" t="s">
        <v>51</v>
      </c>
      <c r="AF846" s="1" t="s">
        <v>51</v>
      </c>
      <c r="AG846" s="1" t="s">
        <v>51</v>
      </c>
      <c r="AH846" s="1"/>
      <c r="AI846" s="1"/>
      <c r="AJ846" s="3">
        <v>1</v>
      </c>
      <c r="AK846" s="1" t="s">
        <v>52</v>
      </c>
      <c r="AL846" s="3">
        <v>3</v>
      </c>
      <c r="AM846" s="8">
        <v>15.029999999999999</v>
      </c>
      <c r="AN846" s="1"/>
      <c r="AO846" s="1" t="s">
        <v>5182</v>
      </c>
      <c r="AP846" s="1" t="s">
        <v>45</v>
      </c>
      <c r="AQ846" s="1" t="s">
        <v>5183</v>
      </c>
      <c r="AR846" s="1" t="s">
        <v>5184</v>
      </c>
    </row>
    <row r="847">
      <c r="A847" s="2">
        <f ca="1">DATE(2001,11,19)</f>
        <v>0</v>
      </c>
      <c r="B847" s="2">
        <f ca="1">DATE(2002,05,21)</f>
        <v>0</v>
      </c>
      <c r="C847" s="1" t="s">
        <v>5178</v>
      </c>
      <c r="D847" s="3">
        <v>3399</v>
      </c>
      <c r="E847" s="1" t="s">
        <v>43</v>
      </c>
      <c r="F847" s="1" t="s">
        <v>5179</v>
      </c>
      <c r="G847" s="1" t="s">
        <v>45</v>
      </c>
      <c r="H847" s="4">
        <v>1.05</v>
      </c>
      <c r="I847" s="4">
        <v>7</v>
      </c>
      <c r="J847" s="5">
        <v>10.699999999999999</v>
      </c>
      <c r="K847" s="8">
        <v>15</v>
      </c>
      <c r="L847" s="1" t="s">
        <v>46</v>
      </c>
      <c r="M847" s="1" t="s">
        <v>47</v>
      </c>
      <c r="N847" s="1" t="s">
        <v>5180</v>
      </c>
      <c r="O847" s="1" t="s">
        <v>48</v>
      </c>
      <c r="P847" s="1" t="s">
        <v>5185</v>
      </c>
      <c r="Q847" s="4">
        <v>1.3999999999999999</v>
      </c>
      <c r="R847" s="4">
        <v>1.3999999999999999</v>
      </c>
      <c r="S847" s="8">
        <v>4.2000000000000002</v>
      </c>
      <c r="T847" s="1" t="s">
        <v>60</v>
      </c>
      <c r="U847" s="1"/>
      <c r="V847" s="1"/>
      <c r="W847" s="1"/>
      <c r="X847" s="1"/>
      <c r="Y847" s="7">
        <v>716500</v>
      </c>
      <c r="Z847" s="1"/>
      <c r="AA847" s="1"/>
      <c r="AB847" s="1"/>
      <c r="AC847" s="3">
        <v>180</v>
      </c>
      <c r="AD847" s="8">
        <v>35764245</v>
      </c>
      <c r="AE847" s="1" t="s">
        <v>51</v>
      </c>
      <c r="AF847" s="1" t="s">
        <v>51</v>
      </c>
      <c r="AG847" s="1" t="s">
        <v>51</v>
      </c>
      <c r="AH847" s="1"/>
      <c r="AI847" s="1"/>
      <c r="AJ847" s="3">
        <v>1</v>
      </c>
      <c r="AK847" s="1" t="s">
        <v>52</v>
      </c>
      <c r="AL847" s="3">
        <v>1</v>
      </c>
      <c r="AM847" s="1"/>
      <c r="AN847" s="1"/>
      <c r="AO847" s="1" t="s">
        <v>5186</v>
      </c>
      <c r="AP847" s="1" t="s">
        <v>45</v>
      </c>
      <c r="AQ847" s="1" t="s">
        <v>45</v>
      </c>
      <c r="AR847" s="1" t="s">
        <v>786</v>
      </c>
    </row>
    <row r="848">
      <c r="A848" s="2">
        <f ca="1">DATE(2002,01,31)</f>
        <v>0</v>
      </c>
      <c r="B848" s="2">
        <f ca="1">DATE(2002,05,21)</f>
        <v>0</v>
      </c>
      <c r="C848" s="1" t="s">
        <v>5187</v>
      </c>
      <c r="D848" s="3">
        <v>1311</v>
      </c>
      <c r="E848" s="1" t="s">
        <v>43</v>
      </c>
      <c r="F848" s="1" t="s">
        <v>5188</v>
      </c>
      <c r="G848" s="1" t="s">
        <v>4145</v>
      </c>
      <c r="H848" s="4">
        <v>1.4350000000000001</v>
      </c>
      <c r="I848" s="4">
        <v>7</v>
      </c>
      <c r="J848" s="5">
        <v>43.100000000000001</v>
      </c>
      <c r="K848" s="4">
        <v>20.5</v>
      </c>
      <c r="L848" s="1" t="s">
        <v>31</v>
      </c>
      <c r="M848" s="1" t="s">
        <v>47</v>
      </c>
      <c r="N848" s="3">
        <v>570759100</v>
      </c>
      <c r="O848" s="1" t="s">
        <v>108</v>
      </c>
      <c r="P848" s="1" t="s">
        <v>5189</v>
      </c>
      <c r="Q848" s="4">
        <v>1.415</v>
      </c>
      <c r="R848" s="4">
        <v>1.3899999999999999</v>
      </c>
      <c r="S848" s="6">
        <v>4.1951200000000002</v>
      </c>
      <c r="T848" s="1" t="s">
        <v>50</v>
      </c>
      <c r="U848" s="8">
        <v>21</v>
      </c>
      <c r="V848" s="8">
        <v>19</v>
      </c>
      <c r="W848" s="7">
        <v>2000000</v>
      </c>
      <c r="X848" s="5">
        <v>40</v>
      </c>
      <c r="Y848" s="7">
        <v>2100000</v>
      </c>
      <c r="Z848" s="1"/>
      <c r="AA848" s="2">
        <f ca="1">DATE(2002,11,16)</f>
        <v>0</v>
      </c>
      <c r="AB848" s="4">
        <v>35</v>
      </c>
      <c r="AC848" s="3">
        <v>180</v>
      </c>
      <c r="AD848" s="8">
        <v>1050000</v>
      </c>
      <c r="AE848" s="1" t="s">
        <v>51</v>
      </c>
      <c r="AF848" s="1" t="s">
        <v>51</v>
      </c>
      <c r="AG848" s="1" t="s">
        <v>51</v>
      </c>
      <c r="AH848" s="1"/>
      <c r="AI848" s="1"/>
      <c r="AJ848" s="3">
        <v>1</v>
      </c>
      <c r="AK848" s="1" t="s">
        <v>52</v>
      </c>
      <c r="AL848" s="3">
        <v>3</v>
      </c>
      <c r="AM848" s="8">
        <v>20.129999999999999</v>
      </c>
      <c r="AN848" s="1"/>
      <c r="AO848" s="1" t="s">
        <v>5190</v>
      </c>
      <c r="AP848" s="1" t="s">
        <v>4145</v>
      </c>
      <c r="AQ848" s="1" t="s">
        <v>5191</v>
      </c>
      <c r="AR848" s="1" t="s">
        <v>5192</v>
      </c>
    </row>
    <row r="849">
      <c r="A849" s="2">
        <f ca="1">DATE(2002,03,07)</f>
        <v>0</v>
      </c>
      <c r="B849" s="2">
        <f ca="1">DATE(2002,05,22)</f>
        <v>0</v>
      </c>
      <c r="C849" s="1" t="s">
        <v>5193</v>
      </c>
      <c r="D849" s="3">
        <v>7372</v>
      </c>
      <c r="E849" s="1" t="s">
        <v>43</v>
      </c>
      <c r="F849" s="1" t="s">
        <v>5194</v>
      </c>
      <c r="G849" s="1" t="s">
        <v>168</v>
      </c>
      <c r="H849" s="4">
        <v>0.69999999999999996</v>
      </c>
      <c r="I849" s="8">
        <v>7</v>
      </c>
      <c r="J849" s="5">
        <v>50</v>
      </c>
      <c r="K849" s="4">
        <v>10</v>
      </c>
      <c r="L849" s="1" t="s">
        <v>46</v>
      </c>
      <c r="M849" s="1" t="s">
        <v>47</v>
      </c>
      <c r="N849" s="1" t="s">
        <v>5195</v>
      </c>
      <c r="O849" s="1" t="s">
        <v>48</v>
      </c>
      <c r="P849" s="1" t="s">
        <v>5196</v>
      </c>
      <c r="Q849" s="4">
        <v>1.3999999999999999</v>
      </c>
      <c r="R849" s="4">
        <v>1.3999999999999999</v>
      </c>
      <c r="S849" s="8">
        <v>4.2000000000000002</v>
      </c>
      <c r="T849" s="1" t="s">
        <v>50</v>
      </c>
      <c r="U849" s="1"/>
      <c r="V849" s="1"/>
      <c r="W849" s="1"/>
      <c r="X849" s="5">
        <v>70</v>
      </c>
      <c r="Y849" s="7">
        <v>5000000</v>
      </c>
      <c r="Z849" s="1"/>
      <c r="AA849" s="2">
        <f ca="1">DATE(2002,11,18)</f>
        <v>0</v>
      </c>
      <c r="AB849" s="4">
        <v>74.742000000000004</v>
      </c>
      <c r="AC849" s="3">
        <v>180</v>
      </c>
      <c r="AD849" s="8">
        <v>14795933</v>
      </c>
      <c r="AE849" s="1" t="s">
        <v>51</v>
      </c>
      <c r="AF849" s="1" t="s">
        <v>51</v>
      </c>
      <c r="AG849" s="1" t="s">
        <v>47</v>
      </c>
      <c r="AH849" s="1"/>
      <c r="AI849" s="1"/>
      <c r="AJ849" s="3">
        <v>1</v>
      </c>
      <c r="AK849" s="1" t="s">
        <v>52</v>
      </c>
      <c r="AL849" s="3">
        <v>3</v>
      </c>
      <c r="AM849" s="8">
        <v>8.8699999999999992</v>
      </c>
      <c r="AN849" s="1"/>
      <c r="AO849" s="1" t="s">
        <v>5197</v>
      </c>
      <c r="AP849" s="1" t="s">
        <v>168</v>
      </c>
      <c r="AQ849" s="1" t="s">
        <v>5198</v>
      </c>
      <c r="AR849" s="1" t="s">
        <v>5199</v>
      </c>
    </row>
    <row r="850">
      <c r="A850" s="2">
        <f ca="1">DATE(2002,03,06)</f>
        <v>0</v>
      </c>
      <c r="B850" s="2">
        <f ca="1">DATE(2002,05,22)</f>
        <v>0</v>
      </c>
      <c r="C850" s="1" t="s">
        <v>5200</v>
      </c>
      <c r="D850" s="3">
        <v>7841</v>
      </c>
      <c r="E850" s="1" t="s">
        <v>43</v>
      </c>
      <c r="F850" s="1" t="s">
        <v>5201</v>
      </c>
      <c r="G850" s="1" t="s">
        <v>45</v>
      </c>
      <c r="H850" s="4">
        <v>1.05</v>
      </c>
      <c r="I850" s="4">
        <v>7</v>
      </c>
      <c r="J850" s="5">
        <v>82.5</v>
      </c>
      <c r="K850" s="4">
        <v>15</v>
      </c>
      <c r="L850" s="1" t="s">
        <v>46</v>
      </c>
      <c r="M850" s="1" t="s">
        <v>47</v>
      </c>
      <c r="N850" s="1" t="s">
        <v>5202</v>
      </c>
      <c r="O850" s="1" t="s">
        <v>48</v>
      </c>
      <c r="P850" s="1" t="s">
        <v>5203</v>
      </c>
      <c r="Q850" s="4">
        <v>1.3999999999999999</v>
      </c>
      <c r="R850" s="4">
        <v>1.3999999999999999</v>
      </c>
      <c r="S850" s="8">
        <v>4.2000000000000002</v>
      </c>
      <c r="T850" s="1" t="s">
        <v>50</v>
      </c>
      <c r="U850" s="1"/>
      <c r="V850" s="1"/>
      <c r="W850" s="1"/>
      <c r="X850" s="5">
        <v>115</v>
      </c>
      <c r="Y850" s="7">
        <v>5500000</v>
      </c>
      <c r="Z850" s="1"/>
      <c r="AA850" s="2">
        <f ca="1">DATE(2002,11,18)</f>
        <v>0</v>
      </c>
      <c r="AB850" s="4">
        <v>84.153999999999996</v>
      </c>
      <c r="AC850" s="3">
        <v>180</v>
      </c>
      <c r="AD850" s="8">
        <v>17376249</v>
      </c>
      <c r="AE850" s="1" t="s">
        <v>51</v>
      </c>
      <c r="AF850" s="1" t="s">
        <v>51</v>
      </c>
      <c r="AG850" s="1" t="s">
        <v>47</v>
      </c>
      <c r="AH850" s="1"/>
      <c r="AI850" s="1"/>
      <c r="AJ850" s="3">
        <v>1</v>
      </c>
      <c r="AK850" s="1" t="s">
        <v>52</v>
      </c>
      <c r="AL850" s="3">
        <v>3</v>
      </c>
      <c r="AM850" s="8">
        <v>16.75</v>
      </c>
      <c r="AN850" s="1"/>
      <c r="AO850" s="1" t="s">
        <v>5204</v>
      </c>
      <c r="AP850" s="1" t="s">
        <v>45</v>
      </c>
      <c r="AQ850" s="1" t="s">
        <v>5205</v>
      </c>
      <c r="AR850" s="1" t="s">
        <v>5206</v>
      </c>
    </row>
    <row r="851">
      <c r="A851" s="2">
        <f ca="1">DATE(2002,05,01)</f>
        <v>0</v>
      </c>
      <c r="B851" s="2">
        <f ca="1">DATE(2002,05,23)</f>
        <v>0</v>
      </c>
      <c r="C851" s="1" t="s">
        <v>5207</v>
      </c>
      <c r="D851" s="3">
        <v>3679</v>
      </c>
      <c r="E851" s="1" t="s">
        <v>2958</v>
      </c>
      <c r="F851" s="1" t="s">
        <v>5208</v>
      </c>
      <c r="G851" s="1" t="s">
        <v>4332</v>
      </c>
      <c r="H851" s="4">
        <v>0.36499999999999999</v>
      </c>
      <c r="I851" s="4">
        <v>3.1499999999999999</v>
      </c>
      <c r="J851" s="5">
        <v>497.5</v>
      </c>
      <c r="K851" s="4">
        <v>11.57</v>
      </c>
      <c r="L851" s="1" t="s">
        <v>651</v>
      </c>
      <c r="M851" s="1" t="s">
        <v>47</v>
      </c>
      <c r="N851" s="1" t="s">
        <v>5209</v>
      </c>
      <c r="O851" s="1" t="s">
        <v>108</v>
      </c>
      <c r="P851" s="1" t="s">
        <v>5210</v>
      </c>
      <c r="Q851" s="4">
        <v>0.63</v>
      </c>
      <c r="R851" s="4">
        <v>0.63</v>
      </c>
      <c r="S851" s="6">
        <v>1.8902300000000001</v>
      </c>
      <c r="T851" s="1" t="s">
        <v>50</v>
      </c>
      <c r="U851" s="8">
        <v>14.970000000000001</v>
      </c>
      <c r="V851" s="8">
        <v>14.970000000000001</v>
      </c>
      <c r="W851" s="7">
        <v>50000000</v>
      </c>
      <c r="X851" s="5">
        <v>748.5</v>
      </c>
      <c r="Y851" s="7">
        <v>43000000</v>
      </c>
      <c r="Z851" s="1"/>
      <c r="AA851" s="2">
        <f ca="1">DATE(2002,08,21)</f>
        <v>0</v>
      </c>
      <c r="AB851" s="1"/>
      <c r="AC851" s="3">
        <v>90</v>
      </c>
      <c r="AD851" s="1"/>
      <c r="AE851" s="1" t="s">
        <v>47</v>
      </c>
      <c r="AF851" s="1" t="s">
        <v>51</v>
      </c>
      <c r="AG851" s="1" t="s">
        <v>51</v>
      </c>
      <c r="AH851" s="1"/>
      <c r="AI851" s="1"/>
      <c r="AJ851" s="3">
        <v>1</v>
      </c>
      <c r="AK851" s="1" t="s">
        <v>110</v>
      </c>
      <c r="AL851" s="3">
        <v>6</v>
      </c>
      <c r="AM851" s="8">
        <v>12.220000000000001</v>
      </c>
      <c r="AN851" s="1"/>
      <c r="AO851" s="1" t="s">
        <v>5211</v>
      </c>
      <c r="AP851" s="1" t="s">
        <v>5212</v>
      </c>
      <c r="AQ851" s="1" t="s">
        <v>5213</v>
      </c>
      <c r="AR851" s="1" t="s">
        <v>5214</v>
      </c>
    </row>
    <row r="852">
      <c r="A852" s="2">
        <f ca="1">DATE(2002,03,01)</f>
        <v>0</v>
      </c>
      <c r="B852" s="2">
        <f ca="1">DATE(2002,05,23)</f>
        <v>0</v>
      </c>
      <c r="C852" s="1" t="s">
        <v>5215</v>
      </c>
      <c r="D852" s="3">
        <v>2834</v>
      </c>
      <c r="E852" s="1" t="s">
        <v>43</v>
      </c>
      <c r="F852" s="1" t="s">
        <v>5216</v>
      </c>
      <c r="G852" s="1" t="s">
        <v>168</v>
      </c>
      <c r="H852" s="4">
        <v>1.05</v>
      </c>
      <c r="I852" s="4">
        <v>7</v>
      </c>
      <c r="J852" s="5">
        <v>135.30000000000001</v>
      </c>
      <c r="K852" s="4">
        <v>15</v>
      </c>
      <c r="L852" s="1" t="s">
        <v>46</v>
      </c>
      <c r="M852" s="1" t="s">
        <v>47</v>
      </c>
      <c r="N852" s="1" t="s">
        <v>5217</v>
      </c>
      <c r="O852" s="1" t="s">
        <v>48</v>
      </c>
      <c r="P852" s="1" t="s">
        <v>5218</v>
      </c>
      <c r="Q852" s="4">
        <v>1.3999999999999999</v>
      </c>
      <c r="R852" s="4">
        <v>1.3999999999999999</v>
      </c>
      <c r="S852" s="8">
        <v>4.2000000000000002</v>
      </c>
      <c r="T852" s="1" t="s">
        <v>50</v>
      </c>
      <c r="U852" s="1"/>
      <c r="V852" s="1"/>
      <c r="W852" s="1"/>
      <c r="X852" s="5">
        <v>200</v>
      </c>
      <c r="Y852" s="7">
        <v>8635591</v>
      </c>
      <c r="Z852" s="7">
        <v>386149</v>
      </c>
      <c r="AA852" s="2">
        <f ca="1">DATE(2002,11,19)</f>
        <v>0</v>
      </c>
      <c r="AB852" s="4">
        <v>77.069999999999993</v>
      </c>
      <c r="AC852" s="3">
        <v>180</v>
      </c>
      <c r="AD852" s="8">
        <v>32939629</v>
      </c>
      <c r="AE852" s="1" t="s">
        <v>51</v>
      </c>
      <c r="AF852" s="1" t="s">
        <v>51</v>
      </c>
      <c r="AG852" s="1" t="s">
        <v>47</v>
      </c>
      <c r="AH852" s="1"/>
      <c r="AI852" s="1"/>
      <c r="AJ852" s="3">
        <v>1</v>
      </c>
      <c r="AK852" s="1" t="s">
        <v>89</v>
      </c>
      <c r="AL852" s="3">
        <v>4</v>
      </c>
      <c r="AM852" s="8">
        <v>15.050000000000001</v>
      </c>
      <c r="AN852" s="1"/>
      <c r="AO852" s="1" t="s">
        <v>5219</v>
      </c>
      <c r="AP852" s="1" t="s">
        <v>4535</v>
      </c>
      <c r="AQ852" s="1" t="s">
        <v>5220</v>
      </c>
      <c r="AR852" s="1" t="s">
        <v>5221</v>
      </c>
    </row>
    <row r="853">
      <c r="A853" s="2">
        <f ca="1">DATE(2002,03,01)</f>
        <v>0</v>
      </c>
      <c r="B853" s="2">
        <f ca="1">DATE(2002,05,23)</f>
        <v>0</v>
      </c>
      <c r="C853" s="1" t="s">
        <v>5215</v>
      </c>
      <c r="D853" s="3">
        <v>2834</v>
      </c>
      <c r="E853" s="1" t="s">
        <v>43</v>
      </c>
      <c r="F853" s="1" t="s">
        <v>5216</v>
      </c>
      <c r="G853" s="1" t="s">
        <v>168</v>
      </c>
      <c r="H853" s="4">
        <v>1.05</v>
      </c>
      <c r="I853" s="4">
        <v>7</v>
      </c>
      <c r="J853" s="5">
        <v>11.699999999999999</v>
      </c>
      <c r="K853" s="8">
        <v>15</v>
      </c>
      <c r="L853" s="1" t="s">
        <v>46</v>
      </c>
      <c r="M853" s="1" t="s">
        <v>47</v>
      </c>
      <c r="N853" s="1" t="s">
        <v>5217</v>
      </c>
      <c r="O853" s="1" t="s">
        <v>48</v>
      </c>
      <c r="P853" s="1" t="s">
        <v>5222</v>
      </c>
      <c r="Q853" s="4">
        <v>1.3999999999999999</v>
      </c>
      <c r="R853" s="4">
        <v>1.3999999999999999</v>
      </c>
      <c r="S853" s="8">
        <v>4.2000000000000002</v>
      </c>
      <c r="T853" s="1" t="s">
        <v>60</v>
      </c>
      <c r="U853" s="1"/>
      <c r="V853" s="1"/>
      <c r="W853" s="1"/>
      <c r="X853" s="1"/>
      <c r="Y853" s="7">
        <v>744949</v>
      </c>
      <c r="Z853" s="7">
        <v>33311</v>
      </c>
      <c r="AA853" s="1"/>
      <c r="AB853" s="1"/>
      <c r="AC853" s="3">
        <v>180</v>
      </c>
      <c r="AD853" s="8">
        <v>32939629</v>
      </c>
      <c r="AE853" s="1" t="s">
        <v>51</v>
      </c>
      <c r="AF853" s="1" t="s">
        <v>51</v>
      </c>
      <c r="AG853" s="1" t="s">
        <v>47</v>
      </c>
      <c r="AH853" s="1"/>
      <c r="AI853" s="1"/>
      <c r="AJ853" s="3">
        <v>1</v>
      </c>
      <c r="AK853" s="1" t="s">
        <v>89</v>
      </c>
      <c r="AL853" s="3">
        <v>2</v>
      </c>
      <c r="AM853" s="1"/>
      <c r="AN853" s="1"/>
      <c r="AO853" s="1" t="s">
        <v>5223</v>
      </c>
      <c r="AP853" s="1" t="s">
        <v>4535</v>
      </c>
      <c r="AQ853" s="1" t="s">
        <v>5224</v>
      </c>
      <c r="AR853" s="1" t="s">
        <v>5225</v>
      </c>
    </row>
    <row r="854">
      <c r="A854" s="2">
        <f ca="1">DATE(2002,03,05)</f>
        <v>0</v>
      </c>
      <c r="B854" s="2">
        <f ca="1">DATE(2002,05,23)</f>
        <v>0</v>
      </c>
      <c r="C854" s="1" t="s">
        <v>5226</v>
      </c>
      <c r="D854" s="3">
        <v>7376</v>
      </c>
      <c r="E854" s="1" t="s">
        <v>43</v>
      </c>
      <c r="F854" s="1" t="s">
        <v>5227</v>
      </c>
      <c r="G854" s="1" t="s">
        <v>4332</v>
      </c>
      <c r="H854" s="4">
        <v>1.26</v>
      </c>
      <c r="I854" s="4">
        <v>7</v>
      </c>
      <c r="J854" s="5">
        <v>90</v>
      </c>
      <c r="K854" s="4">
        <v>18</v>
      </c>
      <c r="L854" s="1" t="s">
        <v>152</v>
      </c>
      <c r="M854" s="1" t="s">
        <v>47</v>
      </c>
      <c r="N854" s="1" t="s">
        <v>5228</v>
      </c>
      <c r="O854" s="1" t="s">
        <v>108</v>
      </c>
      <c r="P854" s="1" t="s">
        <v>5229</v>
      </c>
      <c r="Q854" s="4">
        <v>1.3999999999999999</v>
      </c>
      <c r="R854" s="4">
        <v>1.05</v>
      </c>
      <c r="S854" s="8">
        <v>4.5499999999999998</v>
      </c>
      <c r="T854" s="1" t="s">
        <v>50</v>
      </c>
      <c r="U854" s="1"/>
      <c r="V854" s="1"/>
      <c r="W854" s="1"/>
      <c r="X854" s="5">
        <v>73.299999999999997</v>
      </c>
      <c r="Y854" s="7">
        <v>5000000</v>
      </c>
      <c r="Z854" s="1"/>
      <c r="AA854" s="2">
        <f ca="1">DATE(2002,11,19)</f>
        <v>0</v>
      </c>
      <c r="AB854" s="4">
        <v>61.713999999999999</v>
      </c>
      <c r="AC854" s="3">
        <v>180</v>
      </c>
      <c r="AD854" s="8">
        <v>12280373</v>
      </c>
      <c r="AE854" s="1" t="s">
        <v>51</v>
      </c>
      <c r="AF854" s="1" t="s">
        <v>51</v>
      </c>
      <c r="AG854" s="1" t="s">
        <v>47</v>
      </c>
      <c r="AH854" s="1"/>
      <c r="AI854" s="1"/>
      <c r="AJ854" s="3">
        <v>1</v>
      </c>
      <c r="AK854" s="1" t="s">
        <v>89</v>
      </c>
      <c r="AL854" s="3">
        <v>6</v>
      </c>
      <c r="AM854" s="8">
        <v>22.699999999999999</v>
      </c>
      <c r="AN854" s="1"/>
      <c r="AO854" s="1" t="s">
        <v>5230</v>
      </c>
      <c r="AP854" s="1" t="s">
        <v>4812</v>
      </c>
      <c r="AQ854" s="1" t="s">
        <v>5231</v>
      </c>
      <c r="AR854" s="1" t="s">
        <v>5232</v>
      </c>
    </row>
    <row r="855">
      <c r="A855" s="2">
        <f ca="1">DATE(2002,03,13)</f>
        <v>0</v>
      </c>
      <c r="B855" s="2">
        <f ca="1">DATE(2002,05,28)</f>
        <v>0</v>
      </c>
      <c r="C855" s="1" t="s">
        <v>5233</v>
      </c>
      <c r="D855" s="3">
        <v>6726</v>
      </c>
      <c r="E855" s="1" t="s">
        <v>43</v>
      </c>
      <c r="F855" s="1" t="s">
        <v>5234</v>
      </c>
      <c r="G855" s="1" t="s">
        <v>4332</v>
      </c>
      <c r="H855" s="4">
        <v>0.67500000000000004</v>
      </c>
      <c r="I855" s="4">
        <v>4.5</v>
      </c>
      <c r="J855" s="5">
        <v>543.79999999999995</v>
      </c>
      <c r="K855" s="4">
        <v>15</v>
      </c>
      <c r="L855" s="1" t="s">
        <v>4851</v>
      </c>
      <c r="M855" s="1" t="s">
        <v>47</v>
      </c>
      <c r="N855" s="1" t="s">
        <v>5235</v>
      </c>
      <c r="O855" s="1" t="s">
        <v>108</v>
      </c>
      <c r="P855" s="1" t="s">
        <v>5236</v>
      </c>
      <c r="Q855" s="4">
        <v>0.93300000000000005</v>
      </c>
      <c r="R855" s="4">
        <v>0.56699999999999995</v>
      </c>
      <c r="S855" s="8">
        <v>3</v>
      </c>
      <c r="T855" s="1" t="s">
        <v>50</v>
      </c>
      <c r="U855" s="8">
        <v>15</v>
      </c>
      <c r="V855" s="8">
        <v>15</v>
      </c>
      <c r="W855" s="7">
        <v>4000000</v>
      </c>
      <c r="X855" s="5">
        <v>60</v>
      </c>
      <c r="Y855" s="7">
        <v>36250000</v>
      </c>
      <c r="Z855" s="1"/>
      <c r="AA855" s="2">
        <f ca="1">DATE(2002,11,24)</f>
        <v>0</v>
      </c>
      <c r="AB855" s="1"/>
      <c r="AC855" s="3">
        <v>180</v>
      </c>
      <c r="AD855" s="1"/>
      <c r="AE855" s="1" t="s">
        <v>51</v>
      </c>
      <c r="AF855" s="1" t="s">
        <v>51</v>
      </c>
      <c r="AG855" s="1" t="s">
        <v>51</v>
      </c>
      <c r="AH855" s="1"/>
      <c r="AI855" s="1"/>
      <c r="AJ855" s="3">
        <v>1</v>
      </c>
      <c r="AK855" s="1" t="s">
        <v>52</v>
      </c>
      <c r="AL855" s="3">
        <v>8</v>
      </c>
      <c r="AM855" s="1"/>
      <c r="AN855" s="1"/>
      <c r="AO855" s="1" t="s">
        <v>5237</v>
      </c>
      <c r="AP855" s="1" t="s">
        <v>4332</v>
      </c>
      <c r="AQ855" s="1" t="s">
        <v>5238</v>
      </c>
      <c r="AR855" s="1" t="s">
        <v>5239</v>
      </c>
    </row>
    <row r="856">
      <c r="A856" s="2">
        <f ca="1">DATE(2002,03,05)</f>
        <v>0</v>
      </c>
      <c r="B856" s="2">
        <f ca="1">DATE(2002,05,29)</f>
        <v>0</v>
      </c>
      <c r="C856" s="1" t="s">
        <v>5240</v>
      </c>
      <c r="D856" s="3">
        <v>5961</v>
      </c>
      <c r="E856" s="1" t="s">
        <v>43</v>
      </c>
      <c r="F856" s="1" t="s">
        <v>5241</v>
      </c>
      <c r="G856" s="1" t="s">
        <v>1624</v>
      </c>
      <c r="H856" s="4">
        <v>0.52000000000000002</v>
      </c>
      <c r="I856" s="4">
        <v>4</v>
      </c>
      <c r="J856" s="5">
        <v>39</v>
      </c>
      <c r="K856" s="4">
        <v>13</v>
      </c>
      <c r="L856" s="1" t="s">
        <v>46</v>
      </c>
      <c r="M856" s="1" t="s">
        <v>47</v>
      </c>
      <c r="N856" s="3">
        <v>690370101</v>
      </c>
      <c r="O856" s="1" t="s">
        <v>48</v>
      </c>
      <c r="P856" s="1" t="s">
        <v>5242</v>
      </c>
      <c r="Q856" s="4">
        <v>1</v>
      </c>
      <c r="R856" s="4">
        <v>1</v>
      </c>
      <c r="S856" s="8">
        <v>2</v>
      </c>
      <c r="T856" s="1" t="s">
        <v>50</v>
      </c>
      <c r="U856" s="1"/>
      <c r="V856" s="1"/>
      <c r="W856" s="1"/>
      <c r="X856" s="5">
        <v>36.799999999999997</v>
      </c>
      <c r="Y856" s="7">
        <v>2155000</v>
      </c>
      <c r="Z856" s="7">
        <v>845000</v>
      </c>
      <c r="AA856" s="2">
        <f ca="1">DATE(2002,11,25)</f>
        <v>0</v>
      </c>
      <c r="AB856" s="4">
        <v>67.176000000000002</v>
      </c>
      <c r="AC856" s="3">
        <v>180</v>
      </c>
      <c r="AD856" s="8">
        <v>9601088</v>
      </c>
      <c r="AE856" s="1" t="s">
        <v>51</v>
      </c>
      <c r="AF856" s="1" t="s">
        <v>51</v>
      </c>
      <c r="AG856" s="1" t="s">
        <v>51</v>
      </c>
      <c r="AH856" s="1"/>
      <c r="AI856" s="1"/>
      <c r="AJ856" s="3">
        <v>1</v>
      </c>
      <c r="AK856" s="1" t="s">
        <v>52</v>
      </c>
      <c r="AL856" s="3">
        <v>2</v>
      </c>
      <c r="AM856" s="8">
        <v>13.029999999999999</v>
      </c>
      <c r="AN856" s="1"/>
      <c r="AO856" s="1" t="s">
        <v>5243</v>
      </c>
      <c r="AP856" s="1" t="s">
        <v>1624</v>
      </c>
      <c r="AQ856" s="1" t="s">
        <v>5244</v>
      </c>
      <c r="AR856" s="1" t="s">
        <v>5242</v>
      </c>
    </row>
    <row r="857">
      <c r="A857" s="2">
        <f ca="1">DATE(2000,09,18)</f>
        <v>0</v>
      </c>
      <c r="B857" s="2">
        <f ca="1">DATE(2002,06,03)</f>
        <v>0</v>
      </c>
      <c r="C857" s="1" t="s">
        <v>5245</v>
      </c>
      <c r="D857" s="3">
        <v>7372</v>
      </c>
      <c r="E857" s="1" t="s">
        <v>43</v>
      </c>
      <c r="F857" s="1" t="s">
        <v>5246</v>
      </c>
      <c r="G857" s="1" t="s">
        <v>160</v>
      </c>
      <c r="H857" s="4">
        <v>0.59499999999999997</v>
      </c>
      <c r="I857" s="8">
        <v>7</v>
      </c>
      <c r="J857" s="5">
        <v>42.5</v>
      </c>
      <c r="K857" s="4">
        <v>8.5</v>
      </c>
      <c r="L857" s="1" t="s">
        <v>46</v>
      </c>
      <c r="M857" s="1" t="s">
        <v>47</v>
      </c>
      <c r="N857" s="1" t="s">
        <v>5247</v>
      </c>
      <c r="O857" s="1" t="s">
        <v>48</v>
      </c>
      <c r="P857" s="1" t="s">
        <v>5248</v>
      </c>
      <c r="Q857" s="4">
        <v>1.3999999999999999</v>
      </c>
      <c r="R857" s="4">
        <v>1.3999999999999999</v>
      </c>
      <c r="S857" s="8">
        <v>4.2000000000000002</v>
      </c>
      <c r="T857" s="1" t="s">
        <v>50</v>
      </c>
      <c r="U857" s="1"/>
      <c r="V857" s="1"/>
      <c r="W857" s="1"/>
      <c r="X857" s="5">
        <v>75</v>
      </c>
      <c r="Y857" s="7">
        <v>5000000</v>
      </c>
      <c r="Z857" s="1"/>
      <c r="AA857" s="2">
        <f ca="1">DATE(2002,11,30)</f>
        <v>0</v>
      </c>
      <c r="AB857" s="4">
        <v>81.108000000000004</v>
      </c>
      <c r="AC857" s="3">
        <v>180</v>
      </c>
      <c r="AD857" s="8">
        <v>23712611</v>
      </c>
      <c r="AE857" s="1" t="s">
        <v>51</v>
      </c>
      <c r="AF857" s="1" t="s">
        <v>51</v>
      </c>
      <c r="AG857" s="1" t="s">
        <v>47</v>
      </c>
      <c r="AH857" s="1"/>
      <c r="AI857" s="1"/>
      <c r="AJ857" s="3">
        <v>1</v>
      </c>
      <c r="AK857" s="1" t="s">
        <v>52</v>
      </c>
      <c r="AL857" s="3">
        <v>3</v>
      </c>
      <c r="AM857" s="8">
        <v>8.5</v>
      </c>
      <c r="AN857" s="1"/>
      <c r="AO857" s="1" t="s">
        <v>5249</v>
      </c>
      <c r="AP857" s="1" t="s">
        <v>160</v>
      </c>
      <c r="AQ857" s="1" t="s">
        <v>5250</v>
      </c>
      <c r="AR857" s="1" t="s">
        <v>5251</v>
      </c>
    </row>
    <row r="858">
      <c r="A858" s="2">
        <f ca="1">DATE(2002,03,06)</f>
        <v>0</v>
      </c>
      <c r="B858" s="2">
        <f ca="1">DATE(2002,06,04)</f>
        <v>0</v>
      </c>
      <c r="C858" s="1" t="s">
        <v>5252</v>
      </c>
      <c r="D858" s="3">
        <v>3812</v>
      </c>
      <c r="E858" s="1" t="s">
        <v>43</v>
      </c>
      <c r="F858" s="1" t="s">
        <v>5253</v>
      </c>
      <c r="G858" s="1" t="s">
        <v>168</v>
      </c>
      <c r="H858" s="4">
        <v>1.1200000000000001</v>
      </c>
      <c r="I858" s="4">
        <v>7</v>
      </c>
      <c r="J858" s="5">
        <v>197.09999999999999</v>
      </c>
      <c r="K858" s="4">
        <v>16</v>
      </c>
      <c r="L858" s="1" t="s">
        <v>46</v>
      </c>
      <c r="M858" s="1" t="s">
        <v>47</v>
      </c>
      <c r="N858" s="1" t="s">
        <v>5254</v>
      </c>
      <c r="O858" s="1" t="s">
        <v>108</v>
      </c>
      <c r="P858" s="1" t="s">
        <v>5255</v>
      </c>
      <c r="Q858" s="4">
        <v>1.4379999999999999</v>
      </c>
      <c r="R858" s="4">
        <v>1.375</v>
      </c>
      <c r="S858" s="10">
        <v>4.1875</v>
      </c>
      <c r="T858" s="1" t="s">
        <v>50</v>
      </c>
      <c r="U858" s="1"/>
      <c r="V858" s="1"/>
      <c r="W858" s="1"/>
      <c r="X858" s="5">
        <v>175</v>
      </c>
      <c r="Y858" s="7">
        <v>12319130</v>
      </c>
      <c r="Z858" s="1"/>
      <c r="AA858" s="2">
        <f ca="1">DATE(2002,12,01)</f>
        <v>0</v>
      </c>
      <c r="AB858" s="4">
        <v>56.392000000000003</v>
      </c>
      <c r="AC858" s="3">
        <v>180</v>
      </c>
      <c r="AD858" s="8">
        <v>17457838</v>
      </c>
      <c r="AE858" s="1" t="s">
        <v>51</v>
      </c>
      <c r="AF858" s="1" t="s">
        <v>51</v>
      </c>
      <c r="AG858" s="1" t="s">
        <v>47</v>
      </c>
      <c r="AH858" s="1"/>
      <c r="AI858" s="1"/>
      <c r="AJ858" s="3">
        <v>1</v>
      </c>
      <c r="AK858" s="1" t="s">
        <v>52</v>
      </c>
      <c r="AL858" s="3">
        <v>4</v>
      </c>
      <c r="AM858" s="8">
        <v>18.149999999999999</v>
      </c>
      <c r="AN858" s="1"/>
      <c r="AO858" s="1" t="s">
        <v>5256</v>
      </c>
      <c r="AP858" s="1" t="s">
        <v>168</v>
      </c>
      <c r="AQ858" s="1" t="s">
        <v>5257</v>
      </c>
      <c r="AR858" s="1" t="s">
        <v>5258</v>
      </c>
    </row>
    <row r="859">
      <c r="A859" s="2">
        <f ca="1">DATE(2002,03,06)</f>
        <v>0</v>
      </c>
      <c r="B859" s="2">
        <f ca="1">DATE(2002,06,04)</f>
        <v>0</v>
      </c>
      <c r="C859" s="1" t="s">
        <v>5252</v>
      </c>
      <c r="D859" s="3">
        <v>3812</v>
      </c>
      <c r="E859" s="1" t="s">
        <v>43</v>
      </c>
      <c r="F859" s="1" t="s">
        <v>5253</v>
      </c>
      <c r="G859" s="1" t="s">
        <v>168</v>
      </c>
      <c r="H859" s="4">
        <v>1.1200000000000001</v>
      </c>
      <c r="I859" s="4">
        <v>7</v>
      </c>
      <c r="J859" s="5">
        <v>18.899999999999999</v>
      </c>
      <c r="K859" s="8">
        <v>16</v>
      </c>
      <c r="L859" s="1" t="s">
        <v>46</v>
      </c>
      <c r="M859" s="1" t="s">
        <v>47</v>
      </c>
      <c r="N859" s="1" t="s">
        <v>5254</v>
      </c>
      <c r="O859" s="1" t="s">
        <v>108</v>
      </c>
      <c r="P859" s="1" t="s">
        <v>5259</v>
      </c>
      <c r="Q859" s="4">
        <v>1.4379999999999999</v>
      </c>
      <c r="R859" s="4">
        <v>1.375</v>
      </c>
      <c r="S859" s="10">
        <v>4.1875</v>
      </c>
      <c r="T859" s="1" t="s">
        <v>60</v>
      </c>
      <c r="U859" s="1"/>
      <c r="V859" s="1"/>
      <c r="W859" s="1"/>
      <c r="X859" s="1"/>
      <c r="Y859" s="7">
        <v>1180970</v>
      </c>
      <c r="Z859" s="1"/>
      <c r="AA859" s="1"/>
      <c r="AB859" s="1"/>
      <c r="AC859" s="3">
        <v>180</v>
      </c>
      <c r="AD859" s="8">
        <v>17457838</v>
      </c>
      <c r="AE859" s="1" t="s">
        <v>51</v>
      </c>
      <c r="AF859" s="1" t="s">
        <v>51</v>
      </c>
      <c r="AG859" s="1" t="s">
        <v>47</v>
      </c>
      <c r="AH859" s="1"/>
      <c r="AI859" s="1"/>
      <c r="AJ859" s="3">
        <v>1</v>
      </c>
      <c r="AK859" s="1" t="s">
        <v>52</v>
      </c>
      <c r="AL859" s="3">
        <v>1</v>
      </c>
      <c r="AM859" s="1"/>
      <c r="AN859" s="1"/>
      <c r="AO859" s="1" t="s">
        <v>5260</v>
      </c>
      <c r="AP859" s="1" t="s">
        <v>168</v>
      </c>
      <c r="AQ859" s="1" t="s">
        <v>168</v>
      </c>
      <c r="AR859" s="1" t="s">
        <v>172</v>
      </c>
    </row>
    <row r="860">
      <c r="A860" s="2">
        <f ca="1">DATE(2002,05,02)</f>
        <v>0</v>
      </c>
      <c r="B860" s="2">
        <f ca="1">DATE(2002,06,11)</f>
        <v>0</v>
      </c>
      <c r="C860" s="1" t="s">
        <v>5261</v>
      </c>
      <c r="D860" s="3">
        <v>7375</v>
      </c>
      <c r="E860" s="1" t="s">
        <v>166</v>
      </c>
      <c r="F860" s="1" t="s">
        <v>5262</v>
      </c>
      <c r="G860" s="1" t="s">
        <v>4823</v>
      </c>
      <c r="H860" s="4">
        <v>1.014</v>
      </c>
      <c r="I860" s="4">
        <v>3.25</v>
      </c>
      <c r="J860" s="5">
        <v>581</v>
      </c>
      <c r="K860" s="8">
        <v>31.199999999999999</v>
      </c>
      <c r="L860" s="1" t="s">
        <v>46</v>
      </c>
      <c r="M860" s="1" t="s">
        <v>47</v>
      </c>
      <c r="N860" s="3">
        <v>884903105</v>
      </c>
      <c r="O860" s="1" t="s">
        <v>3171</v>
      </c>
      <c r="P860" s="1" t="s">
        <v>5263</v>
      </c>
      <c r="Q860" s="4">
        <v>0.67300000000000004</v>
      </c>
      <c r="R860" s="4">
        <v>0.64100000000000001</v>
      </c>
      <c r="S860" s="10">
        <v>1.9359</v>
      </c>
      <c r="T860" s="1" t="s">
        <v>50</v>
      </c>
      <c r="U860" s="8">
        <v>33.890000000000001</v>
      </c>
      <c r="V860" s="8">
        <v>33.890000000000001</v>
      </c>
      <c r="W860" s="7">
        <v>38000000</v>
      </c>
      <c r="X860" s="9">
        <v>1287.8</v>
      </c>
      <c r="Y860" s="7">
        <v>8491539</v>
      </c>
      <c r="Z860" s="7">
        <v>10130257</v>
      </c>
      <c r="AA860" s="1" t="s">
        <v>5264</v>
      </c>
      <c r="AB860" s="1" t="s">
        <v>5265</v>
      </c>
      <c r="AC860" s="1" t="s">
        <v>5266</v>
      </c>
      <c r="AD860" s="1" t="s">
        <v>5265</v>
      </c>
      <c r="AE860" s="1" t="s">
        <v>51</v>
      </c>
      <c r="AF860" s="1" t="s">
        <v>51</v>
      </c>
      <c r="AG860" s="1" t="s">
        <v>51</v>
      </c>
      <c r="AH860" s="1"/>
      <c r="AI860" s="1"/>
      <c r="AJ860" s="3">
        <v>2</v>
      </c>
      <c r="AK860" s="1" t="s">
        <v>89</v>
      </c>
      <c r="AL860" s="3">
        <v>8</v>
      </c>
      <c r="AM860" s="8">
        <v>30.899999999999999</v>
      </c>
      <c r="AN860" s="1"/>
      <c r="AO860" s="1" t="s">
        <v>5267</v>
      </c>
      <c r="AP860" s="1" t="s">
        <v>4826</v>
      </c>
      <c r="AQ860" s="1" t="s">
        <v>5268</v>
      </c>
      <c r="AR860" s="1" t="s">
        <v>5269</v>
      </c>
    </row>
    <row r="861">
      <c r="A861" s="2">
        <f ca="1">DATE(2002,05,02)</f>
        <v>0</v>
      </c>
      <c r="B861" s="2">
        <f ca="1">DATE(2002,06,11)</f>
        <v>0</v>
      </c>
      <c r="C861" s="1" t="s">
        <v>5261</v>
      </c>
      <c r="D861" s="3">
        <v>7375</v>
      </c>
      <c r="E861" s="1" t="s">
        <v>166</v>
      </c>
      <c r="F861" s="1" t="s">
        <v>5262</v>
      </c>
      <c r="G861" s="1" t="s">
        <v>4823</v>
      </c>
      <c r="H861" s="4">
        <v>1.014</v>
      </c>
      <c r="I861" s="4">
        <v>3.25</v>
      </c>
      <c r="J861" s="5">
        <v>69</v>
      </c>
      <c r="K861" s="8">
        <v>31.199999999999999</v>
      </c>
      <c r="L861" s="1" t="s">
        <v>46</v>
      </c>
      <c r="M861" s="1" t="s">
        <v>47</v>
      </c>
      <c r="N861" s="3">
        <v>884903105</v>
      </c>
      <c r="O861" s="1" t="s">
        <v>3171</v>
      </c>
      <c r="P861" s="1" t="s">
        <v>5270</v>
      </c>
      <c r="Q861" s="4">
        <v>0.67300000000000004</v>
      </c>
      <c r="R861" s="4">
        <v>0.64100000000000001</v>
      </c>
      <c r="S861" s="10">
        <v>1.9359</v>
      </c>
      <c r="T861" s="1" t="s">
        <v>60</v>
      </c>
      <c r="U861" s="8">
        <v>33.890000000000001</v>
      </c>
      <c r="V861" s="8">
        <v>33.890000000000001</v>
      </c>
      <c r="W861" s="1"/>
      <c r="X861" s="1"/>
      <c r="Y861" s="7">
        <v>1008462</v>
      </c>
      <c r="Z861" s="7">
        <v>1203077</v>
      </c>
      <c r="AA861" s="1"/>
      <c r="AB861" s="1" t="s">
        <v>5265</v>
      </c>
      <c r="AC861" s="1" t="s">
        <v>5266</v>
      </c>
      <c r="AD861" s="1" t="s">
        <v>5265</v>
      </c>
      <c r="AE861" s="1" t="s">
        <v>51</v>
      </c>
      <c r="AF861" s="1" t="s">
        <v>51</v>
      </c>
      <c r="AG861" s="1" t="s">
        <v>51</v>
      </c>
      <c r="AH861" s="1"/>
      <c r="AI861" s="1"/>
      <c r="AJ861" s="3">
        <v>2</v>
      </c>
      <c r="AK861" s="1" t="s">
        <v>89</v>
      </c>
      <c r="AL861" s="3">
        <v>2</v>
      </c>
      <c r="AM861" s="1"/>
      <c r="AN861" s="1"/>
      <c r="AO861" s="1" t="s">
        <v>5271</v>
      </c>
      <c r="AP861" s="1" t="s">
        <v>4826</v>
      </c>
      <c r="AQ861" s="1" t="s">
        <v>5272</v>
      </c>
      <c r="AR861" s="1" t="s">
        <v>5273</v>
      </c>
    </row>
    <row r="862">
      <c r="A862" s="2">
        <f ca="1">DATE(2001,01,12)</f>
        <v>0</v>
      </c>
      <c r="B862" s="2">
        <f ca="1">DATE(2002,06,12)</f>
        <v>0</v>
      </c>
      <c r="C862" s="1" t="s">
        <v>5274</v>
      </c>
      <c r="D862" s="3">
        <v>4731</v>
      </c>
      <c r="E862" s="1" t="s">
        <v>43</v>
      </c>
      <c r="F862" s="1" t="s">
        <v>5275</v>
      </c>
      <c r="G862" s="1" t="s">
        <v>5276</v>
      </c>
      <c r="H862" s="4">
        <v>1.05</v>
      </c>
      <c r="I862" s="4">
        <v>7</v>
      </c>
      <c r="J862" s="5">
        <v>210</v>
      </c>
      <c r="K862" s="4">
        <v>15</v>
      </c>
      <c r="L862" s="1" t="s">
        <v>46</v>
      </c>
      <c r="M862" s="1" t="s">
        <v>47</v>
      </c>
      <c r="N862" s="1" t="s">
        <v>5277</v>
      </c>
      <c r="O862" s="1" t="s">
        <v>48</v>
      </c>
      <c r="P862" s="1" t="s">
        <v>5278</v>
      </c>
      <c r="Q862" s="4">
        <v>1.3999999999999999</v>
      </c>
      <c r="R862" s="4">
        <v>1.3999999999999999</v>
      </c>
      <c r="S862" s="8">
        <v>4.2000000000000002</v>
      </c>
      <c r="T862" s="1" t="s">
        <v>50</v>
      </c>
      <c r="U862" s="1"/>
      <c r="V862" s="1"/>
      <c r="W862" s="1"/>
      <c r="X862" s="5">
        <v>150</v>
      </c>
      <c r="Y862" s="7">
        <v>9250000</v>
      </c>
      <c r="Z862" s="7">
        <v>4750000</v>
      </c>
      <c r="AA862" s="2">
        <f ca="1">DATE(2002,12,09)</f>
        <v>0</v>
      </c>
      <c r="AB862" s="4">
        <v>61.533999999999999</v>
      </c>
      <c r="AC862" s="3">
        <v>180</v>
      </c>
      <c r="AD862" s="8">
        <v>22651848</v>
      </c>
      <c r="AE862" s="1" t="s">
        <v>51</v>
      </c>
      <c r="AF862" s="1" t="s">
        <v>51</v>
      </c>
      <c r="AG862" s="1" t="s">
        <v>51</v>
      </c>
      <c r="AH862" s="1"/>
      <c r="AI862" s="1"/>
      <c r="AJ862" s="3">
        <v>2</v>
      </c>
      <c r="AK862" s="1" t="s">
        <v>89</v>
      </c>
      <c r="AL862" s="3">
        <v>6</v>
      </c>
      <c r="AM862" s="8">
        <v>15.949999999999999</v>
      </c>
      <c r="AN862" s="1"/>
      <c r="AO862" s="1" t="s">
        <v>5279</v>
      </c>
      <c r="AP862" s="1" t="s">
        <v>5280</v>
      </c>
      <c r="AQ862" s="1" t="s">
        <v>5281</v>
      </c>
      <c r="AR862" s="1" t="s">
        <v>5282</v>
      </c>
    </row>
    <row r="863">
      <c r="A863" s="2">
        <f ca="1">DATE(2002,03,22)</f>
        <v>0</v>
      </c>
      <c r="B863" s="2">
        <f ca="1">DATE(2002,06,17)</f>
        <v>0</v>
      </c>
      <c r="C863" s="1" t="s">
        <v>5283</v>
      </c>
      <c r="D863" s="3">
        <v>6411</v>
      </c>
      <c r="E863" s="1" t="s">
        <v>166</v>
      </c>
      <c r="F863" s="1" t="s">
        <v>5284</v>
      </c>
      <c r="G863" s="1" t="s">
        <v>400</v>
      </c>
      <c r="H863" s="4">
        <v>0.91000000000000003</v>
      </c>
      <c r="I863" s="4">
        <v>6.5</v>
      </c>
      <c r="J863" s="5">
        <v>84</v>
      </c>
      <c r="K863" s="4">
        <v>14</v>
      </c>
      <c r="L863" s="1" t="s">
        <v>46</v>
      </c>
      <c r="M863" s="1" t="s">
        <v>47</v>
      </c>
      <c r="N863" s="1" t="s">
        <v>5285</v>
      </c>
      <c r="O863" s="1" t="s">
        <v>108</v>
      </c>
      <c r="P863" s="1" t="s">
        <v>5286</v>
      </c>
      <c r="Q863" s="4">
        <v>1.3</v>
      </c>
      <c r="R863" s="4">
        <v>1.3</v>
      </c>
      <c r="S863" s="8">
        <v>3.8999999999999999</v>
      </c>
      <c r="T863" s="1" t="s">
        <v>50</v>
      </c>
      <c r="U863" s="1"/>
      <c r="V863" s="1"/>
      <c r="W863" s="1"/>
      <c r="X863" s="5">
        <v>75</v>
      </c>
      <c r="Y863" s="7">
        <v>6000000</v>
      </c>
      <c r="Z863" s="1"/>
      <c r="AA863" s="2">
        <f ca="1">DATE(2002,12,14)</f>
        <v>0</v>
      </c>
      <c r="AB863" s="4">
        <v>35.786999999999999</v>
      </c>
      <c r="AC863" s="3">
        <v>180</v>
      </c>
      <c r="AD863" s="8">
        <v>9900000</v>
      </c>
      <c r="AE863" s="1" t="s">
        <v>51</v>
      </c>
      <c r="AF863" s="1" t="s">
        <v>51</v>
      </c>
      <c r="AG863" s="1" t="s">
        <v>51</v>
      </c>
      <c r="AH863" s="1"/>
      <c r="AI863" s="1"/>
      <c r="AJ863" s="3">
        <v>1</v>
      </c>
      <c r="AK863" s="1" t="s">
        <v>52</v>
      </c>
      <c r="AL863" s="3">
        <v>5</v>
      </c>
      <c r="AM863" s="8">
        <v>15</v>
      </c>
      <c r="AN863" s="1"/>
      <c r="AO863" s="1" t="s">
        <v>5287</v>
      </c>
      <c r="AP863" s="1" t="s">
        <v>400</v>
      </c>
      <c r="AQ863" s="1" t="s">
        <v>5288</v>
      </c>
      <c r="AR863" s="1" t="s">
        <v>5289</v>
      </c>
    </row>
    <row r="864">
      <c r="A864" s="2">
        <f ca="1">DATE(2002,02,12)</f>
        <v>0</v>
      </c>
      <c r="B864" s="2">
        <f ca="1">DATE(2002,06,18)</f>
        <v>0</v>
      </c>
      <c r="C864" s="1" t="s">
        <v>5290</v>
      </c>
      <c r="D864" s="3">
        <v>7372</v>
      </c>
      <c r="E864" s="1" t="s">
        <v>43</v>
      </c>
      <c r="F864" s="1" t="s">
        <v>5291</v>
      </c>
      <c r="G864" s="1" t="s">
        <v>1583</v>
      </c>
      <c r="H864" s="4">
        <v>0.69999999999999996</v>
      </c>
      <c r="I864" s="8">
        <v>7</v>
      </c>
      <c r="J864" s="5">
        <v>37.5</v>
      </c>
      <c r="K864" s="4">
        <v>10</v>
      </c>
      <c r="L864" s="1" t="s">
        <v>46</v>
      </c>
      <c r="M864" s="1" t="s">
        <v>47</v>
      </c>
      <c r="N864" s="3">
        <v>742562101</v>
      </c>
      <c r="O864" s="1" t="s">
        <v>48</v>
      </c>
      <c r="P864" s="1" t="s">
        <v>5292</v>
      </c>
      <c r="Q864" s="4">
        <v>1.3999999999999999</v>
      </c>
      <c r="R864" s="4">
        <v>1.3999999999999999</v>
      </c>
      <c r="S864" s="8">
        <v>4.2000000000000002</v>
      </c>
      <c r="T864" s="1" t="s">
        <v>50</v>
      </c>
      <c r="U864" s="1"/>
      <c r="V864" s="1"/>
      <c r="W864" s="1"/>
      <c r="X864" s="5">
        <v>75</v>
      </c>
      <c r="Y864" s="7">
        <v>3750000</v>
      </c>
      <c r="Z864" s="1"/>
      <c r="AA864" s="2">
        <f ca="1">DATE(2002,12,15)</f>
        <v>0</v>
      </c>
      <c r="AB864" s="4">
        <v>51.357999999999997</v>
      </c>
      <c r="AC864" s="3">
        <v>180</v>
      </c>
      <c r="AD864" s="8">
        <v>5441409</v>
      </c>
      <c r="AE864" s="1" t="s">
        <v>51</v>
      </c>
      <c r="AF864" s="1" t="s">
        <v>51</v>
      </c>
      <c r="AG864" s="1" t="s">
        <v>47</v>
      </c>
      <c r="AH864" s="1"/>
      <c r="AI864" s="1"/>
      <c r="AJ864" s="3">
        <v>1</v>
      </c>
      <c r="AK864" s="1" t="s">
        <v>52</v>
      </c>
      <c r="AL864" s="3">
        <v>4</v>
      </c>
      <c r="AM864" s="8">
        <v>8</v>
      </c>
      <c r="AN864" s="1"/>
      <c r="AO864" s="1" t="s">
        <v>5293</v>
      </c>
      <c r="AP864" s="1" t="s">
        <v>1583</v>
      </c>
      <c r="AQ864" s="1" t="s">
        <v>5294</v>
      </c>
      <c r="AR864" s="1" t="s">
        <v>5295</v>
      </c>
    </row>
    <row r="865">
      <c r="A865" s="2">
        <f ca="1">DATE(2002,04,05)</f>
        <v>0</v>
      </c>
      <c r="B865" s="2">
        <f ca="1">DATE(2002,06,20)</f>
        <v>0</v>
      </c>
      <c r="C865" s="1" t="s">
        <v>5296</v>
      </c>
      <c r="D865" s="3">
        <v>3826</v>
      </c>
      <c r="E865" s="1" t="s">
        <v>43</v>
      </c>
      <c r="F865" s="1" t="s">
        <v>5297</v>
      </c>
      <c r="G865" s="1" t="s">
        <v>168</v>
      </c>
      <c r="H865" s="4">
        <v>1.25</v>
      </c>
      <c r="I865" s="4">
        <v>7.3529999999999998</v>
      </c>
      <c r="J865" s="5">
        <v>164</v>
      </c>
      <c r="K865" s="4">
        <v>17</v>
      </c>
      <c r="L865" s="1" t="s">
        <v>46</v>
      </c>
      <c r="M865" s="1" t="s">
        <v>47</v>
      </c>
      <c r="N865" s="1" t="s">
        <v>5298</v>
      </c>
      <c r="O865" s="1" t="s">
        <v>48</v>
      </c>
      <c r="P865" s="1" t="s">
        <v>5299</v>
      </c>
      <c r="Q865" s="4">
        <v>1.4710000000000001</v>
      </c>
      <c r="R865" s="4">
        <v>1.4710000000000001</v>
      </c>
      <c r="S865" s="6">
        <v>4.4117600000000001</v>
      </c>
      <c r="T865" s="1" t="s">
        <v>50</v>
      </c>
      <c r="U865" s="1"/>
      <c r="V865" s="1"/>
      <c r="W865" s="1"/>
      <c r="X865" s="1"/>
      <c r="Y865" s="7">
        <v>8953344</v>
      </c>
      <c r="Z865" s="7">
        <v>694656</v>
      </c>
      <c r="AA865" s="2">
        <f ca="1">DATE(2002,12,17)</f>
        <v>0</v>
      </c>
      <c r="AB865" s="4">
        <v>67.009</v>
      </c>
      <c r="AC865" s="3">
        <v>180</v>
      </c>
      <c r="AD865" s="8">
        <v>27356246</v>
      </c>
      <c r="AE865" s="1" t="s">
        <v>51</v>
      </c>
      <c r="AF865" s="1" t="s">
        <v>51</v>
      </c>
      <c r="AG865" s="1" t="s">
        <v>47</v>
      </c>
      <c r="AH865" s="1"/>
      <c r="AI865" s="1"/>
      <c r="AJ865" s="3">
        <v>1</v>
      </c>
      <c r="AK865" s="1" t="s">
        <v>52</v>
      </c>
      <c r="AL865" s="3">
        <v>6</v>
      </c>
      <c r="AM865" s="8">
        <v>19.5</v>
      </c>
      <c r="AN865" s="1"/>
      <c r="AO865" s="1" t="s">
        <v>5300</v>
      </c>
      <c r="AP865" s="1" t="s">
        <v>168</v>
      </c>
      <c r="AQ865" s="1" t="s">
        <v>5301</v>
      </c>
      <c r="AR865" s="1" t="s">
        <v>5302</v>
      </c>
    </row>
    <row r="866">
      <c r="A866" s="2">
        <f ca="1">DATE(2002,04,05)</f>
        <v>0</v>
      </c>
      <c r="B866" s="2">
        <f ca="1">DATE(2002,06,20)</f>
        <v>0</v>
      </c>
      <c r="C866" s="1" t="s">
        <v>5296</v>
      </c>
      <c r="D866" s="3">
        <v>3826</v>
      </c>
      <c r="E866" s="1" t="s">
        <v>43</v>
      </c>
      <c r="F866" s="1" t="s">
        <v>5297</v>
      </c>
      <c r="G866" s="1" t="s">
        <v>168</v>
      </c>
      <c r="H866" s="4">
        <v>1.25</v>
      </c>
      <c r="I866" s="4">
        <v>7.3529999999999998</v>
      </c>
      <c r="J866" s="5">
        <v>18.199999999999999</v>
      </c>
      <c r="K866" s="8">
        <v>17</v>
      </c>
      <c r="L866" s="1" t="s">
        <v>46</v>
      </c>
      <c r="M866" s="1" t="s">
        <v>47</v>
      </c>
      <c r="N866" s="1" t="s">
        <v>5298</v>
      </c>
      <c r="O866" s="1" t="s">
        <v>48</v>
      </c>
      <c r="P866" s="1" t="s">
        <v>5303</v>
      </c>
      <c r="Q866" s="4">
        <v>1.4710000000000001</v>
      </c>
      <c r="R866" s="4">
        <v>1.4710000000000001</v>
      </c>
      <c r="S866" s="6">
        <v>4.4117600000000001</v>
      </c>
      <c r="T866" s="1" t="s">
        <v>60</v>
      </c>
      <c r="U866" s="1"/>
      <c r="V866" s="1"/>
      <c r="W866" s="1"/>
      <c r="X866" s="1"/>
      <c r="Y866" s="7">
        <v>1046656</v>
      </c>
      <c r="Z866" s="7">
        <v>25344</v>
      </c>
      <c r="AA866" s="1"/>
      <c r="AB866" s="1"/>
      <c r="AC866" s="3">
        <v>180</v>
      </c>
      <c r="AD866" s="8">
        <v>27356246</v>
      </c>
      <c r="AE866" s="1" t="s">
        <v>51</v>
      </c>
      <c r="AF866" s="1" t="s">
        <v>51</v>
      </c>
      <c r="AG866" s="1" t="s">
        <v>47</v>
      </c>
      <c r="AH866" s="1"/>
      <c r="AI866" s="1"/>
      <c r="AJ866" s="3">
        <v>1</v>
      </c>
      <c r="AK866" s="1" t="s">
        <v>52</v>
      </c>
      <c r="AL866" s="3">
        <v>1</v>
      </c>
      <c r="AM866" s="5">
        <v>19.5</v>
      </c>
      <c r="AN866" s="8">
        <v>17.350000000000001</v>
      </c>
      <c r="AO866" s="1" t="s">
        <v>5304</v>
      </c>
      <c r="AP866" s="1" t="s">
        <v>168</v>
      </c>
      <c r="AQ866" s="1" t="s">
        <v>168</v>
      </c>
      <c r="AR866" s="1" t="s">
        <v>172</v>
      </c>
    </row>
    <row r="867">
      <c r="A867" s="2">
        <f ca="1">DATE(2001,11,07)</f>
        <v>0</v>
      </c>
      <c r="B867" s="2">
        <f ca="1">DATE(2002,06,24)</f>
        <v>0</v>
      </c>
      <c r="C867" s="1" t="s">
        <v>5305</v>
      </c>
      <c r="D867" s="3">
        <v>2834</v>
      </c>
      <c r="E867" s="1" t="s">
        <v>43</v>
      </c>
      <c r="F867" s="1" t="s">
        <v>5306</v>
      </c>
      <c r="G867" s="1" t="s">
        <v>630</v>
      </c>
      <c r="H867" s="4">
        <v>0.44800000000000001</v>
      </c>
      <c r="I867" s="4">
        <v>8.5329999999999995</v>
      </c>
      <c r="J867" s="5">
        <v>10.5</v>
      </c>
      <c r="K867" s="4">
        <v>5.25</v>
      </c>
      <c r="L867" s="1" t="s">
        <v>46</v>
      </c>
      <c r="M867" s="1" t="s">
        <v>47</v>
      </c>
      <c r="N867" s="1" t="s">
        <v>5307</v>
      </c>
      <c r="O867" s="1" t="s">
        <v>48</v>
      </c>
      <c r="P867" s="1" t="s">
        <v>5308</v>
      </c>
      <c r="Q867" s="1" t="s">
        <v>145</v>
      </c>
      <c r="R867" s="1" t="s">
        <v>145</v>
      </c>
      <c r="S867" s="1"/>
      <c r="T867" s="1" t="s">
        <v>50</v>
      </c>
      <c r="U867" s="8">
        <v>9</v>
      </c>
      <c r="V867" s="8">
        <v>5</v>
      </c>
      <c r="W867" s="7">
        <v>2000000</v>
      </c>
      <c r="X867" s="5">
        <v>14</v>
      </c>
      <c r="Y867" s="7">
        <v>2000000</v>
      </c>
      <c r="Z867" s="1"/>
      <c r="AA867" s="2">
        <f ca="1">DATE(2002,12,21)</f>
        <v>0</v>
      </c>
      <c r="AB867" s="4">
        <v>70.783000000000001</v>
      </c>
      <c r="AC867" s="3">
        <v>180</v>
      </c>
      <c r="AD867" s="8">
        <v>4955442</v>
      </c>
      <c r="AE867" s="1" t="s">
        <v>51</v>
      </c>
      <c r="AF867" s="1" t="s">
        <v>47</v>
      </c>
      <c r="AG867" s="1" t="s">
        <v>47</v>
      </c>
      <c r="AH867" s="1"/>
      <c r="AI867" s="1"/>
      <c r="AJ867" s="3">
        <v>1</v>
      </c>
      <c r="AK867" s="1" t="s">
        <v>52</v>
      </c>
      <c r="AL867" s="3">
        <v>2</v>
      </c>
      <c r="AM867" s="8">
        <v>5</v>
      </c>
      <c r="AN867" s="1"/>
      <c r="AO867" s="1" t="s">
        <v>5309</v>
      </c>
      <c r="AP867" s="1" t="s">
        <v>630</v>
      </c>
      <c r="AQ867" s="1" t="s">
        <v>5310</v>
      </c>
      <c r="AR867" s="1" t="s">
        <v>5311</v>
      </c>
    </row>
    <row r="868">
      <c r="A868" s="2">
        <f ca="1">DATE(2001,08,21)</f>
        <v>0</v>
      </c>
      <c r="B868" s="2">
        <f ca="1">DATE(2002,06,25)</f>
        <v>0</v>
      </c>
      <c r="C868" s="1" t="s">
        <v>5312</v>
      </c>
      <c r="D868" s="3">
        <v>5941</v>
      </c>
      <c r="E868" s="1" t="s">
        <v>43</v>
      </c>
      <c r="F868" s="1" t="s">
        <v>5313</v>
      </c>
      <c r="G868" s="1" t="s">
        <v>168</v>
      </c>
      <c r="H868" s="4">
        <v>0.91000000000000003</v>
      </c>
      <c r="I868" s="4">
        <v>7</v>
      </c>
      <c r="J868" s="5">
        <v>97.099999999999994</v>
      </c>
      <c r="K868" s="4">
        <v>13</v>
      </c>
      <c r="L868" s="1" t="s">
        <v>46</v>
      </c>
      <c r="M868" s="1" t="s">
        <v>47</v>
      </c>
      <c r="N868" s="1" t="s">
        <v>5314</v>
      </c>
      <c r="O868" s="1" t="s">
        <v>48</v>
      </c>
      <c r="P868" s="1" t="s">
        <v>5315</v>
      </c>
      <c r="Q868" s="4">
        <v>1.3999999999999999</v>
      </c>
      <c r="R868" s="4">
        <v>1.3999999999999999</v>
      </c>
      <c r="S868" s="8">
        <v>4.2000000000000002</v>
      </c>
      <c r="T868" s="1" t="s">
        <v>50</v>
      </c>
      <c r="U868" s="1"/>
      <c r="V868" s="1"/>
      <c r="W868" s="1"/>
      <c r="X868" s="5">
        <v>115</v>
      </c>
      <c r="Y868" s="7">
        <v>5998904</v>
      </c>
      <c r="Z868" s="7">
        <v>1472644</v>
      </c>
      <c r="AA868" s="2">
        <f ca="1">DATE(2002,12,22)</f>
        <v>0</v>
      </c>
      <c r="AB868" s="4">
        <v>62.866</v>
      </c>
      <c r="AC868" s="3">
        <v>180</v>
      </c>
      <c r="AD868" s="8">
        <v>13628513</v>
      </c>
      <c r="AE868" s="1" t="s">
        <v>51</v>
      </c>
      <c r="AF868" s="1" t="s">
        <v>51</v>
      </c>
      <c r="AG868" s="1" t="s">
        <v>51</v>
      </c>
      <c r="AH868" s="1"/>
      <c r="AI868" s="1"/>
      <c r="AJ868" s="3">
        <v>1</v>
      </c>
      <c r="AK868" s="1" t="s">
        <v>52</v>
      </c>
      <c r="AL868" s="3">
        <v>4</v>
      </c>
      <c r="AM868" s="8">
        <v>13.17</v>
      </c>
      <c r="AN868" s="1"/>
      <c r="AO868" s="1" t="s">
        <v>5316</v>
      </c>
      <c r="AP868" s="1" t="s">
        <v>168</v>
      </c>
      <c r="AQ868" s="1" t="s">
        <v>5317</v>
      </c>
      <c r="AR868" s="1" t="s">
        <v>5318</v>
      </c>
    </row>
    <row r="869">
      <c r="A869" s="2">
        <f ca="1">DATE(2001,08,21)</f>
        <v>0</v>
      </c>
      <c r="B869" s="2">
        <f ca="1">DATE(2002,06,25)</f>
        <v>0</v>
      </c>
      <c r="C869" s="1" t="s">
        <v>5312</v>
      </c>
      <c r="D869" s="3">
        <v>5941</v>
      </c>
      <c r="E869" s="1" t="s">
        <v>43</v>
      </c>
      <c r="F869" s="1" t="s">
        <v>5313</v>
      </c>
      <c r="G869" s="1" t="s">
        <v>168</v>
      </c>
      <c r="H869" s="4">
        <v>0.91000000000000003</v>
      </c>
      <c r="I869" s="4">
        <v>7</v>
      </c>
      <c r="J869" s="5">
        <v>7.5</v>
      </c>
      <c r="K869" s="8">
        <v>13</v>
      </c>
      <c r="L869" s="1" t="s">
        <v>46</v>
      </c>
      <c r="M869" s="1" t="s">
        <v>47</v>
      </c>
      <c r="N869" s="1" t="s">
        <v>5314</v>
      </c>
      <c r="O869" s="1" t="s">
        <v>48</v>
      </c>
      <c r="P869" s="1" t="s">
        <v>5315</v>
      </c>
      <c r="Q869" s="4">
        <v>1.3999999999999999</v>
      </c>
      <c r="R869" s="4">
        <v>1.3999999999999999</v>
      </c>
      <c r="S869" s="8">
        <v>4.2000000000000002</v>
      </c>
      <c r="T869" s="1" t="s">
        <v>60</v>
      </c>
      <c r="U869" s="1"/>
      <c r="V869" s="1"/>
      <c r="W869" s="1"/>
      <c r="X869" s="1"/>
      <c r="Y869" s="7">
        <v>464439</v>
      </c>
      <c r="Z869" s="7">
        <v>114013</v>
      </c>
      <c r="AA869" s="1"/>
      <c r="AB869" s="1"/>
      <c r="AC869" s="3">
        <v>180</v>
      </c>
      <c r="AD869" s="8">
        <v>13628513</v>
      </c>
      <c r="AE869" s="1" t="s">
        <v>51</v>
      </c>
      <c r="AF869" s="1" t="s">
        <v>51</v>
      </c>
      <c r="AG869" s="1" t="s">
        <v>51</v>
      </c>
      <c r="AH869" s="1"/>
      <c r="AI869" s="1"/>
      <c r="AJ869" s="3">
        <v>1</v>
      </c>
      <c r="AK869" s="1" t="s">
        <v>52</v>
      </c>
      <c r="AL869" s="3">
        <v>1</v>
      </c>
      <c r="AM869" s="1"/>
      <c r="AN869" s="1"/>
      <c r="AO869" s="1" t="s">
        <v>5319</v>
      </c>
      <c r="AP869" s="1" t="s">
        <v>168</v>
      </c>
      <c r="AQ869" s="1" t="s">
        <v>168</v>
      </c>
      <c r="AR869" s="1" t="s">
        <v>172</v>
      </c>
    </row>
    <row r="870">
      <c r="A870" s="2">
        <f ca="1">DATE(2002,04,22)</f>
        <v>0</v>
      </c>
      <c r="B870" s="2">
        <f ca="1">DATE(2002,06,25)</f>
        <v>0</v>
      </c>
      <c r="C870" s="1" t="s">
        <v>5320</v>
      </c>
      <c r="D870" s="3">
        <v>6726</v>
      </c>
      <c r="E870" s="1" t="s">
        <v>43</v>
      </c>
      <c r="F870" s="1" t="s">
        <v>5321</v>
      </c>
      <c r="G870" s="1" t="s">
        <v>45</v>
      </c>
      <c r="H870" s="4">
        <v>0.67500000000000004</v>
      </c>
      <c r="I870" s="4">
        <v>4.5</v>
      </c>
      <c r="J870" s="5">
        <v>600</v>
      </c>
      <c r="K870" s="4">
        <v>15</v>
      </c>
      <c r="L870" s="1" t="s">
        <v>4422</v>
      </c>
      <c r="M870" s="1" t="s">
        <v>47</v>
      </c>
      <c r="N870" s="3">
        <v>128117108</v>
      </c>
      <c r="O870" s="1" t="s">
        <v>108</v>
      </c>
      <c r="P870" s="1" t="s">
        <v>5322</v>
      </c>
      <c r="Q870" s="4">
        <v>0.93300000000000005</v>
      </c>
      <c r="R870" s="4">
        <v>0.56699999999999995</v>
      </c>
      <c r="S870" s="8">
        <v>3</v>
      </c>
      <c r="T870" s="1" t="s">
        <v>50</v>
      </c>
      <c r="U870" s="8">
        <v>15</v>
      </c>
      <c r="V870" s="8">
        <v>15</v>
      </c>
      <c r="W870" s="7">
        <v>4000000</v>
      </c>
      <c r="X870" s="5">
        <v>60</v>
      </c>
      <c r="Y870" s="7">
        <v>40000000</v>
      </c>
      <c r="Z870" s="1"/>
      <c r="AA870" s="2">
        <f ca="1">DATE(2002,12,22)</f>
        <v>0</v>
      </c>
      <c r="AB870" s="1"/>
      <c r="AC870" s="3">
        <v>180</v>
      </c>
      <c r="AD870" s="1"/>
      <c r="AE870" s="1" t="s">
        <v>51</v>
      </c>
      <c r="AF870" s="1" t="s">
        <v>51</v>
      </c>
      <c r="AG870" s="1" t="s">
        <v>51</v>
      </c>
      <c r="AH870" s="1"/>
      <c r="AI870" s="1"/>
      <c r="AJ870" s="3">
        <v>1</v>
      </c>
      <c r="AK870" s="1" t="s">
        <v>52</v>
      </c>
      <c r="AL870" s="3">
        <v>11</v>
      </c>
      <c r="AM870" s="8">
        <v>15</v>
      </c>
      <c r="AN870" s="1"/>
      <c r="AO870" s="1" t="s">
        <v>5323</v>
      </c>
      <c r="AP870" s="1" t="s">
        <v>45</v>
      </c>
      <c r="AQ870" s="1" t="s">
        <v>5324</v>
      </c>
      <c r="AR870" s="1" t="s">
        <v>5325</v>
      </c>
    </row>
    <row r="871">
      <c r="A871" s="2">
        <f ca="1">DATE(2002,04,26)</f>
        <v>0</v>
      </c>
      <c r="B871" s="2">
        <f ca="1">DATE(2002,06,25)</f>
        <v>0</v>
      </c>
      <c r="C871" s="1" t="s">
        <v>5326</v>
      </c>
      <c r="D871" s="3">
        <v>6726</v>
      </c>
      <c r="E871" s="1" t="s">
        <v>43</v>
      </c>
      <c r="F871" s="1" t="s">
        <v>5327</v>
      </c>
      <c r="G871" s="1" t="s">
        <v>4922</v>
      </c>
      <c r="H871" s="4">
        <v>0.67500000000000004</v>
      </c>
      <c r="I871" s="4">
        <v>4.5</v>
      </c>
      <c r="J871" s="5">
        <v>840</v>
      </c>
      <c r="K871" s="4">
        <v>15</v>
      </c>
      <c r="L871" s="1" t="s">
        <v>46</v>
      </c>
      <c r="M871" s="1" t="s">
        <v>47</v>
      </c>
      <c r="N871" s="1" t="s">
        <v>5328</v>
      </c>
      <c r="O871" s="1" t="s">
        <v>108</v>
      </c>
      <c r="P871" s="1" t="s">
        <v>5329</v>
      </c>
      <c r="Q871" s="4">
        <v>0.93300000000000005</v>
      </c>
      <c r="R871" s="4">
        <v>0.56699999999999995</v>
      </c>
      <c r="S871" s="8">
        <v>3</v>
      </c>
      <c r="T871" s="1" t="s">
        <v>50</v>
      </c>
      <c r="U871" s="8">
        <v>15</v>
      </c>
      <c r="V871" s="8">
        <v>15</v>
      </c>
      <c r="W871" s="7">
        <v>1000</v>
      </c>
      <c r="X871" s="5">
        <v>0</v>
      </c>
      <c r="Y871" s="7">
        <v>56000000</v>
      </c>
      <c r="Z871" s="1"/>
      <c r="AA871" s="2">
        <f ca="1">DATE(2002,12,22)</f>
        <v>0</v>
      </c>
      <c r="AB871" s="1"/>
      <c r="AC871" s="3">
        <v>180</v>
      </c>
      <c r="AD871" s="1"/>
      <c r="AE871" s="1" t="s">
        <v>51</v>
      </c>
      <c r="AF871" s="1" t="s">
        <v>51</v>
      </c>
      <c r="AG871" s="1" t="s">
        <v>51</v>
      </c>
      <c r="AH871" s="1"/>
      <c r="AI871" s="1"/>
      <c r="AJ871" s="3">
        <v>2</v>
      </c>
      <c r="AK871" s="1" t="s">
        <v>89</v>
      </c>
      <c r="AL871" s="3">
        <v>18</v>
      </c>
      <c r="AM871" s="8">
        <v>15.130000000000001</v>
      </c>
      <c r="AN871" s="1"/>
      <c r="AO871" s="1" t="s">
        <v>5330</v>
      </c>
      <c r="AP871" s="1" t="s">
        <v>4336</v>
      </c>
      <c r="AQ871" s="1" t="s">
        <v>5331</v>
      </c>
      <c r="AR871" s="1" t="s">
        <v>5332</v>
      </c>
    </row>
    <row r="872">
      <c r="A872" s="2">
        <f ca="1">DATE(2002,03,12)</f>
        <v>0</v>
      </c>
      <c r="B872" s="2">
        <f ca="1">DATE(2002,06,26)</f>
        <v>0</v>
      </c>
      <c r="C872" s="1" t="s">
        <v>5333</v>
      </c>
      <c r="D872" s="3">
        <v>8742</v>
      </c>
      <c r="E872" s="1" t="s">
        <v>43</v>
      </c>
      <c r="F872" s="1" t="s">
        <v>5334</v>
      </c>
      <c r="G872" s="1" t="s">
        <v>160</v>
      </c>
      <c r="H872" s="4">
        <v>1.3300000000000001</v>
      </c>
      <c r="I872" s="4">
        <v>7</v>
      </c>
      <c r="J872" s="5">
        <v>211.90000000000001</v>
      </c>
      <c r="K872" s="4">
        <v>19</v>
      </c>
      <c r="L872" s="1" t="s">
        <v>5129</v>
      </c>
      <c r="M872" s="1" t="s">
        <v>47</v>
      </c>
      <c r="N872" s="1" t="s">
        <v>5335</v>
      </c>
      <c r="O872" s="1" t="s">
        <v>108</v>
      </c>
      <c r="P872" s="1" t="s">
        <v>5336</v>
      </c>
      <c r="Q872" s="4">
        <v>1.395</v>
      </c>
      <c r="R872" s="4">
        <v>1.395</v>
      </c>
      <c r="S872" s="6">
        <v>4.2105300000000003</v>
      </c>
      <c r="T872" s="1" t="s">
        <v>50</v>
      </c>
      <c r="U872" s="1"/>
      <c r="V872" s="1"/>
      <c r="W872" s="1"/>
      <c r="X872" s="5">
        <v>250</v>
      </c>
      <c r="Y872" s="7">
        <v>11150000</v>
      </c>
      <c r="Z872" s="1"/>
      <c r="AA872" s="2">
        <f ca="1">DATE(2002,12,23)</f>
        <v>0</v>
      </c>
      <c r="AB872" s="4">
        <v>71.622</v>
      </c>
      <c r="AC872" s="3">
        <v>180</v>
      </c>
      <c r="AD872" s="8">
        <v>70819520</v>
      </c>
      <c r="AE872" s="1" t="s">
        <v>51</v>
      </c>
      <c r="AF872" s="1" t="s">
        <v>51</v>
      </c>
      <c r="AG872" s="1" t="s">
        <v>51</v>
      </c>
      <c r="AH872" s="1"/>
      <c r="AI872" s="1"/>
      <c r="AJ872" s="3">
        <v>1</v>
      </c>
      <c r="AK872" s="1" t="s">
        <v>52</v>
      </c>
      <c r="AL872" s="3">
        <v>6</v>
      </c>
      <c r="AM872" s="8">
        <v>23.5</v>
      </c>
      <c r="AN872" s="1"/>
      <c r="AO872" s="1" t="s">
        <v>5337</v>
      </c>
      <c r="AP872" s="1" t="s">
        <v>160</v>
      </c>
      <c r="AQ872" s="1" t="s">
        <v>5338</v>
      </c>
      <c r="AR872" s="1" t="s">
        <v>5339</v>
      </c>
    </row>
    <row r="873">
      <c r="A873" s="2">
        <f ca="1">DATE(2002,04,15)</f>
        <v>0</v>
      </c>
      <c r="B873" s="2">
        <f ca="1">DATE(2002,06,26)</f>
        <v>0</v>
      </c>
      <c r="C873" s="1" t="s">
        <v>5340</v>
      </c>
      <c r="D873" s="3">
        <v>6726</v>
      </c>
      <c r="E873" s="1" t="s">
        <v>43</v>
      </c>
      <c r="F873" s="1" t="s">
        <v>5341</v>
      </c>
      <c r="G873" s="1" t="s">
        <v>1583</v>
      </c>
      <c r="H873" s="4">
        <v>0.67500000000000004</v>
      </c>
      <c r="I873" s="4">
        <v>4.5</v>
      </c>
      <c r="J873" s="5">
        <v>390</v>
      </c>
      <c r="K873" s="4">
        <v>15</v>
      </c>
      <c r="L873" s="1" t="s">
        <v>46</v>
      </c>
      <c r="M873" s="1" t="s">
        <v>47</v>
      </c>
      <c r="N873" s="1" t="s">
        <v>5342</v>
      </c>
      <c r="O873" s="1" t="s">
        <v>108</v>
      </c>
      <c r="P873" s="1" t="s">
        <v>5343</v>
      </c>
      <c r="Q873" s="4">
        <v>0.96699999999999997</v>
      </c>
      <c r="R873" s="4">
        <v>0.53300000000000003</v>
      </c>
      <c r="S873" s="8">
        <v>3</v>
      </c>
      <c r="T873" s="1" t="s">
        <v>50</v>
      </c>
      <c r="U873" s="8">
        <v>15</v>
      </c>
      <c r="V873" s="8">
        <v>15</v>
      </c>
      <c r="W873" s="7">
        <v>1000</v>
      </c>
      <c r="X873" s="5">
        <v>0</v>
      </c>
      <c r="Y873" s="7">
        <v>26000000</v>
      </c>
      <c r="Z873" s="1"/>
      <c r="AA873" s="1"/>
      <c r="AB873" s="1"/>
      <c r="AC873" s="1"/>
      <c r="AD873" s="1"/>
      <c r="AE873" s="1" t="s">
        <v>51</v>
      </c>
      <c r="AF873" s="1" t="s">
        <v>51</v>
      </c>
      <c r="AG873" s="1" t="s">
        <v>51</v>
      </c>
      <c r="AH873" s="1"/>
      <c r="AI873" s="1"/>
      <c r="AJ873" s="3">
        <v>1</v>
      </c>
      <c r="AK873" s="1" t="s">
        <v>52</v>
      </c>
      <c r="AL873" s="3">
        <v>10</v>
      </c>
      <c r="AM873" s="8">
        <v>15.01</v>
      </c>
      <c r="AN873" s="1"/>
      <c r="AO873" s="1" t="s">
        <v>5344</v>
      </c>
      <c r="AP873" s="1" t="s">
        <v>1583</v>
      </c>
      <c r="AQ873" s="1" t="s">
        <v>5345</v>
      </c>
      <c r="AR873" s="1" t="s">
        <v>5346</v>
      </c>
    </row>
    <row r="874">
      <c r="A874" s="2">
        <f ca="1">DATE(2002,04,15)</f>
        <v>0</v>
      </c>
      <c r="B874" s="2">
        <f ca="1">DATE(2002,06,26)</f>
        <v>0</v>
      </c>
      <c r="C874" s="1" t="s">
        <v>5347</v>
      </c>
      <c r="D874" s="3">
        <v>6726</v>
      </c>
      <c r="E874" s="1" t="s">
        <v>43</v>
      </c>
      <c r="F874" s="1" t="s">
        <v>5348</v>
      </c>
      <c r="G874" s="1" t="s">
        <v>1583</v>
      </c>
      <c r="H874" s="4">
        <v>0.67500000000000004</v>
      </c>
      <c r="I874" s="4">
        <v>4.5</v>
      </c>
      <c r="J874" s="5">
        <v>757.5</v>
      </c>
      <c r="K874" s="4">
        <v>15</v>
      </c>
      <c r="L874" s="1" t="s">
        <v>46</v>
      </c>
      <c r="M874" s="1" t="s">
        <v>47</v>
      </c>
      <c r="N874" s="1" t="s">
        <v>5349</v>
      </c>
      <c r="O874" s="1" t="s">
        <v>108</v>
      </c>
      <c r="P874" s="1" t="s">
        <v>5350</v>
      </c>
      <c r="Q874" s="4">
        <v>0.96699999999999997</v>
      </c>
      <c r="R874" s="4">
        <v>0.53300000000000003</v>
      </c>
      <c r="S874" s="8">
        <v>3</v>
      </c>
      <c r="T874" s="1" t="s">
        <v>50</v>
      </c>
      <c r="U874" s="8">
        <v>15</v>
      </c>
      <c r="V874" s="8">
        <v>15</v>
      </c>
      <c r="W874" s="7">
        <v>1000</v>
      </c>
      <c r="X874" s="5">
        <v>0</v>
      </c>
      <c r="Y874" s="7">
        <v>50500000</v>
      </c>
      <c r="Z874" s="1"/>
      <c r="AA874" s="1"/>
      <c r="AB874" s="1"/>
      <c r="AC874" s="1"/>
      <c r="AD874" s="1"/>
      <c r="AE874" s="1" t="s">
        <v>51</v>
      </c>
      <c r="AF874" s="1" t="s">
        <v>51</v>
      </c>
      <c r="AG874" s="1" t="s">
        <v>51</v>
      </c>
      <c r="AH874" s="1"/>
      <c r="AI874" s="1"/>
      <c r="AJ874" s="3">
        <v>1</v>
      </c>
      <c r="AK874" s="1" t="s">
        <v>89</v>
      </c>
      <c r="AL874" s="3">
        <v>11</v>
      </c>
      <c r="AM874" s="8">
        <v>15.050000000000001</v>
      </c>
      <c r="AN874" s="1"/>
      <c r="AO874" s="1" t="s">
        <v>5351</v>
      </c>
      <c r="AP874" s="1" t="s">
        <v>5352</v>
      </c>
      <c r="AQ874" s="1" t="s">
        <v>5353</v>
      </c>
      <c r="AR874" s="1" t="s">
        <v>5354</v>
      </c>
    </row>
    <row r="875">
      <c r="A875" s="2">
        <f ca="1">DATE(2002,04,15)</f>
        <v>0</v>
      </c>
      <c r="B875" s="2">
        <f ca="1">DATE(2002,06,26)</f>
        <v>0</v>
      </c>
      <c r="C875" s="1" t="s">
        <v>5355</v>
      </c>
      <c r="D875" s="3">
        <v>6726</v>
      </c>
      <c r="E875" s="1" t="s">
        <v>43</v>
      </c>
      <c r="F875" s="1" t="s">
        <v>5356</v>
      </c>
      <c r="G875" s="1" t="s">
        <v>1583</v>
      </c>
      <c r="H875" s="4">
        <v>0.67500000000000004</v>
      </c>
      <c r="I875" s="4">
        <v>4.5</v>
      </c>
      <c r="J875" s="5">
        <v>135</v>
      </c>
      <c r="K875" s="4">
        <v>15</v>
      </c>
      <c r="L875" s="1" t="s">
        <v>46</v>
      </c>
      <c r="M875" s="1" t="s">
        <v>47</v>
      </c>
      <c r="N875" s="1" t="s">
        <v>5357</v>
      </c>
      <c r="O875" s="1" t="s">
        <v>108</v>
      </c>
      <c r="P875" s="1" t="s">
        <v>5358</v>
      </c>
      <c r="Q875" s="4">
        <v>0.96699999999999997</v>
      </c>
      <c r="R875" s="4">
        <v>0.53300000000000003</v>
      </c>
      <c r="S875" s="8">
        <v>3</v>
      </c>
      <c r="T875" s="1" t="s">
        <v>50</v>
      </c>
      <c r="U875" s="8">
        <v>15</v>
      </c>
      <c r="V875" s="8">
        <v>15</v>
      </c>
      <c r="W875" s="7">
        <v>1000</v>
      </c>
      <c r="X875" s="5">
        <v>0</v>
      </c>
      <c r="Y875" s="7">
        <v>9000000</v>
      </c>
      <c r="Z875" s="1"/>
      <c r="AA875" s="1"/>
      <c r="AB875" s="1"/>
      <c r="AC875" s="1"/>
      <c r="AD875" s="1"/>
      <c r="AE875" s="1" t="s">
        <v>51</v>
      </c>
      <c r="AF875" s="1" t="s">
        <v>51</v>
      </c>
      <c r="AG875" s="1" t="s">
        <v>51</v>
      </c>
      <c r="AH875" s="1"/>
      <c r="AI875" s="1"/>
      <c r="AJ875" s="3">
        <v>1</v>
      </c>
      <c r="AK875" s="1" t="s">
        <v>89</v>
      </c>
      <c r="AL875" s="3">
        <v>10</v>
      </c>
      <c r="AM875" s="8">
        <v>15.02</v>
      </c>
      <c r="AN875" s="1"/>
      <c r="AO875" s="1" t="s">
        <v>5359</v>
      </c>
      <c r="AP875" s="1" t="s">
        <v>5352</v>
      </c>
      <c r="AQ875" s="1" t="s">
        <v>5360</v>
      </c>
      <c r="AR875" s="1" t="s">
        <v>5361</v>
      </c>
    </row>
    <row r="876">
      <c r="A876" s="2">
        <f ca="1">DATE(2002,04,02)</f>
        <v>0</v>
      </c>
      <c r="B876" s="2">
        <f ca="1">DATE(2002,06,27)</f>
        <v>0</v>
      </c>
      <c r="C876" s="1" t="s">
        <v>5362</v>
      </c>
      <c r="D876" s="3">
        <v>8731</v>
      </c>
      <c r="E876" s="1" t="s">
        <v>43</v>
      </c>
      <c r="F876" s="1" t="s">
        <v>5363</v>
      </c>
      <c r="G876" s="1" t="s">
        <v>5364</v>
      </c>
      <c r="H876" s="4">
        <v>0.91000000000000003</v>
      </c>
      <c r="I876" s="4">
        <v>7</v>
      </c>
      <c r="J876" s="5">
        <v>156</v>
      </c>
      <c r="K876" s="4">
        <v>13</v>
      </c>
      <c r="L876" s="1" t="s">
        <v>46</v>
      </c>
      <c r="M876" s="1" t="s">
        <v>47</v>
      </c>
      <c r="N876" s="3">
        <v>461238107</v>
      </c>
      <c r="O876" s="1" t="s">
        <v>48</v>
      </c>
      <c r="P876" s="1" t="s">
        <v>5365</v>
      </c>
      <c r="Q876" s="4">
        <v>1.385</v>
      </c>
      <c r="R876" s="4">
        <v>1.385</v>
      </c>
      <c r="S876" s="6">
        <v>4.2307699999999997</v>
      </c>
      <c r="T876" s="1" t="s">
        <v>50</v>
      </c>
      <c r="U876" s="1"/>
      <c r="V876" s="1"/>
      <c r="W876" s="1"/>
      <c r="X876" s="5">
        <v>127.5</v>
      </c>
      <c r="Y876" s="7">
        <v>12000000</v>
      </c>
      <c r="Z876" s="1"/>
      <c r="AA876" s="2">
        <f ca="1">DATE(2002,12,24)</f>
        <v>0</v>
      </c>
      <c r="AB876" s="4">
        <v>61.408999999999999</v>
      </c>
      <c r="AC876" s="3">
        <v>180</v>
      </c>
      <c r="AD876" s="8">
        <v>21966410</v>
      </c>
      <c r="AE876" s="1" t="s">
        <v>51</v>
      </c>
      <c r="AF876" s="1" t="s">
        <v>51</v>
      </c>
      <c r="AG876" s="1" t="s">
        <v>51</v>
      </c>
      <c r="AH876" s="1"/>
      <c r="AI876" s="1"/>
      <c r="AJ876" s="3">
        <v>2</v>
      </c>
      <c r="AK876" s="1" t="s">
        <v>89</v>
      </c>
      <c r="AL876" s="3">
        <v>4</v>
      </c>
      <c r="AM876" s="8">
        <v>13.01</v>
      </c>
      <c r="AN876" s="1"/>
      <c r="AO876" s="1" t="s">
        <v>5366</v>
      </c>
      <c r="AP876" s="1" t="s">
        <v>5367</v>
      </c>
      <c r="AQ876" s="1" t="s">
        <v>5368</v>
      </c>
      <c r="AR876" s="1" t="s">
        <v>5369</v>
      </c>
    </row>
    <row r="877">
      <c r="A877" s="2">
        <f ca="1">DATE(2002,05,03)</f>
        <v>0</v>
      </c>
      <c r="B877" s="2">
        <f ca="1">DATE(2002,06,27)</f>
        <v>0</v>
      </c>
      <c r="C877" s="1" t="s">
        <v>5370</v>
      </c>
      <c r="D877" s="3">
        <v>7373</v>
      </c>
      <c r="E877" s="1" t="s">
        <v>43</v>
      </c>
      <c r="F877" s="1" t="s">
        <v>5371</v>
      </c>
      <c r="G877" s="1" t="s">
        <v>5372</v>
      </c>
      <c r="H877" s="4">
        <v>1.19</v>
      </c>
      <c r="I877" s="8">
        <v>7</v>
      </c>
      <c r="J877" s="5">
        <v>85</v>
      </c>
      <c r="K877" s="4">
        <v>17</v>
      </c>
      <c r="L877" s="1" t="s">
        <v>46</v>
      </c>
      <c r="M877" s="1" t="s">
        <v>47</v>
      </c>
      <c r="N877" s="1" t="s">
        <v>5373</v>
      </c>
      <c r="O877" s="1" t="s">
        <v>48</v>
      </c>
      <c r="P877" s="1" t="s">
        <v>5374</v>
      </c>
      <c r="Q877" s="4">
        <v>1.4119999999999999</v>
      </c>
      <c r="R877" s="4">
        <v>1.353</v>
      </c>
      <c r="S877" s="6">
        <v>4.23529</v>
      </c>
      <c r="T877" s="1" t="s">
        <v>50</v>
      </c>
      <c r="U877" s="1"/>
      <c r="V877" s="1"/>
      <c r="W877" s="1"/>
      <c r="X877" s="5">
        <v>97.799999999999997</v>
      </c>
      <c r="Y877" s="7">
        <v>2500000</v>
      </c>
      <c r="Z877" s="7">
        <v>2500000</v>
      </c>
      <c r="AA877" s="2">
        <f ca="1">DATE(2003,03,24)</f>
        <v>0</v>
      </c>
      <c r="AB877" s="4">
        <v>62.988999999999997</v>
      </c>
      <c r="AC877" s="3">
        <v>270</v>
      </c>
      <c r="AD877" s="8">
        <v>7802755</v>
      </c>
      <c r="AE877" s="1" t="s">
        <v>51</v>
      </c>
      <c r="AF877" s="1" t="s">
        <v>51</v>
      </c>
      <c r="AG877" s="1" t="s">
        <v>51</v>
      </c>
      <c r="AH877" s="1"/>
      <c r="AI877" s="1"/>
      <c r="AJ877" s="3">
        <v>1</v>
      </c>
      <c r="AK877" s="1" t="s">
        <v>52</v>
      </c>
      <c r="AL877" s="3">
        <v>4</v>
      </c>
      <c r="AM877" s="8">
        <v>19</v>
      </c>
      <c r="AN877" s="1"/>
      <c r="AO877" s="1" t="s">
        <v>5375</v>
      </c>
      <c r="AP877" s="1" t="s">
        <v>5372</v>
      </c>
      <c r="AQ877" s="1" t="s">
        <v>5376</v>
      </c>
      <c r="AR877" s="1" t="s">
        <v>5377</v>
      </c>
    </row>
    <row r="878">
      <c r="A878" s="2">
        <f ca="1">DATE(2002,04,25)</f>
        <v>0</v>
      </c>
      <c r="B878" s="2">
        <f ca="1">DATE(2002,06,27)</f>
        <v>0</v>
      </c>
      <c r="C878" s="1" t="s">
        <v>5378</v>
      </c>
      <c r="D878" s="3">
        <v>5461</v>
      </c>
      <c r="E878" s="1" t="s">
        <v>43</v>
      </c>
      <c r="F878" s="1"/>
      <c r="G878" s="1" t="s">
        <v>5379</v>
      </c>
      <c r="H878" s="4">
        <v>0.45000000000000001</v>
      </c>
      <c r="I878" s="4">
        <v>9</v>
      </c>
      <c r="J878" s="5">
        <v>10</v>
      </c>
      <c r="K878" s="4">
        <v>5</v>
      </c>
      <c r="L878" s="1" t="s">
        <v>46</v>
      </c>
      <c r="M878" s="1" t="s">
        <v>47</v>
      </c>
      <c r="N878" s="3">
        <v>612071100</v>
      </c>
      <c r="O878" s="1"/>
      <c r="P878" s="1" t="s">
        <v>5380</v>
      </c>
      <c r="Q878" s="1" t="s">
        <v>145</v>
      </c>
      <c r="R878" s="1" t="s">
        <v>145</v>
      </c>
      <c r="S878" s="1"/>
      <c r="T878" s="1" t="s">
        <v>50</v>
      </c>
      <c r="U878" s="8">
        <v>6.2000000000000002</v>
      </c>
      <c r="V878" s="8">
        <v>4.2000000000000002</v>
      </c>
      <c r="W878" s="7">
        <v>2000000</v>
      </c>
      <c r="X878" s="5">
        <v>10.4</v>
      </c>
      <c r="Y878" s="7">
        <v>2000000</v>
      </c>
      <c r="Z878" s="1"/>
      <c r="AA878" s="1" t="s">
        <v>5381</v>
      </c>
      <c r="AB878" s="1" t="s">
        <v>5382</v>
      </c>
      <c r="AC878" s="1" t="s">
        <v>5383</v>
      </c>
      <c r="AD878" s="1" t="s">
        <v>5384</v>
      </c>
      <c r="AE878" s="1" t="s">
        <v>51</v>
      </c>
      <c r="AF878" s="1" t="s">
        <v>51</v>
      </c>
      <c r="AG878" s="1" t="s">
        <v>51</v>
      </c>
      <c r="AH878" s="1"/>
      <c r="AI878" s="1"/>
      <c r="AJ878" s="3">
        <v>1</v>
      </c>
      <c r="AK878" s="1" t="s">
        <v>52</v>
      </c>
      <c r="AL878" s="3">
        <v>1</v>
      </c>
      <c r="AM878" s="8">
        <v>24.879999999999999</v>
      </c>
      <c r="AN878" s="1"/>
      <c r="AO878" s="1" t="s">
        <v>5379</v>
      </c>
      <c r="AP878" s="1" t="s">
        <v>5379</v>
      </c>
      <c r="AQ878" s="1" t="s">
        <v>5379</v>
      </c>
      <c r="AR878" s="1" t="s">
        <v>5380</v>
      </c>
    </row>
    <row r="879">
      <c r="A879" s="2">
        <f ca="1">DATE(2002,04,25)</f>
        <v>0</v>
      </c>
      <c r="B879" s="2">
        <f ca="1">DATE(2002,07,01)</f>
        <v>0</v>
      </c>
      <c r="C879" s="1" t="s">
        <v>5385</v>
      </c>
      <c r="D879" s="3">
        <v>6153</v>
      </c>
      <c r="E879" s="1" t="s">
        <v>43</v>
      </c>
      <c r="F879" s="1" t="s">
        <v>5386</v>
      </c>
      <c r="G879" s="1" t="s">
        <v>5387</v>
      </c>
      <c r="H879" s="4">
        <v>0.92000000000000004</v>
      </c>
      <c r="I879" s="4">
        <v>4</v>
      </c>
      <c r="J879" s="9">
        <v>4600</v>
      </c>
      <c r="K879" s="4">
        <v>23</v>
      </c>
      <c r="L879" s="1" t="s">
        <v>46</v>
      </c>
      <c r="M879" s="1" t="s">
        <v>47</v>
      </c>
      <c r="N879" s="3">
        <v>125581108</v>
      </c>
      <c r="O879" s="1" t="s">
        <v>108</v>
      </c>
      <c r="P879" s="1" t="s">
        <v>5388</v>
      </c>
      <c r="Q879" s="4">
        <v>0.78300000000000003</v>
      </c>
      <c r="R879" s="4">
        <v>0.82599999999999996</v>
      </c>
      <c r="S879" s="10">
        <v>2.3913000000000002</v>
      </c>
      <c r="T879" s="1" t="s">
        <v>50</v>
      </c>
      <c r="U879" s="1"/>
      <c r="V879" s="1"/>
      <c r="W879" s="1"/>
      <c r="X879" s="9">
        <v>7150</v>
      </c>
      <c r="Y879" s="1"/>
      <c r="Z879" s="7">
        <v>200000000</v>
      </c>
      <c r="AA879" s="2">
        <f ca="1">DATE(2002,12,28)</f>
        <v>0</v>
      </c>
      <c r="AB879" s="4">
        <v>0.158</v>
      </c>
      <c r="AC879" s="3">
        <v>180</v>
      </c>
      <c r="AD879" s="8">
        <v>316302</v>
      </c>
      <c r="AE879" s="1" t="s">
        <v>51</v>
      </c>
      <c r="AF879" s="1" t="s">
        <v>51</v>
      </c>
      <c r="AG879" s="1" t="s">
        <v>51</v>
      </c>
      <c r="AH879" s="1" t="s">
        <v>5389</v>
      </c>
      <c r="AI879" s="1" t="s">
        <v>5390</v>
      </c>
      <c r="AJ879" s="3">
        <v>2</v>
      </c>
      <c r="AK879" s="1" t="s">
        <v>89</v>
      </c>
      <c r="AL879" s="3">
        <v>12</v>
      </c>
      <c r="AM879" s="8">
        <v>22</v>
      </c>
      <c r="AN879" s="1"/>
      <c r="AO879" s="1" t="s">
        <v>5391</v>
      </c>
      <c r="AP879" s="1" t="s">
        <v>5392</v>
      </c>
      <c r="AQ879" s="1" t="s">
        <v>5393</v>
      </c>
      <c r="AR879" s="1" t="s">
        <v>5394</v>
      </c>
    </row>
    <row r="880">
      <c r="A880" s="2">
        <f ca="1">DATE(2002,04,23)</f>
        <v>0</v>
      </c>
      <c r="B880" s="2">
        <f ca="1">DATE(2002,07,10)</f>
        <v>0</v>
      </c>
      <c r="C880" s="1" t="s">
        <v>5395</v>
      </c>
      <c r="D880" s="3">
        <v>5947</v>
      </c>
      <c r="E880" s="1" t="s">
        <v>43</v>
      </c>
      <c r="F880" s="1" t="s">
        <v>5396</v>
      </c>
      <c r="G880" s="1" t="s">
        <v>45</v>
      </c>
      <c r="H880" s="4">
        <v>1.05</v>
      </c>
      <c r="I880" s="4">
        <v>7</v>
      </c>
      <c r="J880" s="5">
        <v>80.400000000000006</v>
      </c>
      <c r="K880" s="4">
        <v>15</v>
      </c>
      <c r="L880" s="1" t="s">
        <v>46</v>
      </c>
      <c r="M880" s="1" t="s">
        <v>47</v>
      </c>
      <c r="N880" s="3">
        <v>497498105</v>
      </c>
      <c r="O880" s="1" t="s">
        <v>48</v>
      </c>
      <c r="P880" s="1" t="s">
        <v>5397</v>
      </c>
      <c r="Q880" s="4">
        <v>1.4670000000000001</v>
      </c>
      <c r="R880" s="4">
        <v>1.5329999999999999</v>
      </c>
      <c r="S880" s="8">
        <v>4</v>
      </c>
      <c r="T880" s="1" t="s">
        <v>50</v>
      </c>
      <c r="U880" s="1"/>
      <c r="V880" s="1"/>
      <c r="W880" s="1"/>
      <c r="X880" s="5">
        <v>143.80000000000001</v>
      </c>
      <c r="Y880" s="7">
        <v>4398025</v>
      </c>
      <c r="Z880" s="7">
        <v>959975</v>
      </c>
      <c r="AA880" s="2">
        <f ca="1">DATE(2003,01,06)</f>
        <v>0</v>
      </c>
      <c r="AB880" s="4">
        <v>68.206000000000003</v>
      </c>
      <c r="AC880" s="3">
        <v>180</v>
      </c>
      <c r="AD880" s="8">
        <v>12871487</v>
      </c>
      <c r="AE880" s="1" t="s">
        <v>51</v>
      </c>
      <c r="AF880" s="1" t="s">
        <v>51</v>
      </c>
      <c r="AG880" s="1" t="s">
        <v>47</v>
      </c>
      <c r="AH880" s="1"/>
      <c r="AI880" s="1"/>
      <c r="AJ880" s="3">
        <v>1</v>
      </c>
      <c r="AK880" s="1" t="s">
        <v>52</v>
      </c>
      <c r="AL880" s="3">
        <v>4</v>
      </c>
      <c r="AM880" s="8">
        <v>14.85</v>
      </c>
      <c r="AN880" s="1"/>
      <c r="AO880" s="1" t="s">
        <v>5398</v>
      </c>
      <c r="AP880" s="1" t="s">
        <v>45</v>
      </c>
      <c r="AQ880" s="1" t="s">
        <v>5399</v>
      </c>
      <c r="AR880" s="1" t="s">
        <v>5400</v>
      </c>
    </row>
    <row r="881">
      <c r="A881" s="2">
        <f ca="1">DATE(2002,04,23)</f>
        <v>0</v>
      </c>
      <c r="B881" s="2">
        <f ca="1">DATE(2002,07,10)</f>
        <v>0</v>
      </c>
      <c r="C881" s="1" t="s">
        <v>5395</v>
      </c>
      <c r="D881" s="3">
        <v>5947</v>
      </c>
      <c r="E881" s="1" t="s">
        <v>43</v>
      </c>
      <c r="F881" s="1" t="s">
        <v>5396</v>
      </c>
      <c r="G881" s="1" t="s">
        <v>45</v>
      </c>
      <c r="H881" s="4">
        <v>1.05</v>
      </c>
      <c r="I881" s="4">
        <v>7</v>
      </c>
      <c r="J881" s="5">
        <v>9.5999999999999996</v>
      </c>
      <c r="K881" s="8">
        <v>15</v>
      </c>
      <c r="L881" s="1" t="s">
        <v>46</v>
      </c>
      <c r="M881" s="1" t="s">
        <v>47</v>
      </c>
      <c r="N881" s="3">
        <v>497498105</v>
      </c>
      <c r="O881" s="1" t="s">
        <v>48</v>
      </c>
      <c r="P881" s="1" t="s">
        <v>5401</v>
      </c>
      <c r="Q881" s="4">
        <v>1.4670000000000001</v>
      </c>
      <c r="R881" s="4">
        <v>1.5329999999999999</v>
      </c>
      <c r="S881" s="8">
        <v>4</v>
      </c>
      <c r="T881" s="1" t="s">
        <v>60</v>
      </c>
      <c r="U881" s="1"/>
      <c r="V881" s="1"/>
      <c r="W881" s="1"/>
      <c r="X881" s="5">
        <v>143.80000000000001</v>
      </c>
      <c r="Y881" s="7">
        <v>526975</v>
      </c>
      <c r="Z881" s="7">
        <v>115025</v>
      </c>
      <c r="AA881" s="1"/>
      <c r="AB881" s="1"/>
      <c r="AC881" s="3">
        <v>180</v>
      </c>
      <c r="AD881" s="8">
        <v>12871487</v>
      </c>
      <c r="AE881" s="1" t="s">
        <v>51</v>
      </c>
      <c r="AF881" s="1" t="s">
        <v>51</v>
      </c>
      <c r="AG881" s="1" t="s">
        <v>47</v>
      </c>
      <c r="AH881" s="1"/>
      <c r="AI881" s="1"/>
      <c r="AJ881" s="3">
        <v>1</v>
      </c>
      <c r="AK881" s="1" t="s">
        <v>52</v>
      </c>
      <c r="AL881" s="3">
        <v>1</v>
      </c>
      <c r="AM881" s="1"/>
      <c r="AN881" s="1"/>
      <c r="AO881" s="1" t="s">
        <v>5402</v>
      </c>
      <c r="AP881" s="1" t="s">
        <v>45</v>
      </c>
      <c r="AQ881" s="1" t="s">
        <v>45</v>
      </c>
      <c r="AR881" s="1" t="s">
        <v>786</v>
      </c>
    </row>
    <row r="882">
      <c r="A882" s="2">
        <f ca="1">DATE(2002,06,21)</f>
        <v>0</v>
      </c>
      <c r="B882" s="2">
        <f ca="1">DATE(2002,07,11)</f>
        <v>0</v>
      </c>
      <c r="C882" s="1" t="s">
        <v>5403</v>
      </c>
      <c r="D882" s="3">
        <v>1041</v>
      </c>
      <c r="E882" s="1" t="s">
        <v>5404</v>
      </c>
      <c r="F882" s="1" t="s">
        <v>5405</v>
      </c>
      <c r="G882" s="1" t="s">
        <v>5406</v>
      </c>
      <c r="H882" s="4">
        <v>0.58999999999999997</v>
      </c>
      <c r="I882" s="4">
        <v>4.5380000000000003</v>
      </c>
      <c r="J882" s="5">
        <v>32.5</v>
      </c>
      <c r="K882" s="4">
        <v>13</v>
      </c>
      <c r="L882" s="1" t="s">
        <v>651</v>
      </c>
      <c r="M882" s="1" t="s">
        <v>47</v>
      </c>
      <c r="N882" s="3">
        <v>752344309</v>
      </c>
      <c r="O882" s="1" t="s">
        <v>48</v>
      </c>
      <c r="P882" s="1" t="s">
        <v>5407</v>
      </c>
      <c r="Q882" s="1" t="s">
        <v>145</v>
      </c>
      <c r="R882" s="1" t="s">
        <v>145</v>
      </c>
      <c r="S882" s="1"/>
      <c r="T882" s="1" t="s">
        <v>50</v>
      </c>
      <c r="U882" s="4">
        <v>6.875</v>
      </c>
      <c r="V882" s="4">
        <v>6.875</v>
      </c>
      <c r="W882" s="7">
        <v>5000000</v>
      </c>
      <c r="X882" s="5">
        <v>34.399999999999999</v>
      </c>
      <c r="Y882" s="7">
        <v>2500000</v>
      </c>
      <c r="Z882" s="1"/>
      <c r="AA882" s="2">
        <f ca="1">DATE(2003,01,06)</f>
        <v>0</v>
      </c>
      <c r="AB882" s="1"/>
      <c r="AC882" s="3">
        <v>180</v>
      </c>
      <c r="AD882" s="1"/>
      <c r="AE882" s="1" t="s">
        <v>47</v>
      </c>
      <c r="AF882" s="1" t="s">
        <v>51</v>
      </c>
      <c r="AG882" s="1" t="s">
        <v>51</v>
      </c>
      <c r="AH882" s="1"/>
      <c r="AI882" s="1"/>
      <c r="AJ882" s="3">
        <v>1</v>
      </c>
      <c r="AK882" s="1" t="s">
        <v>52</v>
      </c>
      <c r="AL882" s="3">
        <v>2</v>
      </c>
      <c r="AM882" s="8">
        <v>13.050000000000001</v>
      </c>
      <c r="AN882" s="1"/>
      <c r="AO882" s="1" t="s">
        <v>5408</v>
      </c>
      <c r="AP882" s="1" t="s">
        <v>5406</v>
      </c>
      <c r="AQ882" s="1" t="s">
        <v>5409</v>
      </c>
      <c r="AR882" s="1" t="s">
        <v>5410</v>
      </c>
    </row>
    <row r="883">
      <c r="A883" s="2">
        <f ca="1">DATE(2002,04,12)</f>
        <v>0</v>
      </c>
      <c r="B883" s="2">
        <f ca="1">DATE(2002,07,12)</f>
        <v>0</v>
      </c>
      <c r="C883" s="1" t="s">
        <v>5411</v>
      </c>
      <c r="D883" s="3">
        <v>7372</v>
      </c>
      <c r="E883" s="1" t="s">
        <v>43</v>
      </c>
      <c r="F883" s="1" t="s">
        <v>5412</v>
      </c>
      <c r="G883" s="1" t="s">
        <v>5413</v>
      </c>
      <c r="H883" s="4">
        <v>0.52500000000000002</v>
      </c>
      <c r="I883" s="4">
        <v>7</v>
      </c>
      <c r="J883" s="5">
        <v>30</v>
      </c>
      <c r="K883" s="4">
        <v>7.5</v>
      </c>
      <c r="L883" s="1" t="s">
        <v>46</v>
      </c>
      <c r="M883" s="1" t="s">
        <v>47</v>
      </c>
      <c r="N883" s="3">
        <v>422210104</v>
      </c>
      <c r="O883" s="1" t="s">
        <v>48</v>
      </c>
      <c r="P883" s="1" t="s">
        <v>5414</v>
      </c>
      <c r="Q883" s="4">
        <v>1.4670000000000001</v>
      </c>
      <c r="R883" s="4">
        <v>1.5329999999999999</v>
      </c>
      <c r="S883" s="8">
        <v>4</v>
      </c>
      <c r="T883" s="1" t="s">
        <v>50</v>
      </c>
      <c r="U883" s="1"/>
      <c r="V883" s="1"/>
      <c r="W883" s="1"/>
      <c r="X883" s="5">
        <v>86.299999999999997</v>
      </c>
      <c r="Y883" s="7">
        <v>4000000</v>
      </c>
      <c r="Z883" s="1"/>
      <c r="AA883" s="2">
        <f ca="1">DATE(2003,01,08)</f>
        <v>0</v>
      </c>
      <c r="AB883" s="4">
        <v>76.314999999999998</v>
      </c>
      <c r="AC883" s="3">
        <v>180</v>
      </c>
      <c r="AD883" s="8">
        <v>14850565</v>
      </c>
      <c r="AE883" s="1" t="s">
        <v>51</v>
      </c>
      <c r="AF883" s="1" t="s">
        <v>51</v>
      </c>
      <c r="AG883" s="1" t="s">
        <v>47</v>
      </c>
      <c r="AH883" s="1"/>
      <c r="AI883" s="1"/>
      <c r="AJ883" s="3">
        <v>2</v>
      </c>
      <c r="AK883" s="1" t="s">
        <v>89</v>
      </c>
      <c r="AL883" s="3">
        <v>4</v>
      </c>
      <c r="AM883" s="8">
        <v>7.5999999999999996</v>
      </c>
      <c r="AN883" s="1"/>
      <c r="AO883" s="1" t="s">
        <v>5415</v>
      </c>
      <c r="AP883" s="1" t="s">
        <v>5416</v>
      </c>
      <c r="AQ883" s="1" t="s">
        <v>5417</v>
      </c>
      <c r="AR883" s="1" t="s">
        <v>5418</v>
      </c>
    </row>
    <row r="884">
      <c r="A884" s="2">
        <f ca="1">DATE(2002,04,26)</f>
        <v>0</v>
      </c>
      <c r="B884" s="2">
        <f ca="1">DATE(2002,07,18)</f>
        <v>0</v>
      </c>
      <c r="C884" s="1" t="s">
        <v>5419</v>
      </c>
      <c r="D884" s="3">
        <v>5812</v>
      </c>
      <c r="E884" s="1" t="s">
        <v>43</v>
      </c>
      <c r="F884" s="1" t="s">
        <v>5420</v>
      </c>
      <c r="G884" s="1" t="s">
        <v>1297</v>
      </c>
      <c r="H884" s="4">
        <v>0.83999999999999997</v>
      </c>
      <c r="I884" s="8">
        <v>7</v>
      </c>
      <c r="J884" s="5">
        <v>60.5</v>
      </c>
      <c r="K884" s="4">
        <v>12</v>
      </c>
      <c r="L884" s="1" t="s">
        <v>46</v>
      </c>
      <c r="M884" s="1" t="s">
        <v>47</v>
      </c>
      <c r="N884" s="1" t="s">
        <v>5421</v>
      </c>
      <c r="O884" s="1" t="s">
        <v>48</v>
      </c>
      <c r="P884" s="1" t="s">
        <v>5422</v>
      </c>
      <c r="Q884" s="4">
        <v>1.417</v>
      </c>
      <c r="R884" s="4">
        <v>2.0830000000000002</v>
      </c>
      <c r="S884" s="8">
        <v>3.5</v>
      </c>
      <c r="T884" s="1" t="s">
        <v>50</v>
      </c>
      <c r="U884" s="1"/>
      <c r="V884" s="1"/>
      <c r="W884" s="1"/>
      <c r="X884" s="5">
        <v>51</v>
      </c>
      <c r="Y884" s="7">
        <v>4000000</v>
      </c>
      <c r="Z884" s="7">
        <v>1038000</v>
      </c>
      <c r="AA884" s="2">
        <f ca="1">DATE(2003,01,14)</f>
        <v>0</v>
      </c>
      <c r="AB884" s="4">
        <v>73.501999999999995</v>
      </c>
      <c r="AC884" s="3">
        <v>180</v>
      </c>
      <c r="AD884" s="8">
        <v>11095413</v>
      </c>
      <c r="AE884" s="1" t="s">
        <v>51</v>
      </c>
      <c r="AF884" s="1" t="s">
        <v>51</v>
      </c>
      <c r="AG884" s="1" t="s">
        <v>51</v>
      </c>
      <c r="AH884" s="1"/>
      <c r="AI884" s="1"/>
      <c r="AJ884" s="3">
        <v>1</v>
      </c>
      <c r="AK884" s="1" t="s">
        <v>89</v>
      </c>
      <c r="AL884" s="3">
        <v>18</v>
      </c>
      <c r="AM884" s="8">
        <v>12.220000000000001</v>
      </c>
      <c r="AN884" s="1"/>
      <c r="AO884" s="1" t="s">
        <v>5423</v>
      </c>
      <c r="AP884" s="1" t="s">
        <v>5424</v>
      </c>
      <c r="AQ884" s="1" t="s">
        <v>5425</v>
      </c>
      <c r="AR884" s="1" t="s">
        <v>5426</v>
      </c>
    </row>
    <row r="885">
      <c r="A885" s="2">
        <f ca="1">DATE(2002,03,22)</f>
        <v>0</v>
      </c>
      <c r="B885" s="2">
        <f ca="1">DATE(2002,07,22)</f>
        <v>0</v>
      </c>
      <c r="C885" s="1" t="s">
        <v>5427</v>
      </c>
      <c r="D885" s="3">
        <v>1311</v>
      </c>
      <c r="E885" s="1" t="s">
        <v>43</v>
      </c>
      <c r="F885" s="1" t="s">
        <v>5428</v>
      </c>
      <c r="G885" s="1" t="s">
        <v>4332</v>
      </c>
      <c r="H885" s="4">
        <v>1.365</v>
      </c>
      <c r="I885" s="8">
        <v>7</v>
      </c>
      <c r="J885" s="5">
        <v>167.69999999999999</v>
      </c>
      <c r="K885" s="4">
        <v>19.5</v>
      </c>
      <c r="L885" s="1" t="s">
        <v>85</v>
      </c>
      <c r="M885" s="1" t="s">
        <v>47</v>
      </c>
      <c r="N885" s="1" t="s">
        <v>5429</v>
      </c>
      <c r="O885" s="1" t="s">
        <v>108</v>
      </c>
      <c r="P885" s="1" t="s">
        <v>5430</v>
      </c>
      <c r="Q885" s="4">
        <v>1.282</v>
      </c>
      <c r="R885" s="4">
        <v>1.321</v>
      </c>
      <c r="S885" s="6">
        <v>3.89744</v>
      </c>
      <c r="T885" s="1" t="s">
        <v>50</v>
      </c>
      <c r="U885" s="1"/>
      <c r="V885" s="1"/>
      <c r="W885" s="7">
        <v>9100000</v>
      </c>
      <c r="X885" s="5">
        <v>219.80000000000001</v>
      </c>
      <c r="Y885" s="7">
        <v>8600000</v>
      </c>
      <c r="Z885" s="1"/>
      <c r="AA885" s="2">
        <f ca="1">DATE(2003,01,18)</f>
        <v>0</v>
      </c>
      <c r="AB885" s="4">
        <v>4.3479999999999999</v>
      </c>
      <c r="AC885" s="3">
        <v>180</v>
      </c>
      <c r="AD885" s="8">
        <v>455000</v>
      </c>
      <c r="AE885" s="1" t="s">
        <v>51</v>
      </c>
      <c r="AF885" s="1" t="s">
        <v>51</v>
      </c>
      <c r="AG885" s="1" t="s">
        <v>51</v>
      </c>
      <c r="AH885" s="1"/>
      <c r="AI885" s="1"/>
      <c r="AJ885" s="3">
        <v>1</v>
      </c>
      <c r="AK885" s="1" t="s">
        <v>52</v>
      </c>
      <c r="AL885" s="3">
        <v>7</v>
      </c>
      <c r="AM885" s="8">
        <v>19</v>
      </c>
      <c r="AN885" s="1"/>
      <c r="AO885" s="1" t="s">
        <v>5431</v>
      </c>
      <c r="AP885" s="1" t="s">
        <v>4332</v>
      </c>
      <c r="AQ885" s="1" t="s">
        <v>5432</v>
      </c>
      <c r="AR885" s="1" t="s">
        <v>5433</v>
      </c>
    </row>
    <row r="886">
      <c r="A886" s="2">
        <f ca="1">DATE(2002,05,22)</f>
        <v>0</v>
      </c>
      <c r="B886" s="2">
        <f ca="1">DATE(2002,07,23)</f>
        <v>0</v>
      </c>
      <c r="C886" s="1" t="s">
        <v>5434</v>
      </c>
      <c r="D886" s="3">
        <v>6726</v>
      </c>
      <c r="E886" s="1" t="s">
        <v>43</v>
      </c>
      <c r="F886" s="1" t="s">
        <v>5435</v>
      </c>
      <c r="G886" s="1" t="s">
        <v>4327</v>
      </c>
      <c r="H886" s="4">
        <v>0.75</v>
      </c>
      <c r="I886" s="4">
        <v>5</v>
      </c>
      <c r="J886" s="5">
        <v>135</v>
      </c>
      <c r="K886" s="4">
        <v>15</v>
      </c>
      <c r="L886" s="1" t="s">
        <v>46</v>
      </c>
      <c r="M886" s="1" t="s">
        <v>47</v>
      </c>
      <c r="N886" s="1" t="s">
        <v>5436</v>
      </c>
      <c r="O886" s="1" t="s">
        <v>108</v>
      </c>
      <c r="P886" s="1" t="s">
        <v>5437</v>
      </c>
      <c r="Q886" s="1" t="s">
        <v>145</v>
      </c>
      <c r="R886" s="1" t="s">
        <v>145</v>
      </c>
      <c r="S886" s="1"/>
      <c r="T886" s="1" t="s">
        <v>50</v>
      </c>
      <c r="U886" s="8">
        <v>15</v>
      </c>
      <c r="V886" s="8">
        <v>15</v>
      </c>
      <c r="W886" s="7">
        <v>4000000</v>
      </c>
      <c r="X886" s="5">
        <v>60</v>
      </c>
      <c r="Y886" s="7">
        <v>9000000</v>
      </c>
      <c r="Z886" s="1"/>
      <c r="AA886" s="2">
        <f ca="1">DATE(2003,01,19)</f>
        <v>0</v>
      </c>
      <c r="AB886" s="1"/>
      <c r="AC886" s="3">
        <v>180</v>
      </c>
      <c r="AD886" s="1"/>
      <c r="AE886" s="1" t="s">
        <v>51</v>
      </c>
      <c r="AF886" s="1" t="s">
        <v>51</v>
      </c>
      <c r="AG886" s="1" t="s">
        <v>51</v>
      </c>
      <c r="AH886" s="1"/>
      <c r="AI886" s="1"/>
      <c r="AJ886" s="3">
        <v>1</v>
      </c>
      <c r="AK886" s="1" t="s">
        <v>52</v>
      </c>
      <c r="AL886" s="3">
        <v>33</v>
      </c>
      <c r="AM886" s="8">
        <v>15</v>
      </c>
      <c r="AN886" s="1"/>
      <c r="AO886" s="1" t="s">
        <v>5438</v>
      </c>
      <c r="AP886" s="1" t="s">
        <v>4327</v>
      </c>
      <c r="AQ886" s="1" t="s">
        <v>5439</v>
      </c>
      <c r="AR886" s="1" t="s">
        <v>5440</v>
      </c>
    </row>
    <row r="887">
      <c r="A887" s="2">
        <f ca="1">DATE(2002,04,24)</f>
        <v>0</v>
      </c>
      <c r="B887" s="2">
        <f ca="1">DATE(2002,07,24)</f>
        <v>0</v>
      </c>
      <c r="C887" s="1" t="s">
        <v>5441</v>
      </c>
      <c r="D887" s="3">
        <v>3944</v>
      </c>
      <c r="E887" s="1" t="s">
        <v>43</v>
      </c>
      <c r="F887" s="1" t="s">
        <v>5442</v>
      </c>
      <c r="G887" s="1" t="s">
        <v>4220</v>
      </c>
      <c r="H887" s="4">
        <v>0.91000000000000003</v>
      </c>
      <c r="I887" s="4">
        <v>7</v>
      </c>
      <c r="J887" s="5">
        <v>110.8</v>
      </c>
      <c r="K887" s="4">
        <v>13</v>
      </c>
      <c r="L887" s="1" t="s">
        <v>5129</v>
      </c>
      <c r="M887" s="1" t="s">
        <v>47</v>
      </c>
      <c r="N887" s="1" t="s">
        <v>5443</v>
      </c>
      <c r="O887" s="1" t="s">
        <v>108</v>
      </c>
      <c r="P887" s="1" t="s">
        <v>5444</v>
      </c>
      <c r="Q887" s="4">
        <v>1.385</v>
      </c>
      <c r="R887" s="4">
        <v>1.385</v>
      </c>
      <c r="S887" s="6">
        <v>4.2307699999999997</v>
      </c>
      <c r="T887" s="1" t="s">
        <v>50</v>
      </c>
      <c r="U887" s="1"/>
      <c r="V887" s="1"/>
      <c r="W887" s="1"/>
      <c r="X887" s="5">
        <v>150</v>
      </c>
      <c r="Y887" s="7">
        <v>8155679</v>
      </c>
      <c r="Z887" s="7">
        <v>369421</v>
      </c>
      <c r="AA887" s="2">
        <f ca="1">DATE(2003,01,20)</f>
        <v>0</v>
      </c>
      <c r="AB887" s="4">
        <v>82.863</v>
      </c>
      <c r="AC887" s="3">
        <v>180</v>
      </c>
      <c r="AD887" s="8">
        <v>35272664</v>
      </c>
      <c r="AE887" s="1" t="s">
        <v>51</v>
      </c>
      <c r="AF887" s="1" t="s">
        <v>51</v>
      </c>
      <c r="AG887" s="1" t="s">
        <v>51</v>
      </c>
      <c r="AH887" s="1"/>
      <c r="AI887" s="1"/>
      <c r="AJ887" s="3">
        <v>2</v>
      </c>
      <c r="AK887" s="1" t="s">
        <v>89</v>
      </c>
      <c r="AL887" s="3">
        <v>6</v>
      </c>
      <c r="AM887" s="8">
        <v>15.85</v>
      </c>
      <c r="AN887" s="1"/>
      <c r="AO887" s="1" t="s">
        <v>5445</v>
      </c>
      <c r="AP887" s="1" t="s">
        <v>4224</v>
      </c>
      <c r="AQ887" s="1" t="s">
        <v>5446</v>
      </c>
      <c r="AR887" s="1" t="s">
        <v>5447</v>
      </c>
    </row>
    <row r="888">
      <c r="A888" s="2">
        <f ca="1">DATE(2002,04,24)</f>
        <v>0</v>
      </c>
      <c r="B888" s="2">
        <f ca="1">DATE(2002,07,24)</f>
        <v>0</v>
      </c>
      <c r="C888" s="1" t="s">
        <v>5441</v>
      </c>
      <c r="D888" s="3">
        <v>3944</v>
      </c>
      <c r="E888" s="1" t="s">
        <v>43</v>
      </c>
      <c r="F888" s="1" t="s">
        <v>5442</v>
      </c>
      <c r="G888" s="1" t="s">
        <v>4220</v>
      </c>
      <c r="H888" s="4">
        <v>0.91000000000000003</v>
      </c>
      <c r="I888" s="4">
        <v>7</v>
      </c>
      <c r="J888" s="5">
        <v>6.2000000000000002</v>
      </c>
      <c r="K888" s="8">
        <v>13</v>
      </c>
      <c r="L888" s="1" t="s">
        <v>5129</v>
      </c>
      <c r="M888" s="1" t="s">
        <v>47</v>
      </c>
      <c r="N888" s="1" t="s">
        <v>5443</v>
      </c>
      <c r="O888" s="1" t="s">
        <v>108</v>
      </c>
      <c r="P888" s="1" t="s">
        <v>5444</v>
      </c>
      <c r="Q888" s="4">
        <v>1.385</v>
      </c>
      <c r="R888" s="4">
        <v>1.385</v>
      </c>
      <c r="S888" s="6">
        <v>4.2307699999999997</v>
      </c>
      <c r="T888" s="1" t="s">
        <v>60</v>
      </c>
      <c r="U888" s="1"/>
      <c r="V888" s="1"/>
      <c r="W888" s="1"/>
      <c r="X888" s="1"/>
      <c r="Y888" s="7">
        <v>454321</v>
      </c>
      <c r="Z888" s="7">
        <v>20579</v>
      </c>
      <c r="AA888" s="1"/>
      <c r="AB888" s="1"/>
      <c r="AC888" s="3">
        <v>180</v>
      </c>
      <c r="AD888" s="8">
        <v>35272664</v>
      </c>
      <c r="AE888" s="1" t="s">
        <v>51</v>
      </c>
      <c r="AF888" s="1" t="s">
        <v>51</v>
      </c>
      <c r="AG888" s="1" t="s">
        <v>51</v>
      </c>
      <c r="AH888" s="1"/>
      <c r="AI888" s="1"/>
      <c r="AJ888" s="3">
        <v>2</v>
      </c>
      <c r="AK888" s="1" t="s">
        <v>89</v>
      </c>
      <c r="AL888" s="3">
        <v>2</v>
      </c>
      <c r="AM888" s="1"/>
      <c r="AN888" s="1"/>
      <c r="AO888" s="1" t="s">
        <v>5445</v>
      </c>
      <c r="AP888" s="1" t="s">
        <v>4224</v>
      </c>
      <c r="AQ888" s="1" t="s">
        <v>5448</v>
      </c>
      <c r="AR888" s="1" t="s">
        <v>5449</v>
      </c>
    </row>
    <row r="889">
      <c r="A889" s="2">
        <f ca="1">DATE(2002,06,24)</f>
        <v>0</v>
      </c>
      <c r="B889" s="2">
        <f ca="1">DATE(2002,07,25)</f>
        <v>0</v>
      </c>
      <c r="C889" s="1" t="s">
        <v>5450</v>
      </c>
      <c r="D889" s="3">
        <v>6726</v>
      </c>
      <c r="E889" s="1" t="s">
        <v>43</v>
      </c>
      <c r="F889" s="1" t="s">
        <v>5451</v>
      </c>
      <c r="G889" s="1" t="s">
        <v>45</v>
      </c>
      <c r="H889" s="4">
        <v>0.67500000000000004</v>
      </c>
      <c r="I889" s="4">
        <v>4.5</v>
      </c>
      <c r="J889" s="5">
        <v>321.80000000000001</v>
      </c>
      <c r="K889" s="4">
        <v>15</v>
      </c>
      <c r="L889" s="1" t="s">
        <v>46</v>
      </c>
      <c r="M889" s="1" t="s">
        <v>47</v>
      </c>
      <c r="N889" s="1" t="s">
        <v>5452</v>
      </c>
      <c r="O889" s="1" t="s">
        <v>87</v>
      </c>
      <c r="P889" s="1" t="s">
        <v>5453</v>
      </c>
      <c r="Q889" s="4">
        <v>0.96699999999999997</v>
      </c>
      <c r="R889" s="4">
        <v>0.53300000000000003</v>
      </c>
      <c r="S889" s="8">
        <v>3</v>
      </c>
      <c r="T889" s="1" t="s">
        <v>50</v>
      </c>
      <c r="U889" s="8">
        <v>15</v>
      </c>
      <c r="V889" s="8">
        <v>15</v>
      </c>
      <c r="W889" s="7">
        <v>100000</v>
      </c>
      <c r="X889" s="5">
        <v>1.5</v>
      </c>
      <c r="Y889" s="7">
        <v>21450000</v>
      </c>
      <c r="Z889" s="1"/>
      <c r="AA889" s="2">
        <f ca="1">DATE(2003,01,21)</f>
        <v>0</v>
      </c>
      <c r="AB889" s="1"/>
      <c r="AC889" s="3">
        <v>180</v>
      </c>
      <c r="AD889" s="1"/>
      <c r="AE889" s="1" t="s">
        <v>51</v>
      </c>
      <c r="AF889" s="1" t="s">
        <v>51</v>
      </c>
      <c r="AG889" s="1" t="s">
        <v>51</v>
      </c>
      <c r="AH889" s="1"/>
      <c r="AI889" s="1"/>
      <c r="AJ889" s="3">
        <v>1</v>
      </c>
      <c r="AK889" s="1" t="s">
        <v>89</v>
      </c>
      <c r="AL889" s="3">
        <v>10</v>
      </c>
      <c r="AM889" s="8">
        <v>15</v>
      </c>
      <c r="AN889" s="1"/>
      <c r="AO889" s="1" t="s">
        <v>5454</v>
      </c>
      <c r="AP889" s="1" t="s">
        <v>3342</v>
      </c>
      <c r="AQ889" s="1" t="s">
        <v>5455</v>
      </c>
      <c r="AR889" s="1" t="s">
        <v>5456</v>
      </c>
    </row>
    <row r="890">
      <c r="A890" s="2">
        <f ca="1">DATE(2002,06,24)</f>
        <v>0</v>
      </c>
      <c r="B890" s="2">
        <f ca="1">DATE(2002,07,25)</f>
        <v>0</v>
      </c>
      <c r="C890" s="1" t="s">
        <v>5457</v>
      </c>
      <c r="D890" s="3">
        <v>6726</v>
      </c>
      <c r="E890" s="1" t="s">
        <v>43</v>
      </c>
      <c r="F890" s="1" t="s">
        <v>5458</v>
      </c>
      <c r="G890" s="1" t="s">
        <v>45</v>
      </c>
      <c r="H890" s="4">
        <v>0.67500000000000004</v>
      </c>
      <c r="I890" s="4">
        <v>4.5</v>
      </c>
      <c r="J890" s="5">
        <v>67.5</v>
      </c>
      <c r="K890" s="4">
        <v>15</v>
      </c>
      <c r="L890" s="1" t="s">
        <v>46</v>
      </c>
      <c r="M890" s="1" t="s">
        <v>47</v>
      </c>
      <c r="N890" s="1" t="s">
        <v>5459</v>
      </c>
      <c r="O890" s="1" t="s">
        <v>87</v>
      </c>
      <c r="P890" s="1" t="s">
        <v>5460</v>
      </c>
      <c r="Q890" s="4">
        <v>0.96699999999999997</v>
      </c>
      <c r="R890" s="4">
        <v>0.53300000000000003</v>
      </c>
      <c r="S890" s="8">
        <v>3</v>
      </c>
      <c r="T890" s="1" t="s">
        <v>50</v>
      </c>
      <c r="U890" s="8">
        <v>15</v>
      </c>
      <c r="V890" s="8">
        <v>15</v>
      </c>
      <c r="W890" s="7">
        <v>100000</v>
      </c>
      <c r="X890" s="5">
        <v>1.5</v>
      </c>
      <c r="Y890" s="7">
        <v>4500000</v>
      </c>
      <c r="Z890" s="1"/>
      <c r="AA890" s="2">
        <f ca="1">DATE(2003,01,21)</f>
        <v>0</v>
      </c>
      <c r="AB890" s="1"/>
      <c r="AC890" s="3">
        <v>180</v>
      </c>
      <c r="AD890" s="1"/>
      <c r="AE890" s="1" t="s">
        <v>51</v>
      </c>
      <c r="AF890" s="1" t="s">
        <v>51</v>
      </c>
      <c r="AG890" s="1" t="s">
        <v>51</v>
      </c>
      <c r="AH890" s="1"/>
      <c r="AI890" s="1"/>
      <c r="AJ890" s="3">
        <v>1</v>
      </c>
      <c r="AK890" s="1" t="s">
        <v>89</v>
      </c>
      <c r="AL890" s="3">
        <v>8</v>
      </c>
      <c r="AM890" s="8">
        <v>15</v>
      </c>
      <c r="AN890" s="1"/>
      <c r="AO890" s="1" t="s">
        <v>5461</v>
      </c>
      <c r="AP890" s="1" t="s">
        <v>3342</v>
      </c>
      <c r="AQ890" s="1" t="s">
        <v>5462</v>
      </c>
      <c r="AR890" s="1" t="s">
        <v>5463</v>
      </c>
    </row>
    <row r="891">
      <c r="A891" s="2">
        <f ca="1">DATE(2002,06,24)</f>
        <v>0</v>
      </c>
      <c r="B891" s="2">
        <f ca="1">DATE(2002,07,25)</f>
        <v>0</v>
      </c>
      <c r="C891" s="1" t="s">
        <v>5464</v>
      </c>
      <c r="D891" s="3">
        <v>6726</v>
      </c>
      <c r="E891" s="1" t="s">
        <v>43</v>
      </c>
      <c r="F891" s="1" t="s">
        <v>5465</v>
      </c>
      <c r="G891" s="1" t="s">
        <v>45</v>
      </c>
      <c r="H891" s="4">
        <v>0.67500000000000004</v>
      </c>
      <c r="I891" s="4">
        <v>4.5</v>
      </c>
      <c r="J891" s="5">
        <v>111</v>
      </c>
      <c r="K891" s="4">
        <v>15</v>
      </c>
      <c r="L891" s="1" t="s">
        <v>46</v>
      </c>
      <c r="M891" s="1" t="s">
        <v>47</v>
      </c>
      <c r="N891" s="1" t="s">
        <v>5466</v>
      </c>
      <c r="O891" s="1" t="s">
        <v>87</v>
      </c>
      <c r="P891" s="1" t="s">
        <v>5467</v>
      </c>
      <c r="Q891" s="4">
        <v>0.96699999999999997</v>
      </c>
      <c r="R891" s="4">
        <v>0.53300000000000003</v>
      </c>
      <c r="S891" s="8">
        <v>3</v>
      </c>
      <c r="T891" s="1" t="s">
        <v>50</v>
      </c>
      <c r="U891" s="8">
        <v>15</v>
      </c>
      <c r="V891" s="8">
        <v>15</v>
      </c>
      <c r="W891" s="7">
        <v>100000</v>
      </c>
      <c r="X891" s="5">
        <v>1.5</v>
      </c>
      <c r="Y891" s="7">
        <v>7400000</v>
      </c>
      <c r="Z891" s="1"/>
      <c r="AA891" s="2">
        <f ca="1">DATE(2003,01,21)</f>
        <v>0</v>
      </c>
      <c r="AB891" s="1"/>
      <c r="AC891" s="3">
        <v>180</v>
      </c>
      <c r="AD891" s="1"/>
      <c r="AE891" s="1" t="s">
        <v>51</v>
      </c>
      <c r="AF891" s="1" t="s">
        <v>51</v>
      </c>
      <c r="AG891" s="1" t="s">
        <v>51</v>
      </c>
      <c r="AH891" s="1"/>
      <c r="AI891" s="1"/>
      <c r="AJ891" s="3">
        <v>1</v>
      </c>
      <c r="AK891" s="1" t="s">
        <v>89</v>
      </c>
      <c r="AL891" s="3">
        <v>7</v>
      </c>
      <c r="AM891" s="8">
        <v>15</v>
      </c>
      <c r="AN891" s="1"/>
      <c r="AO891" s="1" t="s">
        <v>5468</v>
      </c>
      <c r="AP891" s="1" t="s">
        <v>3342</v>
      </c>
      <c r="AQ891" s="1" t="s">
        <v>5469</v>
      </c>
      <c r="AR891" s="1" t="s">
        <v>5470</v>
      </c>
    </row>
    <row r="892">
      <c r="A892" s="2">
        <f ca="1">DATE(2002,05,16)</f>
        <v>0</v>
      </c>
      <c r="B892" s="2">
        <f ca="1">DATE(2002,07,25)</f>
        <v>0</v>
      </c>
      <c r="C892" s="1" t="s">
        <v>5471</v>
      </c>
      <c r="D892" s="3">
        <v>6726</v>
      </c>
      <c r="E892" s="1" t="s">
        <v>43</v>
      </c>
      <c r="F892" s="1" t="s">
        <v>5472</v>
      </c>
      <c r="G892" s="1" t="s">
        <v>4332</v>
      </c>
      <c r="H892" s="4">
        <v>0.67500000000000004</v>
      </c>
      <c r="I892" s="4">
        <v>4.5</v>
      </c>
      <c r="J892" s="5">
        <v>144.80000000000001</v>
      </c>
      <c r="K892" s="4">
        <v>15</v>
      </c>
      <c r="L892" s="1" t="s">
        <v>46</v>
      </c>
      <c r="M892" s="1" t="s">
        <v>47</v>
      </c>
      <c r="N892" s="3">
        <v>755881109</v>
      </c>
      <c r="O892" s="1" t="s">
        <v>108</v>
      </c>
      <c r="P892" s="1" t="s">
        <v>5473</v>
      </c>
      <c r="Q892" s="4">
        <v>0.93300000000000005</v>
      </c>
      <c r="R892" s="4">
        <v>0.56699999999999995</v>
      </c>
      <c r="S892" s="8">
        <v>3</v>
      </c>
      <c r="T892" s="1" t="s">
        <v>50</v>
      </c>
      <c r="U892" s="8">
        <v>15</v>
      </c>
      <c r="V892" s="8">
        <v>15</v>
      </c>
      <c r="W892" s="1"/>
      <c r="X892" s="5">
        <v>0.90000000000000002</v>
      </c>
      <c r="Y892" s="7">
        <v>9650000</v>
      </c>
      <c r="Z892" s="1"/>
      <c r="AA892" s="1"/>
      <c r="AB892" s="1"/>
      <c r="AC892" s="1"/>
      <c r="AD892" s="1"/>
      <c r="AE892" s="1" t="s">
        <v>51</v>
      </c>
      <c r="AF892" s="1" t="s">
        <v>51</v>
      </c>
      <c r="AG892" s="1" t="s">
        <v>51</v>
      </c>
      <c r="AH892" s="1"/>
      <c r="AI892" s="1"/>
      <c r="AJ892" s="3">
        <v>1</v>
      </c>
      <c r="AK892" s="1" t="s">
        <v>52</v>
      </c>
      <c r="AL892" s="3">
        <v>6</v>
      </c>
      <c r="AM892" s="1"/>
      <c r="AN892" s="1"/>
      <c r="AO892" s="1" t="s">
        <v>5474</v>
      </c>
      <c r="AP892" s="1" t="s">
        <v>4332</v>
      </c>
      <c r="AQ892" s="1" t="s">
        <v>5475</v>
      </c>
      <c r="AR892" s="1" t="s">
        <v>5476</v>
      </c>
    </row>
    <row r="893">
      <c r="A893" s="2">
        <f ca="1">DATE(2002,05,24)</f>
        <v>0</v>
      </c>
      <c r="B893" s="2">
        <f ca="1">DATE(2002,08,15)</f>
        <v>0</v>
      </c>
      <c r="C893" s="1" t="s">
        <v>5477</v>
      </c>
      <c r="D893" s="3">
        <v>6798</v>
      </c>
      <c r="E893" s="1" t="s">
        <v>43</v>
      </c>
      <c r="F893" s="1" t="s">
        <v>5478</v>
      </c>
      <c r="G893" s="1" t="s">
        <v>5479</v>
      </c>
      <c r="H893" s="4">
        <v>0.83999999999999997</v>
      </c>
      <c r="I893" s="8">
        <v>7</v>
      </c>
      <c r="J893" s="5">
        <v>67.200000000000003</v>
      </c>
      <c r="K893" s="4">
        <v>12</v>
      </c>
      <c r="L893" s="1" t="s">
        <v>46</v>
      </c>
      <c r="M893" s="1" t="s">
        <v>47</v>
      </c>
      <c r="N893" s="3">
        <v>973491103</v>
      </c>
      <c r="O893" s="1" t="s">
        <v>108</v>
      </c>
      <c r="P893" s="1" t="s">
        <v>5480</v>
      </c>
      <c r="Q893" s="4">
        <v>1.417</v>
      </c>
      <c r="R893" s="4">
        <v>1.417</v>
      </c>
      <c r="S893" s="6">
        <v>4.1666699999999999</v>
      </c>
      <c r="T893" s="1" t="s">
        <v>50</v>
      </c>
      <c r="U893" s="8">
        <v>15</v>
      </c>
      <c r="V893" s="8">
        <v>15</v>
      </c>
      <c r="W893" s="7">
        <v>5000000</v>
      </c>
      <c r="X893" s="5">
        <v>75</v>
      </c>
      <c r="Y893" s="7">
        <v>5600000</v>
      </c>
      <c r="Z893" s="1"/>
      <c r="AA893" s="2">
        <f ca="1">DATE(2003,02,11)</f>
        <v>0</v>
      </c>
      <c r="AB893" s="1"/>
      <c r="AC893" s="3">
        <v>180</v>
      </c>
      <c r="AD893" s="1"/>
      <c r="AE893" s="1" t="s">
        <v>51</v>
      </c>
      <c r="AF893" s="1" t="s">
        <v>51</v>
      </c>
      <c r="AG893" s="1" t="s">
        <v>51</v>
      </c>
      <c r="AH893" s="1"/>
      <c r="AI893" s="1"/>
      <c r="AJ893" s="3">
        <v>1</v>
      </c>
      <c r="AK893" s="1" t="s">
        <v>89</v>
      </c>
      <c r="AL893" s="3">
        <v>4</v>
      </c>
      <c r="AM893" s="8">
        <v>12</v>
      </c>
      <c r="AN893" s="1"/>
      <c r="AO893" s="1" t="s">
        <v>5481</v>
      </c>
      <c r="AP893" s="1" t="s">
        <v>5482</v>
      </c>
      <c r="AQ893" s="1" t="s">
        <v>5483</v>
      </c>
      <c r="AR893" s="1" t="s">
        <v>5484</v>
      </c>
    </row>
    <row r="894">
      <c r="A894" s="2">
        <f ca="1">DATE(2002,06,27)</f>
        <v>0</v>
      </c>
      <c r="B894" s="2">
        <f ca="1">DATE(2002,08,22)</f>
        <v>0</v>
      </c>
      <c r="C894" s="1" t="s">
        <v>5485</v>
      </c>
      <c r="D894" s="3">
        <v>6726</v>
      </c>
      <c r="E894" s="1" t="s">
        <v>43</v>
      </c>
      <c r="F894" s="1" t="s">
        <v>5486</v>
      </c>
      <c r="G894" s="1" t="s">
        <v>5487</v>
      </c>
      <c r="H894" s="4">
        <v>1.125</v>
      </c>
      <c r="I894" s="4">
        <v>4.5</v>
      </c>
      <c r="J894" s="5">
        <v>562.5</v>
      </c>
      <c r="K894" s="4">
        <v>25</v>
      </c>
      <c r="L894" s="1" t="s">
        <v>46</v>
      </c>
      <c r="M894" s="1" t="s">
        <v>47</v>
      </c>
      <c r="N894" s="1" t="s">
        <v>5488</v>
      </c>
      <c r="O894" s="1" t="s">
        <v>108</v>
      </c>
      <c r="P894" s="1" t="s">
        <v>5489</v>
      </c>
      <c r="Q894" s="4">
        <v>1</v>
      </c>
      <c r="R894" s="4">
        <v>0.5</v>
      </c>
      <c r="S894" s="8">
        <v>3</v>
      </c>
      <c r="T894" s="1" t="s">
        <v>50</v>
      </c>
      <c r="U894" s="8">
        <v>15</v>
      </c>
      <c r="V894" s="8">
        <v>15</v>
      </c>
      <c r="W894" s="7">
        <v>1000</v>
      </c>
      <c r="X894" s="5">
        <v>0</v>
      </c>
      <c r="Y894" s="7">
        <v>22500000</v>
      </c>
      <c r="Z894" s="1"/>
      <c r="AA894" s="1"/>
      <c r="AB894" s="1"/>
      <c r="AC894" s="1"/>
      <c r="AD894" s="1"/>
      <c r="AE894" s="1" t="s">
        <v>51</v>
      </c>
      <c r="AF894" s="1" t="s">
        <v>51</v>
      </c>
      <c r="AG894" s="1" t="s">
        <v>51</v>
      </c>
      <c r="AH894" s="1"/>
      <c r="AI894" s="1"/>
      <c r="AJ894" s="3">
        <v>2</v>
      </c>
      <c r="AK894" s="1" t="s">
        <v>89</v>
      </c>
      <c r="AL894" s="3">
        <v>9</v>
      </c>
      <c r="AM894" s="8">
        <v>25</v>
      </c>
      <c r="AN894" s="1"/>
      <c r="AO894" s="1" t="s">
        <v>5490</v>
      </c>
      <c r="AP894" s="1" t="s">
        <v>5352</v>
      </c>
      <c r="AQ894" s="1" t="s">
        <v>5491</v>
      </c>
      <c r="AR894" s="1" t="s">
        <v>5492</v>
      </c>
    </row>
    <row r="895">
      <c r="A895" s="2">
        <f ca="1">DATE(2002,04,12)</f>
        <v>0</v>
      </c>
      <c r="B895" s="2">
        <f ca="1">DATE(2002,08,27)</f>
        <v>0</v>
      </c>
      <c r="C895" s="1" t="s">
        <v>5493</v>
      </c>
      <c r="D895" s="3">
        <v>6726</v>
      </c>
      <c r="E895" s="1" t="s">
        <v>43</v>
      </c>
      <c r="F895" s="1" t="s">
        <v>5494</v>
      </c>
      <c r="G895" s="1" t="s">
        <v>45</v>
      </c>
      <c r="H895" s="4">
        <v>0.67500000000000004</v>
      </c>
      <c r="I895" s="4">
        <v>4.5</v>
      </c>
      <c r="J895" s="5">
        <v>427.5</v>
      </c>
      <c r="K895" s="4">
        <v>15</v>
      </c>
      <c r="L895" s="1" t="s">
        <v>46</v>
      </c>
      <c r="M895" s="1" t="s">
        <v>47</v>
      </c>
      <c r="N895" s="1" t="s">
        <v>5495</v>
      </c>
      <c r="O895" s="1" t="s">
        <v>108</v>
      </c>
      <c r="P895" s="1" t="s">
        <v>5496</v>
      </c>
      <c r="Q895" s="4">
        <v>0.96699999999999997</v>
      </c>
      <c r="R895" s="4">
        <v>0.53300000000000003</v>
      </c>
      <c r="S895" s="8">
        <v>3</v>
      </c>
      <c r="T895" s="1" t="s">
        <v>50</v>
      </c>
      <c r="U895" s="8">
        <v>15</v>
      </c>
      <c r="V895" s="8">
        <v>15</v>
      </c>
      <c r="W895" s="7">
        <v>66666</v>
      </c>
      <c r="X895" s="5">
        <v>1</v>
      </c>
      <c r="Y895" s="7">
        <v>28500000</v>
      </c>
      <c r="Z895" s="1"/>
      <c r="AA895" s="2">
        <f ca="1">DATE(2003,02,23)</f>
        <v>0</v>
      </c>
      <c r="AB895" s="1"/>
      <c r="AC895" s="3">
        <v>180</v>
      </c>
      <c r="AD895" s="1"/>
      <c r="AE895" s="1" t="s">
        <v>51</v>
      </c>
      <c r="AF895" s="1" t="s">
        <v>51</v>
      </c>
      <c r="AG895" s="1" t="s">
        <v>51</v>
      </c>
      <c r="AH895" s="1"/>
      <c r="AI895" s="1"/>
      <c r="AJ895" s="3">
        <v>1</v>
      </c>
      <c r="AK895" s="1" t="s">
        <v>52</v>
      </c>
      <c r="AL895" s="3">
        <v>18</v>
      </c>
      <c r="AM895" s="8">
        <v>15</v>
      </c>
      <c r="AN895" s="1"/>
      <c r="AO895" s="1" t="s">
        <v>5497</v>
      </c>
      <c r="AP895" s="1" t="s">
        <v>45</v>
      </c>
      <c r="AQ895" s="1" t="s">
        <v>5498</v>
      </c>
      <c r="AR895" s="1" t="s">
        <v>5499</v>
      </c>
    </row>
    <row r="896">
      <c r="A896" s="2">
        <f ca="1">DATE(2002,07,03)</f>
        <v>0</v>
      </c>
      <c r="B896" s="2">
        <f ca="1">DATE(2002,08,27)</f>
        <v>0</v>
      </c>
      <c r="C896" s="1" t="s">
        <v>5500</v>
      </c>
      <c r="D896" s="3">
        <v>6726</v>
      </c>
      <c r="E896" s="1" t="s">
        <v>43</v>
      </c>
      <c r="F896" s="1" t="s">
        <v>5501</v>
      </c>
      <c r="G896" s="1" t="s">
        <v>4332</v>
      </c>
      <c r="H896" s="4">
        <v>0.67500000000000004</v>
      </c>
      <c r="I896" s="4">
        <v>4.5</v>
      </c>
      <c r="J896" s="5">
        <v>856.5</v>
      </c>
      <c r="K896" s="4">
        <v>15</v>
      </c>
      <c r="L896" s="1" t="s">
        <v>4422</v>
      </c>
      <c r="M896" s="1" t="s">
        <v>47</v>
      </c>
      <c r="N896" s="1" t="s">
        <v>5502</v>
      </c>
      <c r="O896" s="1" t="s">
        <v>87</v>
      </c>
      <c r="P896" s="1" t="s">
        <v>5503</v>
      </c>
      <c r="Q896" s="4">
        <v>0.93300000000000005</v>
      </c>
      <c r="R896" s="4">
        <v>0.56699999999999995</v>
      </c>
      <c r="S896" s="8">
        <v>3</v>
      </c>
      <c r="T896" s="1" t="s">
        <v>50</v>
      </c>
      <c r="U896" s="8">
        <v>15</v>
      </c>
      <c r="V896" s="8">
        <v>15</v>
      </c>
      <c r="W896" s="7">
        <v>13333333</v>
      </c>
      <c r="X896" s="5">
        <v>200</v>
      </c>
      <c r="Y896" s="7">
        <v>57100000</v>
      </c>
      <c r="Z896" s="1"/>
      <c r="AA896" s="2">
        <f ca="1">DATE(2003,02,23)</f>
        <v>0</v>
      </c>
      <c r="AB896" s="1"/>
      <c r="AC896" s="3">
        <v>180</v>
      </c>
      <c r="AD896" s="1"/>
      <c r="AE896" s="1" t="s">
        <v>51</v>
      </c>
      <c r="AF896" s="1" t="s">
        <v>51</v>
      </c>
      <c r="AG896" s="1" t="s">
        <v>51</v>
      </c>
      <c r="AH896" s="1"/>
      <c r="AI896" s="1"/>
      <c r="AJ896" s="3">
        <v>1</v>
      </c>
      <c r="AK896" s="1" t="s">
        <v>52</v>
      </c>
      <c r="AL896" s="3">
        <v>17</v>
      </c>
      <c r="AM896" s="8">
        <v>15</v>
      </c>
      <c r="AN896" s="1"/>
      <c r="AO896" s="1" t="s">
        <v>5504</v>
      </c>
      <c r="AP896" s="1" t="s">
        <v>4332</v>
      </c>
      <c r="AQ896" s="1" t="s">
        <v>5505</v>
      </c>
      <c r="AR896" s="1" t="s">
        <v>5506</v>
      </c>
    </row>
    <row r="897">
      <c r="A897" s="2">
        <f ca="1">DATE(2002,07,10)</f>
        <v>0</v>
      </c>
      <c r="B897" s="2">
        <f ca="1">DATE(2002,08,27)</f>
        <v>0</v>
      </c>
      <c r="C897" s="1" t="s">
        <v>5507</v>
      </c>
      <c r="D897" s="3">
        <v>6726</v>
      </c>
      <c r="E897" s="1" t="s">
        <v>43</v>
      </c>
      <c r="F897" s="1" t="s">
        <v>5508</v>
      </c>
      <c r="G897" s="1" t="s">
        <v>4332</v>
      </c>
      <c r="H897" s="4">
        <v>0.67500000000000004</v>
      </c>
      <c r="I897" s="4">
        <v>4.5</v>
      </c>
      <c r="J897" s="5">
        <v>205.90000000000001</v>
      </c>
      <c r="K897" s="4">
        <v>15</v>
      </c>
      <c r="L897" s="1" t="s">
        <v>4422</v>
      </c>
      <c r="M897" s="1" t="s">
        <v>47</v>
      </c>
      <c r="N897" s="1" t="s">
        <v>5509</v>
      </c>
      <c r="O897" s="1" t="s">
        <v>87</v>
      </c>
      <c r="P897" s="1" t="s">
        <v>5510</v>
      </c>
      <c r="Q897" s="4">
        <v>0.93300000000000005</v>
      </c>
      <c r="R897" s="4">
        <v>0.56699999999999995</v>
      </c>
      <c r="S897" s="8">
        <v>3</v>
      </c>
      <c r="T897" s="1" t="s">
        <v>50</v>
      </c>
      <c r="U897" s="8">
        <v>15</v>
      </c>
      <c r="V897" s="8">
        <v>15</v>
      </c>
      <c r="W897" s="7">
        <v>6666667</v>
      </c>
      <c r="X897" s="5">
        <v>100</v>
      </c>
      <c r="Y897" s="7">
        <v>13725000</v>
      </c>
      <c r="Z897" s="1"/>
      <c r="AA897" s="1"/>
      <c r="AB897" s="1"/>
      <c r="AC897" s="1"/>
      <c r="AD897" s="1"/>
      <c r="AE897" s="1" t="s">
        <v>51</v>
      </c>
      <c r="AF897" s="1" t="s">
        <v>51</v>
      </c>
      <c r="AG897" s="1" t="s">
        <v>51</v>
      </c>
      <c r="AH897" s="1"/>
      <c r="AI897" s="1"/>
      <c r="AJ897" s="3">
        <v>1</v>
      </c>
      <c r="AK897" s="1" t="s">
        <v>52</v>
      </c>
      <c r="AL897" s="3">
        <v>11</v>
      </c>
      <c r="AM897" s="8">
        <v>15.029999999999999</v>
      </c>
      <c r="AN897" s="1"/>
      <c r="AO897" s="1" t="s">
        <v>5511</v>
      </c>
      <c r="AP897" s="1" t="s">
        <v>4332</v>
      </c>
      <c r="AQ897" s="1" t="s">
        <v>5512</v>
      </c>
      <c r="AR897" s="1" t="s">
        <v>5513</v>
      </c>
    </row>
    <row r="898">
      <c r="A898" s="2">
        <f ca="1">DATE(2002,07,10)</f>
        <v>0</v>
      </c>
      <c r="B898" s="2">
        <f ca="1">DATE(2002,08,27)</f>
        <v>0</v>
      </c>
      <c r="C898" s="1" t="s">
        <v>5514</v>
      </c>
      <c r="D898" s="3">
        <v>6726</v>
      </c>
      <c r="E898" s="1" t="s">
        <v>43</v>
      </c>
      <c r="F898" s="1" t="s">
        <v>5515</v>
      </c>
      <c r="G898" s="1" t="s">
        <v>4332</v>
      </c>
      <c r="H898" s="4">
        <v>0.67500000000000004</v>
      </c>
      <c r="I898" s="4">
        <v>4.5</v>
      </c>
      <c r="J898" s="5">
        <v>286.5</v>
      </c>
      <c r="K898" s="4">
        <v>15</v>
      </c>
      <c r="L898" s="1" t="s">
        <v>4422</v>
      </c>
      <c r="M898" s="1" t="s">
        <v>47</v>
      </c>
      <c r="N898" s="1" t="s">
        <v>5516</v>
      </c>
      <c r="O898" s="1" t="s">
        <v>87</v>
      </c>
      <c r="P898" s="1" t="s">
        <v>5517</v>
      </c>
      <c r="Q898" s="4">
        <v>0.93300000000000005</v>
      </c>
      <c r="R898" s="4">
        <v>0.56699999999999995</v>
      </c>
      <c r="S898" s="8">
        <v>3</v>
      </c>
      <c r="T898" s="1" t="s">
        <v>50</v>
      </c>
      <c r="U898" s="8">
        <v>15</v>
      </c>
      <c r="V898" s="8">
        <v>15</v>
      </c>
      <c r="W898" s="7">
        <v>6666667</v>
      </c>
      <c r="X898" s="5">
        <v>100</v>
      </c>
      <c r="Y898" s="7">
        <v>19100000</v>
      </c>
      <c r="Z898" s="1"/>
      <c r="AA898" s="1"/>
      <c r="AB898" s="1"/>
      <c r="AC898" s="1"/>
      <c r="AD898" s="1"/>
      <c r="AE898" s="1" t="s">
        <v>51</v>
      </c>
      <c r="AF898" s="1" t="s">
        <v>51</v>
      </c>
      <c r="AG898" s="1" t="s">
        <v>51</v>
      </c>
      <c r="AH898" s="1"/>
      <c r="AI898" s="1"/>
      <c r="AJ898" s="3">
        <v>1</v>
      </c>
      <c r="AK898" s="1" t="s">
        <v>52</v>
      </c>
      <c r="AL898" s="3">
        <v>8</v>
      </c>
      <c r="AM898" s="8">
        <v>15.029999999999999</v>
      </c>
      <c r="AN898" s="1"/>
      <c r="AO898" s="1" t="s">
        <v>5518</v>
      </c>
      <c r="AP898" s="1" t="s">
        <v>4332</v>
      </c>
      <c r="AQ898" s="1" t="s">
        <v>5519</v>
      </c>
      <c r="AR898" s="1" t="s">
        <v>5520</v>
      </c>
    </row>
    <row r="899">
      <c r="A899" s="2">
        <f ca="1">DATE(2002,07,01)</f>
        <v>0</v>
      </c>
      <c r="B899" s="2">
        <f ca="1">DATE(2002,09,23)</f>
        <v>0</v>
      </c>
      <c r="C899" s="1" t="s">
        <v>5521</v>
      </c>
      <c r="D899" s="3">
        <v>6726</v>
      </c>
      <c r="E899" s="1" t="s">
        <v>43</v>
      </c>
      <c r="F899" s="1" t="s">
        <v>5522</v>
      </c>
      <c r="G899" s="1" t="s">
        <v>4332</v>
      </c>
      <c r="H899" s="4">
        <v>0.67500000000000004</v>
      </c>
      <c r="I899" s="4">
        <v>4.5</v>
      </c>
      <c r="J899" s="9">
        <v>1629</v>
      </c>
      <c r="K899" s="4">
        <v>15</v>
      </c>
      <c r="L899" s="1" t="s">
        <v>46</v>
      </c>
      <c r="M899" s="1" t="s">
        <v>47</v>
      </c>
      <c r="N899" s="1" t="s">
        <v>5523</v>
      </c>
      <c r="O899" s="1" t="s">
        <v>108</v>
      </c>
      <c r="P899" s="1" t="s">
        <v>5524</v>
      </c>
      <c r="Q899" s="4">
        <v>0.93300000000000005</v>
      </c>
      <c r="R899" s="4">
        <v>0.56699999999999995</v>
      </c>
      <c r="S899" s="8">
        <v>3</v>
      </c>
      <c r="T899" s="1" t="s">
        <v>50</v>
      </c>
      <c r="U899" s="8">
        <v>15</v>
      </c>
      <c r="V899" s="8">
        <v>15</v>
      </c>
      <c r="W899" s="7">
        <v>1000</v>
      </c>
      <c r="X899" s="5">
        <v>0</v>
      </c>
      <c r="Y899" s="7">
        <v>108600000</v>
      </c>
      <c r="Z899" s="1"/>
      <c r="AA899" s="1"/>
      <c r="AB899" s="1"/>
      <c r="AC899" s="1"/>
      <c r="AD899" s="1"/>
      <c r="AE899" s="1" t="s">
        <v>51</v>
      </c>
      <c r="AF899" s="1" t="s">
        <v>51</v>
      </c>
      <c r="AG899" s="1" t="s">
        <v>51</v>
      </c>
      <c r="AH899" s="1"/>
      <c r="AI899" s="1"/>
      <c r="AJ899" s="3">
        <v>1</v>
      </c>
      <c r="AK899" s="1" t="s">
        <v>52</v>
      </c>
      <c r="AL899" s="3">
        <v>19</v>
      </c>
      <c r="AM899" s="8">
        <v>15.01</v>
      </c>
      <c r="AN899" s="1"/>
      <c r="AO899" s="1" t="s">
        <v>5525</v>
      </c>
      <c r="AP899" s="1" t="s">
        <v>4332</v>
      </c>
      <c r="AQ899" s="1" t="s">
        <v>5526</v>
      </c>
      <c r="AR899" s="1" t="s">
        <v>5527</v>
      </c>
    </row>
    <row r="900">
      <c r="A900" s="2">
        <f ca="1">DATE(2002,07,31)</f>
        <v>0</v>
      </c>
      <c r="B900" s="2">
        <f ca="1">DATE(2002,09,24)</f>
        <v>0</v>
      </c>
      <c r="C900" s="1" t="s">
        <v>5528</v>
      </c>
      <c r="D900" s="3">
        <v>6726</v>
      </c>
      <c r="E900" s="1" t="s">
        <v>43</v>
      </c>
      <c r="F900" s="1" t="s">
        <v>5529</v>
      </c>
      <c r="G900" s="1" t="s">
        <v>45</v>
      </c>
      <c r="H900" s="4">
        <v>0.67500000000000004</v>
      </c>
      <c r="I900" s="4">
        <v>4.5</v>
      </c>
      <c r="J900" s="5">
        <v>94.5</v>
      </c>
      <c r="K900" s="4">
        <v>15</v>
      </c>
      <c r="L900" s="1" t="s">
        <v>46</v>
      </c>
      <c r="M900" s="1" t="s">
        <v>47</v>
      </c>
      <c r="N900" s="1" t="s">
        <v>5530</v>
      </c>
      <c r="O900" s="1" t="s">
        <v>87</v>
      </c>
      <c r="P900" s="1" t="s">
        <v>5531</v>
      </c>
      <c r="Q900" s="4">
        <v>0.96699999999999997</v>
      </c>
      <c r="R900" s="4">
        <v>0.53300000000000003</v>
      </c>
      <c r="S900" s="8">
        <v>3</v>
      </c>
      <c r="T900" s="1" t="s">
        <v>50</v>
      </c>
      <c r="U900" s="8">
        <v>15</v>
      </c>
      <c r="V900" s="8">
        <v>15</v>
      </c>
      <c r="W900" s="7">
        <v>4000000</v>
      </c>
      <c r="X900" s="5">
        <v>60</v>
      </c>
      <c r="Y900" s="7">
        <v>6300000</v>
      </c>
      <c r="Z900" s="1"/>
      <c r="AA900" s="2">
        <f ca="1">DATE(2003,03,23)</f>
        <v>0</v>
      </c>
      <c r="AB900" s="1"/>
      <c r="AC900" s="3">
        <v>180</v>
      </c>
      <c r="AD900" s="1"/>
      <c r="AE900" s="1" t="s">
        <v>51</v>
      </c>
      <c r="AF900" s="1" t="s">
        <v>51</v>
      </c>
      <c r="AG900" s="1" t="s">
        <v>51</v>
      </c>
      <c r="AH900" s="1"/>
      <c r="AI900" s="1"/>
      <c r="AJ900" s="3">
        <v>1</v>
      </c>
      <c r="AK900" s="1" t="s">
        <v>52</v>
      </c>
      <c r="AL900" s="3">
        <v>7</v>
      </c>
      <c r="AM900" s="8">
        <v>15</v>
      </c>
      <c r="AN900" s="1"/>
      <c r="AO900" s="1" t="s">
        <v>5532</v>
      </c>
      <c r="AP900" s="1" t="s">
        <v>45</v>
      </c>
      <c r="AQ900" s="1" t="s">
        <v>5533</v>
      </c>
      <c r="AR900" s="1" t="s">
        <v>5534</v>
      </c>
    </row>
    <row r="901">
      <c r="A901" s="2">
        <f ca="1">DATE(2002,07,31)</f>
        <v>0</v>
      </c>
      <c r="B901" s="2">
        <f ca="1">DATE(2002,09,24)</f>
        <v>0</v>
      </c>
      <c r="C901" s="1" t="s">
        <v>5535</v>
      </c>
      <c r="D901" s="3">
        <v>6726</v>
      </c>
      <c r="E901" s="1" t="s">
        <v>43</v>
      </c>
      <c r="F901" s="1" t="s">
        <v>5536</v>
      </c>
      <c r="G901" s="1" t="s">
        <v>45</v>
      </c>
      <c r="H901" s="4">
        <v>0.67500000000000004</v>
      </c>
      <c r="I901" s="4">
        <v>4.5</v>
      </c>
      <c r="J901" s="5">
        <v>77.299999999999997</v>
      </c>
      <c r="K901" s="4">
        <v>15</v>
      </c>
      <c r="L901" s="1" t="s">
        <v>46</v>
      </c>
      <c r="M901" s="1" t="s">
        <v>47</v>
      </c>
      <c r="N901" s="1" t="s">
        <v>5537</v>
      </c>
      <c r="O901" s="1" t="s">
        <v>87</v>
      </c>
      <c r="P901" s="1" t="s">
        <v>5538</v>
      </c>
      <c r="Q901" s="4">
        <v>0.96699999999999997</v>
      </c>
      <c r="R901" s="4">
        <v>0.53300000000000003</v>
      </c>
      <c r="S901" s="8">
        <v>3</v>
      </c>
      <c r="T901" s="1" t="s">
        <v>50</v>
      </c>
      <c r="U901" s="8">
        <v>15</v>
      </c>
      <c r="V901" s="8">
        <v>15</v>
      </c>
      <c r="W901" s="7">
        <v>4000000</v>
      </c>
      <c r="X901" s="5">
        <v>60</v>
      </c>
      <c r="Y901" s="7">
        <v>5150000</v>
      </c>
      <c r="Z901" s="1"/>
      <c r="AA901" s="2">
        <f ca="1">DATE(2003,03,23)</f>
        <v>0</v>
      </c>
      <c r="AB901" s="1"/>
      <c r="AC901" s="3">
        <v>180</v>
      </c>
      <c r="AD901" s="1"/>
      <c r="AE901" s="1" t="s">
        <v>51</v>
      </c>
      <c r="AF901" s="1" t="s">
        <v>51</v>
      </c>
      <c r="AG901" s="1" t="s">
        <v>51</v>
      </c>
      <c r="AH901" s="1"/>
      <c r="AI901" s="1"/>
      <c r="AJ901" s="3">
        <v>1</v>
      </c>
      <c r="AK901" s="1" t="s">
        <v>52</v>
      </c>
      <c r="AL901" s="3">
        <v>8</v>
      </c>
      <c r="AM901" s="8">
        <v>15</v>
      </c>
      <c r="AN901" s="1"/>
      <c r="AO901" s="1" t="s">
        <v>5539</v>
      </c>
      <c r="AP901" s="1" t="s">
        <v>45</v>
      </c>
      <c r="AQ901" s="1" t="s">
        <v>5540</v>
      </c>
      <c r="AR901" s="1" t="s">
        <v>5541</v>
      </c>
    </row>
    <row r="902">
      <c r="A902" s="2">
        <f ca="1">DATE(2002,07,29)</f>
        <v>0</v>
      </c>
      <c r="B902" s="2">
        <f ca="1">DATE(2002,09,24)</f>
        <v>0</v>
      </c>
      <c r="C902" s="1" t="s">
        <v>5542</v>
      </c>
      <c r="D902" s="3">
        <v>6726</v>
      </c>
      <c r="E902" s="1" t="s">
        <v>43</v>
      </c>
      <c r="F902" s="1" t="s">
        <v>5543</v>
      </c>
      <c r="G902" s="1" t="s">
        <v>45</v>
      </c>
      <c r="H902" s="4">
        <v>0.67500000000000004</v>
      </c>
      <c r="I902" s="4">
        <v>4.5</v>
      </c>
      <c r="J902" s="5">
        <v>292.5</v>
      </c>
      <c r="K902" s="4">
        <v>15</v>
      </c>
      <c r="L902" s="1" t="s">
        <v>46</v>
      </c>
      <c r="M902" s="1" t="s">
        <v>47</v>
      </c>
      <c r="N902" s="1" t="s">
        <v>5544</v>
      </c>
      <c r="O902" s="1" t="s">
        <v>87</v>
      </c>
      <c r="P902" s="1" t="s">
        <v>5545</v>
      </c>
      <c r="Q902" s="4">
        <v>0.96699999999999997</v>
      </c>
      <c r="R902" s="4">
        <v>0.53300000000000003</v>
      </c>
      <c r="S902" s="8">
        <v>3</v>
      </c>
      <c r="T902" s="1" t="s">
        <v>50</v>
      </c>
      <c r="U902" s="8">
        <v>15</v>
      </c>
      <c r="V902" s="8">
        <v>15</v>
      </c>
      <c r="W902" s="7">
        <v>4000000</v>
      </c>
      <c r="X902" s="5">
        <v>60</v>
      </c>
      <c r="Y902" s="7">
        <v>19500000</v>
      </c>
      <c r="Z902" s="1"/>
      <c r="AA902" s="2">
        <f ca="1">DATE(2003,03,23)</f>
        <v>0</v>
      </c>
      <c r="AB902" s="1"/>
      <c r="AC902" s="3">
        <v>180</v>
      </c>
      <c r="AD902" s="1"/>
      <c r="AE902" s="1" t="s">
        <v>51</v>
      </c>
      <c r="AF902" s="1" t="s">
        <v>51</v>
      </c>
      <c r="AG902" s="1" t="s">
        <v>51</v>
      </c>
      <c r="AH902" s="1"/>
      <c r="AI902" s="1"/>
      <c r="AJ902" s="3">
        <v>1</v>
      </c>
      <c r="AK902" s="1" t="s">
        <v>52</v>
      </c>
      <c r="AL902" s="3">
        <v>15</v>
      </c>
      <c r="AM902" s="8">
        <v>15.01</v>
      </c>
      <c r="AN902" s="1"/>
      <c r="AO902" s="1" t="s">
        <v>5546</v>
      </c>
      <c r="AP902" s="1" t="s">
        <v>45</v>
      </c>
      <c r="AQ902" s="1" t="s">
        <v>5547</v>
      </c>
      <c r="AR902" s="1" t="s">
        <v>5548</v>
      </c>
    </row>
    <row r="903">
      <c r="A903" s="2">
        <f ca="1">DATE(2002,07,12)</f>
        <v>0</v>
      </c>
      <c r="B903" s="2">
        <f ca="1">DATE(2002,09,25)</f>
        <v>0</v>
      </c>
      <c r="C903" s="1" t="s">
        <v>5549</v>
      </c>
      <c r="D903" s="3">
        <v>6726</v>
      </c>
      <c r="E903" s="1" t="s">
        <v>43</v>
      </c>
      <c r="F903" s="1" t="s">
        <v>5550</v>
      </c>
      <c r="G903" s="1" t="s">
        <v>4332</v>
      </c>
      <c r="H903" s="4">
        <v>0.67500000000000004</v>
      </c>
      <c r="I903" s="4">
        <v>4.5</v>
      </c>
      <c r="J903" s="5">
        <v>58.100000000000001</v>
      </c>
      <c r="K903" s="4">
        <v>15</v>
      </c>
      <c r="L903" s="1" t="s">
        <v>46</v>
      </c>
      <c r="M903" s="1" t="s">
        <v>47</v>
      </c>
      <c r="N903" s="1" t="s">
        <v>5551</v>
      </c>
      <c r="O903" s="1" t="s">
        <v>87</v>
      </c>
      <c r="P903" s="1" t="s">
        <v>5552</v>
      </c>
      <c r="Q903" s="4">
        <v>0.93300000000000005</v>
      </c>
      <c r="R903" s="4">
        <v>0.56699999999999995</v>
      </c>
      <c r="S903" s="8">
        <v>3</v>
      </c>
      <c r="T903" s="1" t="s">
        <v>50</v>
      </c>
      <c r="U903" s="8">
        <v>15</v>
      </c>
      <c r="V903" s="8">
        <v>15</v>
      </c>
      <c r="W903" s="7">
        <v>1000</v>
      </c>
      <c r="X903" s="5">
        <v>0</v>
      </c>
      <c r="Y903" s="7">
        <v>3875000</v>
      </c>
      <c r="Z903" s="1"/>
      <c r="AA903" s="1"/>
      <c r="AB903" s="1"/>
      <c r="AC903" s="1"/>
      <c r="AD903" s="1"/>
      <c r="AE903" s="1" t="s">
        <v>51</v>
      </c>
      <c r="AF903" s="1" t="s">
        <v>51</v>
      </c>
      <c r="AG903" s="1" t="s">
        <v>51</v>
      </c>
      <c r="AH903" s="1"/>
      <c r="AI903" s="1"/>
      <c r="AJ903" s="3">
        <v>1</v>
      </c>
      <c r="AK903" s="1" t="s">
        <v>52</v>
      </c>
      <c r="AL903" s="3">
        <v>11</v>
      </c>
      <c r="AM903" s="8">
        <v>15.02</v>
      </c>
      <c r="AN903" s="1"/>
      <c r="AO903" s="1" t="s">
        <v>5553</v>
      </c>
      <c r="AP903" s="1" t="s">
        <v>4332</v>
      </c>
      <c r="AQ903" s="1" t="s">
        <v>5554</v>
      </c>
      <c r="AR903" s="1" t="s">
        <v>5555</v>
      </c>
    </row>
    <row r="904">
      <c r="A904" s="2">
        <f ca="1">DATE(2002,07,12)</f>
        <v>0</v>
      </c>
      <c r="B904" s="2">
        <f ca="1">DATE(2002,09,25)</f>
        <v>0</v>
      </c>
      <c r="C904" s="1" t="s">
        <v>5556</v>
      </c>
      <c r="D904" s="3">
        <v>6726</v>
      </c>
      <c r="E904" s="1" t="s">
        <v>43</v>
      </c>
      <c r="F904" s="1" t="s">
        <v>5557</v>
      </c>
      <c r="G904" s="1" t="s">
        <v>4332</v>
      </c>
      <c r="H904" s="4">
        <v>0.67500000000000004</v>
      </c>
      <c r="I904" s="4">
        <v>4.5</v>
      </c>
      <c r="J904" s="5">
        <v>72</v>
      </c>
      <c r="K904" s="4">
        <v>15</v>
      </c>
      <c r="L904" s="1" t="s">
        <v>46</v>
      </c>
      <c r="M904" s="1" t="s">
        <v>47</v>
      </c>
      <c r="N904" s="1" t="s">
        <v>5558</v>
      </c>
      <c r="O904" s="1" t="s">
        <v>87</v>
      </c>
      <c r="P904" s="1" t="s">
        <v>5559</v>
      </c>
      <c r="Q904" s="4">
        <v>0.93300000000000005</v>
      </c>
      <c r="R904" s="4">
        <v>0.56699999999999995</v>
      </c>
      <c r="S904" s="8">
        <v>3</v>
      </c>
      <c r="T904" s="1" t="s">
        <v>50</v>
      </c>
      <c r="U904" s="8">
        <v>15</v>
      </c>
      <c r="V904" s="8">
        <v>15</v>
      </c>
      <c r="W904" s="7">
        <v>1000</v>
      </c>
      <c r="X904" s="5">
        <v>0</v>
      </c>
      <c r="Y904" s="7">
        <v>4800000</v>
      </c>
      <c r="Z904" s="1"/>
      <c r="AA904" s="1"/>
      <c r="AB904" s="1"/>
      <c r="AC904" s="1"/>
      <c r="AD904" s="1"/>
      <c r="AE904" s="1" t="s">
        <v>51</v>
      </c>
      <c r="AF904" s="1" t="s">
        <v>51</v>
      </c>
      <c r="AG904" s="1" t="s">
        <v>51</v>
      </c>
      <c r="AH904" s="1"/>
      <c r="AI904" s="1"/>
      <c r="AJ904" s="3">
        <v>1</v>
      </c>
      <c r="AK904" s="1" t="s">
        <v>52</v>
      </c>
      <c r="AL904" s="3">
        <v>12</v>
      </c>
      <c r="AM904" s="8">
        <v>15.01</v>
      </c>
      <c r="AN904" s="1"/>
      <c r="AO904" s="1" t="s">
        <v>5560</v>
      </c>
      <c r="AP904" s="1" t="s">
        <v>4332</v>
      </c>
      <c r="AQ904" s="1" t="s">
        <v>5561</v>
      </c>
      <c r="AR904" s="1" t="s">
        <v>5562</v>
      </c>
    </row>
    <row r="905">
      <c r="A905" s="2">
        <f ca="1">DATE(2002,07,12)</f>
        <v>0</v>
      </c>
      <c r="B905" s="2">
        <f ca="1">DATE(2002,09,25)</f>
        <v>0</v>
      </c>
      <c r="C905" s="1" t="s">
        <v>5563</v>
      </c>
      <c r="D905" s="3">
        <v>6726</v>
      </c>
      <c r="E905" s="1" t="s">
        <v>43</v>
      </c>
      <c r="F905" s="1" t="s">
        <v>5564</v>
      </c>
      <c r="G905" s="1" t="s">
        <v>4332</v>
      </c>
      <c r="H905" s="4">
        <v>0.67500000000000004</v>
      </c>
      <c r="I905" s="4">
        <v>4.5</v>
      </c>
      <c r="J905" s="5">
        <v>63</v>
      </c>
      <c r="K905" s="4">
        <v>15</v>
      </c>
      <c r="L905" s="1" t="s">
        <v>46</v>
      </c>
      <c r="M905" s="1" t="s">
        <v>47</v>
      </c>
      <c r="N905" s="1" t="s">
        <v>5565</v>
      </c>
      <c r="O905" s="1" t="s">
        <v>87</v>
      </c>
      <c r="P905" s="1" t="s">
        <v>5566</v>
      </c>
      <c r="Q905" s="4">
        <v>0.93300000000000005</v>
      </c>
      <c r="R905" s="4">
        <v>0.56699999999999995</v>
      </c>
      <c r="S905" s="8">
        <v>3</v>
      </c>
      <c r="T905" s="1" t="s">
        <v>50</v>
      </c>
      <c r="U905" s="8">
        <v>15</v>
      </c>
      <c r="V905" s="8">
        <v>15</v>
      </c>
      <c r="W905" s="7">
        <v>1000</v>
      </c>
      <c r="X905" s="5">
        <v>0</v>
      </c>
      <c r="Y905" s="7">
        <v>4200000</v>
      </c>
      <c r="Z905" s="1"/>
      <c r="AA905" s="1"/>
      <c r="AB905" s="1"/>
      <c r="AC905" s="1"/>
      <c r="AD905" s="1"/>
      <c r="AE905" s="1" t="s">
        <v>51</v>
      </c>
      <c r="AF905" s="1" t="s">
        <v>51</v>
      </c>
      <c r="AG905" s="1" t="s">
        <v>51</v>
      </c>
      <c r="AH905" s="1"/>
      <c r="AI905" s="1"/>
      <c r="AJ905" s="3">
        <v>1</v>
      </c>
      <c r="AK905" s="1" t="s">
        <v>52</v>
      </c>
      <c r="AL905" s="3">
        <v>9</v>
      </c>
      <c r="AM905" s="8">
        <v>15.01</v>
      </c>
      <c r="AN905" s="1"/>
      <c r="AO905" s="1" t="s">
        <v>5567</v>
      </c>
      <c r="AP905" s="1" t="s">
        <v>4332</v>
      </c>
      <c r="AQ905" s="1" t="s">
        <v>5568</v>
      </c>
      <c r="AR905" s="1" t="s">
        <v>5569</v>
      </c>
    </row>
    <row r="906">
      <c r="A906" s="2">
        <f ca="1">DATE(2002,07,12)</f>
        <v>0</v>
      </c>
      <c r="B906" s="2">
        <f ca="1">DATE(2002,09,25)</f>
        <v>0</v>
      </c>
      <c r="C906" s="1" t="s">
        <v>5570</v>
      </c>
      <c r="D906" s="3">
        <v>6726</v>
      </c>
      <c r="E906" s="1" t="s">
        <v>43</v>
      </c>
      <c r="F906" s="1" t="s">
        <v>5571</v>
      </c>
      <c r="G906" s="1" t="s">
        <v>4332</v>
      </c>
      <c r="H906" s="4">
        <v>0.67500000000000004</v>
      </c>
      <c r="I906" s="4">
        <v>4.5</v>
      </c>
      <c r="J906" s="5">
        <v>52.5</v>
      </c>
      <c r="K906" s="4">
        <v>15</v>
      </c>
      <c r="L906" s="1" t="s">
        <v>46</v>
      </c>
      <c r="M906" s="1" t="s">
        <v>47</v>
      </c>
      <c r="N906" s="1" t="s">
        <v>5572</v>
      </c>
      <c r="O906" s="1" t="s">
        <v>87</v>
      </c>
      <c r="P906" s="1" t="s">
        <v>5573</v>
      </c>
      <c r="Q906" s="4">
        <v>0.93300000000000005</v>
      </c>
      <c r="R906" s="4">
        <v>0.56699999999999995</v>
      </c>
      <c r="S906" s="8">
        <v>3</v>
      </c>
      <c r="T906" s="1" t="s">
        <v>50</v>
      </c>
      <c r="U906" s="8">
        <v>15</v>
      </c>
      <c r="V906" s="8">
        <v>15</v>
      </c>
      <c r="W906" s="7">
        <v>1000</v>
      </c>
      <c r="X906" s="5">
        <v>0</v>
      </c>
      <c r="Y906" s="7">
        <v>3500000</v>
      </c>
      <c r="Z906" s="1"/>
      <c r="AA906" s="1"/>
      <c r="AB906" s="1"/>
      <c r="AC906" s="1"/>
      <c r="AD906" s="1"/>
      <c r="AE906" s="1" t="s">
        <v>51</v>
      </c>
      <c r="AF906" s="1" t="s">
        <v>51</v>
      </c>
      <c r="AG906" s="1" t="s">
        <v>51</v>
      </c>
      <c r="AH906" s="1"/>
      <c r="AI906" s="1"/>
      <c r="AJ906" s="3">
        <v>1</v>
      </c>
      <c r="AK906" s="1" t="s">
        <v>52</v>
      </c>
      <c r="AL906" s="3">
        <v>8</v>
      </c>
      <c r="AM906" s="8">
        <v>15.01</v>
      </c>
      <c r="AN906" s="1"/>
      <c r="AO906" s="1" t="s">
        <v>5574</v>
      </c>
      <c r="AP906" s="1" t="s">
        <v>4332</v>
      </c>
      <c r="AQ906" s="1" t="s">
        <v>5575</v>
      </c>
      <c r="AR906" s="1" t="s">
        <v>5576</v>
      </c>
    </row>
    <row r="907">
      <c r="A907" s="2">
        <f ca="1">DATE(2002,07,12)</f>
        <v>0</v>
      </c>
      <c r="B907" s="2">
        <f ca="1">DATE(2002,09,25)</f>
        <v>0</v>
      </c>
      <c r="C907" s="1" t="s">
        <v>5577</v>
      </c>
      <c r="D907" s="3">
        <v>6726</v>
      </c>
      <c r="E907" s="1" t="s">
        <v>43</v>
      </c>
      <c r="F907" s="1" t="s">
        <v>5578</v>
      </c>
      <c r="G907" s="1" t="s">
        <v>4332</v>
      </c>
      <c r="H907" s="4">
        <v>0.67500000000000004</v>
      </c>
      <c r="I907" s="4">
        <v>4.5</v>
      </c>
      <c r="J907" s="5">
        <v>42.399999999999999</v>
      </c>
      <c r="K907" s="4">
        <v>15</v>
      </c>
      <c r="L907" s="1" t="s">
        <v>46</v>
      </c>
      <c r="M907" s="1" t="s">
        <v>47</v>
      </c>
      <c r="N907" s="1" t="s">
        <v>5579</v>
      </c>
      <c r="O907" s="1" t="s">
        <v>87</v>
      </c>
      <c r="P907" s="1" t="s">
        <v>5580</v>
      </c>
      <c r="Q907" s="4">
        <v>0.93300000000000005</v>
      </c>
      <c r="R907" s="4">
        <v>0.56699999999999995</v>
      </c>
      <c r="S907" s="8">
        <v>3</v>
      </c>
      <c r="T907" s="1" t="s">
        <v>50</v>
      </c>
      <c r="U907" s="8">
        <v>15</v>
      </c>
      <c r="V907" s="8">
        <v>15</v>
      </c>
      <c r="W907" s="7">
        <v>1000</v>
      </c>
      <c r="X907" s="5">
        <v>0</v>
      </c>
      <c r="Y907" s="7">
        <v>2825000</v>
      </c>
      <c r="Z907" s="1"/>
      <c r="AA907" s="1"/>
      <c r="AB907" s="1"/>
      <c r="AC907" s="1"/>
      <c r="AD907" s="1"/>
      <c r="AE907" s="1" t="s">
        <v>51</v>
      </c>
      <c r="AF907" s="1" t="s">
        <v>51</v>
      </c>
      <c r="AG907" s="1" t="s">
        <v>51</v>
      </c>
      <c r="AH907" s="1"/>
      <c r="AI907" s="1"/>
      <c r="AJ907" s="3">
        <v>1</v>
      </c>
      <c r="AK907" s="1" t="s">
        <v>52</v>
      </c>
      <c r="AL907" s="3">
        <v>7</v>
      </c>
      <c r="AM907" s="8">
        <v>15.01</v>
      </c>
      <c r="AN907" s="1"/>
      <c r="AO907" s="1" t="s">
        <v>5581</v>
      </c>
      <c r="AP907" s="1" t="s">
        <v>4332</v>
      </c>
      <c r="AQ907" s="1" t="s">
        <v>5582</v>
      </c>
      <c r="AR907" s="1" t="s">
        <v>5583</v>
      </c>
    </row>
    <row r="908">
      <c r="A908" s="2">
        <f ca="1">DATE(2002,05,30)</f>
        <v>0</v>
      </c>
      <c r="B908" s="2">
        <f ca="1">DATE(2002,10,09)</f>
        <v>0</v>
      </c>
      <c r="C908" s="1" t="s">
        <v>5584</v>
      </c>
      <c r="D908" s="3">
        <v>6331</v>
      </c>
      <c r="E908" s="1" t="s">
        <v>517</v>
      </c>
      <c r="F908" s="1" t="s">
        <v>5585</v>
      </c>
      <c r="G908" s="1" t="s">
        <v>5586</v>
      </c>
      <c r="H908" s="4">
        <v>1.3999999999999999</v>
      </c>
      <c r="I908" s="8">
        <v>7</v>
      </c>
      <c r="J908" s="5">
        <v>174.5</v>
      </c>
      <c r="K908" s="4">
        <v>20</v>
      </c>
      <c r="L908" s="1" t="s">
        <v>46</v>
      </c>
      <c r="M908" s="1" t="s">
        <v>47</v>
      </c>
      <c r="N908" s="1" t="s">
        <v>5587</v>
      </c>
      <c r="O908" s="1" t="s">
        <v>108</v>
      </c>
      <c r="P908" s="1" t="s">
        <v>5588</v>
      </c>
      <c r="Q908" s="4">
        <v>1.3999999999999999</v>
      </c>
      <c r="R908" s="4">
        <v>1.3999999999999999</v>
      </c>
      <c r="S908" s="8">
        <v>4.2000000000000002</v>
      </c>
      <c r="T908" s="1" t="s">
        <v>50</v>
      </c>
      <c r="U908" s="1"/>
      <c r="V908" s="1"/>
      <c r="W908" s="1"/>
      <c r="X908" s="5">
        <v>212.5</v>
      </c>
      <c r="Y908" s="7">
        <v>8723984</v>
      </c>
      <c r="Z908" s="1"/>
      <c r="AA908" s="2">
        <f ca="1">DATE(2003,01,07)</f>
        <v>0</v>
      </c>
      <c r="AB908" s="4">
        <v>84.629999999999995</v>
      </c>
      <c r="AC908" s="3">
        <v>90</v>
      </c>
      <c r="AD908" s="8">
        <v>52440000</v>
      </c>
      <c r="AE908" s="1" t="s">
        <v>51</v>
      </c>
      <c r="AF908" s="1" t="s">
        <v>51</v>
      </c>
      <c r="AG908" s="1" t="s">
        <v>51</v>
      </c>
      <c r="AH908" s="1"/>
      <c r="AI908" s="1"/>
      <c r="AJ908" s="3">
        <v>3</v>
      </c>
      <c r="AK908" s="1" t="s">
        <v>110</v>
      </c>
      <c r="AL908" s="3">
        <v>4</v>
      </c>
      <c r="AM908" s="8">
        <v>23.5</v>
      </c>
      <c r="AN908" s="1"/>
      <c r="AO908" s="1" t="s">
        <v>5589</v>
      </c>
      <c r="AP908" s="1" t="s">
        <v>5590</v>
      </c>
      <c r="AQ908" s="1" t="s">
        <v>5591</v>
      </c>
      <c r="AR908" s="1" t="s">
        <v>5592</v>
      </c>
    </row>
    <row r="909">
      <c r="A909" s="2">
        <f ca="1">DATE(2002,05,30)</f>
        <v>0</v>
      </c>
      <c r="B909" s="2">
        <f ca="1">DATE(2002,10,09)</f>
        <v>0</v>
      </c>
      <c r="C909" s="1" t="s">
        <v>5584</v>
      </c>
      <c r="D909" s="3">
        <v>6331</v>
      </c>
      <c r="E909" s="1" t="s">
        <v>517</v>
      </c>
      <c r="F909" s="1" t="s">
        <v>5585</v>
      </c>
      <c r="G909" s="1" t="s">
        <v>5586</v>
      </c>
      <c r="H909" s="4">
        <v>1.3999999999999999</v>
      </c>
      <c r="I909" s="8">
        <v>7</v>
      </c>
      <c r="J909" s="5">
        <v>16</v>
      </c>
      <c r="K909" s="8">
        <v>20</v>
      </c>
      <c r="L909" s="1" t="s">
        <v>46</v>
      </c>
      <c r="M909" s="1" t="s">
        <v>47</v>
      </c>
      <c r="N909" s="1" t="s">
        <v>5587</v>
      </c>
      <c r="O909" s="1" t="s">
        <v>108</v>
      </c>
      <c r="P909" s="1" t="s">
        <v>5588</v>
      </c>
      <c r="Q909" s="4">
        <v>1.3999999999999999</v>
      </c>
      <c r="R909" s="4">
        <v>1.3999999999999999</v>
      </c>
      <c r="S909" s="8">
        <v>4.2000000000000002</v>
      </c>
      <c r="T909" s="1" t="s">
        <v>60</v>
      </c>
      <c r="U909" s="1"/>
      <c r="V909" s="1"/>
      <c r="W909" s="1"/>
      <c r="X909" s="1"/>
      <c r="Y909" s="7">
        <v>800016</v>
      </c>
      <c r="Z909" s="1"/>
      <c r="AA909" s="1"/>
      <c r="AB909" s="1"/>
      <c r="AC909" s="3">
        <v>90</v>
      </c>
      <c r="AD909" s="8">
        <v>52440000</v>
      </c>
      <c r="AE909" s="1" t="s">
        <v>51</v>
      </c>
      <c r="AF909" s="1" t="s">
        <v>51</v>
      </c>
      <c r="AG909" s="1" t="s">
        <v>51</v>
      </c>
      <c r="AH909" s="1"/>
      <c r="AI909" s="1"/>
      <c r="AJ909" s="3">
        <v>3</v>
      </c>
      <c r="AK909" s="1" t="s">
        <v>110</v>
      </c>
      <c r="AL909" s="3">
        <v>3</v>
      </c>
      <c r="AM909" s="1"/>
      <c r="AN909" s="1"/>
      <c r="AO909" s="1" t="s">
        <v>5593</v>
      </c>
      <c r="AP909" s="1" t="s">
        <v>5590</v>
      </c>
      <c r="AQ909" s="1" t="s">
        <v>5594</v>
      </c>
      <c r="AR909" s="1" t="s">
        <v>5595</v>
      </c>
    </row>
    <row r="910">
      <c r="A910" s="2">
        <f ca="1">DATE(2002,05,31)</f>
        <v>0</v>
      </c>
      <c r="B910" s="2">
        <f ca="1">DATE(2002,10,10)</f>
        <v>0</v>
      </c>
      <c r="C910" s="1" t="s">
        <v>5596</v>
      </c>
      <c r="D910" s="3">
        <v>1311</v>
      </c>
      <c r="E910" s="1" t="s">
        <v>43</v>
      </c>
      <c r="F910" s="1" t="s">
        <v>5597</v>
      </c>
      <c r="G910" s="1" t="s">
        <v>160</v>
      </c>
      <c r="H910" s="4">
        <v>1.95</v>
      </c>
      <c r="I910" s="4">
        <v>5</v>
      </c>
      <c r="J910" s="5">
        <v>290.60000000000002</v>
      </c>
      <c r="K910" s="4">
        <v>39</v>
      </c>
      <c r="L910" s="1" t="s">
        <v>5598</v>
      </c>
      <c r="M910" s="1" t="s">
        <v>47</v>
      </c>
      <c r="N910" s="1" t="s">
        <v>5599</v>
      </c>
      <c r="O910" s="1" t="s">
        <v>108</v>
      </c>
      <c r="P910" s="1" t="s">
        <v>5600</v>
      </c>
      <c r="Q910" s="4">
        <v>1.2050000000000001</v>
      </c>
      <c r="R910" s="4">
        <v>0.79500000000000004</v>
      </c>
      <c r="S910" s="8">
        <v>3</v>
      </c>
      <c r="T910" s="1" t="s">
        <v>50</v>
      </c>
      <c r="U910" s="1"/>
      <c r="V910" s="1"/>
      <c r="W910" s="7">
        <v>10000000</v>
      </c>
      <c r="X910" s="1"/>
      <c r="Y910" s="7">
        <v>7450000</v>
      </c>
      <c r="Z910" s="1"/>
      <c r="AA910" s="2">
        <f ca="1">DATE(2003,04,08)</f>
        <v>0</v>
      </c>
      <c r="AB910" s="4">
        <v>100</v>
      </c>
      <c r="AC910" s="3">
        <v>180</v>
      </c>
      <c r="AD910" s="8">
        <v>9000000</v>
      </c>
      <c r="AE910" s="1" t="s">
        <v>51</v>
      </c>
      <c r="AF910" s="1" t="s">
        <v>51</v>
      </c>
      <c r="AG910" s="1" t="s">
        <v>51</v>
      </c>
      <c r="AH910" s="1" t="s">
        <v>5601</v>
      </c>
      <c r="AI910" s="1" t="s">
        <v>5602</v>
      </c>
      <c r="AJ910" s="3">
        <v>1</v>
      </c>
      <c r="AK910" s="1" t="s">
        <v>52</v>
      </c>
      <c r="AL910" s="3">
        <v>6</v>
      </c>
      <c r="AM910" s="8">
        <v>36.990000000000002</v>
      </c>
      <c r="AN910" s="1"/>
      <c r="AO910" s="1" t="s">
        <v>5603</v>
      </c>
      <c r="AP910" s="1" t="s">
        <v>160</v>
      </c>
      <c r="AQ910" s="1" t="s">
        <v>5604</v>
      </c>
      <c r="AR910" s="1" t="s">
        <v>5605</v>
      </c>
    </row>
    <row r="911">
      <c r="A911" s="1"/>
      <c r="B911" s="2">
        <f ca="1">DATE(2002,10,10)</f>
        <v>0</v>
      </c>
      <c r="C911" s="1" t="s">
        <v>5596</v>
      </c>
      <c r="D911" s="3">
        <v>1311</v>
      </c>
      <c r="E911" s="1" t="s">
        <v>43</v>
      </c>
      <c r="F911" s="1" t="s">
        <v>5597</v>
      </c>
      <c r="G911" s="1" t="s">
        <v>160</v>
      </c>
      <c r="H911" s="1" t="s">
        <v>57</v>
      </c>
      <c r="I911" s="1" t="s">
        <v>57</v>
      </c>
      <c r="J911" s="5">
        <v>60.5</v>
      </c>
      <c r="K911" s="4">
        <v>39</v>
      </c>
      <c r="L911" s="1" t="s">
        <v>5598</v>
      </c>
      <c r="M911" s="1" t="s">
        <v>47</v>
      </c>
      <c r="N911" s="1" t="s">
        <v>5599</v>
      </c>
      <c r="O911" s="1" t="s">
        <v>108</v>
      </c>
      <c r="P911" s="1" t="s">
        <v>5600</v>
      </c>
      <c r="Q911" s="1"/>
      <c r="R911" s="1"/>
      <c r="S911" s="1"/>
      <c r="T911" s="1" t="s">
        <v>50</v>
      </c>
      <c r="U911" s="1"/>
      <c r="V911" s="1"/>
      <c r="W911" s="1"/>
      <c r="X911" s="1"/>
      <c r="Y911" s="7">
        <v>1550000</v>
      </c>
      <c r="Z911" s="1"/>
      <c r="AA911" s="2">
        <f ca="1">DATE(2003,04,08)</f>
        <v>0</v>
      </c>
      <c r="AB911" s="4">
        <v>100</v>
      </c>
      <c r="AC911" s="3">
        <v>180</v>
      </c>
      <c r="AD911" s="8">
        <v>9000000</v>
      </c>
      <c r="AE911" s="1" t="s">
        <v>51</v>
      </c>
      <c r="AF911" s="1" t="s">
        <v>51</v>
      </c>
      <c r="AG911" s="1" t="s">
        <v>51</v>
      </c>
      <c r="AH911" s="1" t="s">
        <v>5601</v>
      </c>
      <c r="AI911" s="1" t="s">
        <v>5602</v>
      </c>
      <c r="AJ911" s="3">
        <v>1</v>
      </c>
      <c r="AK911" s="1" t="s">
        <v>52</v>
      </c>
      <c r="AL911" s="3">
        <v>6</v>
      </c>
      <c r="AM911" s="8">
        <v>36.990000000000002</v>
      </c>
      <c r="AN911" s="1"/>
      <c r="AO911" s="1" t="s">
        <v>5603</v>
      </c>
      <c r="AP911" s="1" t="s">
        <v>160</v>
      </c>
      <c r="AQ911" s="1" t="s">
        <v>5604</v>
      </c>
      <c r="AR911" s="1" t="s">
        <v>5605</v>
      </c>
    </row>
    <row r="912">
      <c r="A912" s="2">
        <f ca="1">DATE(2002,04,19)</f>
        <v>0</v>
      </c>
      <c r="B912" s="2">
        <f ca="1">DATE(2002,10,10)</f>
        <v>0</v>
      </c>
      <c r="C912" s="1" t="s">
        <v>5606</v>
      </c>
      <c r="D912" s="3">
        <v>1221</v>
      </c>
      <c r="E912" s="1" t="s">
        <v>43</v>
      </c>
      <c r="F912" s="1" t="s">
        <v>5607</v>
      </c>
      <c r="G912" s="1" t="s">
        <v>4332</v>
      </c>
      <c r="H912" s="4">
        <v>1.375</v>
      </c>
      <c r="I912" s="4">
        <v>6.875</v>
      </c>
      <c r="J912" s="5">
        <v>90</v>
      </c>
      <c r="K912" s="4">
        <v>20</v>
      </c>
      <c r="L912" s="1" t="s">
        <v>85</v>
      </c>
      <c r="M912" s="1" t="s">
        <v>47</v>
      </c>
      <c r="N912" s="1" t="s">
        <v>5608</v>
      </c>
      <c r="O912" s="1" t="s">
        <v>108</v>
      </c>
      <c r="P912" s="1" t="s">
        <v>5609</v>
      </c>
      <c r="Q912" s="4">
        <v>1.675</v>
      </c>
      <c r="R912" s="4">
        <v>1.3</v>
      </c>
      <c r="S912" s="8">
        <v>3.8999999999999999</v>
      </c>
      <c r="T912" s="1" t="s">
        <v>50</v>
      </c>
      <c r="U912" s="1"/>
      <c r="V912" s="1"/>
      <c r="W912" s="7">
        <v>4500000</v>
      </c>
      <c r="X912" s="5">
        <v>106.8</v>
      </c>
      <c r="Y912" s="7">
        <v>4500000</v>
      </c>
      <c r="Z912" s="1"/>
      <c r="AA912" s="2">
        <f ca="1">DATE(2003,04,08)</f>
        <v>0</v>
      </c>
      <c r="AB912" s="4">
        <v>34.341999999999999</v>
      </c>
      <c r="AC912" s="3">
        <v>180</v>
      </c>
      <c r="AD912" s="8">
        <v>2353658</v>
      </c>
      <c r="AE912" s="1" t="s">
        <v>51</v>
      </c>
      <c r="AF912" s="1" t="s">
        <v>51</v>
      </c>
      <c r="AG912" s="1" t="s">
        <v>51</v>
      </c>
      <c r="AH912" s="1"/>
      <c r="AI912" s="1"/>
      <c r="AJ912" s="3">
        <v>1</v>
      </c>
      <c r="AK912" s="1" t="s">
        <v>89</v>
      </c>
      <c r="AL912" s="3">
        <v>5</v>
      </c>
      <c r="AM912" s="8">
        <v>19.399999999999999</v>
      </c>
      <c r="AN912" s="1"/>
      <c r="AO912" s="1" t="s">
        <v>5610</v>
      </c>
      <c r="AP912" s="1" t="s">
        <v>5611</v>
      </c>
      <c r="AQ912" s="1" t="s">
        <v>5612</v>
      </c>
      <c r="AR912" s="1" t="s">
        <v>5609</v>
      </c>
    </row>
    <row r="913">
      <c r="A913" s="2">
        <f ca="1">DATE(2002,06,14)</f>
        <v>0</v>
      </c>
      <c r="B913" s="2">
        <f ca="1">DATE(2002,10,10)</f>
        <v>0</v>
      </c>
      <c r="C913" s="1" t="s">
        <v>5613</v>
      </c>
      <c r="D913" s="3">
        <v>6798</v>
      </c>
      <c r="E913" s="1" t="s">
        <v>43</v>
      </c>
      <c r="F913" s="1" t="s">
        <v>5614</v>
      </c>
      <c r="G913" s="1" t="s">
        <v>411</v>
      </c>
      <c r="H913" s="4">
        <v>0.91000000000000003</v>
      </c>
      <c r="I913" s="4">
        <v>7</v>
      </c>
      <c r="J913" s="5">
        <v>91</v>
      </c>
      <c r="K913" s="4">
        <v>13</v>
      </c>
      <c r="L913" s="1" t="s">
        <v>46</v>
      </c>
      <c r="M913" s="1" t="s">
        <v>47</v>
      </c>
      <c r="N913" s="1" t="s">
        <v>5615</v>
      </c>
      <c r="O913" s="1" t="s">
        <v>108</v>
      </c>
      <c r="P913" s="1" t="s">
        <v>5616</v>
      </c>
      <c r="Q913" s="4">
        <v>1.423</v>
      </c>
      <c r="R913" s="4">
        <v>1.423</v>
      </c>
      <c r="S913" s="6">
        <v>4.1538500000000003</v>
      </c>
      <c r="T913" s="1" t="s">
        <v>50</v>
      </c>
      <c r="U913" s="1"/>
      <c r="V913" s="1"/>
      <c r="W913" s="1"/>
      <c r="X913" s="5">
        <v>97.799999999999997</v>
      </c>
      <c r="Y913" s="7">
        <v>7000000</v>
      </c>
      <c r="Z913" s="1"/>
      <c r="AA913" s="2">
        <f ca="1">DATE(2003,04,08)</f>
        <v>0</v>
      </c>
      <c r="AB913" s="4">
        <v>70.197999999999993</v>
      </c>
      <c r="AC913" s="3">
        <v>180</v>
      </c>
      <c r="AD913" s="8">
        <v>16488517</v>
      </c>
      <c r="AE913" s="1" t="s">
        <v>51</v>
      </c>
      <c r="AF913" s="1" t="s">
        <v>51</v>
      </c>
      <c r="AG913" s="1" t="s">
        <v>51</v>
      </c>
      <c r="AH913" s="1"/>
      <c r="AI913" s="1"/>
      <c r="AJ913" s="3">
        <v>1</v>
      </c>
      <c r="AK913" s="1" t="s">
        <v>89</v>
      </c>
      <c r="AL913" s="3">
        <v>4</v>
      </c>
      <c r="AM913" s="8">
        <v>12.5</v>
      </c>
      <c r="AN913" s="1"/>
      <c r="AO913" s="1" t="s">
        <v>5617</v>
      </c>
      <c r="AP913" s="1" t="s">
        <v>5618</v>
      </c>
      <c r="AQ913" s="1" t="s">
        <v>5619</v>
      </c>
      <c r="AR913" s="1" t="s">
        <v>5616</v>
      </c>
    </row>
    <row r="914">
      <c r="A914" s="2">
        <f ca="1">DATE(2002,07,17)</f>
        <v>0</v>
      </c>
      <c r="B914" s="2">
        <f ca="1">DATE(2002,10,15)</f>
        <v>0</v>
      </c>
      <c r="C914" s="1" t="s">
        <v>5620</v>
      </c>
      <c r="D914" s="3">
        <v>5941</v>
      </c>
      <c r="E914" s="1" t="s">
        <v>43</v>
      </c>
      <c r="F914" s="1" t="s">
        <v>5621</v>
      </c>
      <c r="G914" s="1" t="s">
        <v>45</v>
      </c>
      <c r="H914" s="4">
        <v>0.83999999999999997</v>
      </c>
      <c r="I914" s="8">
        <v>7</v>
      </c>
      <c r="J914" s="5">
        <v>82.200000000000003</v>
      </c>
      <c r="K914" s="4">
        <v>12</v>
      </c>
      <c r="L914" s="1" t="s">
        <v>46</v>
      </c>
      <c r="M914" s="1" t="s">
        <v>47</v>
      </c>
      <c r="N914" s="3">
        <v>253393102</v>
      </c>
      <c r="O914" s="1" t="s">
        <v>108</v>
      </c>
      <c r="P914" s="1" t="s">
        <v>5622</v>
      </c>
      <c r="Q914" s="4">
        <v>1.417</v>
      </c>
      <c r="R914" s="4">
        <v>1.417</v>
      </c>
      <c r="S914" s="6">
        <v>4.1666699999999999</v>
      </c>
      <c r="T914" s="1" t="s">
        <v>50</v>
      </c>
      <c r="U914" s="1"/>
      <c r="V914" s="1"/>
      <c r="W914" s="1"/>
      <c r="X914" s="5">
        <v>200</v>
      </c>
      <c r="Y914" s="7">
        <v>2605680</v>
      </c>
      <c r="Z914" s="7">
        <v>4246276</v>
      </c>
      <c r="AA914" s="2">
        <f ca="1">DATE(2003,04,13)</f>
        <v>0</v>
      </c>
      <c r="AB914" s="4">
        <v>48.253</v>
      </c>
      <c r="AC914" s="3">
        <v>180</v>
      </c>
      <c r="AD914" s="8">
        <v>9466179</v>
      </c>
      <c r="AE914" s="1" t="s">
        <v>51</v>
      </c>
      <c r="AF914" s="1" t="s">
        <v>51</v>
      </c>
      <c r="AG914" s="1" t="s">
        <v>47</v>
      </c>
      <c r="AH914" s="1"/>
      <c r="AI914" s="1"/>
      <c r="AJ914" s="3">
        <v>1</v>
      </c>
      <c r="AK914" s="1" t="s">
        <v>52</v>
      </c>
      <c r="AL914" s="3">
        <v>4</v>
      </c>
      <c r="AM914" s="8">
        <v>13.15</v>
      </c>
      <c r="AN914" s="1"/>
      <c r="AO914" s="1" t="s">
        <v>5623</v>
      </c>
      <c r="AP914" s="1" t="s">
        <v>45</v>
      </c>
      <c r="AQ914" s="1" t="s">
        <v>5624</v>
      </c>
      <c r="AR914" s="1" t="s">
        <v>5625</v>
      </c>
    </row>
    <row r="915">
      <c r="A915" s="2">
        <f ca="1">DATE(2002,07,17)</f>
        <v>0</v>
      </c>
      <c r="B915" s="2">
        <f ca="1">DATE(2002,10,15)</f>
        <v>0</v>
      </c>
      <c r="C915" s="1" t="s">
        <v>5620</v>
      </c>
      <c r="D915" s="3">
        <v>5941</v>
      </c>
      <c r="E915" s="1" t="s">
        <v>43</v>
      </c>
      <c r="F915" s="1" t="s">
        <v>5621</v>
      </c>
      <c r="G915" s="1" t="s">
        <v>45</v>
      </c>
      <c r="H915" s="4">
        <v>0.83999999999999997</v>
      </c>
      <c r="I915" s="8">
        <v>7</v>
      </c>
      <c r="J915" s="5">
        <v>5.2000000000000002</v>
      </c>
      <c r="K915" s="8">
        <v>12</v>
      </c>
      <c r="L915" s="1" t="s">
        <v>46</v>
      </c>
      <c r="M915" s="1" t="s">
        <v>47</v>
      </c>
      <c r="N915" s="3">
        <v>253393102</v>
      </c>
      <c r="O915" s="1" t="s">
        <v>108</v>
      </c>
      <c r="P915" s="1" t="s">
        <v>5622</v>
      </c>
      <c r="Q915" s="4">
        <v>1.417</v>
      </c>
      <c r="R915" s="4">
        <v>1.417</v>
      </c>
      <c r="S915" s="6">
        <v>4.1666699999999999</v>
      </c>
      <c r="T915" s="1" t="s">
        <v>60</v>
      </c>
      <c r="U915" s="1"/>
      <c r="V915" s="1"/>
      <c r="W915" s="1"/>
      <c r="X915" s="1"/>
      <c r="Y915" s="7">
        <v>166320</v>
      </c>
      <c r="Z915" s="7">
        <v>271039</v>
      </c>
      <c r="AA915" s="1"/>
      <c r="AB915" s="1"/>
      <c r="AC915" s="3">
        <v>180</v>
      </c>
      <c r="AD915" s="8">
        <v>9466179</v>
      </c>
      <c r="AE915" s="1" t="s">
        <v>51</v>
      </c>
      <c r="AF915" s="1" t="s">
        <v>51</v>
      </c>
      <c r="AG915" s="1" t="s">
        <v>47</v>
      </c>
      <c r="AH915" s="1"/>
      <c r="AI915" s="1"/>
      <c r="AJ915" s="3">
        <v>1</v>
      </c>
      <c r="AK915" s="1" t="s">
        <v>52</v>
      </c>
      <c r="AL915" s="3">
        <v>2</v>
      </c>
      <c r="AM915" s="1"/>
      <c r="AN915" s="1"/>
      <c r="AO915" s="1" t="s">
        <v>5626</v>
      </c>
      <c r="AP915" s="1" t="s">
        <v>45</v>
      </c>
      <c r="AQ915" s="1" t="s">
        <v>5627</v>
      </c>
      <c r="AR915" s="1" t="s">
        <v>5628</v>
      </c>
    </row>
    <row r="916">
      <c r="A916" s="2">
        <f ca="1">DATE(2002,05,28)</f>
        <v>0</v>
      </c>
      <c r="B916" s="2">
        <f ca="1">DATE(2002,10,15)</f>
        <v>0</v>
      </c>
      <c r="C916" s="1" t="s">
        <v>5629</v>
      </c>
      <c r="D916" s="3">
        <v>6022</v>
      </c>
      <c r="E916" s="1" t="s">
        <v>43</v>
      </c>
      <c r="F916" s="1" t="s">
        <v>5630</v>
      </c>
      <c r="G916" s="1" t="s">
        <v>4996</v>
      </c>
      <c r="H916" s="4">
        <v>1.155</v>
      </c>
      <c r="I916" s="4">
        <v>7</v>
      </c>
      <c r="J916" s="5">
        <v>45.799999999999997</v>
      </c>
      <c r="K916" s="4">
        <v>16.5</v>
      </c>
      <c r="L916" s="1" t="s">
        <v>46</v>
      </c>
      <c r="M916" s="1" t="s">
        <v>47</v>
      </c>
      <c r="N916" s="3">
        <v>876851106</v>
      </c>
      <c r="O916" s="1" t="s">
        <v>48</v>
      </c>
      <c r="P916" s="1" t="s">
        <v>5631</v>
      </c>
      <c r="Q916" s="4">
        <v>1.3999999999999999</v>
      </c>
      <c r="R916" s="4">
        <v>1.3999999999999999</v>
      </c>
      <c r="S916" s="8">
        <v>4.2000000000000002</v>
      </c>
      <c r="T916" s="1" t="s">
        <v>50</v>
      </c>
      <c r="U916" s="1"/>
      <c r="V916" s="1"/>
      <c r="W916" s="1"/>
      <c r="X916" s="5">
        <v>48.5</v>
      </c>
      <c r="Y916" s="7">
        <v>2775000</v>
      </c>
      <c r="Z916" s="1"/>
      <c r="AA916" s="2">
        <f ca="1">DATE(2003,04,13)</f>
        <v>0</v>
      </c>
      <c r="AB916" s="4">
        <v>67.146000000000001</v>
      </c>
      <c r="AC916" s="3">
        <v>180</v>
      </c>
      <c r="AD916" s="8">
        <v>6104804</v>
      </c>
      <c r="AE916" s="1" t="s">
        <v>51</v>
      </c>
      <c r="AF916" s="1" t="s">
        <v>51</v>
      </c>
      <c r="AG916" s="1" t="s">
        <v>51</v>
      </c>
      <c r="AH916" s="1"/>
      <c r="AI916" s="1"/>
      <c r="AJ916" s="3">
        <v>1</v>
      </c>
      <c r="AK916" s="1" t="s">
        <v>52</v>
      </c>
      <c r="AL916" s="3">
        <v>3</v>
      </c>
      <c r="AM916" s="8">
        <v>16.949999999999999</v>
      </c>
      <c r="AN916" s="1"/>
      <c r="AO916" s="1" t="s">
        <v>5632</v>
      </c>
      <c r="AP916" s="1" t="s">
        <v>4996</v>
      </c>
      <c r="AQ916" s="1" t="s">
        <v>5633</v>
      </c>
      <c r="AR916" s="1" t="s">
        <v>5634</v>
      </c>
    </row>
    <row r="917">
      <c r="A917" s="2">
        <f ca="1">DATE(2002,05,15)</f>
        <v>0</v>
      </c>
      <c r="B917" s="2">
        <f ca="1">DATE(2002,10,21)</f>
        <v>0</v>
      </c>
      <c r="C917" s="1" t="s">
        <v>5635</v>
      </c>
      <c r="D917" s="3">
        <v>3563</v>
      </c>
      <c r="E917" s="1" t="s">
        <v>43</v>
      </c>
      <c r="F917" s="1" t="s">
        <v>5636</v>
      </c>
      <c r="G917" s="1" t="s">
        <v>5637</v>
      </c>
      <c r="H917" s="4">
        <v>0.45000000000000001</v>
      </c>
      <c r="I917" s="4">
        <v>9</v>
      </c>
      <c r="J917" s="5">
        <v>7.5</v>
      </c>
      <c r="K917" s="4">
        <v>5</v>
      </c>
      <c r="L917" s="1" t="s">
        <v>46</v>
      </c>
      <c r="M917" s="1" t="s">
        <v>47</v>
      </c>
      <c r="N917" s="1" t="s">
        <v>5638</v>
      </c>
      <c r="O917" s="1" t="s">
        <v>108</v>
      </c>
      <c r="P917" s="1" t="s">
        <v>5639</v>
      </c>
      <c r="Q917" s="4">
        <v>3</v>
      </c>
      <c r="R917" s="4">
        <v>1</v>
      </c>
      <c r="S917" s="8">
        <v>5</v>
      </c>
      <c r="T917" s="1" t="s">
        <v>50</v>
      </c>
      <c r="U917" s="8">
        <v>5.75</v>
      </c>
      <c r="V917" s="8">
        <v>5</v>
      </c>
      <c r="W917" s="7">
        <v>1650000</v>
      </c>
      <c r="X917" s="5">
        <v>8.9000000000000004</v>
      </c>
      <c r="Y917" s="7">
        <v>1500000</v>
      </c>
      <c r="Z917" s="1"/>
      <c r="AA917" s="2">
        <f ca="1">DATE(2003,10,21)</f>
        <v>0</v>
      </c>
      <c r="AB917" s="4">
        <v>55.790999999999997</v>
      </c>
      <c r="AC917" s="3">
        <v>365</v>
      </c>
      <c r="AD917" s="8">
        <v>2710132</v>
      </c>
      <c r="AE917" s="1" t="s">
        <v>51</v>
      </c>
      <c r="AF917" s="1" t="s">
        <v>51</v>
      </c>
      <c r="AG917" s="1" t="s">
        <v>51</v>
      </c>
      <c r="AH917" s="1"/>
      <c r="AI917" s="1"/>
      <c r="AJ917" s="3">
        <v>1</v>
      </c>
      <c r="AK917" s="1" t="s">
        <v>52</v>
      </c>
      <c r="AL917" s="3">
        <v>6</v>
      </c>
      <c r="AM917" s="8">
        <v>4.25</v>
      </c>
      <c r="AN917" s="1"/>
      <c r="AO917" s="1" t="s">
        <v>5640</v>
      </c>
      <c r="AP917" s="1" t="s">
        <v>5637</v>
      </c>
      <c r="AQ917" s="1" t="s">
        <v>5641</v>
      </c>
      <c r="AR917" s="1" t="s">
        <v>5642</v>
      </c>
    </row>
    <row r="918">
      <c r="A918" s="2">
        <f ca="1">DATE(2002,04,30)</f>
        <v>0</v>
      </c>
      <c r="B918" s="2">
        <f ca="1">DATE(2002,10,21)</f>
        <v>0</v>
      </c>
      <c r="C918" s="1" t="s">
        <v>5643</v>
      </c>
      <c r="D918" s="3">
        <v>6321</v>
      </c>
      <c r="E918" s="1" t="s">
        <v>43</v>
      </c>
      <c r="F918" s="1" t="s">
        <v>5644</v>
      </c>
      <c r="G918" s="1" t="s">
        <v>5645</v>
      </c>
      <c r="H918" s="4">
        <v>0.69999999999999996</v>
      </c>
      <c r="I918" s="8">
        <v>7</v>
      </c>
      <c r="J918" s="5">
        <v>89</v>
      </c>
      <c r="K918" s="4">
        <v>10</v>
      </c>
      <c r="L918" s="1" t="s">
        <v>46</v>
      </c>
      <c r="M918" s="1" t="s">
        <v>47</v>
      </c>
      <c r="N918" s="1" t="s">
        <v>5646</v>
      </c>
      <c r="O918" s="1" t="s">
        <v>48</v>
      </c>
      <c r="P918" s="1" t="s">
        <v>5647</v>
      </c>
      <c r="Q918" s="4">
        <v>1.3999999999999999</v>
      </c>
      <c r="R918" s="4">
        <v>1.3999999999999999</v>
      </c>
      <c r="S918" s="8">
        <v>4.2000000000000002</v>
      </c>
      <c r="T918" s="1" t="s">
        <v>50</v>
      </c>
      <c r="U918" s="1"/>
      <c r="V918" s="1"/>
      <c r="W918" s="1"/>
      <c r="X918" s="5">
        <v>115</v>
      </c>
      <c r="Y918" s="7">
        <v>8904600</v>
      </c>
      <c r="Z918" s="1"/>
      <c r="AA918" s="2">
        <f ca="1">DATE(2003,04,19)</f>
        <v>0</v>
      </c>
      <c r="AB918" s="4">
        <v>79.228999999999999</v>
      </c>
      <c r="AC918" s="3">
        <v>180</v>
      </c>
      <c r="AD918" s="8">
        <v>35360471</v>
      </c>
      <c r="AE918" s="1" t="s">
        <v>51</v>
      </c>
      <c r="AF918" s="1" t="s">
        <v>51</v>
      </c>
      <c r="AG918" s="1" t="s">
        <v>51</v>
      </c>
      <c r="AH918" s="1"/>
      <c r="AI918" s="1"/>
      <c r="AJ918" s="3">
        <v>2</v>
      </c>
      <c r="AK918" s="1" t="s">
        <v>89</v>
      </c>
      <c r="AL918" s="3">
        <v>5</v>
      </c>
      <c r="AM918" s="8">
        <v>10</v>
      </c>
      <c r="AN918" s="1"/>
      <c r="AO918" s="1" t="s">
        <v>5648</v>
      </c>
      <c r="AP918" s="1" t="s">
        <v>3866</v>
      </c>
      <c r="AQ918" s="1" t="s">
        <v>5649</v>
      </c>
      <c r="AR918" s="1" t="s">
        <v>5650</v>
      </c>
    </row>
    <row r="919">
      <c r="A919" s="2">
        <f ca="1">DATE(2002,04,30)</f>
        <v>0</v>
      </c>
      <c r="B919" s="2">
        <f ca="1">DATE(2002,10,21)</f>
        <v>0</v>
      </c>
      <c r="C919" s="1" t="s">
        <v>5643</v>
      </c>
      <c r="D919" s="3">
        <v>6321</v>
      </c>
      <c r="E919" s="1" t="s">
        <v>43</v>
      </c>
      <c r="F919" s="1" t="s">
        <v>5644</v>
      </c>
      <c r="G919" s="1" t="s">
        <v>5645</v>
      </c>
      <c r="H919" s="4">
        <v>0.69999999999999996</v>
      </c>
      <c r="I919" s="8">
        <v>7</v>
      </c>
      <c r="J919" s="5">
        <v>1</v>
      </c>
      <c r="K919" s="8">
        <v>10</v>
      </c>
      <c r="L919" s="1" t="s">
        <v>46</v>
      </c>
      <c r="M919" s="1" t="s">
        <v>47</v>
      </c>
      <c r="N919" s="1" t="s">
        <v>5646</v>
      </c>
      <c r="O919" s="1" t="s">
        <v>48</v>
      </c>
      <c r="P919" s="1" t="s">
        <v>5647</v>
      </c>
      <c r="Q919" s="4">
        <v>1.3999999999999999</v>
      </c>
      <c r="R919" s="4">
        <v>1.3999999999999999</v>
      </c>
      <c r="S919" s="8">
        <v>4.2000000000000002</v>
      </c>
      <c r="T919" s="1" t="s">
        <v>60</v>
      </c>
      <c r="U919" s="1"/>
      <c r="V919" s="1"/>
      <c r="W919" s="1"/>
      <c r="X919" s="1"/>
      <c r="Y919" s="7">
        <v>95400</v>
      </c>
      <c r="Z919" s="1"/>
      <c r="AA919" s="1"/>
      <c r="AB919" s="1"/>
      <c r="AC919" s="3">
        <v>180</v>
      </c>
      <c r="AD919" s="8">
        <v>35360471</v>
      </c>
      <c r="AE919" s="1" t="s">
        <v>51</v>
      </c>
      <c r="AF919" s="1" t="s">
        <v>51</v>
      </c>
      <c r="AG919" s="1" t="s">
        <v>51</v>
      </c>
      <c r="AH919" s="1"/>
      <c r="AI919" s="1"/>
      <c r="AJ919" s="3">
        <v>2</v>
      </c>
      <c r="AK919" s="1" t="s">
        <v>89</v>
      </c>
      <c r="AL919" s="3">
        <v>2</v>
      </c>
      <c r="AM919" s="1"/>
      <c r="AN919" s="1"/>
      <c r="AO919" s="1" t="s">
        <v>5648</v>
      </c>
      <c r="AP919" s="1" t="s">
        <v>3866</v>
      </c>
      <c r="AQ919" s="1" t="s">
        <v>5651</v>
      </c>
      <c r="AR919" s="1" t="s">
        <v>3872</v>
      </c>
    </row>
    <row r="920">
      <c r="A920" s="2">
        <f ca="1">DATE(2002,06,17)</f>
        <v>0</v>
      </c>
      <c r="B920" s="2">
        <f ca="1">DATE(2002,10,25)</f>
        <v>0</v>
      </c>
      <c r="C920" s="1" t="s">
        <v>5652</v>
      </c>
      <c r="D920" s="3">
        <v>7011</v>
      </c>
      <c r="E920" s="1" t="s">
        <v>43</v>
      </c>
      <c r="F920" s="1" t="s">
        <v>5653</v>
      </c>
      <c r="G920" s="1" t="s">
        <v>5654</v>
      </c>
      <c r="H920" s="4">
        <v>0.91000000000000003</v>
      </c>
      <c r="I920" s="4">
        <v>7</v>
      </c>
      <c r="J920" s="5">
        <v>279</v>
      </c>
      <c r="K920" s="4">
        <v>13</v>
      </c>
      <c r="L920" s="1" t="s">
        <v>46</v>
      </c>
      <c r="M920" s="1" t="s">
        <v>47</v>
      </c>
      <c r="N920" s="3">
        <v>983134107</v>
      </c>
      <c r="O920" s="1" t="s">
        <v>48</v>
      </c>
      <c r="P920" s="1" t="s">
        <v>5655</v>
      </c>
      <c r="Q920" s="4">
        <v>1.3999999999999999</v>
      </c>
      <c r="R920" s="4">
        <v>1.3999999999999999</v>
      </c>
      <c r="S920" s="8">
        <v>4.2000000000000002</v>
      </c>
      <c r="T920" s="1" t="s">
        <v>50</v>
      </c>
      <c r="U920" s="1"/>
      <c r="V920" s="1"/>
      <c r="W920" s="1"/>
      <c r="X920" s="5">
        <v>408.30000000000001</v>
      </c>
      <c r="Y920" s="7">
        <v>21461154</v>
      </c>
      <c r="Z920" s="1"/>
      <c r="AA920" s="2">
        <f ca="1">DATE(2003,04,23)</f>
        <v>0</v>
      </c>
      <c r="AB920" s="4">
        <v>53.609000000000002</v>
      </c>
      <c r="AC920" s="3">
        <v>180</v>
      </c>
      <c r="AD920" s="8">
        <v>40000000</v>
      </c>
      <c r="AE920" s="1" t="s">
        <v>51</v>
      </c>
      <c r="AF920" s="1" t="s">
        <v>51</v>
      </c>
      <c r="AG920" s="1" t="s">
        <v>51</v>
      </c>
      <c r="AH920" s="1"/>
      <c r="AI920" s="1"/>
      <c r="AJ920" s="3">
        <v>3</v>
      </c>
      <c r="AK920" s="1" t="s">
        <v>110</v>
      </c>
      <c r="AL920" s="3">
        <v>9</v>
      </c>
      <c r="AM920" s="8">
        <v>13.01</v>
      </c>
      <c r="AN920" s="1"/>
      <c r="AO920" s="1" t="s">
        <v>5656</v>
      </c>
      <c r="AP920" s="1" t="s">
        <v>5657</v>
      </c>
      <c r="AQ920" s="1" t="s">
        <v>5658</v>
      </c>
      <c r="AR920" s="1" t="s">
        <v>5659</v>
      </c>
    </row>
    <row r="921">
      <c r="A921" s="2">
        <f ca="1">DATE(2002,06,17)</f>
        <v>0</v>
      </c>
      <c r="B921" s="2">
        <f ca="1">DATE(2002,10,25)</f>
        <v>0</v>
      </c>
      <c r="C921" s="1" t="s">
        <v>5652</v>
      </c>
      <c r="D921" s="3">
        <v>7011</v>
      </c>
      <c r="E921" s="1" t="s">
        <v>43</v>
      </c>
      <c r="F921" s="1" t="s">
        <v>5653</v>
      </c>
      <c r="G921" s="1" t="s">
        <v>5654</v>
      </c>
      <c r="H921" s="1" t="s">
        <v>57</v>
      </c>
      <c r="I921" s="1" t="s">
        <v>57</v>
      </c>
      <c r="J921" s="5">
        <v>171</v>
      </c>
      <c r="K921" s="4">
        <v>13</v>
      </c>
      <c r="L921" s="1" t="s">
        <v>46</v>
      </c>
      <c r="M921" s="1" t="s">
        <v>47</v>
      </c>
      <c r="N921" s="3">
        <v>983134107</v>
      </c>
      <c r="O921" s="1" t="s">
        <v>48</v>
      </c>
      <c r="P921" s="1" t="s">
        <v>5655</v>
      </c>
      <c r="Q921" s="1"/>
      <c r="R921" s="1"/>
      <c r="S921" s="1"/>
      <c r="T921" s="1" t="s">
        <v>50</v>
      </c>
      <c r="U921" s="1"/>
      <c r="V921" s="1"/>
      <c r="W921" s="1"/>
      <c r="X921" s="1"/>
      <c r="Y921" s="7">
        <v>13153846</v>
      </c>
      <c r="Z921" s="1"/>
      <c r="AA921" s="2">
        <f ca="1">DATE(2003,04,23)</f>
        <v>0</v>
      </c>
      <c r="AB921" s="4">
        <v>53.609000000000002</v>
      </c>
      <c r="AC921" s="3">
        <v>180</v>
      </c>
      <c r="AD921" s="8">
        <v>40000000</v>
      </c>
      <c r="AE921" s="1" t="s">
        <v>51</v>
      </c>
      <c r="AF921" s="1" t="s">
        <v>51</v>
      </c>
      <c r="AG921" s="1" t="s">
        <v>51</v>
      </c>
      <c r="AH921" s="1"/>
      <c r="AI921" s="1"/>
      <c r="AJ921" s="3">
        <v>3</v>
      </c>
      <c r="AK921" s="1" t="s">
        <v>110</v>
      </c>
      <c r="AL921" s="3">
        <v>9</v>
      </c>
      <c r="AM921" s="8">
        <v>13.01</v>
      </c>
      <c r="AN921" s="1"/>
      <c r="AO921" s="1" t="s">
        <v>5656</v>
      </c>
      <c r="AP921" s="1" t="s">
        <v>5657</v>
      </c>
      <c r="AQ921" s="1" t="s">
        <v>5658</v>
      </c>
      <c r="AR921" s="1" t="s">
        <v>5659</v>
      </c>
    </row>
    <row r="922">
      <c r="A922" s="2">
        <f ca="1">DATE(2002,08,19)</f>
        <v>0</v>
      </c>
      <c r="B922" s="2">
        <f ca="1">DATE(2002,10,28)</f>
        <v>0</v>
      </c>
      <c r="C922" s="1" t="s">
        <v>5660</v>
      </c>
      <c r="D922" s="3">
        <v>6726</v>
      </c>
      <c r="E922" s="1" t="s">
        <v>43</v>
      </c>
      <c r="F922" s="1" t="s">
        <v>5661</v>
      </c>
      <c r="G922" s="1" t="s">
        <v>4220</v>
      </c>
      <c r="H922" s="4">
        <v>0.67500000000000004</v>
      </c>
      <c r="I922" s="4">
        <v>4.5</v>
      </c>
      <c r="J922" s="5">
        <v>360</v>
      </c>
      <c r="K922" s="4">
        <v>15</v>
      </c>
      <c r="L922" s="1" t="s">
        <v>46</v>
      </c>
      <c r="M922" s="1" t="s">
        <v>47</v>
      </c>
      <c r="N922" s="1" t="s">
        <v>5662</v>
      </c>
      <c r="O922" s="1" t="s">
        <v>108</v>
      </c>
      <c r="P922" s="1" t="s">
        <v>5663</v>
      </c>
      <c r="Q922" s="4">
        <v>0.93300000000000005</v>
      </c>
      <c r="R922" s="4">
        <v>0.56699999999999995</v>
      </c>
      <c r="S922" s="8">
        <v>3</v>
      </c>
      <c r="T922" s="1" t="s">
        <v>50</v>
      </c>
      <c r="U922" s="8">
        <v>15</v>
      </c>
      <c r="V922" s="8">
        <v>15</v>
      </c>
      <c r="W922" s="7">
        <v>100000</v>
      </c>
      <c r="X922" s="5">
        <v>1.5</v>
      </c>
      <c r="Y922" s="7">
        <v>24000000</v>
      </c>
      <c r="Z922" s="1"/>
      <c r="AA922" s="1"/>
      <c r="AB922" s="1"/>
      <c r="AC922" s="1"/>
      <c r="AD922" s="1"/>
      <c r="AE922" s="1" t="s">
        <v>51</v>
      </c>
      <c r="AF922" s="1" t="s">
        <v>51</v>
      </c>
      <c r="AG922" s="1" t="s">
        <v>51</v>
      </c>
      <c r="AH922" s="1"/>
      <c r="AI922" s="1"/>
      <c r="AJ922" s="3">
        <v>2</v>
      </c>
      <c r="AK922" s="1" t="s">
        <v>89</v>
      </c>
      <c r="AL922" s="3">
        <v>11</v>
      </c>
      <c r="AM922" s="8">
        <v>15</v>
      </c>
      <c r="AN922" s="1"/>
      <c r="AO922" s="1" t="s">
        <v>5664</v>
      </c>
      <c r="AP922" s="1" t="s">
        <v>4224</v>
      </c>
      <c r="AQ922" s="1" t="s">
        <v>5665</v>
      </c>
      <c r="AR922" s="1" t="s">
        <v>5666</v>
      </c>
    </row>
    <row r="923">
      <c r="A923" s="1"/>
      <c r="B923" s="2">
        <f ca="1">DATE(2002,10,28)</f>
        <v>0</v>
      </c>
      <c r="C923" s="1" t="s">
        <v>5667</v>
      </c>
      <c r="D923" s="3">
        <v>6726</v>
      </c>
      <c r="E923" s="1" t="s">
        <v>43</v>
      </c>
      <c r="F923" s="1" t="s">
        <v>5668</v>
      </c>
      <c r="G923" s="1" t="s">
        <v>4220</v>
      </c>
      <c r="H923" s="4">
        <v>0.67500000000000004</v>
      </c>
      <c r="I923" s="4">
        <v>4.5</v>
      </c>
      <c r="J923" s="5">
        <v>75</v>
      </c>
      <c r="K923" s="4">
        <v>15</v>
      </c>
      <c r="L923" s="1" t="s">
        <v>46</v>
      </c>
      <c r="M923" s="1" t="s">
        <v>47</v>
      </c>
      <c r="N923" s="1" t="s">
        <v>5669</v>
      </c>
      <c r="O923" s="1" t="s">
        <v>108</v>
      </c>
      <c r="P923" s="1" t="s">
        <v>5670</v>
      </c>
      <c r="Q923" s="4">
        <v>0.93300000000000005</v>
      </c>
      <c r="R923" s="4">
        <v>0.56699999999999995</v>
      </c>
      <c r="S923" s="8">
        <v>3</v>
      </c>
      <c r="T923" s="1" t="s">
        <v>50</v>
      </c>
      <c r="U923" s="8">
        <v>15</v>
      </c>
      <c r="V923" s="8">
        <v>15</v>
      </c>
      <c r="W923" s="7">
        <v>100000</v>
      </c>
      <c r="X923" s="5">
        <v>1.5</v>
      </c>
      <c r="Y923" s="7">
        <v>5000000</v>
      </c>
      <c r="Z923" s="1"/>
      <c r="AA923" s="1"/>
      <c r="AB923" s="1"/>
      <c r="AC923" s="1"/>
      <c r="AD923" s="1"/>
      <c r="AE923" s="1" t="s">
        <v>51</v>
      </c>
      <c r="AF923" s="1" t="s">
        <v>51</v>
      </c>
      <c r="AG923" s="1" t="s">
        <v>51</v>
      </c>
      <c r="AH923" s="1"/>
      <c r="AI923" s="1"/>
      <c r="AJ923" s="3">
        <v>2</v>
      </c>
      <c r="AK923" s="1" t="s">
        <v>89</v>
      </c>
      <c r="AL923" s="3">
        <v>6</v>
      </c>
      <c r="AM923" s="8">
        <v>27.43</v>
      </c>
      <c r="AN923" s="1"/>
      <c r="AO923" s="1" t="s">
        <v>5671</v>
      </c>
      <c r="AP923" s="1" t="s">
        <v>4224</v>
      </c>
      <c r="AQ923" s="1" t="s">
        <v>5672</v>
      </c>
      <c r="AR923" s="1" t="s">
        <v>5673</v>
      </c>
    </row>
    <row r="924">
      <c r="A924" s="2">
        <f ca="1">DATE(2002,08,19)</f>
        <v>0</v>
      </c>
      <c r="B924" s="2">
        <f ca="1">DATE(2002,10,28)</f>
        <v>0</v>
      </c>
      <c r="C924" s="1" t="s">
        <v>5674</v>
      </c>
      <c r="D924" s="3">
        <v>6726</v>
      </c>
      <c r="E924" s="1" t="s">
        <v>43</v>
      </c>
      <c r="F924" s="1" t="s">
        <v>5675</v>
      </c>
      <c r="G924" s="1" t="s">
        <v>4220</v>
      </c>
      <c r="H924" s="4">
        <v>0.67500000000000004</v>
      </c>
      <c r="I924" s="4">
        <v>4.5</v>
      </c>
      <c r="J924" s="5">
        <v>90</v>
      </c>
      <c r="K924" s="4">
        <v>15</v>
      </c>
      <c r="L924" s="1" t="s">
        <v>46</v>
      </c>
      <c r="M924" s="1" t="s">
        <v>47</v>
      </c>
      <c r="N924" s="1" t="s">
        <v>5676</v>
      </c>
      <c r="O924" s="1" t="s">
        <v>108</v>
      </c>
      <c r="P924" s="1" t="s">
        <v>5677</v>
      </c>
      <c r="Q924" s="4">
        <v>0.93300000000000005</v>
      </c>
      <c r="R924" s="4">
        <v>0.56699999999999995</v>
      </c>
      <c r="S924" s="8">
        <v>3</v>
      </c>
      <c r="T924" s="1" t="s">
        <v>50</v>
      </c>
      <c r="U924" s="8">
        <v>15</v>
      </c>
      <c r="V924" s="8">
        <v>15</v>
      </c>
      <c r="W924" s="7">
        <v>100000</v>
      </c>
      <c r="X924" s="5">
        <v>1.5</v>
      </c>
      <c r="Y924" s="7">
        <v>6000000</v>
      </c>
      <c r="Z924" s="1"/>
      <c r="AA924" s="1"/>
      <c r="AB924" s="1"/>
      <c r="AC924" s="1"/>
      <c r="AD924" s="1"/>
      <c r="AE924" s="1" t="s">
        <v>51</v>
      </c>
      <c r="AF924" s="1" t="s">
        <v>51</v>
      </c>
      <c r="AG924" s="1" t="s">
        <v>51</v>
      </c>
      <c r="AH924" s="1"/>
      <c r="AI924" s="1"/>
      <c r="AJ924" s="3">
        <v>2</v>
      </c>
      <c r="AK924" s="1" t="s">
        <v>89</v>
      </c>
      <c r="AL924" s="3">
        <v>8</v>
      </c>
      <c r="AM924" s="8">
        <v>15</v>
      </c>
      <c r="AN924" s="1"/>
      <c r="AO924" s="1" t="s">
        <v>5678</v>
      </c>
      <c r="AP924" s="1" t="s">
        <v>4224</v>
      </c>
      <c r="AQ924" s="1" t="s">
        <v>5679</v>
      </c>
      <c r="AR924" s="1" t="s">
        <v>5680</v>
      </c>
    </row>
    <row r="925">
      <c r="A925" s="2">
        <f ca="1">DATE(2002,08,20)</f>
        <v>0</v>
      </c>
      <c r="B925" s="2">
        <f ca="1">DATE(2002,10,28)</f>
        <v>0</v>
      </c>
      <c r="C925" s="1" t="s">
        <v>5681</v>
      </c>
      <c r="D925" s="3">
        <v>6726</v>
      </c>
      <c r="E925" s="1" t="s">
        <v>43</v>
      </c>
      <c r="F925" s="1" t="s">
        <v>5682</v>
      </c>
      <c r="G925" s="1" t="s">
        <v>4220</v>
      </c>
      <c r="H925" s="4">
        <v>0.67500000000000004</v>
      </c>
      <c r="I925" s="4">
        <v>4.5</v>
      </c>
      <c r="J925" s="5">
        <v>120</v>
      </c>
      <c r="K925" s="4">
        <v>15</v>
      </c>
      <c r="L925" s="1" t="s">
        <v>46</v>
      </c>
      <c r="M925" s="1" t="s">
        <v>47</v>
      </c>
      <c r="N925" s="1" t="s">
        <v>5683</v>
      </c>
      <c r="O925" s="1" t="s">
        <v>108</v>
      </c>
      <c r="P925" s="1" t="s">
        <v>5684</v>
      </c>
      <c r="Q925" s="4">
        <v>0.93300000000000005</v>
      </c>
      <c r="R925" s="4">
        <v>0.56699999999999995</v>
      </c>
      <c r="S925" s="8">
        <v>3</v>
      </c>
      <c r="T925" s="1" t="s">
        <v>50</v>
      </c>
      <c r="U925" s="8">
        <v>15</v>
      </c>
      <c r="V925" s="8">
        <v>15</v>
      </c>
      <c r="W925" s="7">
        <v>100000</v>
      </c>
      <c r="X925" s="5">
        <v>1.5</v>
      </c>
      <c r="Y925" s="7">
        <v>8000000</v>
      </c>
      <c r="Z925" s="1"/>
      <c r="AA925" s="1"/>
      <c r="AB925" s="1"/>
      <c r="AC925" s="1"/>
      <c r="AD925" s="1"/>
      <c r="AE925" s="1" t="s">
        <v>51</v>
      </c>
      <c r="AF925" s="1" t="s">
        <v>51</v>
      </c>
      <c r="AG925" s="1" t="s">
        <v>51</v>
      </c>
      <c r="AH925" s="1"/>
      <c r="AI925" s="1"/>
      <c r="AJ925" s="3">
        <v>2</v>
      </c>
      <c r="AK925" s="1" t="s">
        <v>89</v>
      </c>
      <c r="AL925" s="3">
        <v>7</v>
      </c>
      <c r="AM925" s="8">
        <v>15</v>
      </c>
      <c r="AN925" s="1"/>
      <c r="AO925" s="1" t="s">
        <v>5685</v>
      </c>
      <c r="AP925" s="1" t="s">
        <v>4224</v>
      </c>
      <c r="AQ925" s="1" t="s">
        <v>5686</v>
      </c>
      <c r="AR925" s="1" t="s">
        <v>5687</v>
      </c>
    </row>
    <row r="926">
      <c r="A926" s="2">
        <f ca="1">DATE(2002,08,22)</f>
        <v>0</v>
      </c>
      <c r="B926" s="2">
        <f ca="1">DATE(2002,10,28)</f>
        <v>0</v>
      </c>
      <c r="C926" s="1" t="s">
        <v>5688</v>
      </c>
      <c r="D926" s="3">
        <v>6726</v>
      </c>
      <c r="E926" s="1" t="s">
        <v>43</v>
      </c>
      <c r="F926" s="1" t="s">
        <v>5689</v>
      </c>
      <c r="G926" s="1" t="s">
        <v>1583</v>
      </c>
      <c r="H926" s="4">
        <v>0.67500000000000004</v>
      </c>
      <c r="I926" s="4">
        <v>4.5</v>
      </c>
      <c r="J926" s="5">
        <v>432.80000000000001</v>
      </c>
      <c r="K926" s="4">
        <v>15</v>
      </c>
      <c r="L926" s="1" t="s">
        <v>46</v>
      </c>
      <c r="M926" s="1" t="s">
        <v>47</v>
      </c>
      <c r="N926" s="1" t="s">
        <v>5690</v>
      </c>
      <c r="O926" s="1" t="s">
        <v>108</v>
      </c>
      <c r="P926" s="1" t="s">
        <v>5691</v>
      </c>
      <c r="Q926" s="4">
        <v>0.96699999999999997</v>
      </c>
      <c r="R926" s="4">
        <v>0.53300000000000003</v>
      </c>
      <c r="S926" s="8">
        <v>3</v>
      </c>
      <c r="T926" s="1" t="s">
        <v>50</v>
      </c>
      <c r="U926" s="8">
        <v>15</v>
      </c>
      <c r="V926" s="8">
        <v>15</v>
      </c>
      <c r="W926" s="7">
        <v>1000</v>
      </c>
      <c r="X926" s="5">
        <v>0</v>
      </c>
      <c r="Y926" s="7">
        <v>28850000</v>
      </c>
      <c r="Z926" s="1"/>
      <c r="AA926" s="1"/>
      <c r="AB926" s="1"/>
      <c r="AC926" s="1"/>
      <c r="AD926" s="1"/>
      <c r="AE926" s="1" t="s">
        <v>51</v>
      </c>
      <c r="AF926" s="1" t="s">
        <v>51</v>
      </c>
      <c r="AG926" s="1" t="s">
        <v>51</v>
      </c>
      <c r="AH926" s="1"/>
      <c r="AI926" s="1"/>
      <c r="AJ926" s="3">
        <v>1</v>
      </c>
      <c r="AK926" s="1" t="s">
        <v>52</v>
      </c>
      <c r="AL926" s="3">
        <v>10</v>
      </c>
      <c r="AM926" s="8">
        <v>15.01</v>
      </c>
      <c r="AN926" s="1"/>
      <c r="AO926" s="1" t="s">
        <v>5692</v>
      </c>
      <c r="AP926" s="1" t="s">
        <v>1583</v>
      </c>
      <c r="AQ926" s="1" t="s">
        <v>5693</v>
      </c>
      <c r="AR926" s="1" t="s">
        <v>5694</v>
      </c>
    </row>
    <row r="927">
      <c r="A927" s="2">
        <f ca="1">DATE(2002,08,23)</f>
        <v>0</v>
      </c>
      <c r="B927" s="2">
        <f ca="1">DATE(2002,10,28)</f>
        <v>0</v>
      </c>
      <c r="C927" s="1" t="s">
        <v>5695</v>
      </c>
      <c r="D927" s="3">
        <v>6726</v>
      </c>
      <c r="E927" s="1" t="s">
        <v>43</v>
      </c>
      <c r="F927" s="1" t="s">
        <v>5696</v>
      </c>
      <c r="G927" s="1" t="s">
        <v>1583</v>
      </c>
      <c r="H927" s="4">
        <v>0.67500000000000004</v>
      </c>
      <c r="I927" s="4">
        <v>4.5</v>
      </c>
      <c r="J927" s="5">
        <v>292.5</v>
      </c>
      <c r="K927" s="4">
        <v>15</v>
      </c>
      <c r="L927" s="1" t="s">
        <v>46</v>
      </c>
      <c r="M927" s="1" t="s">
        <v>47</v>
      </c>
      <c r="N927" s="1" t="s">
        <v>5697</v>
      </c>
      <c r="O927" s="1" t="s">
        <v>108</v>
      </c>
      <c r="P927" s="1" t="s">
        <v>5698</v>
      </c>
      <c r="Q927" s="4">
        <v>0.96699999999999997</v>
      </c>
      <c r="R927" s="4">
        <v>0.53300000000000003</v>
      </c>
      <c r="S927" s="8">
        <v>3</v>
      </c>
      <c r="T927" s="1" t="s">
        <v>50</v>
      </c>
      <c r="U927" s="8">
        <v>15</v>
      </c>
      <c r="V927" s="8">
        <v>15</v>
      </c>
      <c r="W927" s="7">
        <v>1000</v>
      </c>
      <c r="X927" s="5">
        <v>0</v>
      </c>
      <c r="Y927" s="7">
        <v>19500000</v>
      </c>
      <c r="Z927" s="1"/>
      <c r="AA927" s="2">
        <f ca="1">DATE(2003,04,26)</f>
        <v>0</v>
      </c>
      <c r="AB927" s="1"/>
      <c r="AC927" s="3">
        <v>180</v>
      </c>
      <c r="AD927" s="1"/>
      <c r="AE927" s="1" t="s">
        <v>51</v>
      </c>
      <c r="AF927" s="1" t="s">
        <v>51</v>
      </c>
      <c r="AG927" s="1" t="s">
        <v>51</v>
      </c>
      <c r="AH927" s="1"/>
      <c r="AI927" s="1"/>
      <c r="AJ927" s="3">
        <v>1</v>
      </c>
      <c r="AK927" s="1" t="s">
        <v>52</v>
      </c>
      <c r="AL927" s="3">
        <v>9</v>
      </c>
      <c r="AM927" s="8">
        <v>15</v>
      </c>
      <c r="AN927" s="1"/>
      <c r="AO927" s="1" t="s">
        <v>5699</v>
      </c>
      <c r="AP927" s="1" t="s">
        <v>1583</v>
      </c>
      <c r="AQ927" s="1" t="s">
        <v>5700</v>
      </c>
      <c r="AR927" s="1" t="s">
        <v>5701</v>
      </c>
    </row>
    <row r="928">
      <c r="A928" s="2">
        <f ca="1">DATE(2002,08,23)</f>
        <v>0</v>
      </c>
      <c r="B928" s="2">
        <f ca="1">DATE(2002,10,28)</f>
        <v>0</v>
      </c>
      <c r="C928" s="1" t="s">
        <v>5702</v>
      </c>
      <c r="D928" s="3">
        <v>6726</v>
      </c>
      <c r="E928" s="1" t="s">
        <v>43</v>
      </c>
      <c r="F928" s="1" t="s">
        <v>5703</v>
      </c>
      <c r="G928" s="1" t="s">
        <v>5704</v>
      </c>
      <c r="H928" s="4">
        <v>0.67500000000000004</v>
      </c>
      <c r="I928" s="4">
        <v>4.5</v>
      </c>
      <c r="J928" s="5">
        <v>75</v>
      </c>
      <c r="K928" s="4">
        <v>15</v>
      </c>
      <c r="L928" s="1" t="s">
        <v>46</v>
      </c>
      <c r="M928" s="1" t="s">
        <v>47</v>
      </c>
      <c r="N928" s="1" t="s">
        <v>5705</v>
      </c>
      <c r="O928" s="1" t="s">
        <v>108</v>
      </c>
      <c r="P928" s="1" t="s">
        <v>5706</v>
      </c>
      <c r="Q928" s="1" t="s">
        <v>145</v>
      </c>
      <c r="R928" s="1" t="s">
        <v>145</v>
      </c>
      <c r="S928" s="1"/>
      <c r="T928" s="1" t="s">
        <v>50</v>
      </c>
      <c r="U928" s="8">
        <v>15</v>
      </c>
      <c r="V928" s="8">
        <v>15</v>
      </c>
      <c r="W928" s="7">
        <v>1000</v>
      </c>
      <c r="X928" s="5">
        <v>0</v>
      </c>
      <c r="Y928" s="7">
        <v>5000000</v>
      </c>
      <c r="Z928" s="1"/>
      <c r="AA928" s="1"/>
      <c r="AB928" s="1"/>
      <c r="AC928" s="1"/>
      <c r="AD928" s="1"/>
      <c r="AE928" s="1" t="s">
        <v>51</v>
      </c>
      <c r="AF928" s="1" t="s">
        <v>51</v>
      </c>
      <c r="AG928" s="1" t="s">
        <v>51</v>
      </c>
      <c r="AH928" s="1"/>
      <c r="AI928" s="1"/>
      <c r="AJ928" s="3">
        <v>1</v>
      </c>
      <c r="AK928" s="1" t="s">
        <v>52</v>
      </c>
      <c r="AL928" s="3">
        <v>9</v>
      </c>
      <c r="AM928" s="8">
        <v>15</v>
      </c>
      <c r="AN928" s="1"/>
      <c r="AO928" s="1" t="s">
        <v>5707</v>
      </c>
      <c r="AP928" s="1" t="s">
        <v>5704</v>
      </c>
      <c r="AQ928" s="1" t="s">
        <v>5708</v>
      </c>
      <c r="AR928" s="1" t="s">
        <v>5706</v>
      </c>
    </row>
    <row r="929">
      <c r="A929" s="2">
        <f ca="1">DATE(2002,08,06)</f>
        <v>0</v>
      </c>
      <c r="B929" s="2">
        <f ca="1">DATE(2002,10,28)</f>
        <v>0</v>
      </c>
      <c r="C929" s="1" t="s">
        <v>5709</v>
      </c>
      <c r="D929" s="3">
        <v>6726</v>
      </c>
      <c r="E929" s="1" t="s">
        <v>43</v>
      </c>
      <c r="F929" s="1" t="s">
        <v>5710</v>
      </c>
      <c r="G929" s="1" t="s">
        <v>1583</v>
      </c>
      <c r="H929" s="4">
        <v>0.67500000000000004</v>
      </c>
      <c r="I929" s="4">
        <v>4.5</v>
      </c>
      <c r="J929" s="5">
        <v>225</v>
      </c>
      <c r="K929" s="4">
        <v>15</v>
      </c>
      <c r="L929" s="1" t="s">
        <v>46</v>
      </c>
      <c r="M929" s="1" t="s">
        <v>47</v>
      </c>
      <c r="N929" s="1" t="s">
        <v>5711</v>
      </c>
      <c r="O929" s="1" t="s">
        <v>87</v>
      </c>
      <c r="P929" s="1" t="s">
        <v>5712</v>
      </c>
      <c r="Q929" s="4">
        <v>0.96699999999999997</v>
      </c>
      <c r="R929" s="4">
        <v>0.53300000000000003</v>
      </c>
      <c r="S929" s="8">
        <v>3</v>
      </c>
      <c r="T929" s="1" t="s">
        <v>50</v>
      </c>
      <c r="U929" s="8">
        <v>15</v>
      </c>
      <c r="V929" s="8">
        <v>15</v>
      </c>
      <c r="W929" s="7">
        <v>1000</v>
      </c>
      <c r="X929" s="5">
        <v>0</v>
      </c>
      <c r="Y929" s="7">
        <v>15000000</v>
      </c>
      <c r="Z929" s="1"/>
      <c r="AA929" s="1"/>
      <c r="AB929" s="1"/>
      <c r="AC929" s="1"/>
      <c r="AD929" s="1"/>
      <c r="AE929" s="1" t="s">
        <v>51</v>
      </c>
      <c r="AF929" s="1" t="s">
        <v>51</v>
      </c>
      <c r="AG929" s="1" t="s">
        <v>51</v>
      </c>
      <c r="AH929" s="1"/>
      <c r="AI929" s="1"/>
      <c r="AJ929" s="3">
        <v>1</v>
      </c>
      <c r="AK929" s="1" t="s">
        <v>89</v>
      </c>
      <c r="AL929" s="3">
        <v>9</v>
      </c>
      <c r="AM929" s="8">
        <v>15</v>
      </c>
      <c r="AN929" s="1"/>
      <c r="AO929" s="1" t="s">
        <v>5713</v>
      </c>
      <c r="AP929" s="1" t="s">
        <v>5352</v>
      </c>
      <c r="AQ929" s="1" t="s">
        <v>5714</v>
      </c>
      <c r="AR929" s="1" t="s">
        <v>5715</v>
      </c>
    </row>
    <row r="930">
      <c r="A930" s="2">
        <f ca="1">DATE(2002,04,25)</f>
        <v>0</v>
      </c>
      <c r="B930" s="2">
        <f ca="1">DATE(2002,10,28)</f>
        <v>0</v>
      </c>
      <c r="C930" s="1" t="s">
        <v>5716</v>
      </c>
      <c r="D930" s="3">
        <v>6331</v>
      </c>
      <c r="E930" s="1" t="s">
        <v>517</v>
      </c>
      <c r="F930" s="1" t="s">
        <v>5717</v>
      </c>
      <c r="G930" s="1" t="s">
        <v>5718</v>
      </c>
      <c r="H930" s="4">
        <v>1.238</v>
      </c>
      <c r="I930" s="4">
        <v>5.5</v>
      </c>
      <c r="J930" s="5">
        <v>631.39999999999998</v>
      </c>
      <c r="K930" s="4">
        <v>22.5</v>
      </c>
      <c r="L930" s="1" t="s">
        <v>46</v>
      </c>
      <c r="M930" s="1" t="s">
        <v>47</v>
      </c>
      <c r="N930" s="1" t="s">
        <v>5719</v>
      </c>
      <c r="O930" s="1" t="s">
        <v>108</v>
      </c>
      <c r="P930" s="1" t="s">
        <v>5720</v>
      </c>
      <c r="Q930" s="4">
        <v>1.7030000000000001</v>
      </c>
      <c r="R930" s="4">
        <v>0.95299999999999996</v>
      </c>
      <c r="S930" s="6">
        <v>2.8444400000000001</v>
      </c>
      <c r="T930" s="1" t="s">
        <v>50</v>
      </c>
      <c r="U930" s="8">
        <v>27</v>
      </c>
      <c r="V930" s="8">
        <v>27</v>
      </c>
      <c r="W930" s="7">
        <v>40000000</v>
      </c>
      <c r="X930" s="9">
        <v>1080</v>
      </c>
      <c r="Y930" s="7">
        <v>28063368</v>
      </c>
      <c r="Z930" s="1"/>
      <c r="AA930" s="2">
        <f ca="1">DATE(2003,04,26)</f>
        <v>0</v>
      </c>
      <c r="AB930" s="4">
        <v>24.899999999999999</v>
      </c>
      <c r="AC930" s="3">
        <v>180</v>
      </c>
      <c r="AD930" s="8">
        <v>9960000</v>
      </c>
      <c r="AE930" s="1" t="s">
        <v>51</v>
      </c>
      <c r="AF930" s="1" t="s">
        <v>51</v>
      </c>
      <c r="AG930" s="1" t="s">
        <v>51</v>
      </c>
      <c r="AH930" s="1" t="s">
        <v>5721</v>
      </c>
      <c r="AI930" s="1" t="s">
        <v>5722</v>
      </c>
      <c r="AJ930" s="3">
        <v>3</v>
      </c>
      <c r="AK930" s="1" t="s">
        <v>110</v>
      </c>
      <c r="AL930" s="3">
        <v>6</v>
      </c>
      <c r="AM930" s="8">
        <v>24.989999999999998</v>
      </c>
      <c r="AN930" s="1"/>
      <c r="AO930" s="1" t="s">
        <v>5723</v>
      </c>
      <c r="AP930" s="1" t="s">
        <v>5724</v>
      </c>
      <c r="AQ930" s="1" t="s">
        <v>5725</v>
      </c>
      <c r="AR930" s="1" t="s">
        <v>5726</v>
      </c>
    </row>
    <row r="931">
      <c r="A931" s="2">
        <f ca="1">DATE(2002,04,25)</f>
        <v>0</v>
      </c>
      <c r="B931" s="2">
        <f ca="1">DATE(2002,10,28)</f>
        <v>0</v>
      </c>
      <c r="C931" s="1" t="s">
        <v>5716</v>
      </c>
      <c r="D931" s="3">
        <v>6331</v>
      </c>
      <c r="E931" s="1" t="s">
        <v>517</v>
      </c>
      <c r="F931" s="1" t="s">
        <v>5717</v>
      </c>
      <c r="G931" s="1" t="s">
        <v>5718</v>
      </c>
      <c r="H931" s="4">
        <v>1.238</v>
      </c>
      <c r="I931" s="4">
        <v>5.5</v>
      </c>
      <c r="J931" s="5">
        <v>44.5</v>
      </c>
      <c r="K931" s="8">
        <v>22.5</v>
      </c>
      <c r="L931" s="1" t="s">
        <v>46</v>
      </c>
      <c r="M931" s="1" t="s">
        <v>47</v>
      </c>
      <c r="N931" s="1" t="s">
        <v>5719</v>
      </c>
      <c r="O931" s="1" t="s">
        <v>108</v>
      </c>
      <c r="P931" s="1" t="s">
        <v>5720</v>
      </c>
      <c r="Q931" s="4">
        <v>1.7030000000000001</v>
      </c>
      <c r="R931" s="4">
        <v>0.95299999999999996</v>
      </c>
      <c r="S931" s="6">
        <v>2.8444400000000001</v>
      </c>
      <c r="T931" s="1" t="s">
        <v>60</v>
      </c>
      <c r="U931" s="8">
        <v>27</v>
      </c>
      <c r="V931" s="8">
        <v>27</v>
      </c>
      <c r="W931" s="1"/>
      <c r="X931" s="1"/>
      <c r="Y931" s="7">
        <v>1976632</v>
      </c>
      <c r="Z931" s="1"/>
      <c r="AA931" s="1"/>
      <c r="AB931" s="1"/>
      <c r="AC931" s="3">
        <v>180</v>
      </c>
      <c r="AD931" s="8">
        <v>9960000</v>
      </c>
      <c r="AE931" s="1" t="s">
        <v>51</v>
      </c>
      <c r="AF931" s="1" t="s">
        <v>51</v>
      </c>
      <c r="AG931" s="1" t="s">
        <v>51</v>
      </c>
      <c r="AH931" s="1" t="s">
        <v>5721</v>
      </c>
      <c r="AI931" s="1" t="s">
        <v>5722</v>
      </c>
      <c r="AJ931" s="3">
        <v>3</v>
      </c>
      <c r="AK931" s="1" t="s">
        <v>110</v>
      </c>
      <c r="AL931" s="3">
        <v>3</v>
      </c>
      <c r="AM931" s="1"/>
      <c r="AN931" s="1"/>
      <c r="AO931" s="1" t="s">
        <v>5727</v>
      </c>
      <c r="AP931" s="1" t="s">
        <v>5724</v>
      </c>
      <c r="AQ931" s="1" t="s">
        <v>5728</v>
      </c>
      <c r="AR931" s="1" t="s">
        <v>5729</v>
      </c>
    </row>
    <row r="932">
      <c r="A932" s="2">
        <f ca="1">DATE(2002,08,29)</f>
        <v>0</v>
      </c>
      <c r="B932" s="2">
        <f ca="1">DATE(2002,10,30)</f>
        <v>0</v>
      </c>
      <c r="C932" s="1" t="s">
        <v>5730</v>
      </c>
      <c r="D932" s="3">
        <v>6726</v>
      </c>
      <c r="E932" s="1" t="s">
        <v>43</v>
      </c>
      <c r="F932" s="1" t="s">
        <v>5731</v>
      </c>
      <c r="G932" s="1" t="s">
        <v>5732</v>
      </c>
      <c r="H932" s="4">
        <v>0.67500000000000004</v>
      </c>
      <c r="I932" s="4">
        <v>4.5</v>
      </c>
      <c r="J932" s="5">
        <v>20.300000000000001</v>
      </c>
      <c r="K932" s="4">
        <v>15</v>
      </c>
      <c r="L932" s="1" t="s">
        <v>46</v>
      </c>
      <c r="M932" s="1" t="s">
        <v>47</v>
      </c>
      <c r="N932" s="1" t="s">
        <v>5733</v>
      </c>
      <c r="O932" s="1" t="s">
        <v>87</v>
      </c>
      <c r="P932" s="1" t="s">
        <v>5734</v>
      </c>
      <c r="Q932" s="1" t="s">
        <v>145</v>
      </c>
      <c r="R932" s="1" t="s">
        <v>145</v>
      </c>
      <c r="S932" s="1"/>
      <c r="T932" s="1" t="s">
        <v>50</v>
      </c>
      <c r="U932" s="8">
        <v>15</v>
      </c>
      <c r="V932" s="8">
        <v>15</v>
      </c>
      <c r="W932" s="7">
        <v>100000</v>
      </c>
      <c r="X932" s="5">
        <v>1.5</v>
      </c>
      <c r="Y932" s="7">
        <v>1350000</v>
      </c>
      <c r="Z932" s="1"/>
      <c r="AA932" s="1"/>
      <c r="AB932" s="1"/>
      <c r="AC932" s="1"/>
      <c r="AD932" s="1"/>
      <c r="AE932" s="1" t="s">
        <v>51</v>
      </c>
      <c r="AF932" s="1" t="s">
        <v>51</v>
      </c>
      <c r="AG932" s="1" t="s">
        <v>51</v>
      </c>
      <c r="AH932" s="1"/>
      <c r="AI932" s="1"/>
      <c r="AJ932" s="3">
        <v>2</v>
      </c>
      <c r="AK932" s="1" t="s">
        <v>89</v>
      </c>
      <c r="AL932" s="3">
        <v>2</v>
      </c>
      <c r="AM932" s="8">
        <v>15</v>
      </c>
      <c r="AN932" s="1"/>
      <c r="AO932" s="1" t="s">
        <v>5735</v>
      </c>
      <c r="AP932" s="1" t="s">
        <v>5736</v>
      </c>
      <c r="AQ932" s="1" t="s">
        <v>5737</v>
      </c>
      <c r="AR932" s="1" t="s">
        <v>5738</v>
      </c>
    </row>
    <row r="933">
      <c r="A933" s="2">
        <f ca="1">DATE(2002,07,01)</f>
        <v>0</v>
      </c>
      <c r="B933" s="2">
        <f ca="1">DATE(2002,10,31)</f>
        <v>0</v>
      </c>
      <c r="C933" s="1" t="s">
        <v>5739</v>
      </c>
      <c r="D933" s="3">
        <v>5171</v>
      </c>
      <c r="E933" s="1" t="s">
        <v>43</v>
      </c>
      <c r="F933" s="1" t="s">
        <v>5740</v>
      </c>
      <c r="G933" s="1" t="s">
        <v>4327</v>
      </c>
      <c r="H933" s="4">
        <v>1.3300000000000001</v>
      </c>
      <c r="I933" s="4">
        <v>7</v>
      </c>
      <c r="J933" s="5">
        <v>55.100000000000001</v>
      </c>
      <c r="K933" s="4">
        <v>19</v>
      </c>
      <c r="L933" s="1" t="s">
        <v>85</v>
      </c>
      <c r="M933" s="1" t="s">
        <v>47</v>
      </c>
      <c r="N933" s="3">
        <v>573331105</v>
      </c>
      <c r="O933" s="1" t="s">
        <v>48</v>
      </c>
      <c r="P933" s="1" t="s">
        <v>5741</v>
      </c>
      <c r="Q933" s="4">
        <v>1.474</v>
      </c>
      <c r="R933" s="4">
        <v>1.474</v>
      </c>
      <c r="S933" s="6">
        <v>4.0526299999999997</v>
      </c>
      <c r="T933" s="1" t="s">
        <v>50</v>
      </c>
      <c r="U933" s="8">
        <v>21</v>
      </c>
      <c r="V933" s="8">
        <v>19</v>
      </c>
      <c r="W933" s="7">
        <v>3000000</v>
      </c>
      <c r="X933" s="5">
        <v>60</v>
      </c>
      <c r="Y933" s="7">
        <v>2900000</v>
      </c>
      <c r="Z933" s="1"/>
      <c r="AA933" s="2">
        <f ca="1">DATE(2003,04,29)</f>
        <v>0</v>
      </c>
      <c r="AB933" s="4">
        <v>146.66800000000001</v>
      </c>
      <c r="AC933" s="3">
        <v>180</v>
      </c>
      <c r="AD933" s="8">
        <v>4253362</v>
      </c>
      <c r="AE933" s="1" t="s">
        <v>51</v>
      </c>
      <c r="AF933" s="1" t="s">
        <v>51</v>
      </c>
      <c r="AG933" s="1" t="s">
        <v>51</v>
      </c>
      <c r="AH933" s="1"/>
      <c r="AI933" s="1"/>
      <c r="AJ933" s="3">
        <v>1</v>
      </c>
      <c r="AK933" s="1" t="s">
        <v>52</v>
      </c>
      <c r="AL933" s="3">
        <v>3</v>
      </c>
      <c r="AM933" s="8">
        <v>17.699999999999999</v>
      </c>
      <c r="AN933" s="1"/>
      <c r="AO933" s="1" t="s">
        <v>5742</v>
      </c>
      <c r="AP933" s="1" t="s">
        <v>4327</v>
      </c>
      <c r="AQ933" s="1" t="s">
        <v>5743</v>
      </c>
      <c r="AR933" s="1" t="s">
        <v>5744</v>
      </c>
    </row>
    <row r="934">
      <c r="A934" s="2">
        <f ca="1">DATE(2002,08,30)</f>
        <v>0</v>
      </c>
      <c r="B934" s="2">
        <f ca="1">DATE(2002,11,05)</f>
        <v>0</v>
      </c>
      <c r="C934" s="1" t="s">
        <v>5745</v>
      </c>
      <c r="D934" s="3">
        <v>6289</v>
      </c>
      <c r="E934" s="1" t="s">
        <v>43</v>
      </c>
      <c r="F934" s="1" t="s">
        <v>5746</v>
      </c>
      <c r="G934" s="1" t="s">
        <v>5747</v>
      </c>
      <c r="H934" s="4">
        <v>0.83999999999999997</v>
      </c>
      <c r="I934" s="8">
        <v>7</v>
      </c>
      <c r="J934" s="5">
        <v>13.4</v>
      </c>
      <c r="K934" s="4">
        <v>12</v>
      </c>
      <c r="L934" s="1" t="s">
        <v>46</v>
      </c>
      <c r="M934" s="1" t="s">
        <v>47</v>
      </c>
      <c r="N934" s="1" t="s">
        <v>5748</v>
      </c>
      <c r="O934" s="1" t="s">
        <v>48</v>
      </c>
      <c r="P934" s="1" t="s">
        <v>5749</v>
      </c>
      <c r="Q934" s="4">
        <v>1.167</v>
      </c>
      <c r="R934" s="4">
        <v>1.667</v>
      </c>
      <c r="S934" s="6">
        <v>4.1666699999999999</v>
      </c>
      <c r="T934" s="1" t="s">
        <v>50</v>
      </c>
      <c r="U934" s="1"/>
      <c r="V934" s="1"/>
      <c r="W934" s="1"/>
      <c r="X934" s="5">
        <v>21</v>
      </c>
      <c r="Y934" s="7">
        <v>1120000</v>
      </c>
      <c r="Z934" s="1"/>
      <c r="AA934" s="2">
        <f ca="1">DATE(2003,05,04)</f>
        <v>0</v>
      </c>
      <c r="AB934" s="4">
        <v>53.850000000000001</v>
      </c>
      <c r="AC934" s="3">
        <v>180</v>
      </c>
      <c r="AD934" s="8">
        <v>2330584</v>
      </c>
      <c r="AE934" s="1" t="s">
        <v>51</v>
      </c>
      <c r="AF934" s="1" t="s">
        <v>51</v>
      </c>
      <c r="AG934" s="1" t="s">
        <v>51</v>
      </c>
      <c r="AH934" s="1"/>
      <c r="AI934" s="1"/>
      <c r="AJ934" s="3">
        <v>1</v>
      </c>
      <c r="AK934" s="1" t="s">
        <v>52</v>
      </c>
      <c r="AL934" s="3">
        <v>1</v>
      </c>
      <c r="AM934" s="8">
        <v>12.199999999999999</v>
      </c>
      <c r="AN934" s="1"/>
      <c r="AO934" s="1" t="s">
        <v>5750</v>
      </c>
      <c r="AP934" s="1" t="s">
        <v>5747</v>
      </c>
      <c r="AQ934" s="1" t="s">
        <v>5747</v>
      </c>
      <c r="AR934" s="1" t="s">
        <v>5751</v>
      </c>
    </row>
    <row r="935">
      <c r="A935" s="2">
        <f ca="1">DATE(2002,09,23)</f>
        <v>0</v>
      </c>
      <c r="B935" s="2">
        <f ca="1">DATE(2002,11,07)</f>
        <v>0</v>
      </c>
      <c r="C935" s="1" t="s">
        <v>5752</v>
      </c>
      <c r="D935" s="3">
        <v>4813</v>
      </c>
      <c r="E935" s="1" t="s">
        <v>744</v>
      </c>
      <c r="F935" s="1" t="s">
        <v>5753</v>
      </c>
      <c r="G935" s="1" t="s">
        <v>5754</v>
      </c>
      <c r="H935" s="4">
        <v>0.58799999999999997</v>
      </c>
      <c r="I935" s="4">
        <v>3.1000000000000001</v>
      </c>
      <c r="J935" s="5">
        <v>681.20000000000005</v>
      </c>
      <c r="K935" s="4">
        <v>18.98</v>
      </c>
      <c r="L935" s="1" t="s">
        <v>651</v>
      </c>
      <c r="M935" s="1" t="s">
        <v>47</v>
      </c>
      <c r="N935" s="3">
        <v>169426103</v>
      </c>
      <c r="O935" s="1" t="s">
        <v>108</v>
      </c>
      <c r="P935" s="1" t="s">
        <v>5755</v>
      </c>
      <c r="Q935" s="4">
        <v>0.54400000000000004</v>
      </c>
      <c r="R935" s="4">
        <v>0.54400000000000004</v>
      </c>
      <c r="S935" s="6">
        <v>2.01349</v>
      </c>
      <c r="T935" s="1" t="s">
        <v>50</v>
      </c>
      <c r="U935" s="1"/>
      <c r="V935" s="1"/>
      <c r="W935" s="7">
        <v>159600000</v>
      </c>
      <c r="X935" s="9">
        <v>1500</v>
      </c>
      <c r="Y935" s="7">
        <v>35892900</v>
      </c>
      <c r="Z935" s="1"/>
      <c r="AA935" s="2">
        <f ca="1">DATE(2003,05,06)</f>
        <v>0</v>
      </c>
      <c r="AB935" s="4">
        <v>0.503</v>
      </c>
      <c r="AC935" s="3">
        <v>180</v>
      </c>
      <c r="AD935" s="8">
        <v>3778200</v>
      </c>
      <c r="AE935" s="1" t="s">
        <v>47</v>
      </c>
      <c r="AF935" s="1" t="s">
        <v>51</v>
      </c>
      <c r="AG935" s="1" t="s">
        <v>51</v>
      </c>
      <c r="AH935" s="1"/>
      <c r="AI935" s="1"/>
      <c r="AJ935" s="3">
        <v>3</v>
      </c>
      <c r="AK935" s="1" t="s">
        <v>110</v>
      </c>
      <c r="AL935" s="3">
        <v>8</v>
      </c>
      <c r="AM935" s="8">
        <v>18.399999999999999</v>
      </c>
      <c r="AN935" s="1"/>
      <c r="AO935" s="1" t="s">
        <v>5756</v>
      </c>
      <c r="AP935" s="1" t="s">
        <v>5757</v>
      </c>
      <c r="AQ935" s="1" t="s">
        <v>5758</v>
      </c>
      <c r="AR935" s="1" t="s">
        <v>5759</v>
      </c>
    </row>
    <row r="936">
      <c r="A936" s="2">
        <f ca="1">DATE(2002,09,23)</f>
        <v>0</v>
      </c>
      <c r="B936" s="2">
        <f ca="1">DATE(2002,11,07)</f>
        <v>0</v>
      </c>
      <c r="C936" s="1" t="s">
        <v>5752</v>
      </c>
      <c r="D936" s="3">
        <v>4813</v>
      </c>
      <c r="E936" s="1" t="s">
        <v>744</v>
      </c>
      <c r="F936" s="1" t="s">
        <v>5753</v>
      </c>
      <c r="G936" s="1" t="s">
        <v>5754</v>
      </c>
      <c r="H936" s="4">
        <v>0.58799999999999997</v>
      </c>
      <c r="I936" s="4">
        <v>3.1000000000000001</v>
      </c>
      <c r="J936" s="5">
        <v>681.20000000000005</v>
      </c>
      <c r="K936" s="8">
        <v>18.98</v>
      </c>
      <c r="L936" s="1" t="s">
        <v>651</v>
      </c>
      <c r="M936" s="1" t="s">
        <v>47</v>
      </c>
      <c r="N936" s="3">
        <v>169426103</v>
      </c>
      <c r="O936" s="1" t="s">
        <v>108</v>
      </c>
      <c r="P936" s="1" t="s">
        <v>5760</v>
      </c>
      <c r="Q936" s="4">
        <v>0.54400000000000004</v>
      </c>
      <c r="R936" s="4">
        <v>0.54400000000000004</v>
      </c>
      <c r="S936" s="6">
        <v>2.01349</v>
      </c>
      <c r="T936" s="1" t="s">
        <v>60</v>
      </c>
      <c r="U936" s="1"/>
      <c r="V936" s="1"/>
      <c r="W936" s="1"/>
      <c r="X936" s="1"/>
      <c r="Y936" s="7">
        <v>30048025</v>
      </c>
      <c r="Z936" s="7">
        <v>5844875</v>
      </c>
      <c r="AA936" s="1"/>
      <c r="AB936" s="1"/>
      <c r="AC936" s="3">
        <v>180</v>
      </c>
      <c r="AD936" s="8">
        <v>3778200</v>
      </c>
      <c r="AE936" s="1" t="s">
        <v>47</v>
      </c>
      <c r="AF936" s="1" t="s">
        <v>51</v>
      </c>
      <c r="AG936" s="1" t="s">
        <v>51</v>
      </c>
      <c r="AH936" s="1"/>
      <c r="AI936" s="1"/>
      <c r="AJ936" s="3">
        <v>3</v>
      </c>
      <c r="AK936" s="1" t="s">
        <v>110</v>
      </c>
      <c r="AL936" s="3">
        <v>8</v>
      </c>
      <c r="AM936" s="1"/>
      <c r="AN936" s="1"/>
      <c r="AO936" s="1" t="s">
        <v>5761</v>
      </c>
      <c r="AP936" s="1" t="s">
        <v>5757</v>
      </c>
      <c r="AQ936" s="1" t="s">
        <v>5762</v>
      </c>
      <c r="AR936" s="1" t="s">
        <v>5763</v>
      </c>
    </row>
    <row r="937">
      <c r="A937" s="2">
        <f ca="1">DATE(2002,09,06)</f>
        <v>0</v>
      </c>
      <c r="B937" s="2">
        <f ca="1">DATE(2002,11,07)</f>
        <v>0</v>
      </c>
      <c r="C937" s="1" t="s">
        <v>5764</v>
      </c>
      <c r="D937" s="3">
        <v>7322</v>
      </c>
      <c r="E937" s="1" t="s">
        <v>43</v>
      </c>
      <c r="F937" s="1" t="s">
        <v>5765</v>
      </c>
      <c r="G937" s="1" t="s">
        <v>2938</v>
      </c>
      <c r="H937" s="4">
        <v>0.91000000000000003</v>
      </c>
      <c r="I937" s="4">
        <v>7</v>
      </c>
      <c r="J937" s="5">
        <v>50.700000000000003</v>
      </c>
      <c r="K937" s="4">
        <v>13</v>
      </c>
      <c r="L937" s="1" t="s">
        <v>46</v>
      </c>
      <c r="M937" s="1" t="s">
        <v>47</v>
      </c>
      <c r="N937" s="1" t="s">
        <v>5766</v>
      </c>
      <c r="O937" s="1" t="s">
        <v>48</v>
      </c>
      <c r="P937" s="1" t="s">
        <v>5767</v>
      </c>
      <c r="Q937" s="4">
        <v>1.538</v>
      </c>
      <c r="R937" s="4">
        <v>1.615</v>
      </c>
      <c r="S937" s="6">
        <v>3.8461500000000002</v>
      </c>
      <c r="T937" s="1" t="s">
        <v>50</v>
      </c>
      <c r="U937" s="1"/>
      <c r="V937" s="1"/>
      <c r="W937" s="1"/>
      <c r="X937" s="5">
        <v>57.5</v>
      </c>
      <c r="Y937" s="7">
        <v>3470000</v>
      </c>
      <c r="Z937" s="7">
        <v>430000</v>
      </c>
      <c r="AA937" s="2">
        <f ca="1">DATE(2003,05,06)</f>
        <v>0</v>
      </c>
      <c r="AB937" s="4">
        <v>71.046999999999997</v>
      </c>
      <c r="AC937" s="3">
        <v>180</v>
      </c>
      <c r="AD937" s="8">
        <v>9570000</v>
      </c>
      <c r="AE937" s="1" t="s">
        <v>51</v>
      </c>
      <c r="AF937" s="1" t="s">
        <v>51</v>
      </c>
      <c r="AG937" s="1" t="s">
        <v>51</v>
      </c>
      <c r="AH937" s="1"/>
      <c r="AI937" s="1"/>
      <c r="AJ937" s="3">
        <v>1</v>
      </c>
      <c r="AK937" s="1" t="s">
        <v>52</v>
      </c>
      <c r="AL937" s="3">
        <v>5</v>
      </c>
      <c r="AM937" s="8">
        <v>15.449999999999999</v>
      </c>
      <c r="AN937" s="1"/>
      <c r="AO937" s="1" t="s">
        <v>5768</v>
      </c>
      <c r="AP937" s="1" t="s">
        <v>2938</v>
      </c>
      <c r="AQ937" s="1" t="s">
        <v>5769</v>
      </c>
      <c r="AR937" s="1" t="s">
        <v>5770</v>
      </c>
    </row>
    <row r="938">
      <c r="A938" s="2">
        <f ca="1">DATE(2002,08,30)</f>
        <v>0</v>
      </c>
      <c r="B938" s="2">
        <f ca="1">DATE(2002,11,07)</f>
        <v>0</v>
      </c>
      <c r="C938" s="1" t="s">
        <v>5771</v>
      </c>
      <c r="D938" s="3">
        <v>6324</v>
      </c>
      <c r="E938" s="1" t="s">
        <v>43</v>
      </c>
      <c r="F938" s="1" t="s">
        <v>5772</v>
      </c>
      <c r="G938" s="1" t="s">
        <v>168</v>
      </c>
      <c r="H938" s="4">
        <v>1.488</v>
      </c>
      <c r="I938" s="4">
        <v>5.9500000000000002</v>
      </c>
      <c r="J938" s="5">
        <v>417.39999999999998</v>
      </c>
      <c r="K938" s="4">
        <v>25</v>
      </c>
      <c r="L938" s="1" t="s">
        <v>46</v>
      </c>
      <c r="M938" s="1" t="s">
        <v>47</v>
      </c>
      <c r="N938" s="3">
        <v>949475107</v>
      </c>
      <c r="O938" s="1" t="s">
        <v>108</v>
      </c>
      <c r="P938" s="1" t="s">
        <v>5773</v>
      </c>
      <c r="Q938" s="4">
        <v>1.19</v>
      </c>
      <c r="R938" s="4">
        <v>1.19</v>
      </c>
      <c r="S938" s="8">
        <v>3.5699999999999998</v>
      </c>
      <c r="T938" s="1" t="s">
        <v>50</v>
      </c>
      <c r="U938" s="1"/>
      <c r="V938" s="1"/>
      <c r="W938" s="1"/>
      <c r="X938" s="5">
        <v>340</v>
      </c>
      <c r="Y938" s="7">
        <v>16694783</v>
      </c>
      <c r="Z938" s="1"/>
      <c r="AA938" s="2">
        <f ca="1">DATE(2003,05,06)</f>
        <v>0</v>
      </c>
      <c r="AB938" s="4">
        <v>83.158000000000001</v>
      </c>
      <c r="AC938" s="3">
        <v>180</v>
      </c>
      <c r="AD938" s="8">
        <v>68438947</v>
      </c>
      <c r="AE938" s="1" t="s">
        <v>51</v>
      </c>
      <c r="AF938" s="1" t="s">
        <v>51</v>
      </c>
      <c r="AG938" s="1" t="s">
        <v>51</v>
      </c>
      <c r="AH938" s="1"/>
      <c r="AI938" s="1" t="s">
        <v>5774</v>
      </c>
      <c r="AJ938" s="3">
        <v>1</v>
      </c>
      <c r="AK938" s="1" t="s">
        <v>52</v>
      </c>
      <c r="AL938" s="3">
        <v>9</v>
      </c>
      <c r="AM938" s="8">
        <v>27.199999999999999</v>
      </c>
      <c r="AN938" s="1"/>
      <c r="AO938" s="1" t="s">
        <v>5775</v>
      </c>
      <c r="AP938" s="1" t="s">
        <v>168</v>
      </c>
      <c r="AQ938" s="1" t="s">
        <v>5776</v>
      </c>
      <c r="AR938" s="1" t="s">
        <v>5777</v>
      </c>
    </row>
    <row r="939">
      <c r="A939" s="2">
        <f ca="1">DATE(2002,05,10)</f>
        <v>0</v>
      </c>
      <c r="B939" s="2">
        <f ca="1">DATE(2002,11,11)</f>
        <v>0</v>
      </c>
      <c r="C939" s="1" t="s">
        <v>5778</v>
      </c>
      <c r="D939" s="3">
        <v>7376</v>
      </c>
      <c r="E939" s="1" t="s">
        <v>43</v>
      </c>
      <c r="F939" s="1" t="s">
        <v>5779</v>
      </c>
      <c r="G939" s="1" t="s">
        <v>3332</v>
      </c>
      <c r="H939" s="4">
        <v>0.97999999999999998</v>
      </c>
      <c r="I939" s="8">
        <v>7</v>
      </c>
      <c r="J939" s="5">
        <v>60.899999999999999</v>
      </c>
      <c r="K939" s="4">
        <v>14</v>
      </c>
      <c r="L939" s="1" t="s">
        <v>46</v>
      </c>
      <c r="M939" s="1" t="s">
        <v>47</v>
      </c>
      <c r="N939" s="1" t="s">
        <v>5780</v>
      </c>
      <c r="O939" s="1" t="s">
        <v>48</v>
      </c>
      <c r="P939" s="1" t="s">
        <v>5781</v>
      </c>
      <c r="Q939" s="4">
        <v>1.357</v>
      </c>
      <c r="R939" s="4">
        <v>1.4290000000000001</v>
      </c>
      <c r="S939" s="6">
        <v>4.2142900000000001</v>
      </c>
      <c r="T939" s="1" t="s">
        <v>50</v>
      </c>
      <c r="U939" s="1"/>
      <c r="V939" s="1"/>
      <c r="W939" s="1"/>
      <c r="X939" s="5">
        <v>63.799999999999997</v>
      </c>
      <c r="Y939" s="7">
        <v>3850000</v>
      </c>
      <c r="Z939" s="7">
        <v>500000</v>
      </c>
      <c r="AA939" s="1" t="s">
        <v>5782</v>
      </c>
      <c r="AB939" s="1" t="s">
        <v>5783</v>
      </c>
      <c r="AC939" s="1" t="s">
        <v>5784</v>
      </c>
      <c r="AD939" s="1" t="s">
        <v>5785</v>
      </c>
      <c r="AE939" s="1" t="s">
        <v>51</v>
      </c>
      <c r="AF939" s="1" t="s">
        <v>51</v>
      </c>
      <c r="AG939" s="1" t="s">
        <v>51</v>
      </c>
      <c r="AH939" s="1"/>
      <c r="AI939" s="1"/>
      <c r="AJ939" s="3">
        <v>1</v>
      </c>
      <c r="AK939" s="1" t="s">
        <v>52</v>
      </c>
      <c r="AL939" s="3">
        <v>4</v>
      </c>
      <c r="AM939" s="8">
        <v>14</v>
      </c>
      <c r="AN939" s="1"/>
      <c r="AO939" s="1" t="s">
        <v>5786</v>
      </c>
      <c r="AP939" s="1" t="s">
        <v>3332</v>
      </c>
      <c r="AQ939" s="1" t="s">
        <v>5787</v>
      </c>
      <c r="AR939" s="1" t="s">
        <v>5788</v>
      </c>
    </row>
    <row r="940">
      <c r="A940" s="2">
        <f ca="1">DATE(2002,09,17)</f>
        <v>0</v>
      </c>
      <c r="B940" s="2">
        <f ca="1">DATE(2002,11,12)</f>
        <v>0</v>
      </c>
      <c r="C940" s="1" t="s">
        <v>5789</v>
      </c>
      <c r="D940" s="3">
        <v>6022</v>
      </c>
      <c r="E940" s="1" t="s">
        <v>43</v>
      </c>
      <c r="F940" s="1" t="s">
        <v>5790</v>
      </c>
      <c r="G940" s="1" t="s">
        <v>3236</v>
      </c>
      <c r="H940" s="4">
        <v>0.28899999999999998</v>
      </c>
      <c r="I940" s="4">
        <v>3.5</v>
      </c>
      <c r="J940" s="5">
        <v>7.9000000000000004</v>
      </c>
      <c r="K940" s="4">
        <v>8.25</v>
      </c>
      <c r="L940" s="1" t="s">
        <v>46</v>
      </c>
      <c r="M940" s="1" t="s">
        <v>47</v>
      </c>
      <c r="N940" s="3">
        <v>834728206</v>
      </c>
      <c r="O940" s="1" t="s">
        <v>48</v>
      </c>
      <c r="P940" s="1" t="s">
        <v>5791</v>
      </c>
      <c r="Q940" s="4">
        <v>1.508</v>
      </c>
      <c r="R940" s="4">
        <v>1.508</v>
      </c>
      <c r="S940" s="6">
        <v>4.4848499999999998</v>
      </c>
      <c r="T940" s="1" t="s">
        <v>50</v>
      </c>
      <c r="U940" s="8">
        <v>9.5</v>
      </c>
      <c r="V940" s="8">
        <v>9.5</v>
      </c>
      <c r="W940" s="7">
        <v>800000</v>
      </c>
      <c r="X940" s="5">
        <v>7.5999999999999996</v>
      </c>
      <c r="Y940" s="7">
        <v>960000</v>
      </c>
      <c r="Z940" s="1"/>
      <c r="AA940" s="2">
        <f ca="1">DATE(2003,05,11)</f>
        <v>0</v>
      </c>
      <c r="AB940" s="4">
        <v>63.250999999999998</v>
      </c>
      <c r="AC940" s="3">
        <v>180</v>
      </c>
      <c r="AD940" s="8">
        <v>1652339</v>
      </c>
      <c r="AE940" s="1" t="s">
        <v>51</v>
      </c>
      <c r="AF940" s="1" t="s">
        <v>47</v>
      </c>
      <c r="AG940" s="1" t="s">
        <v>51</v>
      </c>
      <c r="AH940" s="1"/>
      <c r="AI940" s="1"/>
      <c r="AJ940" s="3">
        <v>1</v>
      </c>
      <c r="AK940" s="1" t="s">
        <v>52</v>
      </c>
      <c r="AL940" s="3">
        <v>1</v>
      </c>
      <c r="AM940" s="8">
        <v>8.5</v>
      </c>
      <c r="AN940" s="1"/>
      <c r="AO940" s="1" t="s">
        <v>3236</v>
      </c>
      <c r="AP940" s="1" t="s">
        <v>3236</v>
      </c>
      <c r="AQ940" s="1" t="s">
        <v>3236</v>
      </c>
      <c r="AR940" s="1" t="s">
        <v>5791</v>
      </c>
    </row>
    <row r="941">
      <c r="A941" s="2">
        <f ca="1">DATE(2002,05,23)</f>
        <v>0</v>
      </c>
      <c r="B941" s="2">
        <f ca="1">DATE(2002,11,14)</f>
        <v>0</v>
      </c>
      <c r="C941" s="1" t="s">
        <v>5792</v>
      </c>
      <c r="D941" s="3">
        <v>3089</v>
      </c>
      <c r="E941" s="1" t="s">
        <v>43</v>
      </c>
      <c r="F941" s="1" t="s">
        <v>5793</v>
      </c>
      <c r="G941" s="1" t="s">
        <v>5794</v>
      </c>
      <c r="H941" s="4">
        <v>0.83999999999999997</v>
      </c>
      <c r="I941" s="8">
        <v>7</v>
      </c>
      <c r="J941" s="5">
        <v>126</v>
      </c>
      <c r="K941" s="4">
        <v>12</v>
      </c>
      <c r="L941" s="1" t="s">
        <v>46</v>
      </c>
      <c r="M941" s="1" t="s">
        <v>47</v>
      </c>
      <c r="N941" s="1" t="s">
        <v>5795</v>
      </c>
      <c r="O941" s="1" t="s">
        <v>48</v>
      </c>
      <c r="P941" s="1" t="s">
        <v>5796</v>
      </c>
      <c r="Q941" s="4">
        <v>1.3999999999999999</v>
      </c>
      <c r="R941" s="4">
        <v>1.05</v>
      </c>
      <c r="S941" s="8">
        <v>4.5499999999999998</v>
      </c>
      <c r="T941" s="1" t="s">
        <v>50</v>
      </c>
      <c r="U941" s="1"/>
      <c r="V941" s="1"/>
      <c r="W941" s="1"/>
      <c r="X941" s="5">
        <v>127.5</v>
      </c>
      <c r="Y941" s="1"/>
      <c r="Z941" s="7">
        <v>10500000</v>
      </c>
      <c r="AA941" s="2">
        <f ca="1">DATE(2003,05,13)</f>
        <v>0</v>
      </c>
      <c r="AB941" s="4">
        <v>12.613</v>
      </c>
      <c r="AC941" s="3">
        <v>180</v>
      </c>
      <c r="AD941" s="8">
        <v>1515000</v>
      </c>
      <c r="AE941" s="1" t="s">
        <v>51</v>
      </c>
      <c r="AF941" s="1" t="s">
        <v>51</v>
      </c>
      <c r="AG941" s="1" t="s">
        <v>51</v>
      </c>
      <c r="AH941" s="1" t="s">
        <v>5797</v>
      </c>
      <c r="AI941" s="1" t="s">
        <v>5798</v>
      </c>
      <c r="AJ941" s="3">
        <v>2</v>
      </c>
      <c r="AK941" s="1" t="s">
        <v>89</v>
      </c>
      <c r="AL941" s="3">
        <v>3</v>
      </c>
      <c r="AM941" s="8">
        <v>11.85</v>
      </c>
      <c r="AN941" s="1"/>
      <c r="AO941" s="1" t="s">
        <v>5799</v>
      </c>
      <c r="AP941" s="1" t="s">
        <v>5800</v>
      </c>
      <c r="AQ941" s="1" t="s">
        <v>5801</v>
      </c>
      <c r="AR941" s="1" t="s">
        <v>5802</v>
      </c>
    </row>
    <row r="942">
      <c r="A942" s="2">
        <f ca="1">DATE(2002,06,04)</f>
        <v>0</v>
      </c>
      <c r="B942" s="2">
        <f ca="1">DATE(2002,11,19)</f>
        <v>0</v>
      </c>
      <c r="C942" s="1" t="s">
        <v>5803</v>
      </c>
      <c r="D942" s="3">
        <v>7372</v>
      </c>
      <c r="E942" s="1" t="s">
        <v>43</v>
      </c>
      <c r="F942" s="1" t="s">
        <v>5804</v>
      </c>
      <c r="G942" s="1" t="s">
        <v>789</v>
      </c>
      <c r="H942" s="4">
        <v>1.05</v>
      </c>
      <c r="I942" s="4">
        <v>7</v>
      </c>
      <c r="J942" s="5">
        <v>32.799999999999997</v>
      </c>
      <c r="K942" s="4">
        <v>15</v>
      </c>
      <c r="L942" s="1" t="s">
        <v>46</v>
      </c>
      <c r="M942" s="1" t="s">
        <v>47</v>
      </c>
      <c r="N942" s="1" t="s">
        <v>5805</v>
      </c>
      <c r="O942" s="1" t="s">
        <v>48</v>
      </c>
      <c r="P942" s="1" t="s">
        <v>5806</v>
      </c>
      <c r="Q942" s="4">
        <v>1.3999999999999999</v>
      </c>
      <c r="R942" s="4">
        <v>1.3999999999999999</v>
      </c>
      <c r="S942" s="8">
        <v>4.2000000000000002</v>
      </c>
      <c r="T942" s="1" t="s">
        <v>50</v>
      </c>
      <c r="U942" s="1"/>
      <c r="V942" s="1"/>
      <c r="W942" s="1"/>
      <c r="X942" s="5">
        <v>43</v>
      </c>
      <c r="Y942" s="7">
        <v>1875000</v>
      </c>
      <c r="Z942" s="7">
        <v>312500</v>
      </c>
      <c r="AA942" s="2">
        <f ca="1">DATE(2003,05,18)</f>
        <v>0</v>
      </c>
      <c r="AB942" s="4">
        <v>71.721000000000004</v>
      </c>
      <c r="AC942" s="3">
        <v>180</v>
      </c>
      <c r="AD942" s="8">
        <v>6588450</v>
      </c>
      <c r="AE942" s="1" t="s">
        <v>51</v>
      </c>
      <c r="AF942" s="1" t="s">
        <v>51</v>
      </c>
      <c r="AG942" s="1" t="s">
        <v>47</v>
      </c>
      <c r="AH942" s="1"/>
      <c r="AI942" s="1"/>
      <c r="AJ942" s="3">
        <v>1</v>
      </c>
      <c r="AK942" s="1" t="s">
        <v>52</v>
      </c>
      <c r="AL942" s="3">
        <v>3</v>
      </c>
      <c r="AM942" s="8">
        <v>17.719999999999999</v>
      </c>
      <c r="AN942" s="1"/>
      <c r="AO942" s="1" t="s">
        <v>5807</v>
      </c>
      <c r="AP942" s="1" t="s">
        <v>789</v>
      </c>
      <c r="AQ942" s="1" t="s">
        <v>5808</v>
      </c>
      <c r="AR942" s="1" t="s">
        <v>5809</v>
      </c>
    </row>
    <row r="943">
      <c r="A943" s="2">
        <f ca="1">DATE(2002,04,17)</f>
        <v>0</v>
      </c>
      <c r="B943" s="2">
        <f ca="1">DATE(2002,11,21)</f>
        <v>0</v>
      </c>
      <c r="C943" s="1" t="s">
        <v>5810</v>
      </c>
      <c r="D943" s="3">
        <v>5812</v>
      </c>
      <c r="E943" s="1" t="s">
        <v>43</v>
      </c>
      <c r="F943" s="1" t="s">
        <v>5811</v>
      </c>
      <c r="G943" s="1" t="s">
        <v>2938</v>
      </c>
      <c r="H943" s="4">
        <v>0.48999999999999999</v>
      </c>
      <c r="I943" s="8">
        <v>7</v>
      </c>
      <c r="J943" s="5">
        <v>38.899999999999999</v>
      </c>
      <c r="K943" s="4">
        <v>7</v>
      </c>
      <c r="L943" s="1" t="s">
        <v>46</v>
      </c>
      <c r="M943" s="1" t="s">
        <v>47</v>
      </c>
      <c r="N943" s="1" t="s">
        <v>5812</v>
      </c>
      <c r="O943" s="1" t="s">
        <v>48</v>
      </c>
      <c r="P943" s="1" t="s">
        <v>5813</v>
      </c>
      <c r="Q943" s="4">
        <v>1.4290000000000001</v>
      </c>
      <c r="R943" s="4">
        <v>1.714</v>
      </c>
      <c r="S943" s="6">
        <v>3.8571399999999998</v>
      </c>
      <c r="T943" s="1" t="s">
        <v>50</v>
      </c>
      <c r="U943" s="1"/>
      <c r="V943" s="1"/>
      <c r="W943" s="1"/>
      <c r="X943" s="5">
        <v>51</v>
      </c>
      <c r="Y943" s="7">
        <v>5555556</v>
      </c>
      <c r="Z943" s="1"/>
      <c r="AA943" s="2">
        <f ca="1">DATE(2003,05,20)</f>
        <v>0</v>
      </c>
      <c r="AB943" s="4">
        <v>66.469999999999999</v>
      </c>
      <c r="AC943" s="3">
        <v>180</v>
      </c>
      <c r="AD943" s="8">
        <v>11013228</v>
      </c>
      <c r="AE943" s="1" t="s">
        <v>51</v>
      </c>
      <c r="AF943" s="1" t="s">
        <v>51</v>
      </c>
      <c r="AG943" s="1" t="s">
        <v>47</v>
      </c>
      <c r="AH943" s="1"/>
      <c r="AI943" s="1"/>
      <c r="AJ943" s="3">
        <v>1</v>
      </c>
      <c r="AK943" s="1" t="s">
        <v>52</v>
      </c>
      <c r="AL943" s="3">
        <v>1</v>
      </c>
      <c r="AM943" s="8">
        <v>7.5999999999999996</v>
      </c>
      <c r="AN943" s="1"/>
      <c r="AO943" s="1" t="s">
        <v>5814</v>
      </c>
      <c r="AP943" s="1" t="s">
        <v>2938</v>
      </c>
      <c r="AQ943" s="1" t="s">
        <v>2938</v>
      </c>
      <c r="AR943" s="1" t="s">
        <v>5815</v>
      </c>
    </row>
    <row r="944">
      <c r="A944" s="2">
        <f ca="1">DATE(2002,10,04)</f>
        <v>0</v>
      </c>
      <c r="B944" s="2">
        <f ca="1">DATE(2002,11,21)</f>
        <v>0</v>
      </c>
      <c r="C944" s="1" t="s">
        <v>5816</v>
      </c>
      <c r="D944" s="3">
        <v>6726</v>
      </c>
      <c r="E944" s="1" t="s">
        <v>43</v>
      </c>
      <c r="F944" s="1" t="s">
        <v>5817</v>
      </c>
      <c r="G944" s="1" t="s">
        <v>4332</v>
      </c>
      <c r="H944" s="4">
        <v>0.67500000000000004</v>
      </c>
      <c r="I944" s="4">
        <v>4.5</v>
      </c>
      <c r="J944" s="5">
        <v>81.799999999999997</v>
      </c>
      <c r="K944" s="4">
        <v>15</v>
      </c>
      <c r="L944" s="1" t="s">
        <v>46</v>
      </c>
      <c r="M944" s="1" t="s">
        <v>47</v>
      </c>
      <c r="N944" s="3">
        <v>670651108</v>
      </c>
      <c r="O944" s="1" t="s">
        <v>87</v>
      </c>
      <c r="P944" s="1" t="s">
        <v>5818</v>
      </c>
      <c r="Q944" s="1" t="s">
        <v>145</v>
      </c>
      <c r="R944" s="1" t="s">
        <v>145</v>
      </c>
      <c r="S944" s="1"/>
      <c r="T944" s="1" t="s">
        <v>50</v>
      </c>
      <c r="U944" s="8">
        <v>15</v>
      </c>
      <c r="V944" s="8">
        <v>15</v>
      </c>
      <c r="W944" s="7">
        <v>1000</v>
      </c>
      <c r="X944" s="5">
        <v>0</v>
      </c>
      <c r="Y944" s="7">
        <v>5450000</v>
      </c>
      <c r="Z944" s="1"/>
      <c r="AA944" s="1"/>
      <c r="AB944" s="1"/>
      <c r="AC944" s="1"/>
      <c r="AD944" s="1"/>
      <c r="AE944" s="1" t="s">
        <v>51</v>
      </c>
      <c r="AF944" s="1" t="s">
        <v>51</v>
      </c>
      <c r="AG944" s="1" t="s">
        <v>51</v>
      </c>
      <c r="AH944" s="1"/>
      <c r="AI944" s="1"/>
      <c r="AJ944" s="3">
        <v>1</v>
      </c>
      <c r="AK944" s="1" t="s">
        <v>89</v>
      </c>
      <c r="AL944" s="3">
        <v>9</v>
      </c>
      <c r="AM944" s="8">
        <v>15</v>
      </c>
      <c r="AN944" s="1"/>
      <c r="AO944" s="1" t="s">
        <v>5819</v>
      </c>
      <c r="AP944" s="1" t="s">
        <v>4336</v>
      </c>
      <c r="AQ944" s="1" t="s">
        <v>5820</v>
      </c>
      <c r="AR944" s="1" t="s">
        <v>5818</v>
      </c>
    </row>
    <row r="945">
      <c r="A945" s="2">
        <f ca="1">DATE(2002,10,04)</f>
        <v>0</v>
      </c>
      <c r="B945" s="2">
        <f ca="1">DATE(2002,11,21)</f>
        <v>0</v>
      </c>
      <c r="C945" s="1" t="s">
        <v>5821</v>
      </c>
      <c r="D945" s="3">
        <v>6726</v>
      </c>
      <c r="E945" s="1" t="s">
        <v>43</v>
      </c>
      <c r="F945" s="1" t="s">
        <v>5822</v>
      </c>
      <c r="G945" s="1" t="s">
        <v>4332</v>
      </c>
      <c r="H945" s="4">
        <v>0.67500000000000004</v>
      </c>
      <c r="I945" s="4">
        <v>4.5</v>
      </c>
      <c r="J945" s="5">
        <v>52.5</v>
      </c>
      <c r="K945" s="4">
        <v>15</v>
      </c>
      <c r="L945" s="1" t="s">
        <v>46</v>
      </c>
      <c r="M945" s="1" t="s">
        <v>47</v>
      </c>
      <c r="N945" s="3">
        <v>670655109</v>
      </c>
      <c r="O945" s="1" t="s">
        <v>87</v>
      </c>
      <c r="P945" s="1" t="s">
        <v>5823</v>
      </c>
      <c r="Q945" s="1" t="s">
        <v>145</v>
      </c>
      <c r="R945" s="1" t="s">
        <v>145</v>
      </c>
      <c r="S945" s="1"/>
      <c r="T945" s="1" t="s">
        <v>50</v>
      </c>
      <c r="U945" s="8">
        <v>15</v>
      </c>
      <c r="V945" s="8">
        <v>15</v>
      </c>
      <c r="W945" s="7">
        <v>1000</v>
      </c>
      <c r="X945" s="5">
        <v>0</v>
      </c>
      <c r="Y945" s="7">
        <v>3500000</v>
      </c>
      <c r="Z945" s="1"/>
      <c r="AA945" s="1"/>
      <c r="AB945" s="1"/>
      <c r="AC945" s="1"/>
      <c r="AD945" s="1"/>
      <c r="AE945" s="1" t="s">
        <v>51</v>
      </c>
      <c r="AF945" s="1" t="s">
        <v>51</v>
      </c>
      <c r="AG945" s="1" t="s">
        <v>51</v>
      </c>
      <c r="AH945" s="1"/>
      <c r="AI945" s="1"/>
      <c r="AJ945" s="3">
        <v>1</v>
      </c>
      <c r="AK945" s="1" t="s">
        <v>89</v>
      </c>
      <c r="AL945" s="3">
        <v>9</v>
      </c>
      <c r="AM945" s="8">
        <v>15</v>
      </c>
      <c r="AN945" s="1"/>
      <c r="AO945" s="1" t="s">
        <v>5824</v>
      </c>
      <c r="AP945" s="1" t="s">
        <v>4336</v>
      </c>
      <c r="AQ945" s="1" t="s">
        <v>5825</v>
      </c>
      <c r="AR945" s="1" t="s">
        <v>5823</v>
      </c>
    </row>
    <row r="946">
      <c r="A946" s="2">
        <f ca="1">DATE(2002,10,04)</f>
        <v>0</v>
      </c>
      <c r="B946" s="2">
        <f ca="1">DATE(2002,11,21)</f>
        <v>0</v>
      </c>
      <c r="C946" s="1" t="s">
        <v>5826</v>
      </c>
      <c r="D946" s="3">
        <v>6726</v>
      </c>
      <c r="E946" s="1" t="s">
        <v>43</v>
      </c>
      <c r="F946" s="1" t="s">
        <v>5827</v>
      </c>
      <c r="G946" s="1" t="s">
        <v>4332</v>
      </c>
      <c r="H946" s="4">
        <v>0.67500000000000004</v>
      </c>
      <c r="I946" s="4">
        <v>4.5</v>
      </c>
      <c r="J946" s="5">
        <v>48.799999999999997</v>
      </c>
      <c r="K946" s="4">
        <v>15</v>
      </c>
      <c r="L946" s="1" t="s">
        <v>46</v>
      </c>
      <c r="M946" s="1" t="s">
        <v>47</v>
      </c>
      <c r="N946" s="3">
        <v>670656107</v>
      </c>
      <c r="O946" s="1" t="s">
        <v>87</v>
      </c>
      <c r="P946" s="1" t="s">
        <v>5828</v>
      </c>
      <c r="Q946" s="1" t="s">
        <v>145</v>
      </c>
      <c r="R946" s="1" t="s">
        <v>145</v>
      </c>
      <c r="S946" s="1"/>
      <c r="T946" s="1" t="s">
        <v>50</v>
      </c>
      <c r="U946" s="8">
        <v>15</v>
      </c>
      <c r="V946" s="8">
        <v>15</v>
      </c>
      <c r="W946" s="7">
        <v>1000</v>
      </c>
      <c r="X946" s="5">
        <v>0</v>
      </c>
      <c r="Y946" s="7">
        <v>3250000</v>
      </c>
      <c r="Z946" s="1"/>
      <c r="AA946" s="1"/>
      <c r="AB946" s="1"/>
      <c r="AC946" s="1"/>
      <c r="AD946" s="1"/>
      <c r="AE946" s="1" t="s">
        <v>51</v>
      </c>
      <c r="AF946" s="1" t="s">
        <v>51</v>
      </c>
      <c r="AG946" s="1" t="s">
        <v>51</v>
      </c>
      <c r="AH946" s="1"/>
      <c r="AI946" s="1"/>
      <c r="AJ946" s="3">
        <v>1</v>
      </c>
      <c r="AK946" s="1" t="s">
        <v>89</v>
      </c>
      <c r="AL946" s="3">
        <v>11</v>
      </c>
      <c r="AM946" s="8">
        <v>15.1</v>
      </c>
      <c r="AN946" s="1"/>
      <c r="AO946" s="1" t="s">
        <v>5829</v>
      </c>
      <c r="AP946" s="1" t="s">
        <v>4336</v>
      </c>
      <c r="AQ946" s="1" t="s">
        <v>5830</v>
      </c>
      <c r="AR946" s="1" t="s">
        <v>5828</v>
      </c>
    </row>
    <row r="947">
      <c r="A947" s="2">
        <f ca="1">DATE(2002,10,04)</f>
        <v>0</v>
      </c>
      <c r="B947" s="2">
        <f ca="1">DATE(2002,11,21)</f>
        <v>0</v>
      </c>
      <c r="C947" s="1" t="s">
        <v>5831</v>
      </c>
      <c r="D947" s="3">
        <v>6726</v>
      </c>
      <c r="E947" s="1" t="s">
        <v>43</v>
      </c>
      <c r="F947" s="1" t="s">
        <v>5832</v>
      </c>
      <c r="G947" s="1" t="s">
        <v>4332</v>
      </c>
      <c r="H947" s="4">
        <v>0.67500000000000004</v>
      </c>
      <c r="I947" s="4">
        <v>4.5</v>
      </c>
      <c r="J947" s="5">
        <v>255</v>
      </c>
      <c r="K947" s="4">
        <v>15</v>
      </c>
      <c r="L947" s="1" t="s">
        <v>46</v>
      </c>
      <c r="M947" s="1" t="s">
        <v>47</v>
      </c>
      <c r="N947" s="3">
        <v>670657105</v>
      </c>
      <c r="O947" s="1" t="s">
        <v>87</v>
      </c>
      <c r="P947" s="1" t="s">
        <v>5833</v>
      </c>
      <c r="Q947" s="1" t="s">
        <v>145</v>
      </c>
      <c r="R947" s="1" t="s">
        <v>145</v>
      </c>
      <c r="S947" s="1"/>
      <c r="T947" s="1" t="s">
        <v>50</v>
      </c>
      <c r="U947" s="8">
        <v>15</v>
      </c>
      <c r="V947" s="8">
        <v>15</v>
      </c>
      <c r="W947" s="7">
        <v>1000</v>
      </c>
      <c r="X947" s="5">
        <v>0</v>
      </c>
      <c r="Y947" s="7">
        <v>17000000</v>
      </c>
      <c r="Z947" s="1"/>
      <c r="AA947" s="1"/>
      <c r="AB947" s="1"/>
      <c r="AC947" s="1"/>
      <c r="AD947" s="1"/>
      <c r="AE947" s="1" t="s">
        <v>51</v>
      </c>
      <c r="AF947" s="1" t="s">
        <v>51</v>
      </c>
      <c r="AG947" s="1" t="s">
        <v>51</v>
      </c>
      <c r="AH947" s="1"/>
      <c r="AI947" s="1"/>
      <c r="AJ947" s="3">
        <v>1</v>
      </c>
      <c r="AK947" s="1" t="s">
        <v>89</v>
      </c>
      <c r="AL947" s="3">
        <v>15</v>
      </c>
      <c r="AM947" s="8">
        <v>15</v>
      </c>
      <c r="AN947" s="1"/>
      <c r="AO947" s="1" t="s">
        <v>5834</v>
      </c>
      <c r="AP947" s="1" t="s">
        <v>4336</v>
      </c>
      <c r="AQ947" s="1" t="s">
        <v>5835</v>
      </c>
      <c r="AR947" s="1" t="s">
        <v>5836</v>
      </c>
    </row>
    <row r="948">
      <c r="A948" s="2">
        <f ca="1">DATE(2002,10,04)</f>
        <v>0</v>
      </c>
      <c r="B948" s="2">
        <f ca="1">DATE(2002,11,21)</f>
        <v>0</v>
      </c>
      <c r="C948" s="1" t="s">
        <v>5837</v>
      </c>
      <c r="D948" s="3">
        <v>6726</v>
      </c>
      <c r="E948" s="1" t="s">
        <v>43</v>
      </c>
      <c r="F948" s="1" t="s">
        <v>5838</v>
      </c>
      <c r="G948" s="1" t="s">
        <v>4332</v>
      </c>
      <c r="H948" s="4">
        <v>0.67500000000000004</v>
      </c>
      <c r="I948" s="4">
        <v>4.5</v>
      </c>
      <c r="J948" s="5">
        <v>36.799999999999997</v>
      </c>
      <c r="K948" s="4">
        <v>15</v>
      </c>
      <c r="L948" s="1" t="s">
        <v>46</v>
      </c>
      <c r="M948" s="1" t="s">
        <v>47</v>
      </c>
      <c r="N948" s="1" t="s">
        <v>5839</v>
      </c>
      <c r="O948" s="1" t="s">
        <v>87</v>
      </c>
      <c r="P948" s="1" t="s">
        <v>5840</v>
      </c>
      <c r="Q948" s="1" t="s">
        <v>145</v>
      </c>
      <c r="R948" s="1" t="s">
        <v>145</v>
      </c>
      <c r="S948" s="1"/>
      <c r="T948" s="1" t="s">
        <v>50</v>
      </c>
      <c r="U948" s="8">
        <v>15</v>
      </c>
      <c r="V948" s="8">
        <v>15</v>
      </c>
      <c r="W948" s="7">
        <v>1000</v>
      </c>
      <c r="X948" s="5">
        <v>0</v>
      </c>
      <c r="Y948" s="7">
        <v>2450000</v>
      </c>
      <c r="Z948" s="1"/>
      <c r="AA948" s="1"/>
      <c r="AB948" s="1"/>
      <c r="AC948" s="1"/>
      <c r="AD948" s="1"/>
      <c r="AE948" s="1" t="s">
        <v>51</v>
      </c>
      <c r="AF948" s="1" t="s">
        <v>51</v>
      </c>
      <c r="AG948" s="1" t="s">
        <v>51</v>
      </c>
      <c r="AH948" s="1"/>
      <c r="AI948" s="1"/>
      <c r="AJ948" s="3">
        <v>1</v>
      </c>
      <c r="AK948" s="1" t="s">
        <v>89</v>
      </c>
      <c r="AL948" s="3">
        <v>10</v>
      </c>
      <c r="AM948" s="8">
        <v>15</v>
      </c>
      <c r="AN948" s="1"/>
      <c r="AO948" s="1" t="s">
        <v>5841</v>
      </c>
      <c r="AP948" s="1" t="s">
        <v>4336</v>
      </c>
      <c r="AQ948" s="1" t="s">
        <v>5842</v>
      </c>
      <c r="AR948" s="1" t="s">
        <v>5840</v>
      </c>
    </row>
    <row r="949">
      <c r="A949" s="2">
        <f ca="1">DATE(2002,04,26)</f>
        <v>0</v>
      </c>
      <c r="B949" s="2">
        <f ca="1">DATE(2002,11,21)</f>
        <v>0</v>
      </c>
      <c r="C949" s="1" t="s">
        <v>5843</v>
      </c>
      <c r="D949" s="3">
        <v>6331</v>
      </c>
      <c r="E949" s="1" t="s">
        <v>43</v>
      </c>
      <c r="F949" s="1" t="s">
        <v>5844</v>
      </c>
      <c r="G949" s="1" t="s">
        <v>168</v>
      </c>
      <c r="H949" s="4">
        <v>0.83999999999999997</v>
      </c>
      <c r="I949" s="8">
        <v>7</v>
      </c>
      <c r="J949" s="5">
        <v>72</v>
      </c>
      <c r="K949" s="4">
        <v>12</v>
      </c>
      <c r="L949" s="1" t="s">
        <v>46</v>
      </c>
      <c r="M949" s="1" t="s">
        <v>47</v>
      </c>
      <c r="N949" s="1" t="s">
        <v>5845</v>
      </c>
      <c r="O949" s="1" t="s">
        <v>48</v>
      </c>
      <c r="P949" s="1" t="s">
        <v>5846</v>
      </c>
      <c r="Q949" s="4">
        <v>1.3999999999999999</v>
      </c>
      <c r="R949" s="4">
        <v>1.3999999999999999</v>
      </c>
      <c r="S949" s="8">
        <v>4.2000000000000002</v>
      </c>
      <c r="T949" s="1" t="s">
        <v>50</v>
      </c>
      <c r="U949" s="1"/>
      <c r="V949" s="1"/>
      <c r="W949" s="1"/>
      <c r="X949" s="5">
        <v>100</v>
      </c>
      <c r="Y949" s="7">
        <v>6000000</v>
      </c>
      <c r="Z949" s="1"/>
      <c r="AA949" s="2">
        <f ca="1">DATE(2003,05,20)</f>
        <v>0</v>
      </c>
      <c r="AB949" s="4">
        <v>55.896000000000001</v>
      </c>
      <c r="AC949" s="3">
        <v>180</v>
      </c>
      <c r="AD949" s="8">
        <v>8026665</v>
      </c>
      <c r="AE949" s="1" t="s">
        <v>51</v>
      </c>
      <c r="AF949" s="1" t="s">
        <v>51</v>
      </c>
      <c r="AG949" s="1" t="s">
        <v>51</v>
      </c>
      <c r="AH949" s="1"/>
      <c r="AI949" s="1"/>
      <c r="AJ949" s="3">
        <v>1</v>
      </c>
      <c r="AK949" s="1" t="s">
        <v>89</v>
      </c>
      <c r="AL949" s="3">
        <v>2</v>
      </c>
      <c r="AM949" s="8">
        <v>12.9</v>
      </c>
      <c r="AN949" s="1"/>
      <c r="AO949" s="1" t="s">
        <v>5847</v>
      </c>
      <c r="AP949" s="1" t="s">
        <v>5848</v>
      </c>
      <c r="AQ949" s="1" t="s">
        <v>5849</v>
      </c>
      <c r="AR949" s="1" t="s">
        <v>5850</v>
      </c>
    </row>
    <row r="950">
      <c r="A950" s="2">
        <f ca="1">DATE(2002,09,23)</f>
        <v>0</v>
      </c>
      <c r="B950" s="2">
        <f ca="1">DATE(2002,11,25)</f>
        <v>0</v>
      </c>
      <c r="C950" s="1" t="s">
        <v>5851</v>
      </c>
      <c r="D950" s="3">
        <v>6726</v>
      </c>
      <c r="E950" s="1" t="s">
        <v>43</v>
      </c>
      <c r="F950" s="1" t="s">
        <v>5852</v>
      </c>
      <c r="G950" s="1" t="s">
        <v>45</v>
      </c>
      <c r="H950" s="4">
        <v>0.67500000000000004</v>
      </c>
      <c r="I950" s="4">
        <v>4.5</v>
      </c>
      <c r="J950" s="5">
        <v>56.299999999999997</v>
      </c>
      <c r="K950" s="4">
        <v>15</v>
      </c>
      <c r="L950" s="1" t="s">
        <v>46</v>
      </c>
      <c r="M950" s="1" t="s">
        <v>47</v>
      </c>
      <c r="N950" s="1" t="s">
        <v>5853</v>
      </c>
      <c r="O950" s="1" t="s">
        <v>87</v>
      </c>
      <c r="P950" s="1" t="s">
        <v>5854</v>
      </c>
      <c r="Q950" s="4">
        <v>0.96699999999999997</v>
      </c>
      <c r="R950" s="4">
        <v>0.53300000000000003</v>
      </c>
      <c r="S950" s="8">
        <v>3</v>
      </c>
      <c r="T950" s="1" t="s">
        <v>50</v>
      </c>
      <c r="U950" s="8">
        <v>15</v>
      </c>
      <c r="V950" s="8">
        <v>15</v>
      </c>
      <c r="W950" s="7">
        <v>1000</v>
      </c>
      <c r="X950" s="5">
        <v>0</v>
      </c>
      <c r="Y950" s="7">
        <v>3750000</v>
      </c>
      <c r="Z950" s="1"/>
      <c r="AA950" s="1"/>
      <c r="AB950" s="1"/>
      <c r="AC950" s="1"/>
      <c r="AD950" s="1"/>
      <c r="AE950" s="1" t="s">
        <v>51</v>
      </c>
      <c r="AF950" s="1" t="s">
        <v>51</v>
      </c>
      <c r="AG950" s="1" t="s">
        <v>51</v>
      </c>
      <c r="AH950" s="1"/>
      <c r="AI950" s="1"/>
      <c r="AJ950" s="3">
        <v>1</v>
      </c>
      <c r="AK950" s="1" t="s">
        <v>52</v>
      </c>
      <c r="AL950" s="3">
        <v>11</v>
      </c>
      <c r="AM950" s="8">
        <v>15</v>
      </c>
      <c r="AN950" s="1"/>
      <c r="AO950" s="1" t="s">
        <v>5855</v>
      </c>
      <c r="AP950" s="1" t="s">
        <v>45</v>
      </c>
      <c r="AQ950" s="1" t="s">
        <v>5856</v>
      </c>
      <c r="AR950" s="1" t="s">
        <v>5857</v>
      </c>
    </row>
    <row r="951">
      <c r="A951" s="2">
        <f ca="1">DATE(2002,10,08)</f>
        <v>0</v>
      </c>
      <c r="B951" s="2">
        <f ca="1">DATE(2002,11,25)</f>
        <v>0</v>
      </c>
      <c r="C951" s="1" t="s">
        <v>5858</v>
      </c>
      <c r="D951" s="3">
        <v>6726</v>
      </c>
      <c r="E951" s="1" t="s">
        <v>43</v>
      </c>
      <c r="F951" s="1" t="s">
        <v>5859</v>
      </c>
      <c r="G951" s="1" t="s">
        <v>1583</v>
      </c>
      <c r="H951" s="4">
        <v>0.67500000000000004</v>
      </c>
      <c r="I951" s="4">
        <v>4.5</v>
      </c>
      <c r="J951" s="5">
        <v>136.5</v>
      </c>
      <c r="K951" s="4">
        <v>15</v>
      </c>
      <c r="L951" s="1" t="s">
        <v>4422</v>
      </c>
      <c r="M951" s="1" t="s">
        <v>47</v>
      </c>
      <c r="N951" s="1" t="s">
        <v>5860</v>
      </c>
      <c r="O951" s="1" t="s">
        <v>87</v>
      </c>
      <c r="P951" s="1" t="s">
        <v>5861</v>
      </c>
      <c r="Q951" s="4">
        <v>0.93300000000000005</v>
      </c>
      <c r="R951" s="4">
        <v>0.56699999999999995</v>
      </c>
      <c r="S951" s="8">
        <v>3</v>
      </c>
      <c r="T951" s="1" t="s">
        <v>50</v>
      </c>
      <c r="U951" s="8">
        <v>15</v>
      </c>
      <c r="V951" s="8">
        <v>15</v>
      </c>
      <c r="W951" s="7">
        <v>66667</v>
      </c>
      <c r="X951" s="5">
        <v>1</v>
      </c>
      <c r="Y951" s="7">
        <v>9100000</v>
      </c>
      <c r="Z951" s="1"/>
      <c r="AA951" s="2">
        <f ca="1">DATE(2003,05,24)</f>
        <v>0</v>
      </c>
      <c r="AB951" s="1"/>
      <c r="AC951" s="3">
        <v>180</v>
      </c>
      <c r="AD951" s="1"/>
      <c r="AE951" s="1" t="s">
        <v>51</v>
      </c>
      <c r="AF951" s="1" t="s">
        <v>51</v>
      </c>
      <c r="AG951" s="1" t="s">
        <v>51</v>
      </c>
      <c r="AH951" s="1"/>
      <c r="AI951" s="1"/>
      <c r="AJ951" s="3">
        <v>1</v>
      </c>
      <c r="AK951" s="1" t="s">
        <v>89</v>
      </c>
      <c r="AL951" s="3">
        <v>11</v>
      </c>
      <c r="AM951" s="8">
        <v>15</v>
      </c>
      <c r="AN951" s="1"/>
      <c r="AO951" s="1" t="s">
        <v>5862</v>
      </c>
      <c r="AP951" s="1" t="s">
        <v>5352</v>
      </c>
      <c r="AQ951" s="1" t="s">
        <v>5863</v>
      </c>
      <c r="AR951" s="1" t="s">
        <v>5864</v>
      </c>
    </row>
    <row r="952">
      <c r="A952" s="2">
        <f ca="1">DATE(2002,10,08)</f>
        <v>0</v>
      </c>
      <c r="B952" s="2">
        <f ca="1">DATE(2002,11,25)</f>
        <v>0</v>
      </c>
      <c r="C952" s="1" t="s">
        <v>5865</v>
      </c>
      <c r="D952" s="3">
        <v>6726</v>
      </c>
      <c r="E952" s="1" t="s">
        <v>43</v>
      </c>
      <c r="F952" s="1" t="s">
        <v>5866</v>
      </c>
      <c r="G952" s="1" t="s">
        <v>1583</v>
      </c>
      <c r="H952" s="4">
        <v>0.67500000000000004</v>
      </c>
      <c r="I952" s="4">
        <v>4.5</v>
      </c>
      <c r="J952" s="5">
        <v>53.299999999999997</v>
      </c>
      <c r="K952" s="4">
        <v>15</v>
      </c>
      <c r="L952" s="1" t="s">
        <v>4422</v>
      </c>
      <c r="M952" s="1" t="s">
        <v>47</v>
      </c>
      <c r="N952" s="1" t="s">
        <v>5867</v>
      </c>
      <c r="O952" s="1" t="s">
        <v>87</v>
      </c>
      <c r="P952" s="1" t="s">
        <v>5868</v>
      </c>
      <c r="Q952" s="4">
        <v>0.93300000000000005</v>
      </c>
      <c r="R952" s="4">
        <v>0.56699999999999995</v>
      </c>
      <c r="S952" s="8">
        <v>3</v>
      </c>
      <c r="T952" s="1" t="s">
        <v>50</v>
      </c>
      <c r="U952" s="8">
        <v>15</v>
      </c>
      <c r="V952" s="8">
        <v>15</v>
      </c>
      <c r="W952" s="7">
        <v>66667</v>
      </c>
      <c r="X952" s="5">
        <v>1</v>
      </c>
      <c r="Y952" s="7">
        <v>3550000</v>
      </c>
      <c r="Z952" s="1"/>
      <c r="AA952" s="1"/>
      <c r="AB952" s="1"/>
      <c r="AC952" s="1"/>
      <c r="AD952" s="1"/>
      <c r="AE952" s="1" t="s">
        <v>51</v>
      </c>
      <c r="AF952" s="1" t="s">
        <v>51</v>
      </c>
      <c r="AG952" s="1" t="s">
        <v>51</v>
      </c>
      <c r="AH952" s="1"/>
      <c r="AI952" s="1"/>
      <c r="AJ952" s="3">
        <v>1</v>
      </c>
      <c r="AK952" s="1" t="s">
        <v>89</v>
      </c>
      <c r="AL952" s="3">
        <v>2</v>
      </c>
      <c r="AM952" s="8">
        <v>15</v>
      </c>
      <c r="AN952" s="1"/>
      <c r="AO952" s="1" t="s">
        <v>5869</v>
      </c>
      <c r="AP952" s="1" t="s">
        <v>5352</v>
      </c>
      <c r="AQ952" s="1" t="s">
        <v>5870</v>
      </c>
      <c r="AR952" s="1" t="s">
        <v>5871</v>
      </c>
    </row>
    <row r="953">
      <c r="A953" s="2">
        <f ca="1">DATE(2002,10,09)</f>
        <v>0</v>
      </c>
      <c r="B953" s="2">
        <f ca="1">DATE(2002,11,25)</f>
        <v>0</v>
      </c>
      <c r="C953" s="1" t="s">
        <v>5872</v>
      </c>
      <c r="D953" s="3">
        <v>6726</v>
      </c>
      <c r="E953" s="1" t="s">
        <v>43</v>
      </c>
      <c r="F953" s="1" t="s">
        <v>5873</v>
      </c>
      <c r="G953" s="1" t="s">
        <v>1583</v>
      </c>
      <c r="H953" s="4">
        <v>0.67500000000000004</v>
      </c>
      <c r="I953" s="4">
        <v>4.5</v>
      </c>
      <c r="J953" s="5">
        <v>34.5</v>
      </c>
      <c r="K953" s="4">
        <v>15</v>
      </c>
      <c r="L953" s="1" t="s">
        <v>4422</v>
      </c>
      <c r="M953" s="1" t="s">
        <v>47</v>
      </c>
      <c r="N953" s="1" t="s">
        <v>5874</v>
      </c>
      <c r="O953" s="1" t="s">
        <v>87</v>
      </c>
      <c r="P953" s="1" t="s">
        <v>5875</v>
      </c>
      <c r="Q953" s="4">
        <v>0.93300000000000005</v>
      </c>
      <c r="R953" s="4">
        <v>0.56699999999999995</v>
      </c>
      <c r="S953" s="8">
        <v>3</v>
      </c>
      <c r="T953" s="1" t="s">
        <v>50</v>
      </c>
      <c r="U953" s="8">
        <v>15</v>
      </c>
      <c r="V953" s="8">
        <v>15</v>
      </c>
      <c r="W953" s="7">
        <v>66667</v>
      </c>
      <c r="X953" s="5">
        <v>1</v>
      </c>
      <c r="Y953" s="7">
        <v>2300000</v>
      </c>
      <c r="Z953" s="1"/>
      <c r="AA953" s="1"/>
      <c r="AB953" s="1"/>
      <c r="AC953" s="1"/>
      <c r="AD953" s="1"/>
      <c r="AE953" s="1" t="s">
        <v>51</v>
      </c>
      <c r="AF953" s="1" t="s">
        <v>51</v>
      </c>
      <c r="AG953" s="1" t="s">
        <v>51</v>
      </c>
      <c r="AH953" s="1"/>
      <c r="AI953" s="1"/>
      <c r="AJ953" s="3">
        <v>1</v>
      </c>
      <c r="AK953" s="1" t="s">
        <v>89</v>
      </c>
      <c r="AL953" s="3">
        <v>9</v>
      </c>
      <c r="AM953" s="8">
        <v>15.01</v>
      </c>
      <c r="AN953" s="1"/>
      <c r="AO953" s="1" t="s">
        <v>5876</v>
      </c>
      <c r="AP953" s="1" t="s">
        <v>5352</v>
      </c>
      <c r="AQ953" s="1" t="s">
        <v>5877</v>
      </c>
      <c r="AR953" s="1" t="s">
        <v>5878</v>
      </c>
    </row>
    <row r="954">
      <c r="A954" s="2">
        <f ca="1">DATE(2002,10,09)</f>
        <v>0</v>
      </c>
      <c r="B954" s="2">
        <f ca="1">DATE(2002,11,25)</f>
        <v>0</v>
      </c>
      <c r="C954" s="1" t="s">
        <v>5879</v>
      </c>
      <c r="D954" s="3">
        <v>6726</v>
      </c>
      <c r="E954" s="1" t="s">
        <v>43</v>
      </c>
      <c r="F954" s="1" t="s">
        <v>5880</v>
      </c>
      <c r="G954" s="1" t="s">
        <v>1583</v>
      </c>
      <c r="H954" s="4">
        <v>0.67500000000000004</v>
      </c>
      <c r="I954" s="4">
        <v>4.5</v>
      </c>
      <c r="J954" s="5">
        <v>23.300000000000001</v>
      </c>
      <c r="K954" s="4">
        <v>15</v>
      </c>
      <c r="L954" s="1" t="s">
        <v>4422</v>
      </c>
      <c r="M954" s="1" t="s">
        <v>47</v>
      </c>
      <c r="N954" s="1" t="s">
        <v>5881</v>
      </c>
      <c r="O954" s="1" t="s">
        <v>87</v>
      </c>
      <c r="P954" s="1" t="s">
        <v>5882</v>
      </c>
      <c r="Q954" s="4">
        <v>0.93300000000000005</v>
      </c>
      <c r="R954" s="4">
        <v>0.56699999999999995</v>
      </c>
      <c r="S954" s="8">
        <v>3</v>
      </c>
      <c r="T954" s="1" t="s">
        <v>50</v>
      </c>
      <c r="U954" s="8">
        <v>15</v>
      </c>
      <c r="V954" s="8">
        <v>15</v>
      </c>
      <c r="W954" s="7">
        <v>66667</v>
      </c>
      <c r="X954" s="5">
        <v>1</v>
      </c>
      <c r="Y954" s="7">
        <v>1550000</v>
      </c>
      <c r="Z954" s="1"/>
      <c r="AA954" s="1"/>
      <c r="AB954" s="1"/>
      <c r="AC954" s="1"/>
      <c r="AD954" s="1"/>
      <c r="AE954" s="1" t="s">
        <v>51</v>
      </c>
      <c r="AF954" s="1" t="s">
        <v>51</v>
      </c>
      <c r="AG954" s="1" t="s">
        <v>51</v>
      </c>
      <c r="AH954" s="1"/>
      <c r="AI954" s="1"/>
      <c r="AJ954" s="3">
        <v>1</v>
      </c>
      <c r="AK954" s="1" t="s">
        <v>89</v>
      </c>
      <c r="AL954" s="3">
        <v>7</v>
      </c>
      <c r="AM954" s="8">
        <v>15.050000000000001</v>
      </c>
      <c r="AN954" s="1"/>
      <c r="AO954" s="1" t="s">
        <v>5883</v>
      </c>
      <c r="AP954" s="1" t="s">
        <v>5352</v>
      </c>
      <c r="AQ954" s="1" t="s">
        <v>5884</v>
      </c>
      <c r="AR954" s="1" t="s">
        <v>5885</v>
      </c>
    </row>
    <row r="955">
      <c r="A955" s="2">
        <f ca="1">DATE(2002,10,09)</f>
        <v>0</v>
      </c>
      <c r="B955" s="2">
        <f ca="1">DATE(2002,11,25)</f>
        <v>0</v>
      </c>
      <c r="C955" s="1" t="s">
        <v>5886</v>
      </c>
      <c r="D955" s="3">
        <v>6726</v>
      </c>
      <c r="E955" s="1" t="s">
        <v>43</v>
      </c>
      <c r="F955" s="1" t="s">
        <v>5887</v>
      </c>
      <c r="G955" s="1" t="s">
        <v>1583</v>
      </c>
      <c r="H955" s="4">
        <v>0.67500000000000004</v>
      </c>
      <c r="I955" s="4">
        <v>4.5</v>
      </c>
      <c r="J955" s="5">
        <v>33.799999999999997</v>
      </c>
      <c r="K955" s="4">
        <v>15</v>
      </c>
      <c r="L955" s="1" t="s">
        <v>4422</v>
      </c>
      <c r="M955" s="1" t="s">
        <v>47</v>
      </c>
      <c r="N955" s="1" t="s">
        <v>5888</v>
      </c>
      <c r="O955" s="1" t="s">
        <v>87</v>
      </c>
      <c r="P955" s="1" t="s">
        <v>5889</v>
      </c>
      <c r="Q955" s="4">
        <v>0.93300000000000005</v>
      </c>
      <c r="R955" s="4">
        <v>0.56699999999999995</v>
      </c>
      <c r="S955" s="8">
        <v>3</v>
      </c>
      <c r="T955" s="1" t="s">
        <v>50</v>
      </c>
      <c r="U955" s="8">
        <v>15</v>
      </c>
      <c r="V955" s="8">
        <v>15</v>
      </c>
      <c r="W955" s="7">
        <v>66667</v>
      </c>
      <c r="X955" s="5">
        <v>1</v>
      </c>
      <c r="Y955" s="7">
        <v>2250000</v>
      </c>
      <c r="Z955" s="1"/>
      <c r="AA955" s="1"/>
      <c r="AB955" s="1"/>
      <c r="AC955" s="1"/>
      <c r="AD955" s="1"/>
      <c r="AE955" s="1" t="s">
        <v>51</v>
      </c>
      <c r="AF955" s="1" t="s">
        <v>51</v>
      </c>
      <c r="AG955" s="1" t="s">
        <v>51</v>
      </c>
      <c r="AH955" s="1"/>
      <c r="AI955" s="1"/>
      <c r="AJ955" s="3">
        <v>1</v>
      </c>
      <c r="AK955" s="1" t="s">
        <v>89</v>
      </c>
      <c r="AL955" s="3">
        <v>9</v>
      </c>
      <c r="AM955" s="8">
        <v>15</v>
      </c>
      <c r="AN955" s="1"/>
      <c r="AO955" s="1" t="s">
        <v>5890</v>
      </c>
      <c r="AP955" s="1" t="s">
        <v>5352</v>
      </c>
      <c r="AQ955" s="1" t="s">
        <v>5891</v>
      </c>
      <c r="AR955" s="1" t="s">
        <v>5892</v>
      </c>
    </row>
    <row r="956">
      <c r="A956" s="2">
        <f ca="1">DATE(2002,10,09)</f>
        <v>0</v>
      </c>
      <c r="B956" s="2">
        <f ca="1">DATE(2002,11,25)</f>
        <v>0</v>
      </c>
      <c r="C956" s="1" t="s">
        <v>5893</v>
      </c>
      <c r="D956" s="3">
        <v>6726</v>
      </c>
      <c r="E956" s="1" t="s">
        <v>43</v>
      </c>
      <c r="F956" s="1" t="s">
        <v>5894</v>
      </c>
      <c r="G956" s="1" t="s">
        <v>1583</v>
      </c>
      <c r="H956" s="4">
        <v>0.67500000000000004</v>
      </c>
      <c r="I956" s="4">
        <v>4.5</v>
      </c>
      <c r="J956" s="5">
        <v>20.300000000000001</v>
      </c>
      <c r="K956" s="4">
        <v>15</v>
      </c>
      <c r="L956" s="1" t="s">
        <v>4422</v>
      </c>
      <c r="M956" s="1" t="s">
        <v>47</v>
      </c>
      <c r="N956" s="1" t="s">
        <v>5895</v>
      </c>
      <c r="O956" s="1" t="s">
        <v>87</v>
      </c>
      <c r="P956" s="1" t="s">
        <v>5896</v>
      </c>
      <c r="Q956" s="4">
        <v>0.93300000000000005</v>
      </c>
      <c r="R956" s="4">
        <v>0.56699999999999995</v>
      </c>
      <c r="S956" s="8">
        <v>3</v>
      </c>
      <c r="T956" s="1" t="s">
        <v>50</v>
      </c>
      <c r="U956" s="8">
        <v>15</v>
      </c>
      <c r="V956" s="8">
        <v>15</v>
      </c>
      <c r="W956" s="7">
        <v>66667</v>
      </c>
      <c r="X956" s="5">
        <v>1</v>
      </c>
      <c r="Y956" s="7">
        <v>1350000</v>
      </c>
      <c r="Z956" s="1"/>
      <c r="AA956" s="2">
        <f ca="1">DATE(2003,05,24)</f>
        <v>0</v>
      </c>
      <c r="AB956" s="1"/>
      <c r="AC956" s="3">
        <v>180</v>
      </c>
      <c r="AD956" s="1"/>
      <c r="AE956" s="1" t="s">
        <v>51</v>
      </c>
      <c r="AF956" s="1" t="s">
        <v>51</v>
      </c>
      <c r="AG956" s="1" t="s">
        <v>51</v>
      </c>
      <c r="AH956" s="1"/>
      <c r="AI956" s="1"/>
      <c r="AJ956" s="3">
        <v>1</v>
      </c>
      <c r="AK956" s="1" t="s">
        <v>89</v>
      </c>
      <c r="AL956" s="3">
        <v>8</v>
      </c>
      <c r="AM956" s="8">
        <v>15.050000000000001</v>
      </c>
      <c r="AN956" s="1"/>
      <c r="AO956" s="1" t="s">
        <v>5897</v>
      </c>
      <c r="AP956" s="1" t="s">
        <v>5352</v>
      </c>
      <c r="AQ956" s="1" t="s">
        <v>5898</v>
      </c>
      <c r="AR956" s="1" t="s">
        <v>5899</v>
      </c>
    </row>
    <row r="957">
      <c r="A957" s="2">
        <f ca="1">DATE(2002,10,09)</f>
        <v>0</v>
      </c>
      <c r="B957" s="2">
        <f ca="1">DATE(2002,11,25)</f>
        <v>0</v>
      </c>
      <c r="C957" s="1" t="s">
        <v>5900</v>
      </c>
      <c r="D957" s="3">
        <v>6726</v>
      </c>
      <c r="E957" s="1" t="s">
        <v>43</v>
      </c>
      <c r="F957" s="1" t="s">
        <v>5901</v>
      </c>
      <c r="G957" s="1" t="s">
        <v>1583</v>
      </c>
      <c r="H957" s="4">
        <v>0.67500000000000004</v>
      </c>
      <c r="I957" s="4">
        <v>4.5</v>
      </c>
      <c r="J957" s="5">
        <v>34.5</v>
      </c>
      <c r="K957" s="4">
        <v>15</v>
      </c>
      <c r="L957" s="1" t="s">
        <v>4422</v>
      </c>
      <c r="M957" s="1" t="s">
        <v>47</v>
      </c>
      <c r="N957" s="1" t="s">
        <v>5902</v>
      </c>
      <c r="O957" s="1" t="s">
        <v>87</v>
      </c>
      <c r="P957" s="1" t="s">
        <v>5903</v>
      </c>
      <c r="Q957" s="4">
        <v>0.93300000000000005</v>
      </c>
      <c r="R957" s="4">
        <v>0.56699999999999995</v>
      </c>
      <c r="S957" s="8">
        <v>3</v>
      </c>
      <c r="T957" s="1" t="s">
        <v>50</v>
      </c>
      <c r="U957" s="8">
        <v>15</v>
      </c>
      <c r="V957" s="8">
        <v>15</v>
      </c>
      <c r="W957" s="7">
        <v>66667</v>
      </c>
      <c r="X957" s="5">
        <v>1</v>
      </c>
      <c r="Y957" s="7">
        <v>2300000</v>
      </c>
      <c r="Z957" s="1"/>
      <c r="AA957" s="1"/>
      <c r="AB957" s="1"/>
      <c r="AC957" s="1"/>
      <c r="AD957" s="1"/>
      <c r="AE957" s="1" t="s">
        <v>51</v>
      </c>
      <c r="AF957" s="1" t="s">
        <v>51</v>
      </c>
      <c r="AG957" s="1" t="s">
        <v>51</v>
      </c>
      <c r="AH957" s="1"/>
      <c r="AI957" s="1"/>
      <c r="AJ957" s="3">
        <v>1</v>
      </c>
      <c r="AK957" s="1" t="s">
        <v>89</v>
      </c>
      <c r="AL957" s="3">
        <v>9</v>
      </c>
      <c r="AM957" s="8">
        <v>15.050000000000001</v>
      </c>
      <c r="AN957" s="1"/>
      <c r="AO957" s="1" t="s">
        <v>5904</v>
      </c>
      <c r="AP957" s="1" t="s">
        <v>5352</v>
      </c>
      <c r="AQ957" s="1" t="s">
        <v>5905</v>
      </c>
      <c r="AR957" s="1" t="s">
        <v>5906</v>
      </c>
    </row>
    <row r="958">
      <c r="A958" s="2">
        <f ca="1">DATE(2002,10,08)</f>
        <v>0</v>
      </c>
      <c r="B958" s="2">
        <f ca="1">DATE(2002,11,25)</f>
        <v>0</v>
      </c>
      <c r="C958" s="1" t="s">
        <v>5907</v>
      </c>
      <c r="D958" s="3">
        <v>6726</v>
      </c>
      <c r="E958" s="1" t="s">
        <v>43</v>
      </c>
      <c r="F958" s="1" t="s">
        <v>5908</v>
      </c>
      <c r="G958" s="1" t="s">
        <v>1583</v>
      </c>
      <c r="H958" s="4">
        <v>0.67500000000000004</v>
      </c>
      <c r="I958" s="4">
        <v>4.5</v>
      </c>
      <c r="J958" s="5">
        <v>36</v>
      </c>
      <c r="K958" s="4">
        <v>15</v>
      </c>
      <c r="L958" s="1" t="s">
        <v>4422</v>
      </c>
      <c r="M958" s="1" t="s">
        <v>47</v>
      </c>
      <c r="N958" s="1" t="s">
        <v>5909</v>
      </c>
      <c r="O958" s="1" t="s">
        <v>87</v>
      </c>
      <c r="P958" s="1" t="s">
        <v>5910</v>
      </c>
      <c r="Q958" s="4">
        <v>0.93300000000000005</v>
      </c>
      <c r="R958" s="4">
        <v>0.56699999999999995</v>
      </c>
      <c r="S958" s="8">
        <v>3</v>
      </c>
      <c r="T958" s="1" t="s">
        <v>50</v>
      </c>
      <c r="U958" s="8">
        <v>15</v>
      </c>
      <c r="V958" s="8">
        <v>15</v>
      </c>
      <c r="W958" s="7">
        <v>66667</v>
      </c>
      <c r="X958" s="5">
        <v>1</v>
      </c>
      <c r="Y958" s="7">
        <v>2400000</v>
      </c>
      <c r="Z958" s="1"/>
      <c r="AA958" s="1"/>
      <c r="AB958" s="1"/>
      <c r="AC958" s="1"/>
      <c r="AD958" s="1"/>
      <c r="AE958" s="1" t="s">
        <v>51</v>
      </c>
      <c r="AF958" s="1" t="s">
        <v>51</v>
      </c>
      <c r="AG958" s="1" t="s">
        <v>51</v>
      </c>
      <c r="AH958" s="1"/>
      <c r="AI958" s="1"/>
      <c r="AJ958" s="3">
        <v>1</v>
      </c>
      <c r="AK958" s="1" t="s">
        <v>89</v>
      </c>
      <c r="AL958" s="3">
        <v>8</v>
      </c>
      <c r="AM958" s="8">
        <v>15</v>
      </c>
      <c r="AN958" s="1"/>
      <c r="AO958" s="1" t="s">
        <v>5911</v>
      </c>
      <c r="AP958" s="1" t="s">
        <v>5352</v>
      </c>
      <c r="AQ958" s="1" t="s">
        <v>5912</v>
      </c>
      <c r="AR958" s="1" t="s">
        <v>5913</v>
      </c>
    </row>
    <row r="959">
      <c r="A959" s="2">
        <f ca="1">DATE(2002,10,09)</f>
        <v>0</v>
      </c>
      <c r="B959" s="2">
        <f ca="1">DATE(2002,11,25)</f>
        <v>0</v>
      </c>
      <c r="C959" s="1" t="s">
        <v>5914</v>
      </c>
      <c r="D959" s="3">
        <v>6726</v>
      </c>
      <c r="E959" s="1" t="s">
        <v>43</v>
      </c>
      <c r="F959" s="1" t="s">
        <v>5915</v>
      </c>
      <c r="G959" s="1" t="s">
        <v>5487</v>
      </c>
      <c r="H959" s="4">
        <v>0.67500000000000004</v>
      </c>
      <c r="I959" s="4">
        <v>4.5</v>
      </c>
      <c r="J959" s="5">
        <v>39</v>
      </c>
      <c r="K959" s="4">
        <v>15</v>
      </c>
      <c r="L959" s="1" t="s">
        <v>4422</v>
      </c>
      <c r="M959" s="1" t="s">
        <v>47</v>
      </c>
      <c r="N959" s="1" t="s">
        <v>5916</v>
      </c>
      <c r="O959" s="1" t="s">
        <v>87</v>
      </c>
      <c r="P959" s="1" t="s">
        <v>5917</v>
      </c>
      <c r="Q959" s="4">
        <v>0.93300000000000005</v>
      </c>
      <c r="R959" s="4">
        <v>0.56699999999999995</v>
      </c>
      <c r="S959" s="8">
        <v>3</v>
      </c>
      <c r="T959" s="1" t="s">
        <v>50</v>
      </c>
      <c r="U959" s="8">
        <v>15</v>
      </c>
      <c r="V959" s="8">
        <v>15</v>
      </c>
      <c r="W959" s="7">
        <v>66667</v>
      </c>
      <c r="X959" s="5">
        <v>1</v>
      </c>
      <c r="Y959" s="7">
        <v>2600000</v>
      </c>
      <c r="Z959" s="1"/>
      <c r="AA959" s="1"/>
      <c r="AB959" s="1"/>
      <c r="AC959" s="1"/>
      <c r="AD959" s="1"/>
      <c r="AE959" s="1" t="s">
        <v>51</v>
      </c>
      <c r="AF959" s="1" t="s">
        <v>51</v>
      </c>
      <c r="AG959" s="1" t="s">
        <v>51</v>
      </c>
      <c r="AH959" s="1"/>
      <c r="AI959" s="1"/>
      <c r="AJ959" s="3">
        <v>2</v>
      </c>
      <c r="AK959" s="1" t="s">
        <v>89</v>
      </c>
      <c r="AL959" s="3">
        <v>9</v>
      </c>
      <c r="AM959" s="8">
        <v>15.050000000000001</v>
      </c>
      <c r="AN959" s="1"/>
      <c r="AO959" s="1" t="s">
        <v>5918</v>
      </c>
      <c r="AP959" s="1" t="s">
        <v>5352</v>
      </c>
      <c r="AQ959" s="1" t="s">
        <v>5919</v>
      </c>
      <c r="AR959" s="1" t="s">
        <v>5920</v>
      </c>
    </row>
    <row r="960">
      <c r="A960" s="2">
        <f ca="1">DATE(2002,09,17)</f>
        <v>0</v>
      </c>
      <c r="B960" s="2">
        <f ca="1">DATE(2002,11,25)</f>
        <v>0</v>
      </c>
      <c r="C960" s="1" t="s">
        <v>5921</v>
      </c>
      <c r="D960" s="3">
        <v>6726</v>
      </c>
      <c r="E960" s="1" t="s">
        <v>43</v>
      </c>
      <c r="F960" s="1" t="s">
        <v>5922</v>
      </c>
      <c r="G960" s="1" t="s">
        <v>5487</v>
      </c>
      <c r="H960" s="4">
        <v>1.125</v>
      </c>
      <c r="I960" s="4">
        <v>4.5</v>
      </c>
      <c r="J960" s="5">
        <v>475</v>
      </c>
      <c r="K960" s="4">
        <v>25</v>
      </c>
      <c r="L960" s="1" t="s">
        <v>4422</v>
      </c>
      <c r="M960" s="1" t="s">
        <v>47</v>
      </c>
      <c r="N960" s="1" t="s">
        <v>5923</v>
      </c>
      <c r="O960" s="1" t="s">
        <v>108</v>
      </c>
      <c r="P960" s="1" t="s">
        <v>5924</v>
      </c>
      <c r="Q960" s="4">
        <v>1</v>
      </c>
      <c r="R960" s="4">
        <v>0.5</v>
      </c>
      <c r="S960" s="8">
        <v>3</v>
      </c>
      <c r="T960" s="1" t="s">
        <v>50</v>
      </c>
      <c r="U960" s="8">
        <v>15</v>
      </c>
      <c r="V960" s="8">
        <v>15</v>
      </c>
      <c r="W960" s="7">
        <v>1000</v>
      </c>
      <c r="X960" s="5">
        <v>0</v>
      </c>
      <c r="Y960" s="7">
        <v>19000000</v>
      </c>
      <c r="Z960" s="1"/>
      <c r="AA960" s="1"/>
      <c r="AB960" s="1"/>
      <c r="AC960" s="1"/>
      <c r="AD960" s="1"/>
      <c r="AE960" s="1" t="s">
        <v>51</v>
      </c>
      <c r="AF960" s="1" t="s">
        <v>51</v>
      </c>
      <c r="AG960" s="1" t="s">
        <v>51</v>
      </c>
      <c r="AH960" s="1"/>
      <c r="AI960" s="1"/>
      <c r="AJ960" s="3">
        <v>2</v>
      </c>
      <c r="AK960" s="1" t="s">
        <v>89</v>
      </c>
      <c r="AL960" s="3">
        <v>10</v>
      </c>
      <c r="AM960" s="8">
        <v>25.010000000000002</v>
      </c>
      <c r="AN960" s="1"/>
      <c r="AO960" s="1" t="s">
        <v>5925</v>
      </c>
      <c r="AP960" s="1" t="s">
        <v>5352</v>
      </c>
      <c r="AQ960" s="1" t="s">
        <v>5926</v>
      </c>
      <c r="AR960" s="1" t="s">
        <v>5927</v>
      </c>
    </row>
    <row r="961">
      <c r="A961" s="2">
        <f ca="1">DATE(2002,09,20)</f>
        <v>0</v>
      </c>
      <c r="B961" s="2">
        <f ca="1">DATE(2002,11,25)</f>
        <v>0</v>
      </c>
      <c r="C961" s="1" t="s">
        <v>5928</v>
      </c>
      <c r="D961" s="3">
        <v>6726</v>
      </c>
      <c r="E961" s="1" t="s">
        <v>43</v>
      </c>
      <c r="F961" s="1" t="s">
        <v>5929</v>
      </c>
      <c r="G961" s="1" t="s">
        <v>5930</v>
      </c>
      <c r="H961" s="4">
        <v>0.67500000000000004</v>
      </c>
      <c r="I961" s="4">
        <v>4.5</v>
      </c>
      <c r="J961" s="5">
        <v>63</v>
      </c>
      <c r="K961" s="4">
        <v>15</v>
      </c>
      <c r="L961" s="1" t="s">
        <v>46</v>
      </c>
      <c r="M961" s="1" t="s">
        <v>47</v>
      </c>
      <c r="N961" s="1" t="s">
        <v>5931</v>
      </c>
      <c r="O961" s="1" t="s">
        <v>108</v>
      </c>
      <c r="P961" s="1" t="s">
        <v>5932</v>
      </c>
      <c r="Q961" s="4">
        <v>0.93300000000000005</v>
      </c>
      <c r="R961" s="4">
        <v>0.56699999999999995</v>
      </c>
      <c r="S961" s="8">
        <v>3</v>
      </c>
      <c r="T961" s="1" t="s">
        <v>50</v>
      </c>
      <c r="U961" s="8">
        <v>15</v>
      </c>
      <c r="V961" s="8">
        <v>15</v>
      </c>
      <c r="W961" s="7">
        <v>4000000</v>
      </c>
      <c r="X961" s="5">
        <v>60</v>
      </c>
      <c r="Y961" s="7">
        <v>4200000</v>
      </c>
      <c r="Z961" s="1"/>
      <c r="AA961" s="2">
        <f ca="1">DATE(2003,05,24)</f>
        <v>0</v>
      </c>
      <c r="AB961" s="1"/>
      <c r="AC961" s="3">
        <v>180</v>
      </c>
      <c r="AD961" s="1"/>
      <c r="AE961" s="1" t="s">
        <v>51</v>
      </c>
      <c r="AF961" s="1" t="s">
        <v>51</v>
      </c>
      <c r="AG961" s="1" t="s">
        <v>51</v>
      </c>
      <c r="AH961" s="1"/>
      <c r="AI961" s="1"/>
      <c r="AJ961" s="3">
        <v>2</v>
      </c>
      <c r="AK961" s="1" t="s">
        <v>89</v>
      </c>
      <c r="AL961" s="3">
        <v>21</v>
      </c>
      <c r="AM961" s="8">
        <v>15</v>
      </c>
      <c r="AN961" s="1"/>
      <c r="AO961" s="1" t="s">
        <v>5933</v>
      </c>
      <c r="AP961" s="1" t="s">
        <v>5934</v>
      </c>
      <c r="AQ961" s="1" t="s">
        <v>5935</v>
      </c>
      <c r="AR961" s="1" t="s">
        <v>5936</v>
      </c>
    </row>
    <row r="962">
      <c r="A962" s="2">
        <f ca="1">DATE(2002,06,10)</f>
        <v>0</v>
      </c>
      <c r="B962" s="2">
        <f ca="1">DATE(2002,12,05)</f>
        <v>0</v>
      </c>
      <c r="C962" s="1" t="s">
        <v>5937</v>
      </c>
      <c r="D962" s="3">
        <v>6211</v>
      </c>
      <c r="E962" s="1" t="s">
        <v>43</v>
      </c>
      <c r="F962" s="1" t="s">
        <v>5938</v>
      </c>
      <c r="G962" s="1" t="s">
        <v>5939</v>
      </c>
      <c r="H962" s="4">
        <v>2.4500000000000002</v>
      </c>
      <c r="I962" s="4">
        <v>7</v>
      </c>
      <c r="J962" s="5">
        <v>166.30000000000001</v>
      </c>
      <c r="K962" s="4">
        <v>35</v>
      </c>
      <c r="L962" s="1" t="s">
        <v>152</v>
      </c>
      <c r="M962" s="1" t="s">
        <v>47</v>
      </c>
      <c r="N962" s="3">
        <v>167760107</v>
      </c>
      <c r="O962" s="1" t="s">
        <v>108</v>
      </c>
      <c r="P962" s="1" t="s">
        <v>5940</v>
      </c>
      <c r="Q962" s="4">
        <v>1.3999999999999999</v>
      </c>
      <c r="R962" s="4">
        <v>1.3999999999999999</v>
      </c>
      <c r="S962" s="8">
        <v>4.2000000000000002</v>
      </c>
      <c r="T962" s="1" t="s">
        <v>50</v>
      </c>
      <c r="U962" s="1"/>
      <c r="V962" s="1"/>
      <c r="W962" s="1"/>
      <c r="X962" s="5">
        <v>150</v>
      </c>
      <c r="Y962" s="7">
        <v>3000000</v>
      </c>
      <c r="Z962" s="7">
        <v>1751070</v>
      </c>
      <c r="AA962" s="2">
        <f ca="1">DATE(2003,06,03)</f>
        <v>0</v>
      </c>
      <c r="AB962" s="4">
        <v>85.067999999999998</v>
      </c>
      <c r="AC962" s="3">
        <v>180</v>
      </c>
      <c r="AD962" s="8">
        <v>27066592</v>
      </c>
      <c r="AE962" s="1" t="s">
        <v>51</v>
      </c>
      <c r="AF962" s="1" t="s">
        <v>51</v>
      </c>
      <c r="AG962" s="1" t="s">
        <v>51</v>
      </c>
      <c r="AH962" s="1"/>
      <c r="AI962" s="1"/>
      <c r="AJ962" s="3">
        <v>2</v>
      </c>
      <c r="AK962" s="1" t="s">
        <v>89</v>
      </c>
      <c r="AL962" s="3">
        <v>5</v>
      </c>
      <c r="AM962" s="8">
        <v>42.899999999999999</v>
      </c>
      <c r="AN962" s="1"/>
      <c r="AO962" s="1" t="s">
        <v>5941</v>
      </c>
      <c r="AP962" s="1" t="s">
        <v>5942</v>
      </c>
      <c r="AQ962" s="1" t="s">
        <v>5943</v>
      </c>
      <c r="AR962" s="1" t="s">
        <v>5944</v>
      </c>
    </row>
    <row r="963">
      <c r="A963" s="2">
        <f ca="1">DATE(2002,10,11)</f>
        <v>0</v>
      </c>
      <c r="B963" s="2">
        <f ca="1">DATE(2002,12,10)</f>
        <v>0</v>
      </c>
      <c r="C963" s="1" t="s">
        <v>5945</v>
      </c>
      <c r="D963" s="3">
        <v>3572</v>
      </c>
      <c r="E963" s="1" t="s">
        <v>43</v>
      </c>
      <c r="F963" s="1" t="s">
        <v>5946</v>
      </c>
      <c r="G963" s="1" t="s">
        <v>4311</v>
      </c>
      <c r="H963" s="4">
        <v>0.51000000000000001</v>
      </c>
      <c r="I963" s="4">
        <v>4.25</v>
      </c>
      <c r="J963" s="5">
        <v>870</v>
      </c>
      <c r="K963" s="4">
        <v>12</v>
      </c>
      <c r="L963" s="1" t="s">
        <v>46</v>
      </c>
      <c r="M963" s="1" t="s">
        <v>47</v>
      </c>
      <c r="N963" s="1" t="s">
        <v>5947</v>
      </c>
      <c r="O963" s="1" t="s">
        <v>108</v>
      </c>
      <c r="P963" s="1" t="s">
        <v>5948</v>
      </c>
      <c r="Q963" s="4">
        <v>0.83299999999999996</v>
      </c>
      <c r="R963" s="4">
        <v>0.66700000000000004</v>
      </c>
      <c r="S963" s="8">
        <v>2.75</v>
      </c>
      <c r="T963" s="1" t="s">
        <v>50</v>
      </c>
      <c r="U963" s="1"/>
      <c r="V963" s="1"/>
      <c r="W963" s="1"/>
      <c r="X963" s="5">
        <v>850</v>
      </c>
      <c r="Y963" s="7">
        <v>72500000</v>
      </c>
      <c r="Z963" s="1"/>
      <c r="AA963" s="1"/>
      <c r="AB963" s="1"/>
      <c r="AC963" s="1"/>
      <c r="AD963" s="1"/>
      <c r="AE963" s="1" t="s">
        <v>51</v>
      </c>
      <c r="AF963" s="1" t="s">
        <v>51</v>
      </c>
      <c r="AG963" s="1" t="s">
        <v>51</v>
      </c>
      <c r="AH963" s="1"/>
      <c r="AI963" s="1"/>
      <c r="AJ963" s="3">
        <v>2</v>
      </c>
      <c r="AK963" s="1" t="s">
        <v>89</v>
      </c>
      <c r="AL963" s="3">
        <v>9</v>
      </c>
      <c r="AM963" s="8">
        <v>11.5</v>
      </c>
      <c r="AN963" s="1"/>
      <c r="AO963" s="1" t="s">
        <v>5949</v>
      </c>
      <c r="AP963" s="1" t="s">
        <v>4315</v>
      </c>
      <c r="AQ963" s="1" t="s">
        <v>5950</v>
      </c>
      <c r="AR963" s="1" t="s">
        <v>5951</v>
      </c>
    </row>
    <row r="964">
      <c r="A964" s="2">
        <f ca="1">DATE(2002,08,07)</f>
        <v>0</v>
      </c>
      <c r="B964" s="2">
        <f ca="1">DATE(2002,12,11)</f>
        <v>0</v>
      </c>
      <c r="C964" s="1" t="s">
        <v>5952</v>
      </c>
      <c r="D964" s="3">
        <v>5172</v>
      </c>
      <c r="E964" s="1" t="s">
        <v>43</v>
      </c>
      <c r="F964" s="1" t="s">
        <v>5953</v>
      </c>
      <c r="G964" s="1" t="s">
        <v>4145</v>
      </c>
      <c r="H964" s="4">
        <v>1.3999999999999999</v>
      </c>
      <c r="I964" s="8">
        <v>7</v>
      </c>
      <c r="J964" s="5">
        <v>40</v>
      </c>
      <c r="K964" s="4">
        <v>20</v>
      </c>
      <c r="L964" s="1" t="s">
        <v>85</v>
      </c>
      <c r="M964" s="1" t="s">
        <v>47</v>
      </c>
      <c r="N964" s="1" t="s">
        <v>5954</v>
      </c>
      <c r="O964" s="1" t="s">
        <v>48</v>
      </c>
      <c r="P964" s="1" t="s">
        <v>5955</v>
      </c>
      <c r="Q964" s="4">
        <v>1.3999999999999999</v>
      </c>
      <c r="R964" s="4">
        <v>1.3999999999999999</v>
      </c>
      <c r="S964" s="8">
        <v>4.2000000000000002</v>
      </c>
      <c r="T964" s="1" t="s">
        <v>50</v>
      </c>
      <c r="U964" s="8">
        <v>21</v>
      </c>
      <c r="V964" s="8">
        <v>19</v>
      </c>
      <c r="W964" s="7">
        <v>2000000</v>
      </c>
      <c r="X964" s="5">
        <v>40</v>
      </c>
      <c r="Y964" s="7">
        <v>2000000</v>
      </c>
      <c r="Z964" s="1"/>
      <c r="AA964" s="2">
        <f ca="1">DATE(2003,06,09)</f>
        <v>0</v>
      </c>
      <c r="AB964" s="4">
        <v>100</v>
      </c>
      <c r="AC964" s="3">
        <v>180</v>
      </c>
      <c r="AD964" s="8">
        <v>2333000</v>
      </c>
      <c r="AE964" s="1" t="s">
        <v>51</v>
      </c>
      <c r="AF964" s="1" t="s">
        <v>51</v>
      </c>
      <c r="AG964" s="1" t="s">
        <v>51</v>
      </c>
      <c r="AH964" s="1"/>
      <c r="AI964" s="1"/>
      <c r="AJ964" s="3">
        <v>1</v>
      </c>
      <c r="AK964" s="1" t="s">
        <v>52</v>
      </c>
      <c r="AL964" s="3">
        <v>3</v>
      </c>
      <c r="AM964" s="8">
        <v>20.100000000000001</v>
      </c>
      <c r="AN964" s="1"/>
      <c r="AO964" s="1" t="s">
        <v>5956</v>
      </c>
      <c r="AP964" s="1" t="s">
        <v>4145</v>
      </c>
      <c r="AQ964" s="1" t="s">
        <v>5957</v>
      </c>
      <c r="AR964" s="1" t="s">
        <v>5955</v>
      </c>
    </row>
    <row r="965">
      <c r="A965" s="2">
        <f ca="1">DATE(2002,09,16)</f>
        <v>0</v>
      </c>
      <c r="B965" s="2">
        <f ca="1">DATE(2002,12,17)</f>
        <v>0</v>
      </c>
      <c r="C965" s="1" t="s">
        <v>5958</v>
      </c>
      <c r="D965" s="3">
        <v>6021</v>
      </c>
      <c r="E965" s="1" t="s">
        <v>43</v>
      </c>
      <c r="F965" s="1" t="s">
        <v>5959</v>
      </c>
      <c r="G965" s="1" t="s">
        <v>2371</v>
      </c>
      <c r="H965" s="4">
        <v>0.56000000000000005</v>
      </c>
      <c r="I965" s="4">
        <v>7</v>
      </c>
      <c r="J965" s="5">
        <v>40</v>
      </c>
      <c r="K965" s="4">
        <v>8</v>
      </c>
      <c r="L965" s="1" t="s">
        <v>46</v>
      </c>
      <c r="M965" s="1" t="s">
        <v>47</v>
      </c>
      <c r="N965" s="1" t="s">
        <v>5960</v>
      </c>
      <c r="O965" s="1" t="s">
        <v>48</v>
      </c>
      <c r="P965" s="1" t="s">
        <v>5961</v>
      </c>
      <c r="Q965" s="4">
        <v>1.5</v>
      </c>
      <c r="R965" s="4">
        <v>1.25</v>
      </c>
      <c r="S965" s="8">
        <v>4.25</v>
      </c>
      <c r="T965" s="1" t="s">
        <v>50</v>
      </c>
      <c r="U965" s="1"/>
      <c r="V965" s="1"/>
      <c r="W965" s="1"/>
      <c r="X965" s="5">
        <v>51.100000000000001</v>
      </c>
      <c r="Y965" s="7">
        <v>5000000</v>
      </c>
      <c r="Z965" s="1"/>
      <c r="AA965" s="2">
        <f ca="1">DATE(2003,06,15)</f>
        <v>0</v>
      </c>
      <c r="AB965" s="4">
        <v>64.195999999999998</v>
      </c>
      <c r="AC965" s="3">
        <v>180</v>
      </c>
      <c r="AD965" s="8">
        <v>8964868</v>
      </c>
      <c r="AE965" s="1" t="s">
        <v>51</v>
      </c>
      <c r="AF965" s="1" t="s">
        <v>51</v>
      </c>
      <c r="AG965" s="1" t="s">
        <v>51</v>
      </c>
      <c r="AH965" s="1"/>
      <c r="AI965" s="1"/>
      <c r="AJ965" s="3">
        <v>1</v>
      </c>
      <c r="AK965" s="1" t="s">
        <v>89</v>
      </c>
      <c r="AL965" s="3">
        <v>2</v>
      </c>
      <c r="AM965" s="8">
        <v>8</v>
      </c>
      <c r="AN965" s="1"/>
      <c r="AO965" s="1" t="s">
        <v>5962</v>
      </c>
      <c r="AP965" s="1" t="s">
        <v>5963</v>
      </c>
      <c r="AQ965" s="1" t="s">
        <v>5964</v>
      </c>
      <c r="AR965" s="1" t="s">
        <v>5965</v>
      </c>
    </row>
    <row r="966">
      <c r="A966" s="2">
        <f ca="1">DATE(2002,08,13)</f>
        <v>0</v>
      </c>
      <c r="B966" s="2">
        <f ca="1">DATE(2002,12,17)</f>
        <v>0</v>
      </c>
      <c r="C966" s="1" t="s">
        <v>5966</v>
      </c>
      <c r="D966" s="3">
        <v>8082</v>
      </c>
      <c r="E966" s="1" t="s">
        <v>43</v>
      </c>
      <c r="F966" s="1" t="s">
        <v>5967</v>
      </c>
      <c r="G966" s="1" t="s">
        <v>813</v>
      </c>
      <c r="H966" s="4">
        <v>0.83999999999999997</v>
      </c>
      <c r="I966" s="8">
        <v>7</v>
      </c>
      <c r="J966" s="5">
        <v>72</v>
      </c>
      <c r="K966" s="4">
        <v>12</v>
      </c>
      <c r="L966" s="1" t="s">
        <v>46</v>
      </c>
      <c r="M966" s="1" t="s">
        <v>47</v>
      </c>
      <c r="N966" s="1" t="s">
        <v>5968</v>
      </c>
      <c r="O966" s="1" t="s">
        <v>48</v>
      </c>
      <c r="P966" s="1" t="s">
        <v>5969</v>
      </c>
      <c r="Q966" s="4">
        <v>1.417</v>
      </c>
      <c r="R966" s="4">
        <v>1.417</v>
      </c>
      <c r="S966" s="6">
        <v>4.1666699999999999</v>
      </c>
      <c r="T966" s="1" t="s">
        <v>50</v>
      </c>
      <c r="U966" s="1"/>
      <c r="V966" s="1"/>
      <c r="W966" s="1"/>
      <c r="X966" s="5">
        <v>85</v>
      </c>
      <c r="Y966" s="7">
        <v>4500000</v>
      </c>
      <c r="Z966" s="7">
        <v>1500000</v>
      </c>
      <c r="AA966" s="2">
        <f ca="1">DATE(2003,06,15)</f>
        <v>0</v>
      </c>
      <c r="AB966" s="4">
        <v>59.758000000000003</v>
      </c>
      <c r="AC966" s="3">
        <v>180</v>
      </c>
      <c r="AD966" s="8">
        <v>9236600</v>
      </c>
      <c r="AE966" s="1" t="s">
        <v>51</v>
      </c>
      <c r="AF966" s="1" t="s">
        <v>51</v>
      </c>
      <c r="AG966" s="1" t="s">
        <v>47</v>
      </c>
      <c r="AH966" s="1"/>
      <c r="AI966" s="1"/>
      <c r="AJ966" s="3">
        <v>1</v>
      </c>
      <c r="AK966" s="1" t="s">
        <v>89</v>
      </c>
      <c r="AL966" s="3">
        <v>4</v>
      </c>
      <c r="AM966" s="8">
        <v>15.050000000000001</v>
      </c>
      <c r="AN966" s="1"/>
      <c r="AO966" s="1" t="s">
        <v>5970</v>
      </c>
      <c r="AP966" s="1" t="s">
        <v>5971</v>
      </c>
      <c r="AQ966" s="1" t="s">
        <v>5972</v>
      </c>
      <c r="AR966" s="1" t="s">
        <v>5973</v>
      </c>
    </row>
    <row r="967">
      <c r="A967" s="2">
        <f ca="1">DATE(2002,10,25)</f>
        <v>0</v>
      </c>
      <c r="B967" s="2">
        <f ca="1">DATE(2002,12,18)</f>
        <v>0</v>
      </c>
      <c r="C967" s="1" t="s">
        <v>5974</v>
      </c>
      <c r="D967" s="3">
        <v>6726</v>
      </c>
      <c r="E967" s="1" t="s">
        <v>43</v>
      </c>
      <c r="F967" s="1" t="s">
        <v>5975</v>
      </c>
      <c r="G967" s="1" t="s">
        <v>4922</v>
      </c>
      <c r="H967" s="4">
        <v>0.67500000000000004</v>
      </c>
      <c r="I967" s="4">
        <v>4.5</v>
      </c>
      <c r="J967" s="5">
        <v>319.19999999999999</v>
      </c>
      <c r="K967" s="4">
        <v>15</v>
      </c>
      <c r="L967" s="1" t="s">
        <v>46</v>
      </c>
      <c r="M967" s="1" t="s">
        <v>47</v>
      </c>
      <c r="N967" s="1" t="s">
        <v>5976</v>
      </c>
      <c r="O967" s="1" t="s">
        <v>108</v>
      </c>
      <c r="P967" s="1" t="s">
        <v>5977</v>
      </c>
      <c r="Q967" s="1" t="s">
        <v>145</v>
      </c>
      <c r="R967" s="1" t="s">
        <v>145</v>
      </c>
      <c r="S967" s="1"/>
      <c r="T967" s="1" t="s">
        <v>50</v>
      </c>
      <c r="U967" s="8">
        <v>15</v>
      </c>
      <c r="V967" s="8">
        <v>15</v>
      </c>
      <c r="W967" s="7">
        <v>1000</v>
      </c>
      <c r="X967" s="5">
        <v>0</v>
      </c>
      <c r="Y967" s="7">
        <v>21280000</v>
      </c>
      <c r="Z967" s="1"/>
      <c r="AA967" s="1"/>
      <c r="AB967" s="1"/>
      <c r="AC967" s="1"/>
      <c r="AD967" s="1"/>
      <c r="AE967" s="1" t="s">
        <v>51</v>
      </c>
      <c r="AF967" s="1" t="s">
        <v>51</v>
      </c>
      <c r="AG967" s="1" t="s">
        <v>51</v>
      </c>
      <c r="AH967" s="1"/>
      <c r="AI967" s="1"/>
      <c r="AJ967" s="3">
        <v>2</v>
      </c>
      <c r="AK967" s="1" t="s">
        <v>89</v>
      </c>
      <c r="AL967" s="3">
        <v>17</v>
      </c>
      <c r="AM967" s="8">
        <v>15.02</v>
      </c>
      <c r="AN967" s="1"/>
      <c r="AO967" s="1" t="s">
        <v>5978</v>
      </c>
      <c r="AP967" s="1" t="s">
        <v>4336</v>
      </c>
      <c r="AQ967" s="1" t="s">
        <v>5979</v>
      </c>
      <c r="AR967" s="1" t="s">
        <v>5980</v>
      </c>
    </row>
    <row r="968">
      <c r="A968" s="2">
        <f ca="1">DATE(2002,10,15)</f>
        <v>0</v>
      </c>
      <c r="B968" s="2">
        <f ca="1">DATE(2002,12,18)</f>
        <v>0</v>
      </c>
      <c r="C968" s="1" t="s">
        <v>5981</v>
      </c>
      <c r="D968" s="3">
        <v>6021</v>
      </c>
      <c r="E968" s="1" t="s">
        <v>43</v>
      </c>
      <c r="F968" s="1" t="s">
        <v>5982</v>
      </c>
      <c r="G968" s="1" t="s">
        <v>5983</v>
      </c>
      <c r="H968" s="4">
        <v>0.59499999999999997</v>
      </c>
      <c r="I968" s="8">
        <v>7</v>
      </c>
      <c r="J968" s="5">
        <v>8.5</v>
      </c>
      <c r="K968" s="4">
        <v>8.5</v>
      </c>
      <c r="L968" s="1" t="s">
        <v>46</v>
      </c>
      <c r="M968" s="1" t="s">
        <v>47</v>
      </c>
      <c r="N968" s="3">
        <v>677399107</v>
      </c>
      <c r="O968" s="1" t="s">
        <v>48</v>
      </c>
      <c r="P968" s="1" t="s">
        <v>5984</v>
      </c>
      <c r="Q968" s="4">
        <v>1.4119999999999999</v>
      </c>
      <c r="R968" s="4">
        <v>1.4710000000000001</v>
      </c>
      <c r="S968" s="6">
        <v>4.1176500000000003</v>
      </c>
      <c r="T968" s="1" t="s">
        <v>50</v>
      </c>
      <c r="U968" s="1"/>
      <c r="V968" s="1"/>
      <c r="W968" s="7">
        <v>1000000</v>
      </c>
      <c r="X968" s="5">
        <v>8.5</v>
      </c>
      <c r="Y968" s="7">
        <v>1000000</v>
      </c>
      <c r="Z968" s="1"/>
      <c r="AA968" s="1"/>
      <c r="AB968" s="1"/>
      <c r="AC968" s="1"/>
      <c r="AD968" s="1"/>
      <c r="AE968" s="1" t="s">
        <v>51</v>
      </c>
      <c r="AF968" s="1" t="s">
        <v>51</v>
      </c>
      <c r="AG968" s="1" t="s">
        <v>51</v>
      </c>
      <c r="AH968" s="1"/>
      <c r="AI968" s="1"/>
      <c r="AJ968" s="3">
        <v>1</v>
      </c>
      <c r="AK968" s="1" t="s">
        <v>52</v>
      </c>
      <c r="AL968" s="3">
        <v>1</v>
      </c>
      <c r="AM968" s="8">
        <v>8.5</v>
      </c>
      <c r="AN968" s="1"/>
      <c r="AO968" s="1" t="s">
        <v>5983</v>
      </c>
      <c r="AP968" s="1" t="s">
        <v>5983</v>
      </c>
      <c r="AQ968" s="1" t="s">
        <v>5983</v>
      </c>
      <c r="AR968" s="1" t="s">
        <v>5985</v>
      </c>
    </row>
    <row r="969">
      <c r="A969" s="2">
        <f ca="1">DATE(2002,10,31)</f>
        <v>0</v>
      </c>
      <c r="B969" s="2">
        <f ca="1">DATE(2002,12,19)</f>
        <v>0</v>
      </c>
      <c r="C969" s="1" t="s">
        <v>5986</v>
      </c>
      <c r="D969" s="3">
        <v>6726</v>
      </c>
      <c r="E969" s="1" t="s">
        <v>43</v>
      </c>
      <c r="F969" s="1" t="s">
        <v>5987</v>
      </c>
      <c r="G969" s="1" t="s">
        <v>45</v>
      </c>
      <c r="H969" s="4">
        <v>0.67500000000000004</v>
      </c>
      <c r="I969" s="4">
        <v>4.5</v>
      </c>
      <c r="J969" s="5">
        <v>96</v>
      </c>
      <c r="K969" s="4">
        <v>15</v>
      </c>
      <c r="L969" s="1" t="s">
        <v>46</v>
      </c>
      <c r="M969" s="1" t="s">
        <v>47</v>
      </c>
      <c r="N969" s="1" t="s">
        <v>5988</v>
      </c>
      <c r="O969" s="1" t="s">
        <v>108</v>
      </c>
      <c r="P969" s="1" t="s">
        <v>5989</v>
      </c>
      <c r="Q969" s="4">
        <v>0.96699999999999997</v>
      </c>
      <c r="R969" s="4">
        <v>0.53300000000000003</v>
      </c>
      <c r="S969" s="8">
        <v>3</v>
      </c>
      <c r="T969" s="1" t="s">
        <v>50</v>
      </c>
      <c r="U969" s="8">
        <v>15</v>
      </c>
      <c r="V969" s="8">
        <v>15</v>
      </c>
      <c r="W969" s="7">
        <v>4000000</v>
      </c>
      <c r="X969" s="5">
        <v>60</v>
      </c>
      <c r="Y969" s="7">
        <v>6400000</v>
      </c>
      <c r="Z969" s="1"/>
      <c r="AA969" s="1"/>
      <c r="AB969" s="1"/>
      <c r="AC969" s="1"/>
      <c r="AD969" s="1"/>
      <c r="AE969" s="1" t="s">
        <v>51</v>
      </c>
      <c r="AF969" s="1" t="s">
        <v>51</v>
      </c>
      <c r="AG969" s="1" t="s">
        <v>51</v>
      </c>
      <c r="AH969" s="1"/>
      <c r="AI969" s="1"/>
      <c r="AJ969" s="3">
        <v>1</v>
      </c>
      <c r="AK969" s="1" t="s">
        <v>52</v>
      </c>
      <c r="AL969" s="3">
        <v>48</v>
      </c>
      <c r="AM969" s="8">
        <v>15</v>
      </c>
      <c r="AN969" s="1"/>
      <c r="AO969" s="1" t="s">
        <v>5990</v>
      </c>
      <c r="AP969" s="1" t="s">
        <v>45</v>
      </c>
      <c r="AQ969" s="1" t="s">
        <v>5991</v>
      </c>
      <c r="AR969" s="1" t="s">
        <v>5992</v>
      </c>
    </row>
    <row r="970">
      <c r="A970" s="2">
        <f ca="1">DATE(2002,10,17)</f>
        <v>0</v>
      </c>
      <c r="B970" s="2">
        <f ca="1">DATE(2002,12,19)</f>
        <v>0</v>
      </c>
      <c r="C970" s="1" t="s">
        <v>5993</v>
      </c>
      <c r="D970" s="3">
        <v>6726</v>
      </c>
      <c r="E970" s="1" t="s">
        <v>43</v>
      </c>
      <c r="F970" s="1" t="s">
        <v>5994</v>
      </c>
      <c r="G970" s="1" t="s">
        <v>45</v>
      </c>
      <c r="H970" s="4">
        <v>0.67500000000000004</v>
      </c>
      <c r="I970" s="4">
        <v>4.5</v>
      </c>
      <c r="J970" s="5">
        <v>87.799999999999997</v>
      </c>
      <c r="K970" s="4">
        <v>15</v>
      </c>
      <c r="L970" s="1" t="s">
        <v>46</v>
      </c>
      <c r="M970" s="1" t="s">
        <v>47</v>
      </c>
      <c r="N970" s="1" t="s">
        <v>5995</v>
      </c>
      <c r="O970" s="1" t="s">
        <v>108</v>
      </c>
      <c r="P970" s="1" t="s">
        <v>5996</v>
      </c>
      <c r="Q970" s="4">
        <v>0.96699999999999997</v>
      </c>
      <c r="R970" s="4">
        <v>0.53300000000000003</v>
      </c>
      <c r="S970" s="8">
        <v>3</v>
      </c>
      <c r="T970" s="1" t="s">
        <v>50</v>
      </c>
      <c r="U970" s="8">
        <v>15</v>
      </c>
      <c r="V970" s="8">
        <v>15</v>
      </c>
      <c r="W970" s="7">
        <v>4000000</v>
      </c>
      <c r="X970" s="5">
        <v>60</v>
      </c>
      <c r="Y970" s="7">
        <v>5850000</v>
      </c>
      <c r="Z970" s="1"/>
      <c r="AA970" s="1"/>
      <c r="AB970" s="1"/>
      <c r="AC970" s="1"/>
      <c r="AD970" s="1"/>
      <c r="AE970" s="1" t="s">
        <v>51</v>
      </c>
      <c r="AF970" s="1" t="s">
        <v>51</v>
      </c>
      <c r="AG970" s="1" t="s">
        <v>51</v>
      </c>
      <c r="AH970" s="1"/>
      <c r="AI970" s="1"/>
      <c r="AJ970" s="3">
        <v>1</v>
      </c>
      <c r="AK970" s="1" t="s">
        <v>52</v>
      </c>
      <c r="AL970" s="3">
        <v>17</v>
      </c>
      <c r="AM970" s="8">
        <v>15</v>
      </c>
      <c r="AN970" s="1"/>
      <c r="AO970" s="1" t="s">
        <v>5997</v>
      </c>
      <c r="AP970" s="1" t="s">
        <v>45</v>
      </c>
      <c r="AQ970" s="1" t="s">
        <v>5998</v>
      </c>
      <c r="AR970" s="1" t="s">
        <v>5999</v>
      </c>
    </row>
    <row r="971">
      <c r="A971" s="2">
        <f ca="1">DATE(2002,10,23)</f>
        <v>0</v>
      </c>
      <c r="B971" s="2">
        <f ca="1">DATE(2002,12,23)</f>
        <v>0</v>
      </c>
      <c r="C971" s="1" t="s">
        <v>6000</v>
      </c>
      <c r="D971" s="3">
        <v>6726</v>
      </c>
      <c r="E971" s="1" t="s">
        <v>43</v>
      </c>
      <c r="F971" s="1" t="s">
        <v>6001</v>
      </c>
      <c r="G971" s="1" t="s">
        <v>6002</v>
      </c>
      <c r="H971" s="4">
        <v>0.67500000000000004</v>
      </c>
      <c r="I971" s="4">
        <v>4.5</v>
      </c>
      <c r="J971" s="5">
        <v>832.5</v>
      </c>
      <c r="K971" s="4">
        <v>15</v>
      </c>
      <c r="L971" s="1" t="s">
        <v>46</v>
      </c>
      <c r="M971" s="1" t="s">
        <v>47</v>
      </c>
      <c r="N971" s="1" t="s">
        <v>6003</v>
      </c>
      <c r="O971" s="1" t="s">
        <v>108</v>
      </c>
      <c r="P971" s="1" t="s">
        <v>6004</v>
      </c>
      <c r="Q971" s="4">
        <v>0.96699999999999997</v>
      </c>
      <c r="R971" s="4">
        <v>0.53300000000000003</v>
      </c>
      <c r="S971" s="8">
        <v>3</v>
      </c>
      <c r="T971" s="1" t="s">
        <v>50</v>
      </c>
      <c r="U971" s="8">
        <v>15</v>
      </c>
      <c r="V971" s="8">
        <v>15</v>
      </c>
      <c r="W971" s="7">
        <v>1000</v>
      </c>
      <c r="X971" s="5">
        <v>0</v>
      </c>
      <c r="Y971" s="7">
        <v>55500000</v>
      </c>
      <c r="Z971" s="1"/>
      <c r="AA971" s="2">
        <f ca="1">DATE(2003,06,21)</f>
        <v>0</v>
      </c>
      <c r="AB971" s="1"/>
      <c r="AC971" s="3">
        <v>180</v>
      </c>
      <c r="AD971" s="1"/>
      <c r="AE971" s="1" t="s">
        <v>51</v>
      </c>
      <c r="AF971" s="1" t="s">
        <v>51</v>
      </c>
      <c r="AG971" s="1" t="s">
        <v>51</v>
      </c>
      <c r="AH971" s="1"/>
      <c r="AI971" s="1"/>
      <c r="AJ971" s="3">
        <v>2</v>
      </c>
      <c r="AK971" s="1" t="s">
        <v>89</v>
      </c>
      <c r="AL971" s="3">
        <v>13</v>
      </c>
      <c r="AM971" s="8">
        <v>15</v>
      </c>
      <c r="AN971" s="1"/>
      <c r="AO971" s="1" t="s">
        <v>6005</v>
      </c>
      <c r="AP971" s="1" t="s">
        <v>6006</v>
      </c>
      <c r="AQ971" s="1" t="s">
        <v>6007</v>
      </c>
      <c r="AR971" s="1" t="s">
        <v>6008</v>
      </c>
    </row>
    <row r="972">
      <c r="A972" s="2">
        <f ca="1">DATE(2003,01,08)</f>
        <v>0</v>
      </c>
      <c r="B972" s="2">
        <f ca="1">DATE(2003,01,28)</f>
        <v>0</v>
      </c>
      <c r="C972" s="1" t="s">
        <v>6009</v>
      </c>
      <c r="D972" s="3">
        <v>6726</v>
      </c>
      <c r="E972" s="1" t="s">
        <v>43</v>
      </c>
      <c r="F972" s="1" t="s">
        <v>6010</v>
      </c>
      <c r="G972" s="1" t="s">
        <v>45</v>
      </c>
      <c r="H972" s="4">
        <v>1.125</v>
      </c>
      <c r="I972" s="4">
        <v>4.5</v>
      </c>
      <c r="J972" s="5">
        <v>912.5</v>
      </c>
      <c r="K972" s="4">
        <v>25</v>
      </c>
      <c r="L972" s="1" t="s">
        <v>46</v>
      </c>
      <c r="M972" s="1" t="s">
        <v>47</v>
      </c>
      <c r="N972" s="1" t="s">
        <v>6011</v>
      </c>
      <c r="O972" s="1" t="s">
        <v>108</v>
      </c>
      <c r="P972" s="1" t="s">
        <v>6012</v>
      </c>
      <c r="Q972" s="1" t="s">
        <v>145</v>
      </c>
      <c r="R972" s="1" t="s">
        <v>145</v>
      </c>
      <c r="S972" s="1"/>
      <c r="T972" s="1" t="s">
        <v>50</v>
      </c>
      <c r="U972" s="8">
        <v>25</v>
      </c>
      <c r="V972" s="8">
        <v>25</v>
      </c>
      <c r="W972" s="7">
        <v>48300000</v>
      </c>
      <c r="X972" s="9">
        <v>1207.5</v>
      </c>
      <c r="Y972" s="7">
        <v>36500000</v>
      </c>
      <c r="Z972" s="1"/>
      <c r="AA972" s="2">
        <f ca="1">DATE(2003,07,27)</f>
        <v>0</v>
      </c>
      <c r="AB972" s="1"/>
      <c r="AC972" s="3">
        <v>180</v>
      </c>
      <c r="AD972" s="1"/>
      <c r="AE972" s="1" t="s">
        <v>51</v>
      </c>
      <c r="AF972" s="1" t="s">
        <v>51</v>
      </c>
      <c r="AG972" s="1" t="s">
        <v>51</v>
      </c>
      <c r="AH972" s="1"/>
      <c r="AI972" s="1"/>
      <c r="AJ972" s="3">
        <v>1</v>
      </c>
      <c r="AK972" s="1" t="s">
        <v>52</v>
      </c>
      <c r="AL972" s="3">
        <v>19</v>
      </c>
      <c r="AM972" s="8">
        <v>25.030000000000001</v>
      </c>
      <c r="AN972" s="1"/>
      <c r="AO972" s="1" t="s">
        <v>6013</v>
      </c>
      <c r="AP972" s="1" t="s">
        <v>45</v>
      </c>
      <c r="AQ972" s="1" t="s">
        <v>6014</v>
      </c>
      <c r="AR972" s="1" t="s">
        <v>6015</v>
      </c>
    </row>
    <row r="973">
      <c r="A973" s="2">
        <f ca="1">DATE(2002,09,13)</f>
        <v>0</v>
      </c>
      <c r="B973" s="2">
        <f ca="1">DATE(2003,02,10)</f>
        <v>0</v>
      </c>
      <c r="C973" s="1" t="s">
        <v>6016</v>
      </c>
      <c r="D973" s="3">
        <v>6712</v>
      </c>
      <c r="E973" s="1" t="s">
        <v>43</v>
      </c>
      <c r="F973" s="1" t="s">
        <v>6017</v>
      </c>
      <c r="G973" s="1" t="s">
        <v>584</v>
      </c>
      <c r="H973" s="4">
        <v>0.69999999999999996</v>
      </c>
      <c r="I973" s="8">
        <v>7</v>
      </c>
      <c r="J973" s="5">
        <v>9</v>
      </c>
      <c r="K973" s="4">
        <v>10</v>
      </c>
      <c r="L973" s="1" t="s">
        <v>46</v>
      </c>
      <c r="M973" s="1" t="s">
        <v>47</v>
      </c>
      <c r="N973" s="1" t="s">
        <v>6018</v>
      </c>
      <c r="O973" s="1" t="s">
        <v>48</v>
      </c>
      <c r="P973" s="1" t="s">
        <v>6019</v>
      </c>
      <c r="Q973" s="4">
        <v>1.3999999999999999</v>
      </c>
      <c r="R973" s="4">
        <v>1.6000000000000001</v>
      </c>
      <c r="S973" s="8">
        <v>4</v>
      </c>
      <c r="T973" s="1" t="s">
        <v>50</v>
      </c>
      <c r="U973" s="8">
        <v>10</v>
      </c>
      <c r="V973" s="8">
        <v>10</v>
      </c>
      <c r="W973" s="7">
        <v>1300000</v>
      </c>
      <c r="X973" s="5">
        <v>13</v>
      </c>
      <c r="Y973" s="7">
        <v>900000</v>
      </c>
      <c r="Z973" s="1"/>
      <c r="AA973" s="2">
        <f ca="1">DATE(2003,08,09)</f>
        <v>0</v>
      </c>
      <c r="AB973" s="4">
        <v>69.790999999999997</v>
      </c>
      <c r="AC973" s="3">
        <v>180</v>
      </c>
      <c r="AD973" s="8">
        <v>2079199</v>
      </c>
      <c r="AE973" s="1" t="s">
        <v>51</v>
      </c>
      <c r="AF973" s="1" t="s">
        <v>51</v>
      </c>
      <c r="AG973" s="1" t="s">
        <v>51</v>
      </c>
      <c r="AH973" s="1"/>
      <c r="AI973" s="1"/>
      <c r="AJ973" s="3">
        <v>1</v>
      </c>
      <c r="AK973" s="1" t="s">
        <v>52</v>
      </c>
      <c r="AL973" s="3">
        <v>1</v>
      </c>
      <c r="AM973" s="8">
        <v>10.19</v>
      </c>
      <c r="AN973" s="1"/>
      <c r="AO973" s="1" t="s">
        <v>6020</v>
      </c>
      <c r="AP973" s="1" t="s">
        <v>584</v>
      </c>
      <c r="AQ973" s="1" t="s">
        <v>584</v>
      </c>
      <c r="AR973" s="1" t="s">
        <v>6021</v>
      </c>
    </row>
    <row r="974">
      <c r="A974" s="2">
        <f ca="1">DATE(2002,10,09)</f>
        <v>0</v>
      </c>
      <c r="B974" s="2">
        <f ca="1">DATE(2003,02,11)</f>
        <v>0</v>
      </c>
      <c r="C974" s="1" t="s">
        <v>6022</v>
      </c>
      <c r="D974" s="3">
        <v>6331</v>
      </c>
      <c r="E974" s="1" t="s">
        <v>43</v>
      </c>
      <c r="F974" s="1" t="s">
        <v>6023</v>
      </c>
      <c r="G974" s="1" t="s">
        <v>168</v>
      </c>
      <c r="H974" s="4">
        <v>0.97999999999999998</v>
      </c>
      <c r="I974" s="4">
        <v>6.125</v>
      </c>
      <c r="J974" s="5">
        <v>198</v>
      </c>
      <c r="K974" s="4">
        <v>16</v>
      </c>
      <c r="L974" s="1" t="s">
        <v>46</v>
      </c>
      <c r="M974" s="1" t="s">
        <v>47</v>
      </c>
      <c r="N974" s="1" t="s">
        <v>6024</v>
      </c>
      <c r="O974" s="1" t="s">
        <v>48</v>
      </c>
      <c r="P974" s="1" t="s">
        <v>6025</v>
      </c>
      <c r="Q974" s="4">
        <v>1.2</v>
      </c>
      <c r="R974" s="4">
        <v>1.325</v>
      </c>
      <c r="S974" s="8">
        <v>3.6000000000000001</v>
      </c>
      <c r="T974" s="1" t="s">
        <v>50</v>
      </c>
      <c r="U974" s="1"/>
      <c r="V974" s="1"/>
      <c r="W974" s="1"/>
      <c r="X974" s="5">
        <v>350</v>
      </c>
      <c r="Y974" s="1"/>
      <c r="Z974" s="7">
        <v>12378000</v>
      </c>
      <c r="AA974" s="2">
        <f ca="1">DATE(2003,08,10)</f>
        <v>0</v>
      </c>
      <c r="AB974" s="4">
        <v>39.165999999999997</v>
      </c>
      <c r="AC974" s="3">
        <v>180</v>
      </c>
      <c r="AD974" s="8">
        <v>7969083</v>
      </c>
      <c r="AE974" s="1" t="s">
        <v>51</v>
      </c>
      <c r="AF974" s="1" t="s">
        <v>51</v>
      </c>
      <c r="AG974" s="1" t="s">
        <v>51</v>
      </c>
      <c r="AH974" s="1"/>
      <c r="AI974" s="1" t="s">
        <v>6026</v>
      </c>
      <c r="AJ974" s="3">
        <v>1</v>
      </c>
      <c r="AK974" s="1" t="s">
        <v>52</v>
      </c>
      <c r="AL974" s="3">
        <v>4</v>
      </c>
      <c r="AM974" s="8">
        <v>15.9</v>
      </c>
      <c r="AN974" s="1"/>
      <c r="AO974" s="1" t="s">
        <v>6027</v>
      </c>
      <c r="AP974" s="1" t="s">
        <v>168</v>
      </c>
      <c r="AQ974" s="1" t="s">
        <v>6028</v>
      </c>
      <c r="AR974" s="1" t="s">
        <v>6029</v>
      </c>
    </row>
    <row r="975">
      <c r="A975" s="2">
        <f ca="1">DATE(2002,07,01)</f>
        <v>0</v>
      </c>
      <c r="B975" s="2">
        <f ca="1">DATE(2003,02,14)</f>
        <v>0</v>
      </c>
      <c r="C975" s="1" t="s">
        <v>6030</v>
      </c>
      <c r="D975" s="3">
        <v>6162</v>
      </c>
      <c r="E975" s="1" t="s">
        <v>43</v>
      </c>
      <c r="F975" s="1"/>
      <c r="G975" s="1" t="s">
        <v>84</v>
      </c>
      <c r="H975" s="4">
        <v>0.56000000000000005</v>
      </c>
      <c r="I975" s="4">
        <v>7</v>
      </c>
      <c r="J975" s="5">
        <v>77.200000000000003</v>
      </c>
      <c r="K975" s="4">
        <v>8</v>
      </c>
      <c r="L975" s="1" t="s">
        <v>46</v>
      </c>
      <c r="M975" s="1" t="s">
        <v>47</v>
      </c>
      <c r="N975" s="1" t="s">
        <v>6031</v>
      </c>
      <c r="O975" s="1"/>
      <c r="P975" s="1" t="s">
        <v>6032</v>
      </c>
      <c r="Q975" s="4">
        <v>1.375</v>
      </c>
      <c r="R975" s="4">
        <v>1.375</v>
      </c>
      <c r="S975" s="8">
        <v>4.25</v>
      </c>
      <c r="T975" s="1" t="s">
        <v>50</v>
      </c>
      <c r="U975" s="8">
        <v>10</v>
      </c>
      <c r="V975" s="8">
        <v>8</v>
      </c>
      <c r="W975" s="7">
        <v>9257419</v>
      </c>
      <c r="X975" s="5">
        <v>83.299999999999997</v>
      </c>
      <c r="Y975" s="7">
        <v>4493022</v>
      </c>
      <c r="Z975" s="7">
        <v>5156978</v>
      </c>
      <c r="AA975" s="1" t="s">
        <v>6033</v>
      </c>
      <c r="AB975" s="1" t="s">
        <v>6034</v>
      </c>
      <c r="AC975" s="1" t="s">
        <v>6035</v>
      </c>
      <c r="AD975" s="1" t="s">
        <v>6036</v>
      </c>
      <c r="AE975" s="1" t="s">
        <v>51</v>
      </c>
      <c r="AF975" s="1" t="s">
        <v>51</v>
      </c>
      <c r="AG975" s="1" t="s">
        <v>47</v>
      </c>
      <c r="AH975" s="1"/>
      <c r="AI975" s="1"/>
      <c r="AJ975" s="3">
        <v>1</v>
      </c>
      <c r="AK975" s="1" t="s">
        <v>52</v>
      </c>
      <c r="AL975" s="3">
        <v>11</v>
      </c>
      <c r="AM975" s="8">
        <v>7.25</v>
      </c>
      <c r="AN975" s="1"/>
      <c r="AO975" s="1" t="s">
        <v>6037</v>
      </c>
      <c r="AP975" s="1" t="s">
        <v>84</v>
      </c>
      <c r="AQ975" s="1" t="s">
        <v>6038</v>
      </c>
      <c r="AR975" s="1" t="s">
        <v>6039</v>
      </c>
    </row>
    <row r="976">
      <c r="A976" s="2">
        <f ca="1">DATE(2003,01,15)</f>
        <v>0</v>
      </c>
      <c r="B976" s="2">
        <f ca="1">DATE(2003,02,25)</f>
        <v>0</v>
      </c>
      <c r="C976" s="1" t="s">
        <v>6040</v>
      </c>
      <c r="D976" s="3">
        <v>6726</v>
      </c>
      <c r="E976" s="1" t="s">
        <v>43</v>
      </c>
      <c r="F976" s="1" t="s">
        <v>6041</v>
      </c>
      <c r="G976" s="1" t="s">
        <v>66</v>
      </c>
      <c r="H976" s="4">
        <v>1.125</v>
      </c>
      <c r="I976" s="4">
        <v>4.5</v>
      </c>
      <c r="J976" s="5">
        <v>407.5</v>
      </c>
      <c r="K976" s="4">
        <v>25</v>
      </c>
      <c r="L976" s="1" t="s">
        <v>4422</v>
      </c>
      <c r="M976" s="1" t="s">
        <v>47</v>
      </c>
      <c r="N976" s="1" t="s">
        <v>6042</v>
      </c>
      <c r="O976" s="1" t="s">
        <v>108</v>
      </c>
      <c r="P976" s="1" t="s">
        <v>6043</v>
      </c>
      <c r="Q976" s="4">
        <v>1</v>
      </c>
      <c r="R976" s="4">
        <v>0.5</v>
      </c>
      <c r="S976" s="8">
        <v>3</v>
      </c>
      <c r="T976" s="1" t="s">
        <v>50</v>
      </c>
      <c r="U976" s="8">
        <v>15</v>
      </c>
      <c r="V976" s="8">
        <v>15</v>
      </c>
      <c r="W976" s="7">
        <v>100000</v>
      </c>
      <c r="X976" s="5">
        <v>1.5</v>
      </c>
      <c r="Y976" s="7">
        <v>16300000</v>
      </c>
      <c r="Z976" s="1"/>
      <c r="AA976" s="2">
        <f ca="1">DATE(2003,05,26)</f>
        <v>0</v>
      </c>
      <c r="AB976" s="1"/>
      <c r="AC976" s="3">
        <v>90</v>
      </c>
      <c r="AD976" s="1"/>
      <c r="AE976" s="1" t="s">
        <v>51</v>
      </c>
      <c r="AF976" s="1" t="s">
        <v>51</v>
      </c>
      <c r="AG976" s="1" t="s">
        <v>51</v>
      </c>
      <c r="AH976" s="1"/>
      <c r="AI976" s="1"/>
      <c r="AJ976" s="3">
        <v>1</v>
      </c>
      <c r="AK976" s="1" t="s">
        <v>52</v>
      </c>
      <c r="AL976" s="3">
        <v>44</v>
      </c>
      <c r="AM976" s="8">
        <v>25.010000000000002</v>
      </c>
      <c r="AN976" s="1"/>
      <c r="AO976" s="1" t="s">
        <v>6044</v>
      </c>
      <c r="AP976" s="1" t="s">
        <v>66</v>
      </c>
      <c r="AQ976" s="1" t="s">
        <v>6045</v>
      </c>
      <c r="AR976" s="1" t="s">
        <v>6046</v>
      </c>
    </row>
    <row r="977">
      <c r="A977" s="2">
        <f ca="1">DATE(2002,12,18)</f>
        <v>0</v>
      </c>
      <c r="B977" s="2">
        <f ca="1">DATE(2003,02,26)</f>
        <v>0</v>
      </c>
      <c r="C977" s="1" t="s">
        <v>6047</v>
      </c>
      <c r="D977" s="3">
        <v>6726</v>
      </c>
      <c r="E977" s="1" t="s">
        <v>43</v>
      </c>
      <c r="F977" s="1" t="s">
        <v>6048</v>
      </c>
      <c r="G977" s="1" t="s">
        <v>56</v>
      </c>
      <c r="H977" s="4">
        <v>0.67500000000000004</v>
      </c>
      <c r="I977" s="4">
        <v>4.5</v>
      </c>
      <c r="J977" s="5">
        <v>900</v>
      </c>
      <c r="K977" s="4">
        <v>15</v>
      </c>
      <c r="L977" s="1" t="s">
        <v>46</v>
      </c>
      <c r="M977" s="1" t="s">
        <v>47</v>
      </c>
      <c r="N977" s="1" t="s">
        <v>6049</v>
      </c>
      <c r="O977" s="1" t="s">
        <v>87</v>
      </c>
      <c r="P977" s="1" t="s">
        <v>6050</v>
      </c>
      <c r="Q977" s="4">
        <v>0.96699999999999997</v>
      </c>
      <c r="R977" s="4">
        <v>0.53300000000000003</v>
      </c>
      <c r="S977" s="8">
        <v>3</v>
      </c>
      <c r="T977" s="1" t="s">
        <v>50</v>
      </c>
      <c r="U977" s="8">
        <v>15</v>
      </c>
      <c r="V977" s="8">
        <v>15</v>
      </c>
      <c r="W977" s="7">
        <v>2000000</v>
      </c>
      <c r="X977" s="5">
        <v>30</v>
      </c>
      <c r="Y977" s="7">
        <v>60000000</v>
      </c>
      <c r="Z977" s="1"/>
      <c r="AA977" s="2">
        <f ca="1">DATE(2003,05,27)</f>
        <v>0</v>
      </c>
      <c r="AB977" s="1"/>
      <c r="AC977" s="3">
        <v>90</v>
      </c>
      <c r="AD977" s="1"/>
      <c r="AE977" s="1" t="s">
        <v>51</v>
      </c>
      <c r="AF977" s="1" t="s">
        <v>51</v>
      </c>
      <c r="AG977" s="1" t="s">
        <v>51</v>
      </c>
      <c r="AH977" s="1"/>
      <c r="AI977" s="1"/>
      <c r="AJ977" s="3">
        <v>1</v>
      </c>
      <c r="AK977" s="1" t="s">
        <v>52</v>
      </c>
      <c r="AL977" s="3">
        <v>46</v>
      </c>
      <c r="AM977" s="8">
        <v>15</v>
      </c>
      <c r="AN977" s="1"/>
      <c r="AO977" s="1" t="s">
        <v>6051</v>
      </c>
      <c r="AP977" s="1" t="s">
        <v>56</v>
      </c>
      <c r="AQ977" s="1" t="s">
        <v>6052</v>
      </c>
      <c r="AR977" s="1" t="s">
        <v>6053</v>
      </c>
    </row>
    <row r="978">
      <c r="A978" s="2">
        <f ca="1">DATE(2002,12,19)</f>
        <v>0</v>
      </c>
      <c r="B978" s="2">
        <f ca="1">DATE(2003,02,27)</f>
        <v>0</v>
      </c>
      <c r="C978" s="1" t="s">
        <v>6054</v>
      </c>
      <c r="D978" s="3">
        <v>6331</v>
      </c>
      <c r="E978" s="1" t="s">
        <v>517</v>
      </c>
      <c r="F978" s="1" t="s">
        <v>6055</v>
      </c>
      <c r="G978" s="1" t="s">
        <v>6056</v>
      </c>
      <c r="H978" s="4">
        <v>1.6100000000000001</v>
      </c>
      <c r="I978" s="4">
        <v>7</v>
      </c>
      <c r="J978" s="5">
        <v>220.80000000000001</v>
      </c>
      <c r="K978" s="4">
        <v>23</v>
      </c>
      <c r="L978" s="1" t="s">
        <v>1057</v>
      </c>
      <c r="M978" s="1" t="s">
        <v>47</v>
      </c>
      <c r="N978" s="1" t="s">
        <v>6057</v>
      </c>
      <c r="O978" s="1" t="s">
        <v>108</v>
      </c>
      <c r="P978" s="1" t="s">
        <v>6058</v>
      </c>
      <c r="Q978" s="4">
        <v>1.391</v>
      </c>
      <c r="R978" s="4">
        <v>1.391</v>
      </c>
      <c r="S978" s="6">
        <v>4.21739</v>
      </c>
      <c r="T978" s="1" t="s">
        <v>50</v>
      </c>
      <c r="U978" s="1"/>
      <c r="V978" s="1"/>
      <c r="W978" s="1"/>
      <c r="X978" s="5">
        <v>200</v>
      </c>
      <c r="Y978" s="7">
        <v>9600000</v>
      </c>
      <c r="Z978" s="1"/>
      <c r="AA978" s="2">
        <f ca="1">DATE(2003,08,26)</f>
        <v>0</v>
      </c>
      <c r="AB978" s="4">
        <v>85.138999999999996</v>
      </c>
      <c r="AC978" s="3">
        <v>180</v>
      </c>
      <c r="AD978" s="8">
        <v>55000000</v>
      </c>
      <c r="AE978" s="1" t="s">
        <v>51</v>
      </c>
      <c r="AF978" s="1" t="s">
        <v>51</v>
      </c>
      <c r="AG978" s="1" t="s">
        <v>51</v>
      </c>
      <c r="AH978" s="1"/>
      <c r="AI978" s="1"/>
      <c r="AJ978" s="3">
        <v>2</v>
      </c>
      <c r="AK978" s="1" t="s">
        <v>89</v>
      </c>
      <c r="AL978" s="3">
        <v>5</v>
      </c>
      <c r="AM978" s="8">
        <v>23</v>
      </c>
      <c r="AN978" s="1"/>
      <c r="AO978" s="1" t="s">
        <v>6059</v>
      </c>
      <c r="AP978" s="1" t="s">
        <v>4884</v>
      </c>
      <c r="AQ978" s="1" t="s">
        <v>6060</v>
      </c>
      <c r="AR978" s="1" t="s">
        <v>6061</v>
      </c>
    </row>
    <row r="979">
      <c r="A979" s="2">
        <f ca="1">DATE(2003,01,16)</f>
        <v>0</v>
      </c>
      <c r="B979" s="2">
        <f ca="1">DATE(2003,03,04)</f>
        <v>0</v>
      </c>
      <c r="C979" s="1" t="s">
        <v>6062</v>
      </c>
      <c r="D979" s="3">
        <v>4813</v>
      </c>
      <c r="E979" s="1" t="s">
        <v>6063</v>
      </c>
      <c r="F979" s="1" t="s">
        <v>6064</v>
      </c>
      <c r="G979" s="1" t="s">
        <v>6065</v>
      </c>
      <c r="H979" s="4">
        <v>0.26600000000000001</v>
      </c>
      <c r="I979" s="8">
        <v>1.8999999999999999</v>
      </c>
      <c r="J979" s="5">
        <v>120.40000000000001</v>
      </c>
      <c r="K979" s="4">
        <v>13.98</v>
      </c>
      <c r="L979" s="1" t="s">
        <v>651</v>
      </c>
      <c r="M979" s="1" t="s">
        <v>47</v>
      </c>
      <c r="N979" s="3">
        <v>879603108</v>
      </c>
      <c r="O979" s="1" t="s">
        <v>108</v>
      </c>
      <c r="P979" s="1" t="s">
        <v>6066</v>
      </c>
      <c r="Q979" s="8">
        <v>0.38</v>
      </c>
      <c r="R979" s="8">
        <v>0.38</v>
      </c>
      <c r="S979" s="6">
        <v>1.13941</v>
      </c>
      <c r="T979" s="1" t="s">
        <v>50</v>
      </c>
      <c r="U979" s="8">
        <v>14.800000000000001</v>
      </c>
      <c r="V979" s="8">
        <v>13.300000000000001</v>
      </c>
      <c r="W979" s="7">
        <v>34814489</v>
      </c>
      <c r="X979" s="5">
        <v>489.10000000000002</v>
      </c>
      <c r="Y979" s="1"/>
      <c r="Z979" s="7">
        <v>8615625</v>
      </c>
      <c r="AA979" s="1" t="s">
        <v>6067</v>
      </c>
      <c r="AB979" s="1" t="s">
        <v>2067</v>
      </c>
      <c r="AC979" s="1" t="s">
        <v>2068</v>
      </c>
      <c r="AD979" s="1" t="s">
        <v>2067</v>
      </c>
      <c r="AE979" s="1" t="s">
        <v>47</v>
      </c>
      <c r="AF979" s="1" t="s">
        <v>51</v>
      </c>
      <c r="AG979" s="1" t="s">
        <v>51</v>
      </c>
      <c r="AH979" s="1"/>
      <c r="AI979" s="1" t="s">
        <v>6063</v>
      </c>
      <c r="AJ979" s="3">
        <v>2</v>
      </c>
      <c r="AK979" s="1" t="s">
        <v>89</v>
      </c>
      <c r="AL979" s="3">
        <v>7</v>
      </c>
      <c r="AM979" s="8">
        <v>13.9</v>
      </c>
      <c r="AN979" s="1"/>
      <c r="AO979" s="1" t="s">
        <v>6068</v>
      </c>
      <c r="AP979" s="1" t="s">
        <v>6069</v>
      </c>
      <c r="AQ979" s="1" t="s">
        <v>6070</v>
      </c>
      <c r="AR979" s="1" t="s">
        <v>6071</v>
      </c>
    </row>
    <row r="980">
      <c r="A980" s="2">
        <f ca="1">DATE(2003,01,24)</f>
        <v>0</v>
      </c>
      <c r="B980" s="2">
        <f ca="1">DATE(2003,03,25)</f>
        <v>0</v>
      </c>
      <c r="C980" s="1" t="s">
        <v>6072</v>
      </c>
      <c r="D980" s="3">
        <v>6726</v>
      </c>
      <c r="E980" s="1" t="s">
        <v>43</v>
      </c>
      <c r="F980" s="1" t="s">
        <v>6073</v>
      </c>
      <c r="G980" s="1" t="s">
        <v>45</v>
      </c>
      <c r="H980" s="4">
        <v>1.125</v>
      </c>
      <c r="I980" s="4">
        <v>4.5</v>
      </c>
      <c r="J980" s="5">
        <v>900</v>
      </c>
      <c r="K980" s="4">
        <v>25</v>
      </c>
      <c r="L980" s="1" t="s">
        <v>46</v>
      </c>
      <c r="M980" s="1" t="s">
        <v>47</v>
      </c>
      <c r="N980" s="1" t="s">
        <v>6074</v>
      </c>
      <c r="O980" s="1" t="s">
        <v>108</v>
      </c>
      <c r="P980" s="1" t="s">
        <v>6075</v>
      </c>
      <c r="Q980" s="4">
        <v>1</v>
      </c>
      <c r="R980" s="4">
        <v>0.5</v>
      </c>
      <c r="S980" s="8">
        <v>3</v>
      </c>
      <c r="T980" s="1" t="s">
        <v>50</v>
      </c>
      <c r="U980" s="8">
        <v>15</v>
      </c>
      <c r="V980" s="8">
        <v>15</v>
      </c>
      <c r="W980" s="7">
        <v>66667</v>
      </c>
      <c r="X980" s="5">
        <v>1</v>
      </c>
      <c r="Y980" s="7">
        <v>36000000</v>
      </c>
      <c r="Z980" s="1"/>
      <c r="AA980" s="1"/>
      <c r="AB980" s="1"/>
      <c r="AC980" s="1"/>
      <c r="AD980" s="1"/>
      <c r="AE980" s="1" t="s">
        <v>51</v>
      </c>
      <c r="AF980" s="1" t="s">
        <v>51</v>
      </c>
      <c r="AG980" s="1" t="s">
        <v>51</v>
      </c>
      <c r="AH980" s="1"/>
      <c r="AI980" s="1"/>
      <c r="AJ980" s="3">
        <v>1</v>
      </c>
      <c r="AK980" s="1" t="s">
        <v>52</v>
      </c>
      <c r="AL980" s="3">
        <v>9</v>
      </c>
      <c r="AM980" s="8">
        <v>25</v>
      </c>
      <c r="AN980" s="1"/>
      <c r="AO980" s="1" t="s">
        <v>6076</v>
      </c>
      <c r="AP980" s="1" t="s">
        <v>45</v>
      </c>
      <c r="AQ980" s="1" t="s">
        <v>6077</v>
      </c>
      <c r="AR980" s="1" t="s">
        <v>6078</v>
      </c>
    </row>
    <row r="981">
      <c r="A981" s="2">
        <f ca="1">DATE(2003,02,24)</f>
        <v>0</v>
      </c>
      <c r="B981" s="2">
        <f ca="1">DATE(2003,03,26)</f>
        <v>0</v>
      </c>
      <c r="C981" s="1" t="s">
        <v>6079</v>
      </c>
      <c r="D981" s="3">
        <v>6726</v>
      </c>
      <c r="E981" s="1" t="s">
        <v>43</v>
      </c>
      <c r="F981" s="1" t="s">
        <v>6080</v>
      </c>
      <c r="G981" s="1" t="s">
        <v>1583</v>
      </c>
      <c r="H981" s="4">
        <v>0.67500000000000004</v>
      </c>
      <c r="I981" s="4">
        <v>4.5</v>
      </c>
      <c r="J981" s="5">
        <v>900</v>
      </c>
      <c r="K981" s="4">
        <v>15</v>
      </c>
      <c r="L981" s="1" t="s">
        <v>46</v>
      </c>
      <c r="M981" s="1" t="s">
        <v>47</v>
      </c>
      <c r="N981" s="1" t="s">
        <v>6081</v>
      </c>
      <c r="O981" s="1" t="s">
        <v>108</v>
      </c>
      <c r="P981" s="1" t="s">
        <v>6082</v>
      </c>
      <c r="Q981" s="4">
        <v>0.96699999999999997</v>
      </c>
      <c r="R981" s="4">
        <v>0.53300000000000003</v>
      </c>
      <c r="S981" s="8">
        <v>3</v>
      </c>
      <c r="T981" s="1" t="s">
        <v>50</v>
      </c>
      <c r="U981" s="8">
        <v>15</v>
      </c>
      <c r="V981" s="8">
        <v>15</v>
      </c>
      <c r="W981" s="7">
        <v>1000</v>
      </c>
      <c r="X981" s="5">
        <v>0</v>
      </c>
      <c r="Y981" s="7">
        <v>60000000</v>
      </c>
      <c r="Z981" s="1"/>
      <c r="AA981" s="2">
        <f ca="1">DATE(2003,09,22)</f>
        <v>0</v>
      </c>
      <c r="AB981" s="1"/>
      <c r="AC981" s="3">
        <v>180</v>
      </c>
      <c r="AD981" s="1"/>
      <c r="AE981" s="1" t="s">
        <v>51</v>
      </c>
      <c r="AF981" s="1" t="s">
        <v>51</v>
      </c>
      <c r="AG981" s="1" t="s">
        <v>51</v>
      </c>
      <c r="AH981" s="1"/>
      <c r="AI981" s="1"/>
      <c r="AJ981" s="3">
        <v>1</v>
      </c>
      <c r="AK981" s="1" t="s">
        <v>52</v>
      </c>
      <c r="AL981" s="3">
        <v>13</v>
      </c>
      <c r="AM981" s="8">
        <v>15.01</v>
      </c>
      <c r="AN981" s="1"/>
      <c r="AO981" s="1" t="s">
        <v>6083</v>
      </c>
      <c r="AP981" s="1" t="s">
        <v>1583</v>
      </c>
      <c r="AQ981" s="1" t="s">
        <v>6084</v>
      </c>
      <c r="AR981" s="1" t="s">
        <v>6085</v>
      </c>
    </row>
    <row r="982">
      <c r="A982" s="2">
        <f ca="1">DATE(2003,01,31)</f>
        <v>0</v>
      </c>
      <c r="B982" s="2">
        <f ca="1">DATE(2003,03,26)</f>
        <v>0</v>
      </c>
      <c r="C982" s="1" t="s">
        <v>6086</v>
      </c>
      <c r="D982" s="3">
        <v>6726</v>
      </c>
      <c r="E982" s="1" t="s">
        <v>43</v>
      </c>
      <c r="F982" s="1" t="s">
        <v>6087</v>
      </c>
      <c r="G982" s="1" t="s">
        <v>4332</v>
      </c>
      <c r="H982" s="4">
        <v>0.67500000000000004</v>
      </c>
      <c r="I982" s="4">
        <v>4.5</v>
      </c>
      <c r="J982" s="9">
        <v>1320</v>
      </c>
      <c r="K982" s="4">
        <v>15</v>
      </c>
      <c r="L982" s="1" t="s">
        <v>85</v>
      </c>
      <c r="M982" s="1" t="s">
        <v>47</v>
      </c>
      <c r="N982" s="1" t="s">
        <v>6088</v>
      </c>
      <c r="O982" s="1" t="s">
        <v>108</v>
      </c>
      <c r="P982" s="1" t="s">
        <v>6089</v>
      </c>
      <c r="Q982" s="4">
        <v>0.93300000000000005</v>
      </c>
      <c r="R982" s="4">
        <v>0.56699999999999995</v>
      </c>
      <c r="S982" s="8">
        <v>3</v>
      </c>
      <c r="T982" s="1" t="s">
        <v>50</v>
      </c>
      <c r="U982" s="8">
        <v>15</v>
      </c>
      <c r="V982" s="8">
        <v>15</v>
      </c>
      <c r="W982" s="7">
        <v>1000</v>
      </c>
      <c r="X982" s="5">
        <v>0</v>
      </c>
      <c r="Y982" s="7">
        <v>88000000</v>
      </c>
      <c r="Z982" s="1"/>
      <c r="AA982" s="2">
        <f ca="1">DATE(2003,09,22)</f>
        <v>0</v>
      </c>
      <c r="AB982" s="1"/>
      <c r="AC982" s="3">
        <v>180</v>
      </c>
      <c r="AD982" s="1"/>
      <c r="AE982" s="1" t="s">
        <v>51</v>
      </c>
      <c r="AF982" s="1" t="s">
        <v>51</v>
      </c>
      <c r="AG982" s="1" t="s">
        <v>51</v>
      </c>
      <c r="AH982" s="1"/>
      <c r="AI982" s="1"/>
      <c r="AJ982" s="3">
        <v>1</v>
      </c>
      <c r="AK982" s="1" t="s">
        <v>52</v>
      </c>
      <c r="AL982" s="3">
        <v>19</v>
      </c>
      <c r="AM982" s="1"/>
      <c r="AN982" s="1"/>
      <c r="AO982" s="1" t="s">
        <v>6090</v>
      </c>
      <c r="AP982" s="1" t="s">
        <v>4332</v>
      </c>
      <c r="AQ982" s="1" t="s">
        <v>6091</v>
      </c>
      <c r="AR982" s="1" t="s">
        <v>6092</v>
      </c>
    </row>
    <row r="983">
      <c r="A983" s="2">
        <f ca="1">DATE(2003,03,04)</f>
        <v>0</v>
      </c>
      <c r="B983" s="2">
        <f ca="1">DATE(2003,04,24)</f>
        <v>0</v>
      </c>
      <c r="C983" s="1" t="s">
        <v>6093</v>
      </c>
      <c r="D983" s="3">
        <v>6726</v>
      </c>
      <c r="E983" s="1" t="s">
        <v>43</v>
      </c>
      <c r="F983" s="1" t="s">
        <v>6094</v>
      </c>
      <c r="G983" s="1" t="s">
        <v>4145</v>
      </c>
      <c r="H983" s="4">
        <v>0.67500000000000004</v>
      </c>
      <c r="I983" s="4">
        <v>4.5</v>
      </c>
      <c r="J983" s="5">
        <v>360</v>
      </c>
      <c r="K983" s="4">
        <v>15</v>
      </c>
      <c r="L983" s="1" t="s">
        <v>46</v>
      </c>
      <c r="M983" s="1" t="s">
        <v>47</v>
      </c>
      <c r="N983" s="1" t="s">
        <v>6095</v>
      </c>
      <c r="O983" s="1" t="s">
        <v>108</v>
      </c>
      <c r="P983" s="1" t="s">
        <v>6096</v>
      </c>
      <c r="Q983" s="4">
        <v>0.93300000000000005</v>
      </c>
      <c r="R983" s="4">
        <v>0.56699999999999995</v>
      </c>
      <c r="S983" s="8">
        <v>3</v>
      </c>
      <c r="T983" s="1" t="s">
        <v>50</v>
      </c>
      <c r="U983" s="8">
        <v>15</v>
      </c>
      <c r="V983" s="8">
        <v>15</v>
      </c>
      <c r="W983" s="7">
        <v>4600000</v>
      </c>
      <c r="X983" s="5">
        <v>69</v>
      </c>
      <c r="Y983" s="7">
        <v>24000000</v>
      </c>
      <c r="Z983" s="1"/>
      <c r="AA983" s="2">
        <f ca="1">DATE(2003,10,21)</f>
        <v>0</v>
      </c>
      <c r="AB983" s="1"/>
      <c r="AC983" s="3">
        <v>180</v>
      </c>
      <c r="AD983" s="1"/>
      <c r="AE983" s="1" t="s">
        <v>51</v>
      </c>
      <c r="AF983" s="1" t="s">
        <v>51</v>
      </c>
      <c r="AG983" s="1" t="s">
        <v>51</v>
      </c>
      <c r="AH983" s="1"/>
      <c r="AI983" s="1"/>
      <c r="AJ983" s="3">
        <v>1</v>
      </c>
      <c r="AK983" s="1" t="s">
        <v>52</v>
      </c>
      <c r="AL983" s="3">
        <v>13</v>
      </c>
      <c r="AM983" s="1"/>
      <c r="AN983" s="1"/>
      <c r="AO983" s="1" t="s">
        <v>6097</v>
      </c>
      <c r="AP983" s="1" t="s">
        <v>4145</v>
      </c>
      <c r="AQ983" s="1" t="s">
        <v>6098</v>
      </c>
      <c r="AR983" s="1" t="s">
        <v>6099</v>
      </c>
    </row>
    <row r="984">
      <c r="A984" s="2">
        <f ca="1">DATE(2003,02,21)</f>
        <v>0</v>
      </c>
      <c r="B984" s="2">
        <f ca="1">DATE(2003,04,24)</f>
        <v>0</v>
      </c>
      <c r="C984" s="1" t="s">
        <v>6100</v>
      </c>
      <c r="D984" s="3">
        <v>6726</v>
      </c>
      <c r="E984" s="1" t="s">
        <v>43</v>
      </c>
      <c r="F984" s="1" t="s">
        <v>6101</v>
      </c>
      <c r="G984" s="1" t="s">
        <v>6102</v>
      </c>
      <c r="H984" s="4">
        <v>0.67500000000000004</v>
      </c>
      <c r="I984" s="4">
        <v>4.5</v>
      </c>
      <c r="J984" s="9">
        <v>1575</v>
      </c>
      <c r="K984" s="4">
        <v>15</v>
      </c>
      <c r="L984" s="1" t="s">
        <v>85</v>
      </c>
      <c r="M984" s="1" t="s">
        <v>47</v>
      </c>
      <c r="N984" s="3">
        <v>722014107</v>
      </c>
      <c r="O984" s="1" t="s">
        <v>108</v>
      </c>
      <c r="P984" s="1" t="s">
        <v>6103</v>
      </c>
      <c r="Q984" s="4">
        <v>0.93300000000000005</v>
      </c>
      <c r="R984" s="4">
        <v>0.56699999999999995</v>
      </c>
      <c r="S984" s="8">
        <v>3</v>
      </c>
      <c r="T984" s="1" t="s">
        <v>50</v>
      </c>
      <c r="U984" s="8">
        <v>15</v>
      </c>
      <c r="V984" s="8">
        <v>15</v>
      </c>
      <c r="W984" s="7">
        <v>1000</v>
      </c>
      <c r="X984" s="5">
        <v>0</v>
      </c>
      <c r="Y984" s="7">
        <v>105000000</v>
      </c>
      <c r="Z984" s="1"/>
      <c r="AA984" s="2">
        <f ca="1">DATE(2003,10,21)</f>
        <v>0</v>
      </c>
      <c r="AB984" s="1"/>
      <c r="AC984" s="3">
        <v>180</v>
      </c>
      <c r="AD984" s="1"/>
      <c r="AE984" s="1" t="s">
        <v>51</v>
      </c>
      <c r="AF984" s="1" t="s">
        <v>51</v>
      </c>
      <c r="AG984" s="1" t="s">
        <v>51</v>
      </c>
      <c r="AH984" s="1"/>
      <c r="AI984" s="1"/>
      <c r="AJ984" s="3">
        <v>3</v>
      </c>
      <c r="AK984" s="1" t="s">
        <v>110</v>
      </c>
      <c r="AL984" s="3">
        <v>15</v>
      </c>
      <c r="AM984" s="1"/>
      <c r="AN984" s="1"/>
      <c r="AO984" s="1" t="s">
        <v>6104</v>
      </c>
      <c r="AP984" s="1" t="s">
        <v>6105</v>
      </c>
      <c r="AQ984" s="1" t="s">
        <v>6106</v>
      </c>
      <c r="AR984" s="1" t="s">
        <v>6107</v>
      </c>
    </row>
    <row r="985">
      <c r="A985" s="2">
        <f ca="1">DATE(2003,02,19)</f>
        <v>0</v>
      </c>
      <c r="B985" s="2">
        <f ca="1">DATE(2003,04,29)</f>
        <v>0</v>
      </c>
      <c r="C985" s="1" t="s">
        <v>6108</v>
      </c>
      <c r="D985" s="3">
        <v>6726</v>
      </c>
      <c r="E985" s="1" t="s">
        <v>43</v>
      </c>
      <c r="F985" s="1" t="s">
        <v>6109</v>
      </c>
      <c r="G985" s="1" t="s">
        <v>45</v>
      </c>
      <c r="H985" s="4">
        <v>1.125</v>
      </c>
      <c r="I985" s="4">
        <v>4.5</v>
      </c>
      <c r="J985" s="5">
        <v>520</v>
      </c>
      <c r="K985" s="4">
        <v>25</v>
      </c>
      <c r="L985" s="1" t="s">
        <v>85</v>
      </c>
      <c r="M985" s="1" t="s">
        <v>47</v>
      </c>
      <c r="N985" s="1" t="s">
        <v>6110</v>
      </c>
      <c r="O985" s="1" t="s">
        <v>108</v>
      </c>
      <c r="P985" s="1" t="s">
        <v>6111</v>
      </c>
      <c r="Q985" s="1" t="s">
        <v>145</v>
      </c>
      <c r="R985" s="1" t="s">
        <v>145</v>
      </c>
      <c r="S985" s="8">
        <v>3</v>
      </c>
      <c r="T985" s="1" t="s">
        <v>50</v>
      </c>
      <c r="U985" s="8">
        <v>25</v>
      </c>
      <c r="V985" s="8">
        <v>25</v>
      </c>
      <c r="W985" s="7">
        <v>100000</v>
      </c>
      <c r="X985" s="5">
        <v>2.5</v>
      </c>
      <c r="Y985" s="7">
        <v>20800000</v>
      </c>
      <c r="Z985" s="1"/>
      <c r="AA985" s="1"/>
      <c r="AB985" s="1"/>
      <c r="AC985" s="1"/>
      <c r="AD985" s="1"/>
      <c r="AE985" s="1" t="s">
        <v>51</v>
      </c>
      <c r="AF985" s="1" t="s">
        <v>51</v>
      </c>
      <c r="AG985" s="1" t="s">
        <v>51</v>
      </c>
      <c r="AH985" s="1"/>
      <c r="AI985" s="1"/>
      <c r="AJ985" s="3">
        <v>1</v>
      </c>
      <c r="AK985" s="1" t="s">
        <v>52</v>
      </c>
      <c r="AL985" s="3">
        <v>12</v>
      </c>
      <c r="AM985" s="8">
        <v>25.02</v>
      </c>
      <c r="AN985" s="1"/>
      <c r="AO985" s="1" t="s">
        <v>6112</v>
      </c>
      <c r="AP985" s="1" t="s">
        <v>45</v>
      </c>
      <c r="AQ985" s="1" t="s">
        <v>6113</v>
      </c>
      <c r="AR985" s="1" t="s">
        <v>6114</v>
      </c>
    </row>
    <row r="986">
      <c r="A986" s="2">
        <f ca="1">DATE(2002,12,06)</f>
        <v>0</v>
      </c>
      <c r="B986" s="2">
        <f ca="1">DATE(2003,05,12)</f>
        <v>0</v>
      </c>
      <c r="C986" s="1" t="s">
        <v>6115</v>
      </c>
      <c r="D986" s="3">
        <v>6099</v>
      </c>
      <c r="E986" s="1" t="s">
        <v>43</v>
      </c>
      <c r="F986" s="1" t="s">
        <v>6116</v>
      </c>
      <c r="G986" s="1" t="s">
        <v>411</v>
      </c>
      <c r="H986" s="4">
        <v>1.1200000000000001</v>
      </c>
      <c r="I986" s="4">
        <v>7</v>
      </c>
      <c r="J986" s="5">
        <v>80</v>
      </c>
      <c r="K986" s="4">
        <v>16</v>
      </c>
      <c r="L986" s="1" t="s">
        <v>46</v>
      </c>
      <c r="M986" s="1" t="s">
        <v>47</v>
      </c>
      <c r="N986" s="1" t="s">
        <v>6117</v>
      </c>
      <c r="O986" s="1" t="s">
        <v>48</v>
      </c>
      <c r="P986" s="1" t="s">
        <v>6118</v>
      </c>
      <c r="Q986" s="4">
        <v>1.4059999999999999</v>
      </c>
      <c r="R986" s="4">
        <v>1.4059999999999999</v>
      </c>
      <c r="S986" s="10">
        <v>4.1875</v>
      </c>
      <c r="T986" s="1" t="s">
        <v>50</v>
      </c>
      <c r="U986" s="1"/>
      <c r="V986" s="1"/>
      <c r="W986" s="1"/>
      <c r="X986" s="5">
        <v>75</v>
      </c>
      <c r="Y986" s="7">
        <v>5000000</v>
      </c>
      <c r="Z986" s="1"/>
      <c r="AA986" s="2">
        <f ca="1">DATE(2003,11,08)</f>
        <v>0</v>
      </c>
      <c r="AB986" s="4">
        <v>65.965000000000003</v>
      </c>
      <c r="AC986" s="3">
        <v>180</v>
      </c>
      <c r="AD986" s="8">
        <v>9690779</v>
      </c>
      <c r="AE986" s="1" t="s">
        <v>51</v>
      </c>
      <c r="AF986" s="1" t="s">
        <v>51</v>
      </c>
      <c r="AG986" s="1" t="s">
        <v>47</v>
      </c>
      <c r="AH986" s="1"/>
      <c r="AI986" s="1"/>
      <c r="AJ986" s="3">
        <v>1</v>
      </c>
      <c r="AK986" s="1" t="s">
        <v>52</v>
      </c>
      <c r="AL986" s="3">
        <v>3</v>
      </c>
      <c r="AM986" s="8">
        <v>21.02</v>
      </c>
      <c r="AN986" s="1"/>
      <c r="AO986" s="1" t="s">
        <v>6119</v>
      </c>
      <c r="AP986" s="1" t="s">
        <v>411</v>
      </c>
      <c r="AQ986" s="1" t="s">
        <v>6120</v>
      </c>
      <c r="AR986" s="1" t="s">
        <v>6121</v>
      </c>
    </row>
    <row r="987">
      <c r="A987" s="2">
        <f ca="1">DATE(2003,01,15)</f>
        <v>0</v>
      </c>
      <c r="B987" s="2">
        <f ca="1">DATE(2003,05,15)</f>
        <v>0</v>
      </c>
      <c r="C987" s="1" t="s">
        <v>6122</v>
      </c>
      <c r="D987" s="3">
        <v>3799</v>
      </c>
      <c r="E987" s="1" t="s">
        <v>43</v>
      </c>
      <c r="F987" s="1" t="s">
        <v>6123</v>
      </c>
      <c r="G987" s="1" t="s">
        <v>4558</v>
      </c>
      <c r="H987" s="4">
        <v>0.42799999999999999</v>
      </c>
      <c r="I987" s="4">
        <v>9.5</v>
      </c>
      <c r="J987" s="5">
        <v>10</v>
      </c>
      <c r="K987" s="4">
        <v>4.5</v>
      </c>
      <c r="L987" s="1" t="s">
        <v>46</v>
      </c>
      <c r="M987" s="1" t="s">
        <v>47</v>
      </c>
      <c r="N987" s="1" t="s">
        <v>6124</v>
      </c>
      <c r="O987" s="1" t="s">
        <v>87</v>
      </c>
      <c r="P987" s="1" t="s">
        <v>4560</v>
      </c>
      <c r="Q987" s="1" t="s">
        <v>145</v>
      </c>
      <c r="R987" s="1" t="s">
        <v>145</v>
      </c>
      <c r="S987" s="6">
        <v>5.3333300000000001</v>
      </c>
      <c r="T987" s="1" t="s">
        <v>50</v>
      </c>
      <c r="U987" s="8">
        <v>6</v>
      </c>
      <c r="V987" s="8">
        <v>4</v>
      </c>
      <c r="W987" s="7">
        <v>2500000</v>
      </c>
      <c r="X987" s="5">
        <v>12.5</v>
      </c>
      <c r="Y987" s="7">
        <v>2222224</v>
      </c>
      <c r="Z987" s="1"/>
      <c r="AA987" s="1" t="s">
        <v>6125</v>
      </c>
      <c r="AB987" s="1" t="s">
        <v>6126</v>
      </c>
      <c r="AC987" s="1" t="s">
        <v>6127</v>
      </c>
      <c r="AD987" s="1" t="s">
        <v>6128</v>
      </c>
      <c r="AE987" s="1" t="s">
        <v>51</v>
      </c>
      <c r="AF987" s="1" t="s">
        <v>51</v>
      </c>
      <c r="AG987" s="1" t="s">
        <v>51</v>
      </c>
      <c r="AH987" s="1"/>
      <c r="AI987" s="1"/>
      <c r="AJ987" s="3">
        <v>1</v>
      </c>
      <c r="AK987" s="1" t="s">
        <v>52</v>
      </c>
      <c r="AL987" s="3">
        <v>1</v>
      </c>
      <c r="AM987" s="8">
        <v>4.5</v>
      </c>
      <c r="AN987" s="1"/>
      <c r="AO987" s="1" t="s">
        <v>4558</v>
      </c>
      <c r="AP987" s="1" t="s">
        <v>4558</v>
      </c>
      <c r="AQ987" s="1" t="s">
        <v>4558</v>
      </c>
      <c r="AR987" s="1" t="s">
        <v>4561</v>
      </c>
    </row>
    <row r="988">
      <c r="A988" s="2">
        <f ca="1">DATE(2003,03,14)</f>
        <v>0</v>
      </c>
      <c r="B988" s="2">
        <f ca="1">DATE(2003,05,27)</f>
        <v>0</v>
      </c>
      <c r="C988" s="1" t="s">
        <v>6129</v>
      </c>
      <c r="D988" s="3">
        <v>6726</v>
      </c>
      <c r="E988" s="1" t="s">
        <v>43</v>
      </c>
      <c r="F988" s="1" t="s">
        <v>6130</v>
      </c>
      <c r="G988" s="1" t="s">
        <v>4332</v>
      </c>
      <c r="H988" s="4">
        <v>0.67500000000000004</v>
      </c>
      <c r="I988" s="4">
        <v>4.5</v>
      </c>
      <c r="J988" s="5">
        <v>783</v>
      </c>
      <c r="K988" s="4">
        <v>15</v>
      </c>
      <c r="L988" s="1" t="s">
        <v>46</v>
      </c>
      <c r="M988" s="1" t="s">
        <v>47</v>
      </c>
      <c r="N988" s="1" t="s">
        <v>6131</v>
      </c>
      <c r="O988" s="1" t="s">
        <v>108</v>
      </c>
      <c r="P988" s="1" t="s">
        <v>6132</v>
      </c>
      <c r="Q988" s="4">
        <v>0.93300000000000005</v>
      </c>
      <c r="R988" s="4">
        <v>0.56699999999999995</v>
      </c>
      <c r="S988" s="8">
        <v>3</v>
      </c>
      <c r="T988" s="1" t="s">
        <v>50</v>
      </c>
      <c r="U988" s="8">
        <v>15</v>
      </c>
      <c r="V988" s="8">
        <v>15</v>
      </c>
      <c r="W988" s="7">
        <v>1000</v>
      </c>
      <c r="X988" s="5">
        <v>0</v>
      </c>
      <c r="Y988" s="7">
        <v>52200000</v>
      </c>
      <c r="Z988" s="1"/>
      <c r="AA988" s="2">
        <f ca="1">DATE(2003,11,23)</f>
        <v>0</v>
      </c>
      <c r="AB988" s="1"/>
      <c r="AC988" s="3">
        <v>180</v>
      </c>
      <c r="AD988" s="1"/>
      <c r="AE988" s="1" t="s">
        <v>51</v>
      </c>
      <c r="AF988" s="1" t="s">
        <v>51</v>
      </c>
      <c r="AG988" s="1" t="s">
        <v>51</v>
      </c>
      <c r="AH988" s="1"/>
      <c r="AI988" s="1"/>
      <c r="AJ988" s="3">
        <v>1</v>
      </c>
      <c r="AK988" s="1" t="s">
        <v>52</v>
      </c>
      <c r="AL988" s="3">
        <v>12</v>
      </c>
      <c r="AM988" s="8">
        <v>15.6</v>
      </c>
      <c r="AN988" s="1"/>
      <c r="AO988" s="1" t="s">
        <v>6133</v>
      </c>
      <c r="AP988" s="1" t="s">
        <v>4332</v>
      </c>
      <c r="AQ988" s="1" t="s">
        <v>6134</v>
      </c>
      <c r="AR988" s="1" t="s">
        <v>6135</v>
      </c>
    </row>
    <row r="989">
      <c r="A989" s="2">
        <f ca="1">DATE(2003,03,14)</f>
        <v>0</v>
      </c>
      <c r="B989" s="2">
        <f ca="1">DATE(2003,05,27)</f>
        <v>0</v>
      </c>
      <c r="C989" s="1" t="s">
        <v>6136</v>
      </c>
      <c r="D989" s="3">
        <v>6726</v>
      </c>
      <c r="E989" s="1" t="s">
        <v>43</v>
      </c>
      <c r="F989" s="1" t="s">
        <v>6137</v>
      </c>
      <c r="G989" s="1" t="s">
        <v>45</v>
      </c>
      <c r="H989" s="4">
        <v>0.67500000000000004</v>
      </c>
      <c r="I989" s="4">
        <v>4.5</v>
      </c>
      <c r="J989" s="5">
        <v>480</v>
      </c>
      <c r="K989" s="4">
        <v>15</v>
      </c>
      <c r="L989" s="1" t="s">
        <v>46</v>
      </c>
      <c r="M989" s="1" t="s">
        <v>47</v>
      </c>
      <c r="N989" s="3">
        <v>219932100</v>
      </c>
      <c r="O989" s="1" t="s">
        <v>108</v>
      </c>
      <c r="P989" s="1" t="s">
        <v>6138</v>
      </c>
      <c r="Q989" s="4">
        <v>0.96699999999999997</v>
      </c>
      <c r="R989" s="4">
        <v>0.53300000000000003</v>
      </c>
      <c r="S989" s="8">
        <v>3</v>
      </c>
      <c r="T989" s="1" t="s">
        <v>50</v>
      </c>
      <c r="U989" s="8">
        <v>15</v>
      </c>
      <c r="V989" s="8">
        <v>15</v>
      </c>
      <c r="W989" s="7">
        <v>66667</v>
      </c>
      <c r="X989" s="5">
        <v>1</v>
      </c>
      <c r="Y989" s="7">
        <v>32000000</v>
      </c>
      <c r="Z989" s="1"/>
      <c r="AA989" s="1"/>
      <c r="AB989" s="1"/>
      <c r="AC989" s="1"/>
      <c r="AD989" s="1"/>
      <c r="AE989" s="1" t="s">
        <v>51</v>
      </c>
      <c r="AF989" s="1" t="s">
        <v>51</v>
      </c>
      <c r="AG989" s="1" t="s">
        <v>51</v>
      </c>
      <c r="AH989" s="1"/>
      <c r="AI989" s="1"/>
      <c r="AJ989" s="3">
        <v>1</v>
      </c>
      <c r="AK989" s="1" t="s">
        <v>52</v>
      </c>
      <c r="AL989" s="3">
        <v>9</v>
      </c>
      <c r="AM989" s="8">
        <v>15</v>
      </c>
      <c r="AN989" s="1"/>
      <c r="AO989" s="1" t="s">
        <v>6139</v>
      </c>
      <c r="AP989" s="1" t="s">
        <v>45</v>
      </c>
      <c r="AQ989" s="1" t="s">
        <v>6140</v>
      </c>
      <c r="AR989" s="1" t="s">
        <v>6141</v>
      </c>
    </row>
    <row r="990">
      <c r="A990" s="2">
        <f ca="1">DATE(2003,04,25)</f>
        <v>0</v>
      </c>
      <c r="B990" s="2">
        <f ca="1">DATE(2003,05,27)</f>
        <v>0</v>
      </c>
      <c r="C990" s="1" t="s">
        <v>6142</v>
      </c>
      <c r="D990" s="3">
        <v>6726</v>
      </c>
      <c r="E990" s="1" t="s">
        <v>43</v>
      </c>
      <c r="F990" s="1" t="s">
        <v>6143</v>
      </c>
      <c r="G990" s="1" t="s">
        <v>6144</v>
      </c>
      <c r="H990" s="4">
        <v>0.90000000000000002</v>
      </c>
      <c r="I990" s="4">
        <v>4.5</v>
      </c>
      <c r="J990" s="9">
        <v>2020</v>
      </c>
      <c r="K990" s="4">
        <v>20</v>
      </c>
      <c r="L990" s="1" t="s">
        <v>85</v>
      </c>
      <c r="M990" s="1" t="s">
        <v>47</v>
      </c>
      <c r="N990" s="1" t="s">
        <v>6145</v>
      </c>
      <c r="O990" s="1" t="s">
        <v>87</v>
      </c>
      <c r="P990" s="1" t="s">
        <v>6146</v>
      </c>
      <c r="Q990" s="1" t="s">
        <v>145</v>
      </c>
      <c r="R990" s="1" t="s">
        <v>145</v>
      </c>
      <c r="S990" s="1"/>
      <c r="T990" s="1" t="s">
        <v>50</v>
      </c>
      <c r="U990" s="8">
        <v>15</v>
      </c>
      <c r="V990" s="8">
        <v>15</v>
      </c>
      <c r="W990" s="7">
        <v>66667</v>
      </c>
      <c r="X990" s="5">
        <v>1</v>
      </c>
      <c r="Y990" s="7">
        <v>101000000</v>
      </c>
      <c r="Z990" s="1"/>
      <c r="AA990" s="2">
        <f ca="1">DATE(2003,11,23)</f>
        <v>0</v>
      </c>
      <c r="AB990" s="1"/>
      <c r="AC990" s="3">
        <v>180</v>
      </c>
      <c r="AD990" s="8">
        <v>101000000</v>
      </c>
      <c r="AE990" s="1" t="s">
        <v>51</v>
      </c>
      <c r="AF990" s="1" t="s">
        <v>51</v>
      </c>
      <c r="AG990" s="1" t="s">
        <v>51</v>
      </c>
      <c r="AH990" s="1"/>
      <c r="AI990" s="1"/>
      <c r="AJ990" s="3">
        <v>3</v>
      </c>
      <c r="AK990" s="1" t="s">
        <v>110</v>
      </c>
      <c r="AL990" s="3">
        <v>12</v>
      </c>
      <c r="AM990" s="8">
        <v>20.010000000000002</v>
      </c>
      <c r="AN990" s="1"/>
      <c r="AO990" s="1" t="s">
        <v>6147</v>
      </c>
      <c r="AP990" s="1" t="s">
        <v>6148</v>
      </c>
      <c r="AQ990" s="1" t="s">
        <v>6149</v>
      </c>
      <c r="AR990" s="1" t="s">
        <v>6150</v>
      </c>
    </row>
    <row r="991">
      <c r="A991" s="2">
        <f ca="1">DATE(2002,04,22)</f>
        <v>0</v>
      </c>
      <c r="B991" s="2">
        <f ca="1">DATE(2003,06,11)</f>
        <v>0</v>
      </c>
      <c r="C991" s="1" t="s">
        <v>6151</v>
      </c>
      <c r="D991" s="3">
        <v>3674</v>
      </c>
      <c r="E991" s="1" t="s">
        <v>43</v>
      </c>
      <c r="F991" s="1" t="s">
        <v>6152</v>
      </c>
      <c r="G991" s="1" t="s">
        <v>796</v>
      </c>
      <c r="H991" s="4">
        <v>0.97999999999999998</v>
      </c>
      <c r="I991" s="8">
        <v>7</v>
      </c>
      <c r="J991" s="5">
        <v>84</v>
      </c>
      <c r="K991" s="4">
        <v>14</v>
      </c>
      <c r="L991" s="1" t="s">
        <v>46</v>
      </c>
      <c r="M991" s="1" t="s">
        <v>47</v>
      </c>
      <c r="N991" s="3">
        <v>346375108</v>
      </c>
      <c r="O991" s="1" t="s">
        <v>48</v>
      </c>
      <c r="P991" s="1" t="s">
        <v>6153</v>
      </c>
      <c r="Q991" s="4">
        <v>1.357</v>
      </c>
      <c r="R991" s="4">
        <v>1.357</v>
      </c>
      <c r="S991" s="6">
        <v>4.2857099999999999</v>
      </c>
      <c r="T991" s="1" t="s">
        <v>50</v>
      </c>
      <c r="U991" s="1"/>
      <c r="V991" s="1"/>
      <c r="W991" s="1"/>
      <c r="X991" s="5">
        <v>100</v>
      </c>
      <c r="Y991" s="7">
        <v>5605305</v>
      </c>
      <c r="Z991" s="7">
        <v>394695</v>
      </c>
      <c r="AA991" s="2">
        <f ca="1">DATE(2003,12,08)</f>
        <v>0</v>
      </c>
      <c r="AB991" s="4">
        <v>82.019000000000005</v>
      </c>
      <c r="AC991" s="3">
        <v>180</v>
      </c>
      <c r="AD991" s="8">
        <v>27368322</v>
      </c>
      <c r="AE991" s="1" t="s">
        <v>51</v>
      </c>
      <c r="AF991" s="1" t="s">
        <v>51</v>
      </c>
      <c r="AG991" s="1" t="s">
        <v>47</v>
      </c>
      <c r="AH991" s="1"/>
      <c r="AI991" s="1"/>
      <c r="AJ991" s="3">
        <v>1</v>
      </c>
      <c r="AK991" s="1" t="s">
        <v>52</v>
      </c>
      <c r="AL991" s="3">
        <v>4</v>
      </c>
      <c r="AM991" s="8">
        <v>17.579999999999998</v>
      </c>
      <c r="AN991" s="1"/>
      <c r="AO991" s="1" t="s">
        <v>6154</v>
      </c>
      <c r="AP991" s="1" t="s">
        <v>796</v>
      </c>
      <c r="AQ991" s="1" t="s">
        <v>6155</v>
      </c>
      <c r="AR991" s="1" t="s">
        <v>6156</v>
      </c>
    </row>
    <row r="992">
      <c r="A992" s="2">
        <f ca="1">DATE(2003,04,22)</f>
        <v>0</v>
      </c>
      <c r="B992" s="2">
        <f ca="1">DATE(2003,06,12)</f>
        <v>0</v>
      </c>
      <c r="C992" s="1" t="s">
        <v>6157</v>
      </c>
      <c r="D992" s="3">
        <v>6726</v>
      </c>
      <c r="E992" s="1" t="s">
        <v>43</v>
      </c>
      <c r="F992" s="1" t="s">
        <v>6158</v>
      </c>
      <c r="G992" s="1" t="s">
        <v>4145</v>
      </c>
      <c r="H992" s="4">
        <v>0.67500000000000004</v>
      </c>
      <c r="I992" s="4">
        <v>4.5</v>
      </c>
      <c r="J992" s="5">
        <v>228</v>
      </c>
      <c r="K992" s="4">
        <v>15</v>
      </c>
      <c r="L992" s="1" t="s">
        <v>46</v>
      </c>
      <c r="M992" s="1" t="s">
        <v>47</v>
      </c>
      <c r="N992" s="1" t="s">
        <v>6159</v>
      </c>
      <c r="O992" s="1" t="s">
        <v>87</v>
      </c>
      <c r="P992" s="1" t="s">
        <v>6160</v>
      </c>
      <c r="Q992" s="4">
        <v>0.93300000000000005</v>
      </c>
      <c r="R992" s="4">
        <v>0.56699999999999995</v>
      </c>
      <c r="S992" s="8">
        <v>3</v>
      </c>
      <c r="T992" s="1" t="s">
        <v>50</v>
      </c>
      <c r="U992" s="8">
        <v>15</v>
      </c>
      <c r="V992" s="8">
        <v>15</v>
      </c>
      <c r="W992" s="7">
        <v>1000</v>
      </c>
      <c r="X992" s="5">
        <v>0</v>
      </c>
      <c r="Y992" s="7">
        <v>15200000</v>
      </c>
      <c r="Z992" s="1"/>
      <c r="AA992" s="2">
        <f ca="1">DATE(2003,12,09)</f>
        <v>0</v>
      </c>
      <c r="AB992" s="1"/>
      <c r="AC992" s="3">
        <v>180</v>
      </c>
      <c r="AD992" s="1"/>
      <c r="AE992" s="1" t="s">
        <v>51</v>
      </c>
      <c r="AF992" s="1" t="s">
        <v>51</v>
      </c>
      <c r="AG992" s="1" t="s">
        <v>51</v>
      </c>
      <c r="AH992" s="1"/>
      <c r="AI992" s="1"/>
      <c r="AJ992" s="3">
        <v>1</v>
      </c>
      <c r="AK992" s="1" t="s">
        <v>52</v>
      </c>
      <c r="AL992" s="3">
        <v>10</v>
      </c>
      <c r="AM992" s="8">
        <v>15.5</v>
      </c>
      <c r="AN992" s="1"/>
      <c r="AO992" s="1" t="s">
        <v>6161</v>
      </c>
      <c r="AP992" s="1" t="s">
        <v>4145</v>
      </c>
      <c r="AQ992" s="1" t="s">
        <v>6162</v>
      </c>
      <c r="AR992" s="1" t="s">
        <v>6163</v>
      </c>
    </row>
    <row r="993">
      <c r="A993" s="2">
        <f ca="1">DATE(2003,05,23)</f>
        <v>0</v>
      </c>
      <c r="B993" s="2">
        <f ca="1">DATE(2003,06,16)</f>
        <v>0</v>
      </c>
      <c r="C993" s="1" t="s">
        <v>6164</v>
      </c>
      <c r="D993" s="3">
        <v>6726</v>
      </c>
      <c r="E993" s="1" t="s">
        <v>43</v>
      </c>
      <c r="F993" s="1" t="s">
        <v>6165</v>
      </c>
      <c r="G993" s="1" t="s">
        <v>5487</v>
      </c>
      <c r="H993" s="4">
        <v>1.125</v>
      </c>
      <c r="I993" s="4">
        <v>4.5</v>
      </c>
      <c r="J993" s="5">
        <v>675</v>
      </c>
      <c r="K993" s="4">
        <v>25</v>
      </c>
      <c r="L993" s="1" t="s">
        <v>46</v>
      </c>
      <c r="M993" s="1" t="s">
        <v>47</v>
      </c>
      <c r="N993" s="1" t="s">
        <v>6166</v>
      </c>
      <c r="O993" s="1" t="s">
        <v>108</v>
      </c>
      <c r="P993" s="1" t="s">
        <v>6167</v>
      </c>
      <c r="Q993" s="4">
        <v>1</v>
      </c>
      <c r="R993" s="4">
        <v>0.5</v>
      </c>
      <c r="S993" s="8">
        <v>3</v>
      </c>
      <c r="T993" s="1" t="s">
        <v>50</v>
      </c>
      <c r="U993" s="8">
        <v>25</v>
      </c>
      <c r="V993" s="8">
        <v>25</v>
      </c>
      <c r="W993" s="1"/>
      <c r="X993" s="1"/>
      <c r="Y993" s="7">
        <v>27000000</v>
      </c>
      <c r="Z993" s="1"/>
      <c r="AA993" s="1"/>
      <c r="AB993" s="1"/>
      <c r="AC993" s="1"/>
      <c r="AD993" s="1"/>
      <c r="AE993" s="1" t="s">
        <v>51</v>
      </c>
      <c r="AF993" s="1" t="s">
        <v>51</v>
      </c>
      <c r="AG993" s="1" t="s">
        <v>51</v>
      </c>
      <c r="AH993" s="1"/>
      <c r="AI993" s="1"/>
      <c r="AJ993" s="3">
        <v>2</v>
      </c>
      <c r="AK993" s="1" t="s">
        <v>89</v>
      </c>
      <c r="AL993" s="3">
        <v>10</v>
      </c>
      <c r="AM993" s="8">
        <v>25.100000000000001</v>
      </c>
      <c r="AN993" s="1"/>
      <c r="AO993" s="1" t="s">
        <v>6168</v>
      </c>
      <c r="AP993" s="1" t="s">
        <v>5352</v>
      </c>
      <c r="AQ993" s="1" t="s">
        <v>6169</v>
      </c>
      <c r="AR993" s="1" t="s">
        <v>6170</v>
      </c>
    </row>
    <row r="994">
      <c r="A994" s="2">
        <f ca="1">DATE(2003,02,28)</f>
        <v>0</v>
      </c>
      <c r="B994" s="2">
        <f ca="1">DATE(2003,06,24)</f>
        <v>0</v>
      </c>
      <c r="C994" s="1" t="s">
        <v>6171</v>
      </c>
      <c r="D994" s="3">
        <v>6798</v>
      </c>
      <c r="E994" s="1" t="s">
        <v>43</v>
      </c>
      <c r="F994" s="1" t="s">
        <v>6172</v>
      </c>
      <c r="G994" s="1" t="s">
        <v>6173</v>
      </c>
      <c r="H994" s="4">
        <v>0.875</v>
      </c>
      <c r="I994" s="4">
        <v>7</v>
      </c>
      <c r="J994" s="5">
        <v>699.39999999999998</v>
      </c>
      <c r="K994" s="4">
        <v>12.5</v>
      </c>
      <c r="L994" s="1" t="s">
        <v>4422</v>
      </c>
      <c r="M994" s="1" t="s">
        <v>47</v>
      </c>
      <c r="N994" s="1" t="s">
        <v>6174</v>
      </c>
      <c r="O994" s="1" t="s">
        <v>108</v>
      </c>
      <c r="P994" s="1" t="s">
        <v>6175</v>
      </c>
      <c r="Q994" s="4">
        <v>1.3999999999999999</v>
      </c>
      <c r="R994" s="4">
        <v>1.3999999999999999</v>
      </c>
      <c r="S994" s="8">
        <v>4.2000000000000002</v>
      </c>
      <c r="T994" s="1" t="s">
        <v>50</v>
      </c>
      <c r="U994" s="1"/>
      <c r="V994" s="1"/>
      <c r="W994" s="1"/>
      <c r="X994" s="5">
        <v>600</v>
      </c>
      <c r="Y994" s="7">
        <v>55750000</v>
      </c>
      <c r="Z994" s="7">
        <v>200000</v>
      </c>
      <c r="AA994" s="1" t="s">
        <v>6176</v>
      </c>
      <c r="AB994" s="1" t="s">
        <v>6177</v>
      </c>
      <c r="AC994" s="1" t="s">
        <v>6178</v>
      </c>
      <c r="AD994" s="1" t="s">
        <v>6179</v>
      </c>
      <c r="AE994" s="1" t="s">
        <v>51</v>
      </c>
      <c r="AF994" s="1" t="s">
        <v>51</v>
      </c>
      <c r="AG994" s="1" t="s">
        <v>51</v>
      </c>
      <c r="AH994" s="1"/>
      <c r="AI994" s="1"/>
      <c r="AJ994" s="3">
        <v>2</v>
      </c>
      <c r="AK994" s="1" t="s">
        <v>89</v>
      </c>
      <c r="AL994" s="3">
        <v>26</v>
      </c>
      <c r="AM994" s="8">
        <v>14.25</v>
      </c>
      <c r="AN994" s="1"/>
      <c r="AO994" s="1" t="s">
        <v>6180</v>
      </c>
      <c r="AP994" s="1" t="s">
        <v>6181</v>
      </c>
      <c r="AQ994" s="1" t="s">
        <v>6182</v>
      </c>
      <c r="AR994" s="1" t="s">
        <v>6183</v>
      </c>
    </row>
    <row r="995">
      <c r="A995" s="2">
        <f ca="1">DATE(2003,03,26)</f>
        <v>0</v>
      </c>
      <c r="B995" s="2">
        <f ca="1">DATE(2003,06,24)</f>
        <v>0</v>
      </c>
      <c r="C995" s="1" t="s">
        <v>6184</v>
      </c>
      <c r="D995" s="3">
        <v>6726</v>
      </c>
      <c r="E995" s="1" t="s">
        <v>43</v>
      </c>
      <c r="F995" s="1" t="s">
        <v>6185</v>
      </c>
      <c r="G995" s="1" t="s">
        <v>45</v>
      </c>
      <c r="H995" s="4">
        <v>1.125</v>
      </c>
      <c r="I995" s="4">
        <v>4.5</v>
      </c>
      <c r="J995" s="9">
        <v>1068.8</v>
      </c>
      <c r="K995" s="4">
        <v>25</v>
      </c>
      <c r="L995" s="1" t="s">
        <v>46</v>
      </c>
      <c r="M995" s="1" t="s">
        <v>47</v>
      </c>
      <c r="N995" s="1" t="s">
        <v>6186</v>
      </c>
      <c r="O995" s="1" t="s">
        <v>108</v>
      </c>
      <c r="P995" s="1" t="s">
        <v>6187</v>
      </c>
      <c r="Q995" s="4">
        <v>1</v>
      </c>
      <c r="R995" s="4">
        <v>0.5</v>
      </c>
      <c r="S995" s="8">
        <v>3</v>
      </c>
      <c r="T995" s="1" t="s">
        <v>50</v>
      </c>
      <c r="U995" s="8">
        <v>15</v>
      </c>
      <c r="V995" s="8">
        <v>15</v>
      </c>
      <c r="W995" s="7">
        <v>66666</v>
      </c>
      <c r="X995" s="5">
        <v>1</v>
      </c>
      <c r="Y995" s="7">
        <v>42750000</v>
      </c>
      <c r="Z995" s="1"/>
      <c r="AA995" s="1"/>
      <c r="AB995" s="1"/>
      <c r="AC995" s="1"/>
      <c r="AD995" s="1"/>
      <c r="AE995" s="1" t="s">
        <v>51</v>
      </c>
      <c r="AF995" s="1" t="s">
        <v>51</v>
      </c>
      <c r="AG995" s="1" t="s">
        <v>51</v>
      </c>
      <c r="AH995" s="1"/>
      <c r="AI995" s="1"/>
      <c r="AJ995" s="3">
        <v>1</v>
      </c>
      <c r="AK995" s="1" t="s">
        <v>52</v>
      </c>
      <c r="AL995" s="3">
        <v>20</v>
      </c>
      <c r="AM995" s="8">
        <v>25.010000000000002</v>
      </c>
      <c r="AN995" s="1"/>
      <c r="AO995" s="1" t="s">
        <v>6188</v>
      </c>
      <c r="AP995" s="1" t="s">
        <v>45</v>
      </c>
      <c r="AQ995" s="1" t="s">
        <v>6189</v>
      </c>
      <c r="AR995" s="1" t="s">
        <v>6190</v>
      </c>
    </row>
    <row r="996">
      <c r="A996" s="2">
        <f ca="1">DATE(2002,11,12)</f>
        <v>0</v>
      </c>
      <c r="B996" s="2">
        <f ca="1">DATE(2003,06,24)</f>
        <v>0</v>
      </c>
      <c r="C996" s="1" t="s">
        <v>6191</v>
      </c>
      <c r="D996" s="3">
        <v>6798</v>
      </c>
      <c r="E996" s="1" t="s">
        <v>43</v>
      </c>
      <c r="F996" s="1" t="s">
        <v>6192</v>
      </c>
      <c r="G996" s="1" t="s">
        <v>6193</v>
      </c>
      <c r="H996" s="4">
        <v>1.1879999999999999</v>
      </c>
      <c r="I996" s="4">
        <v>6.25</v>
      </c>
      <c r="J996" s="5">
        <v>693.70000000000005</v>
      </c>
      <c r="K996" s="4">
        <v>19</v>
      </c>
      <c r="L996" s="1" t="s">
        <v>46</v>
      </c>
      <c r="M996" s="1" t="s">
        <v>47</v>
      </c>
      <c r="N996" s="3">
        <v>559775101</v>
      </c>
      <c r="O996" s="1" t="s">
        <v>108</v>
      </c>
      <c r="P996" s="1" t="s">
        <v>6194</v>
      </c>
      <c r="Q996" s="1" t="s">
        <v>145</v>
      </c>
      <c r="R996" s="1" t="s">
        <v>145</v>
      </c>
      <c r="S996" s="6">
        <v>4.0626300000000004</v>
      </c>
      <c r="T996" s="1" t="s">
        <v>50</v>
      </c>
      <c r="U996" s="1"/>
      <c r="V996" s="1"/>
      <c r="W996" s="1"/>
      <c r="X996" s="5">
        <v>890.29999999999995</v>
      </c>
      <c r="Y996" s="7">
        <v>36510000</v>
      </c>
      <c r="Z996" s="1"/>
      <c r="AA996" s="2">
        <f ca="1">DATE(2004,06,18)</f>
        <v>0</v>
      </c>
      <c r="AB996" s="4">
        <v>1.774</v>
      </c>
      <c r="AC996" s="3">
        <v>360</v>
      </c>
      <c r="AD996" s="8">
        <v>659211</v>
      </c>
      <c r="AE996" s="1" t="s">
        <v>51</v>
      </c>
      <c r="AF996" s="1" t="s">
        <v>51</v>
      </c>
      <c r="AG996" s="1" t="s">
        <v>51</v>
      </c>
      <c r="AH996" s="1"/>
      <c r="AI996" s="1"/>
      <c r="AJ996" s="3">
        <v>2</v>
      </c>
      <c r="AK996" s="1" t="s">
        <v>89</v>
      </c>
      <c r="AL996" s="3">
        <v>9</v>
      </c>
      <c r="AM996" s="8">
        <v>19</v>
      </c>
      <c r="AN996" s="1"/>
      <c r="AO996" s="1" t="s">
        <v>6195</v>
      </c>
      <c r="AP996" s="1" t="s">
        <v>6196</v>
      </c>
      <c r="AQ996" s="1" t="s">
        <v>6197</v>
      </c>
      <c r="AR996" s="1" t="s">
        <v>6198</v>
      </c>
    </row>
    <row r="997">
      <c r="A997" s="2">
        <f ca="1">DATE(2003,04,17)</f>
        <v>0</v>
      </c>
      <c r="B997" s="2">
        <f ca="1">DATE(2003,06,24)</f>
        <v>0</v>
      </c>
      <c r="C997" s="1" t="s">
        <v>6199</v>
      </c>
      <c r="D997" s="3">
        <v>6726</v>
      </c>
      <c r="E997" s="1" t="s">
        <v>43</v>
      </c>
      <c r="F997" s="1" t="s">
        <v>6200</v>
      </c>
      <c r="G997" s="1" t="s">
        <v>6201</v>
      </c>
      <c r="H997" s="4">
        <v>0.67500000000000004</v>
      </c>
      <c r="I997" s="4">
        <v>4.5</v>
      </c>
      <c r="J997" s="5">
        <v>250</v>
      </c>
      <c r="K997" s="4">
        <v>15</v>
      </c>
      <c r="L997" s="1" t="s">
        <v>46</v>
      </c>
      <c r="M997" s="1" t="s">
        <v>47</v>
      </c>
      <c r="N997" s="1" t="s">
        <v>6202</v>
      </c>
      <c r="O997" s="1" t="s">
        <v>87</v>
      </c>
      <c r="P997" s="1" t="s">
        <v>6203</v>
      </c>
      <c r="Q997" s="4">
        <v>0.93300000000000005</v>
      </c>
      <c r="R997" s="4">
        <v>0.56699999999999995</v>
      </c>
      <c r="S997" s="8">
        <v>3</v>
      </c>
      <c r="T997" s="1" t="s">
        <v>50</v>
      </c>
      <c r="U997" s="8">
        <v>15</v>
      </c>
      <c r="V997" s="8">
        <v>15</v>
      </c>
      <c r="W997" s="7">
        <v>4600000</v>
      </c>
      <c r="X997" s="5">
        <v>69</v>
      </c>
      <c r="Y997" s="7">
        <v>16666667</v>
      </c>
      <c r="Z997" s="1"/>
      <c r="AA997" s="2">
        <f ca="1">DATE(2003,12,21)</f>
        <v>0</v>
      </c>
      <c r="AB997" s="1"/>
      <c r="AC997" s="3">
        <v>180</v>
      </c>
      <c r="AD997" s="1"/>
      <c r="AE997" s="1" t="s">
        <v>51</v>
      </c>
      <c r="AF997" s="1" t="s">
        <v>51</v>
      </c>
      <c r="AG997" s="1" t="s">
        <v>51</v>
      </c>
      <c r="AH997" s="1"/>
      <c r="AI997" s="1"/>
      <c r="AJ997" s="3">
        <v>1</v>
      </c>
      <c r="AK997" s="1" t="s">
        <v>52</v>
      </c>
      <c r="AL997" s="3">
        <v>6</v>
      </c>
      <c r="AM997" s="8">
        <v>15</v>
      </c>
      <c r="AN997" s="1"/>
      <c r="AO997" s="1" t="s">
        <v>6204</v>
      </c>
      <c r="AP997" s="1" t="s">
        <v>6201</v>
      </c>
      <c r="AQ997" s="1" t="s">
        <v>6205</v>
      </c>
      <c r="AR997" s="1" t="s">
        <v>6206</v>
      </c>
    </row>
    <row r="998">
      <c r="A998" s="2">
        <f ca="1">DATE(2003,04,16)</f>
        <v>0</v>
      </c>
      <c r="B998" s="2">
        <f ca="1">DATE(2003,06,24)</f>
        <v>0</v>
      </c>
      <c r="C998" s="1" t="s">
        <v>6207</v>
      </c>
      <c r="D998" s="3">
        <v>6726</v>
      </c>
      <c r="E998" s="1" t="s">
        <v>43</v>
      </c>
      <c r="F998" s="1" t="s">
        <v>6208</v>
      </c>
      <c r="G998" s="1" t="s">
        <v>2705</v>
      </c>
      <c r="H998" s="4">
        <v>0.67500000000000004</v>
      </c>
      <c r="I998" s="4">
        <v>4.5</v>
      </c>
      <c r="J998" s="5">
        <v>247.5</v>
      </c>
      <c r="K998" s="4">
        <v>15</v>
      </c>
      <c r="L998" s="1" t="s">
        <v>46</v>
      </c>
      <c r="M998" s="1" t="s">
        <v>47</v>
      </c>
      <c r="N998" s="1" t="s">
        <v>6209</v>
      </c>
      <c r="O998" s="1" t="s">
        <v>108</v>
      </c>
      <c r="P998" s="1" t="s">
        <v>6210</v>
      </c>
      <c r="Q998" s="1" t="s">
        <v>145</v>
      </c>
      <c r="R998" s="1" t="s">
        <v>145</v>
      </c>
      <c r="S998" s="1"/>
      <c r="T998" s="1" t="s">
        <v>50</v>
      </c>
      <c r="U998" s="8">
        <v>15</v>
      </c>
      <c r="V998" s="8">
        <v>15</v>
      </c>
      <c r="W998" s="7">
        <v>4600000</v>
      </c>
      <c r="X998" s="5">
        <v>69</v>
      </c>
      <c r="Y998" s="7">
        <v>16500000</v>
      </c>
      <c r="Z998" s="1"/>
      <c r="AA998" s="1"/>
      <c r="AB998" s="1"/>
      <c r="AC998" s="1"/>
      <c r="AD998" s="1"/>
      <c r="AE998" s="1" t="s">
        <v>51</v>
      </c>
      <c r="AF998" s="1" t="s">
        <v>51</v>
      </c>
      <c r="AG998" s="1" t="s">
        <v>51</v>
      </c>
      <c r="AH998" s="1"/>
      <c r="AI998" s="1"/>
      <c r="AJ998" s="3">
        <v>1</v>
      </c>
      <c r="AK998" s="1" t="s">
        <v>52</v>
      </c>
      <c r="AL998" s="3">
        <v>12</v>
      </c>
      <c r="AM998" s="8">
        <v>15.1</v>
      </c>
      <c r="AN998" s="1"/>
      <c r="AO998" s="1" t="s">
        <v>6211</v>
      </c>
      <c r="AP998" s="1" t="s">
        <v>2705</v>
      </c>
      <c r="AQ998" s="1" t="s">
        <v>6212</v>
      </c>
      <c r="AR998" s="1" t="s">
        <v>6213</v>
      </c>
    </row>
    <row r="999">
      <c r="A999" s="2">
        <f ca="1">DATE(2003,04,16)</f>
        <v>0</v>
      </c>
      <c r="B999" s="2">
        <f ca="1">DATE(2003,06,25)</f>
        <v>0</v>
      </c>
      <c r="C999" s="1" t="s">
        <v>6214</v>
      </c>
      <c r="D999" s="3">
        <v>6726</v>
      </c>
      <c r="E999" s="1" t="s">
        <v>43</v>
      </c>
      <c r="F999" s="1" t="s">
        <v>6215</v>
      </c>
      <c r="G999" s="1" t="s">
        <v>6216</v>
      </c>
      <c r="H999" s="4">
        <v>0.90000000000000002</v>
      </c>
      <c r="I999" s="4">
        <v>4.5</v>
      </c>
      <c r="J999" s="5">
        <v>780</v>
      </c>
      <c r="K999" s="4">
        <v>20</v>
      </c>
      <c r="L999" s="1" t="s">
        <v>46</v>
      </c>
      <c r="M999" s="1" t="s">
        <v>47</v>
      </c>
      <c r="N999" s="1" t="s">
        <v>6217</v>
      </c>
      <c r="O999" s="1" t="s">
        <v>87</v>
      </c>
      <c r="P999" s="1" t="s">
        <v>6218</v>
      </c>
      <c r="Q999" s="4">
        <v>1</v>
      </c>
      <c r="R999" s="4">
        <v>0.5</v>
      </c>
      <c r="S999" s="8">
        <v>3</v>
      </c>
      <c r="T999" s="1" t="s">
        <v>50</v>
      </c>
      <c r="U999" s="8">
        <v>20</v>
      </c>
      <c r="V999" s="8">
        <v>20</v>
      </c>
      <c r="W999" s="7">
        <v>43987500</v>
      </c>
      <c r="X999" s="5">
        <v>879.79999999999995</v>
      </c>
      <c r="Y999" s="7">
        <v>39000000</v>
      </c>
      <c r="Z999" s="1"/>
      <c r="AA999" s="1"/>
      <c r="AB999" s="1"/>
      <c r="AC999" s="1"/>
      <c r="AD999" s="1"/>
      <c r="AE999" s="1" t="s">
        <v>51</v>
      </c>
      <c r="AF999" s="1" t="s">
        <v>51</v>
      </c>
      <c r="AG999" s="1" t="s">
        <v>51</v>
      </c>
      <c r="AH999" s="1"/>
      <c r="AI999" s="1"/>
      <c r="AJ999" s="3">
        <v>2</v>
      </c>
      <c r="AK999" s="1" t="s">
        <v>89</v>
      </c>
      <c r="AL999" s="3">
        <v>11</v>
      </c>
      <c r="AM999" s="8">
        <v>20.010000000000002</v>
      </c>
      <c r="AN999" s="1"/>
      <c r="AO999" s="1" t="s">
        <v>6219</v>
      </c>
      <c r="AP999" s="1" t="s">
        <v>6220</v>
      </c>
      <c r="AQ999" s="1" t="s">
        <v>6221</v>
      </c>
      <c r="AR999" s="1" t="s">
        <v>6222</v>
      </c>
    </row>
    <row r="1000">
      <c r="A1000" s="2">
        <f ca="1">DATE(2003,04,17)</f>
        <v>0</v>
      </c>
      <c r="B1000" s="2">
        <f ca="1">DATE(2003,06,25)</f>
        <v>0</v>
      </c>
      <c r="C1000" s="1" t="s">
        <v>6223</v>
      </c>
      <c r="D1000" s="3">
        <v>6726</v>
      </c>
      <c r="E1000" s="1" t="s">
        <v>43</v>
      </c>
      <c r="F1000" s="1" t="s">
        <v>6224</v>
      </c>
      <c r="G1000" s="1" t="s">
        <v>6201</v>
      </c>
      <c r="H1000" s="4">
        <v>0.67500000000000004</v>
      </c>
      <c r="I1000" s="4">
        <v>4.5</v>
      </c>
      <c r="J1000" s="9">
        <v>2025</v>
      </c>
      <c r="K1000" s="4">
        <v>15</v>
      </c>
      <c r="L1000" s="1" t="s">
        <v>4422</v>
      </c>
      <c r="M1000" s="1" t="s">
        <v>47</v>
      </c>
      <c r="N1000" s="1" t="s">
        <v>6225</v>
      </c>
      <c r="O1000" s="1" t="s">
        <v>108</v>
      </c>
      <c r="P1000" s="1" t="s">
        <v>6226</v>
      </c>
      <c r="Q1000" s="4">
        <v>0.93300000000000005</v>
      </c>
      <c r="R1000" s="4">
        <v>0.56699999999999995</v>
      </c>
      <c r="S1000" s="8">
        <v>3</v>
      </c>
      <c r="T1000" s="1" t="s">
        <v>50</v>
      </c>
      <c r="U1000" s="8">
        <v>15</v>
      </c>
      <c r="V1000" s="8">
        <v>15</v>
      </c>
      <c r="W1000" s="7">
        <v>1000</v>
      </c>
      <c r="X1000" s="5">
        <v>0</v>
      </c>
      <c r="Y1000" s="7">
        <v>135000000</v>
      </c>
      <c r="Z1000" s="1"/>
      <c r="AA1000" s="1"/>
      <c r="AB1000" s="1"/>
      <c r="AC1000" s="1"/>
      <c r="AD1000" s="1"/>
      <c r="AE1000" s="1" t="s">
        <v>51</v>
      </c>
      <c r="AF1000" s="1" t="s">
        <v>51</v>
      </c>
      <c r="AG1000" s="1" t="s">
        <v>51</v>
      </c>
      <c r="AH1000" s="1"/>
      <c r="AI1000" s="1"/>
      <c r="AJ1000" s="3">
        <v>1</v>
      </c>
      <c r="AK1000" s="1" t="s">
        <v>52</v>
      </c>
      <c r="AL1000" s="3">
        <v>22</v>
      </c>
      <c r="AM1000" s="8">
        <v>15.07</v>
      </c>
      <c r="AN1000" s="1"/>
      <c r="AO1000" s="1" t="s">
        <v>6227</v>
      </c>
      <c r="AP1000" s="1" t="s">
        <v>6201</v>
      </c>
      <c r="AQ1000" s="1" t="s">
        <v>6228</v>
      </c>
      <c r="AR1000" s="1" t="s">
        <v>6229</v>
      </c>
    </row>
    <row r="1001">
      <c r="A1001" s="2">
        <f ca="1">DATE(2003,03,05)</f>
        <v>0</v>
      </c>
      <c r="B1001" s="2">
        <f ca="1">DATE(2003,07,01)</f>
        <v>0</v>
      </c>
      <c r="C1001" s="1" t="s">
        <v>6230</v>
      </c>
      <c r="D1001" s="3">
        <v>6331</v>
      </c>
      <c r="E1001" s="1" t="s">
        <v>517</v>
      </c>
      <c r="F1001" s="1" t="s">
        <v>6231</v>
      </c>
      <c r="G1001" s="1" t="s">
        <v>4311</v>
      </c>
      <c r="H1001" s="4">
        <v>1.3200000000000001</v>
      </c>
      <c r="I1001" s="4">
        <v>6</v>
      </c>
      <c r="J1001" s="5">
        <v>473</v>
      </c>
      <c r="K1001" s="4">
        <v>22</v>
      </c>
      <c r="L1001" s="1" t="s">
        <v>46</v>
      </c>
      <c r="M1001" s="1" t="s">
        <v>47</v>
      </c>
      <c r="N1001" s="1" t="s">
        <v>6232</v>
      </c>
      <c r="O1001" s="1" t="s">
        <v>108</v>
      </c>
      <c r="P1001" s="1" t="s">
        <v>6233</v>
      </c>
      <c r="Q1001" s="4">
        <v>1.3640000000000001</v>
      </c>
      <c r="R1001" s="4">
        <v>0.90900000000000003</v>
      </c>
      <c r="S1001" s="6">
        <v>3.7272699999999999</v>
      </c>
      <c r="T1001" s="1" t="s">
        <v>50</v>
      </c>
      <c r="U1001" s="1"/>
      <c r="V1001" s="1"/>
      <c r="W1001" s="1"/>
      <c r="X1001" s="5">
        <v>517.5</v>
      </c>
      <c r="Y1001" s="7">
        <v>13400000</v>
      </c>
      <c r="Z1001" s="7">
        <v>8100000</v>
      </c>
      <c r="AA1001" s="2">
        <f ca="1">DATE(2003,12,28)</f>
        <v>0</v>
      </c>
      <c r="AB1001" s="4">
        <v>85.885999999999996</v>
      </c>
      <c r="AC1001" s="3">
        <v>180</v>
      </c>
      <c r="AD1001" s="8">
        <v>130832216</v>
      </c>
      <c r="AE1001" s="1" t="s">
        <v>51</v>
      </c>
      <c r="AF1001" s="1" t="s">
        <v>51</v>
      </c>
      <c r="AG1001" s="1" t="s">
        <v>51</v>
      </c>
      <c r="AH1001" s="1"/>
      <c r="AI1001" s="1"/>
      <c r="AJ1001" s="3">
        <v>2</v>
      </c>
      <c r="AK1001" s="1" t="s">
        <v>89</v>
      </c>
      <c r="AL1001" s="3">
        <v>7</v>
      </c>
      <c r="AM1001" s="8">
        <v>25.550000000000001</v>
      </c>
      <c r="AN1001" s="1"/>
      <c r="AO1001" s="1" t="s">
        <v>6234</v>
      </c>
      <c r="AP1001" s="1" t="s">
        <v>4315</v>
      </c>
      <c r="AQ1001" s="1" t="s">
        <v>6235</v>
      </c>
      <c r="AR1001" s="1" t="s">
        <v>6236</v>
      </c>
    </row>
    <row r="1002">
      <c r="A1002" s="2">
        <f ca="1">DATE(2002,12,30)</f>
        <v>0</v>
      </c>
      <c r="B1002" s="2">
        <f ca="1">DATE(2003,07,02)</f>
        <v>0</v>
      </c>
      <c r="C1002" s="1" t="s">
        <v>6237</v>
      </c>
      <c r="D1002" s="3">
        <v>6324</v>
      </c>
      <c r="E1002" s="1" t="s">
        <v>43</v>
      </c>
      <c r="F1002" s="1" t="s">
        <v>6238</v>
      </c>
      <c r="G1002" s="1" t="s">
        <v>4080</v>
      </c>
      <c r="H1002" s="4">
        <v>1.2250000000000001</v>
      </c>
      <c r="I1002" s="4">
        <v>7</v>
      </c>
      <c r="J1002" s="5">
        <v>115.5</v>
      </c>
      <c r="K1002" s="4">
        <v>17.5</v>
      </c>
      <c r="L1002" s="1" t="s">
        <v>46</v>
      </c>
      <c r="M1002" s="1" t="s">
        <v>47</v>
      </c>
      <c r="N1002" s="1" t="s">
        <v>6239</v>
      </c>
      <c r="O1002" s="1" t="s">
        <v>108</v>
      </c>
      <c r="P1002" s="1" t="s">
        <v>6240</v>
      </c>
      <c r="Q1002" s="4">
        <v>1.3999999999999999</v>
      </c>
      <c r="R1002" s="4">
        <v>1.3999999999999999</v>
      </c>
      <c r="S1002" s="8">
        <v>4.2000000000000002</v>
      </c>
      <c r="T1002" s="1" t="s">
        <v>50</v>
      </c>
      <c r="U1002" s="1"/>
      <c r="V1002" s="1"/>
      <c r="W1002" s="1"/>
      <c r="X1002" s="5">
        <v>115</v>
      </c>
      <c r="Y1002" s="7">
        <v>6600000</v>
      </c>
      <c r="Z1002" s="1"/>
      <c r="AA1002" s="2">
        <f ca="1">DATE(2003,12,28)</f>
        <v>0</v>
      </c>
      <c r="AB1002" s="4">
        <v>74.015000000000001</v>
      </c>
      <c r="AC1002" s="3">
        <v>180</v>
      </c>
      <c r="AD1002" s="8">
        <v>18798826</v>
      </c>
      <c r="AE1002" s="1" t="s">
        <v>51</v>
      </c>
      <c r="AF1002" s="1" t="s">
        <v>51</v>
      </c>
      <c r="AG1002" s="1" t="s">
        <v>51</v>
      </c>
      <c r="AH1002" s="1"/>
      <c r="AI1002" s="1"/>
      <c r="AJ1002" s="3">
        <v>2</v>
      </c>
      <c r="AK1002" s="1" t="s">
        <v>89</v>
      </c>
      <c r="AL1002" s="3">
        <v>3</v>
      </c>
      <c r="AM1002" s="8">
        <v>20</v>
      </c>
      <c r="AN1002" s="1"/>
      <c r="AO1002" s="1" t="s">
        <v>6241</v>
      </c>
      <c r="AP1002" s="1" t="s">
        <v>4084</v>
      </c>
      <c r="AQ1002" s="1" t="s">
        <v>6242</v>
      </c>
      <c r="AR1002" s="1" t="s">
        <v>6243</v>
      </c>
    </row>
    <row r="1003">
      <c r="A1003" s="2">
        <f ca="1">DATE(2003,04,25)</f>
        <v>0</v>
      </c>
      <c r="B1003" s="2">
        <f ca="1">DATE(2003,07,09)</f>
        <v>0</v>
      </c>
      <c r="C1003" s="1" t="s">
        <v>6244</v>
      </c>
      <c r="D1003" s="3">
        <v>7389</v>
      </c>
      <c r="E1003" s="1" t="s">
        <v>43</v>
      </c>
      <c r="F1003" s="1" t="s">
        <v>6245</v>
      </c>
      <c r="G1003" s="1" t="s">
        <v>75</v>
      </c>
      <c r="H1003" s="4">
        <v>1.19</v>
      </c>
      <c r="I1003" s="8">
        <v>7</v>
      </c>
      <c r="J1003" s="5">
        <v>65.299999999999997</v>
      </c>
      <c r="K1003" s="4">
        <v>17</v>
      </c>
      <c r="L1003" s="1" t="s">
        <v>46</v>
      </c>
      <c r="M1003" s="1" t="s">
        <v>47</v>
      </c>
      <c r="N1003" s="1" t="s">
        <v>6246</v>
      </c>
      <c r="O1003" s="1" t="s">
        <v>48</v>
      </c>
      <c r="P1003" s="1" t="s">
        <v>6247</v>
      </c>
      <c r="Q1003" s="4">
        <v>1.3999999999999999</v>
      </c>
      <c r="R1003" s="4">
        <v>1.3999999999999999</v>
      </c>
      <c r="S1003" s="8">
        <v>4.2000000000000002</v>
      </c>
      <c r="T1003" s="1" t="s">
        <v>50</v>
      </c>
      <c r="U1003" s="1"/>
      <c r="V1003" s="1"/>
      <c r="W1003" s="1"/>
      <c r="X1003" s="5">
        <v>60</v>
      </c>
      <c r="Y1003" s="7">
        <v>3840000</v>
      </c>
      <c r="Z1003" s="1"/>
      <c r="AA1003" s="2">
        <f ca="1">DATE(2004,01,05)</f>
        <v>0</v>
      </c>
      <c r="AB1003" s="4">
        <v>69.721999999999994</v>
      </c>
      <c r="AC1003" s="3">
        <v>180</v>
      </c>
      <c r="AD1003" s="8">
        <v>9131729</v>
      </c>
      <c r="AE1003" s="1" t="s">
        <v>51</v>
      </c>
      <c r="AF1003" s="1" t="s">
        <v>51</v>
      </c>
      <c r="AG1003" s="1" t="s">
        <v>47</v>
      </c>
      <c r="AH1003" s="1"/>
      <c r="AI1003" s="1"/>
      <c r="AJ1003" s="3">
        <v>1</v>
      </c>
      <c r="AK1003" s="1" t="s">
        <v>52</v>
      </c>
      <c r="AL1003" s="3">
        <v>3</v>
      </c>
      <c r="AM1003" s="8">
        <v>24.920000000000002</v>
      </c>
      <c r="AN1003" s="1"/>
      <c r="AO1003" s="1" t="s">
        <v>6248</v>
      </c>
      <c r="AP1003" s="1" t="s">
        <v>75</v>
      </c>
      <c r="AQ1003" s="1" t="s">
        <v>6249</v>
      </c>
      <c r="AR1003" s="1" t="s">
        <v>6250</v>
      </c>
    </row>
    <row r="1004">
      <c r="A1004" s="2">
        <f ca="1">DATE(2003,01,30)</f>
        <v>0</v>
      </c>
      <c r="B1004" s="2">
        <f ca="1">DATE(2003,07,16)</f>
        <v>0</v>
      </c>
      <c r="C1004" s="1" t="s">
        <v>6251</v>
      </c>
      <c r="D1004" s="3">
        <v>7372</v>
      </c>
      <c r="E1004" s="1" t="s">
        <v>43</v>
      </c>
      <c r="F1004" s="1" t="s">
        <v>6252</v>
      </c>
      <c r="G1004" s="1" t="s">
        <v>75</v>
      </c>
      <c r="H1004" s="4">
        <v>0.97999999999999998</v>
      </c>
      <c r="I1004" s="8">
        <v>7</v>
      </c>
      <c r="J1004" s="5">
        <v>39.200000000000003</v>
      </c>
      <c r="K1004" s="4">
        <v>14</v>
      </c>
      <c r="L1004" s="1" t="s">
        <v>46</v>
      </c>
      <c r="M1004" s="1" t="s">
        <v>47</v>
      </c>
      <c r="N1004" s="1" t="s">
        <v>6253</v>
      </c>
      <c r="O1004" s="1" t="s">
        <v>48</v>
      </c>
      <c r="P1004" s="1" t="s">
        <v>6254</v>
      </c>
      <c r="Q1004" s="4">
        <v>1.3999999999999999</v>
      </c>
      <c r="R1004" s="4">
        <v>1.3999999999999999</v>
      </c>
      <c r="S1004" s="8">
        <v>4.2000000000000002</v>
      </c>
      <c r="T1004" s="1" t="s">
        <v>50</v>
      </c>
      <c r="U1004" s="1"/>
      <c r="V1004" s="1"/>
      <c r="W1004" s="1"/>
      <c r="X1004" s="5">
        <v>56.399999999999999</v>
      </c>
      <c r="Y1004" s="7">
        <v>2800000</v>
      </c>
      <c r="Z1004" s="1"/>
      <c r="AA1004" s="2">
        <f ca="1">DATE(2004,01,12)</f>
        <v>0</v>
      </c>
      <c r="AB1004" s="4">
        <v>77.414000000000001</v>
      </c>
      <c r="AC1004" s="3">
        <v>180</v>
      </c>
      <c r="AD1004" s="8">
        <v>9597139</v>
      </c>
      <c r="AE1004" s="1" t="s">
        <v>51</v>
      </c>
      <c r="AF1004" s="1" t="s">
        <v>51</v>
      </c>
      <c r="AG1004" s="1" t="s">
        <v>47</v>
      </c>
      <c r="AH1004" s="1"/>
      <c r="AI1004" s="1"/>
      <c r="AJ1004" s="3">
        <v>1</v>
      </c>
      <c r="AK1004" s="1" t="s">
        <v>52</v>
      </c>
      <c r="AL1004" s="3">
        <v>2</v>
      </c>
      <c r="AM1004" s="8">
        <v>18.690000000000001</v>
      </c>
      <c r="AN1004" s="1"/>
      <c r="AO1004" s="1" t="s">
        <v>6255</v>
      </c>
      <c r="AP1004" s="1" t="s">
        <v>75</v>
      </c>
      <c r="AQ1004" s="1" t="s">
        <v>6256</v>
      </c>
      <c r="AR1004" s="1" t="s">
        <v>6257</v>
      </c>
    </row>
    <row r="1005">
      <c r="A1005" s="2">
        <f ca="1">DATE(2003,03,14)</f>
        <v>0</v>
      </c>
      <c r="B1005" s="2">
        <f ca="1">DATE(2003,07,17)</f>
        <v>0</v>
      </c>
      <c r="C1005" s="1" t="s">
        <v>6258</v>
      </c>
      <c r="D1005" s="3">
        <v>6726</v>
      </c>
      <c r="E1005" s="1" t="s">
        <v>43</v>
      </c>
      <c r="F1005" s="1" t="s">
        <v>6259</v>
      </c>
      <c r="G1005" s="1" t="s">
        <v>5704</v>
      </c>
      <c r="H1005" s="4">
        <v>0.67500000000000004</v>
      </c>
      <c r="I1005" s="4">
        <v>4.5</v>
      </c>
      <c r="J1005" s="5">
        <v>307.5</v>
      </c>
      <c r="K1005" s="4">
        <v>15</v>
      </c>
      <c r="L1005" s="1" t="s">
        <v>46</v>
      </c>
      <c r="M1005" s="1" t="s">
        <v>47</v>
      </c>
      <c r="N1005" s="3">
        <v>723763108</v>
      </c>
      <c r="O1005" s="1" t="s">
        <v>108</v>
      </c>
      <c r="P1005" s="1" t="s">
        <v>6260</v>
      </c>
      <c r="Q1005" s="1" t="s">
        <v>145</v>
      </c>
      <c r="R1005" s="1" t="s">
        <v>145</v>
      </c>
      <c r="S1005" s="8">
        <v>3</v>
      </c>
      <c r="T1005" s="1" t="s">
        <v>50</v>
      </c>
      <c r="U1005" s="8">
        <v>15</v>
      </c>
      <c r="V1005" s="8">
        <v>15</v>
      </c>
      <c r="W1005" s="7">
        <v>66666</v>
      </c>
      <c r="X1005" s="5">
        <v>1</v>
      </c>
      <c r="Y1005" s="7">
        <v>20500000</v>
      </c>
      <c r="Z1005" s="1"/>
      <c r="AA1005" s="2">
        <f ca="1">DATE(2004,01,13)</f>
        <v>0</v>
      </c>
      <c r="AB1005" s="1"/>
      <c r="AC1005" s="3">
        <v>180</v>
      </c>
      <c r="AD1005" s="1"/>
      <c r="AE1005" s="1" t="s">
        <v>51</v>
      </c>
      <c r="AF1005" s="1" t="s">
        <v>51</v>
      </c>
      <c r="AG1005" s="1" t="s">
        <v>51</v>
      </c>
      <c r="AH1005" s="1"/>
      <c r="AI1005" s="1"/>
      <c r="AJ1005" s="3">
        <v>1</v>
      </c>
      <c r="AK1005" s="1" t="s">
        <v>52</v>
      </c>
      <c r="AL1005" s="3">
        <v>4</v>
      </c>
      <c r="AM1005" s="8">
        <v>15.039999999999999</v>
      </c>
      <c r="AN1005" s="1"/>
      <c r="AO1005" s="1" t="s">
        <v>6261</v>
      </c>
      <c r="AP1005" s="1" t="s">
        <v>5704</v>
      </c>
      <c r="AQ1005" s="1" t="s">
        <v>6262</v>
      </c>
      <c r="AR1005" s="1" t="s">
        <v>6263</v>
      </c>
    </row>
    <row r="1006">
      <c r="A1006" s="2">
        <f ca="1">DATE(2002,11,12)</f>
        <v>0</v>
      </c>
      <c r="B1006" s="2">
        <f ca="1">DATE(2003,07,23)</f>
        <v>0</v>
      </c>
      <c r="C1006" s="1" t="s">
        <v>6264</v>
      </c>
      <c r="D1006" s="3">
        <v>7382</v>
      </c>
      <c r="E1006" s="1" t="s">
        <v>43</v>
      </c>
      <c r="F1006" s="1" t="s">
        <v>6265</v>
      </c>
      <c r="G1006" s="1" t="s">
        <v>84</v>
      </c>
      <c r="H1006" s="4">
        <v>0.64800000000000002</v>
      </c>
      <c r="I1006" s="8">
        <v>7</v>
      </c>
      <c r="J1006" s="5">
        <v>203.5</v>
      </c>
      <c r="K1006" s="4">
        <v>9.25</v>
      </c>
      <c r="L1006" s="1" t="s">
        <v>46</v>
      </c>
      <c r="M1006" s="1" t="s">
        <v>47</v>
      </c>
      <c r="N1006" s="1" t="s">
        <v>6266</v>
      </c>
      <c r="O1006" s="1" t="s">
        <v>48</v>
      </c>
      <c r="P1006" s="1" t="s">
        <v>6267</v>
      </c>
      <c r="Q1006" s="4">
        <v>1.4319999999999999</v>
      </c>
      <c r="R1006" s="4">
        <v>1.4590000000000001</v>
      </c>
      <c r="S1006" s="6">
        <v>4.1081099999999999</v>
      </c>
      <c r="T1006" s="1" t="s">
        <v>50</v>
      </c>
      <c r="U1006" s="8">
        <v>11</v>
      </c>
      <c r="V1006" s="8">
        <v>9</v>
      </c>
      <c r="W1006" s="7">
        <v>10000000</v>
      </c>
      <c r="X1006" s="5">
        <v>100</v>
      </c>
      <c r="Y1006" s="7">
        <v>22000000</v>
      </c>
      <c r="Z1006" s="1"/>
      <c r="AA1006" s="2">
        <f ca="1">DATE(2004,04,18)</f>
        <v>0</v>
      </c>
      <c r="AB1006" s="4">
        <v>6.7439999999999998</v>
      </c>
      <c r="AC1006" s="3">
        <v>270</v>
      </c>
      <c r="AD1006" s="8">
        <v>1590911</v>
      </c>
      <c r="AE1006" s="1" t="s">
        <v>51</v>
      </c>
      <c r="AF1006" s="1" t="s">
        <v>51</v>
      </c>
      <c r="AG1006" s="1" t="s">
        <v>51</v>
      </c>
      <c r="AH1006" s="1"/>
      <c r="AI1006" s="1"/>
      <c r="AJ1006" s="3">
        <v>1</v>
      </c>
      <c r="AK1006" s="1" t="s">
        <v>52</v>
      </c>
      <c r="AL1006" s="3">
        <v>3</v>
      </c>
      <c r="AM1006" s="8">
        <v>9.4299999999999997</v>
      </c>
      <c r="AN1006" s="1"/>
      <c r="AO1006" s="1" t="s">
        <v>6268</v>
      </c>
      <c r="AP1006" s="1" t="s">
        <v>84</v>
      </c>
      <c r="AQ1006" s="1" t="s">
        <v>6269</v>
      </c>
      <c r="AR1006" s="1" t="s">
        <v>6270</v>
      </c>
    </row>
    <row r="1007">
      <c r="A1007" s="2">
        <f ca="1">DATE(2003,01,24)</f>
        <v>0</v>
      </c>
      <c r="B1007" s="2">
        <f ca="1">DATE(2003,07,23)</f>
        <v>0</v>
      </c>
      <c r="C1007" s="1" t="s">
        <v>6271</v>
      </c>
      <c r="D1007" s="3">
        <v>7374</v>
      </c>
      <c r="E1007" s="1" t="s">
        <v>43</v>
      </c>
      <c r="F1007" s="1" t="s">
        <v>6272</v>
      </c>
      <c r="G1007" s="1" t="s">
        <v>796</v>
      </c>
      <c r="H1007" s="4">
        <v>0.97999999999999998</v>
      </c>
      <c r="I1007" s="8">
        <v>7</v>
      </c>
      <c r="J1007" s="5">
        <v>98</v>
      </c>
      <c r="K1007" s="4">
        <v>14</v>
      </c>
      <c r="L1007" s="1" t="s">
        <v>46</v>
      </c>
      <c r="M1007" s="1" t="s">
        <v>47</v>
      </c>
      <c r="N1007" s="1" t="s">
        <v>6273</v>
      </c>
      <c r="O1007" s="1" t="s">
        <v>48</v>
      </c>
      <c r="P1007" s="1" t="s">
        <v>6274</v>
      </c>
      <c r="Q1007" s="4">
        <v>1.4290000000000001</v>
      </c>
      <c r="R1007" s="4">
        <v>1.357</v>
      </c>
      <c r="S1007" s="6">
        <v>4.2142900000000001</v>
      </c>
      <c r="T1007" s="1" t="s">
        <v>50</v>
      </c>
      <c r="U1007" s="1"/>
      <c r="V1007" s="1"/>
      <c r="W1007" s="1"/>
      <c r="X1007" s="5">
        <v>50</v>
      </c>
      <c r="Y1007" s="7">
        <v>7000000</v>
      </c>
      <c r="Z1007" s="1"/>
      <c r="AA1007" s="2">
        <f ca="1">DATE(2004,01,19)</f>
        <v>0</v>
      </c>
      <c r="AB1007" s="4">
        <v>88.076999999999998</v>
      </c>
      <c r="AC1007" s="3">
        <v>180</v>
      </c>
      <c r="AD1007" s="8">
        <v>51710175</v>
      </c>
      <c r="AE1007" s="1" t="s">
        <v>51</v>
      </c>
      <c r="AF1007" s="1" t="s">
        <v>51</v>
      </c>
      <c r="AG1007" s="1" t="s">
        <v>47</v>
      </c>
      <c r="AH1007" s="1"/>
      <c r="AI1007" s="1"/>
      <c r="AJ1007" s="3">
        <v>1</v>
      </c>
      <c r="AK1007" s="1" t="s">
        <v>89</v>
      </c>
      <c r="AL1007" s="3">
        <v>4</v>
      </c>
      <c r="AM1007" s="8">
        <v>18.670000000000002</v>
      </c>
      <c r="AN1007" s="1"/>
      <c r="AO1007" s="1" t="s">
        <v>6275</v>
      </c>
      <c r="AP1007" s="1" t="s">
        <v>4289</v>
      </c>
      <c r="AQ1007" s="1" t="s">
        <v>6276</v>
      </c>
      <c r="AR1007" s="1" t="s">
        <v>6277</v>
      </c>
    </row>
    <row r="1008">
      <c r="A1008" s="2">
        <f ca="1">DATE(2003,05,19)</f>
        <v>0</v>
      </c>
      <c r="B1008" s="2">
        <f ca="1">DATE(2003,07,28)</f>
        <v>0</v>
      </c>
      <c r="C1008" s="1" t="s">
        <v>6278</v>
      </c>
      <c r="D1008" s="3">
        <v>6726</v>
      </c>
      <c r="E1008" s="1" t="s">
        <v>43</v>
      </c>
      <c r="F1008" s="1" t="s">
        <v>6279</v>
      </c>
      <c r="G1008" s="1" t="s">
        <v>6280</v>
      </c>
      <c r="H1008" s="4">
        <v>0.67500000000000004</v>
      </c>
      <c r="I1008" s="4">
        <v>3.375</v>
      </c>
      <c r="J1008" s="5">
        <v>686</v>
      </c>
      <c r="K1008" s="4">
        <v>20</v>
      </c>
      <c r="L1008" s="1" t="s">
        <v>46</v>
      </c>
      <c r="M1008" s="1" t="s">
        <v>47</v>
      </c>
      <c r="N1008" s="1" t="s">
        <v>6281</v>
      </c>
      <c r="O1008" s="1" t="s">
        <v>108</v>
      </c>
      <c r="P1008" s="1" t="s">
        <v>6282</v>
      </c>
      <c r="Q1008" s="4">
        <v>1</v>
      </c>
      <c r="R1008" s="4">
        <v>0.5</v>
      </c>
      <c r="S1008" s="8">
        <v>2.25</v>
      </c>
      <c r="T1008" s="1" t="s">
        <v>50</v>
      </c>
      <c r="U1008" s="8">
        <v>20</v>
      </c>
      <c r="V1008" s="8">
        <v>20</v>
      </c>
      <c r="W1008" s="7">
        <v>50000</v>
      </c>
      <c r="X1008" s="5">
        <v>1</v>
      </c>
      <c r="Y1008" s="7">
        <v>34300000</v>
      </c>
      <c r="Z1008" s="1"/>
      <c r="AA1008" s="1"/>
      <c r="AB1008" s="1"/>
      <c r="AC1008" s="1"/>
      <c r="AD1008" s="1"/>
      <c r="AE1008" s="1" t="s">
        <v>51</v>
      </c>
      <c r="AF1008" s="1" t="s">
        <v>51</v>
      </c>
      <c r="AG1008" s="1" t="s">
        <v>51</v>
      </c>
      <c r="AH1008" s="1"/>
      <c r="AI1008" s="1"/>
      <c r="AJ1008" s="3">
        <v>4</v>
      </c>
      <c r="AK1008" s="1" t="s">
        <v>1209</v>
      </c>
      <c r="AL1008" s="3">
        <v>16</v>
      </c>
      <c r="AM1008" s="8">
        <v>20</v>
      </c>
      <c r="AN1008" s="1"/>
      <c r="AO1008" s="1" t="s">
        <v>6283</v>
      </c>
      <c r="AP1008" s="1" t="s">
        <v>6284</v>
      </c>
      <c r="AQ1008" s="1" t="s">
        <v>6285</v>
      </c>
      <c r="AR1008" s="1" t="s">
        <v>6286</v>
      </c>
    </row>
    <row r="1009">
      <c r="A1009" s="2">
        <f ca="1">DATE(2003,05,07)</f>
        <v>0</v>
      </c>
      <c r="B1009" s="2">
        <f ca="1">DATE(2003,07,28)</f>
        <v>0</v>
      </c>
      <c r="C1009" s="1" t="s">
        <v>6287</v>
      </c>
      <c r="D1009" s="3">
        <v>6726</v>
      </c>
      <c r="E1009" s="1" t="s">
        <v>43</v>
      </c>
      <c r="F1009" s="1" t="s">
        <v>6288</v>
      </c>
      <c r="G1009" s="1" t="s">
        <v>813</v>
      </c>
      <c r="H1009" s="4">
        <v>0.67500000000000004</v>
      </c>
      <c r="I1009" s="4">
        <v>4.5</v>
      </c>
      <c r="J1009" s="5">
        <v>165</v>
      </c>
      <c r="K1009" s="4">
        <v>15</v>
      </c>
      <c r="L1009" s="1" t="s">
        <v>85</v>
      </c>
      <c r="M1009" s="1" t="s">
        <v>47</v>
      </c>
      <c r="N1009" s="3">
        <v>525178109</v>
      </c>
      <c r="O1009" s="1" t="s">
        <v>108</v>
      </c>
      <c r="P1009" s="1" t="s">
        <v>6289</v>
      </c>
      <c r="Q1009" s="4">
        <v>0.96699999999999997</v>
      </c>
      <c r="R1009" s="4">
        <v>0.53300000000000003</v>
      </c>
      <c r="S1009" s="8">
        <v>3</v>
      </c>
      <c r="T1009" s="1" t="s">
        <v>50</v>
      </c>
      <c r="U1009" s="8">
        <v>15</v>
      </c>
      <c r="V1009" s="8">
        <v>15</v>
      </c>
      <c r="W1009" s="7">
        <v>1000</v>
      </c>
      <c r="X1009" s="5">
        <v>0</v>
      </c>
      <c r="Y1009" s="7">
        <v>11000000</v>
      </c>
      <c r="Z1009" s="1"/>
      <c r="AA1009" s="2">
        <f ca="1">DATE(2004,01,24)</f>
        <v>0</v>
      </c>
      <c r="AB1009" s="1"/>
      <c r="AC1009" s="3">
        <v>180</v>
      </c>
      <c r="AD1009" s="1"/>
      <c r="AE1009" s="1" t="s">
        <v>51</v>
      </c>
      <c r="AF1009" s="1" t="s">
        <v>51</v>
      </c>
      <c r="AG1009" s="1" t="s">
        <v>51</v>
      </c>
      <c r="AH1009" s="1"/>
      <c r="AI1009" s="1"/>
      <c r="AJ1009" s="3">
        <v>1</v>
      </c>
      <c r="AK1009" s="1" t="s">
        <v>52</v>
      </c>
      <c r="AL1009" s="3">
        <v>9</v>
      </c>
      <c r="AM1009" s="8">
        <v>15</v>
      </c>
      <c r="AN1009" s="1"/>
      <c r="AO1009" s="1" t="s">
        <v>6290</v>
      </c>
      <c r="AP1009" s="1" t="s">
        <v>813</v>
      </c>
      <c r="AQ1009" s="1" t="s">
        <v>6291</v>
      </c>
      <c r="AR1009" s="1" t="s">
        <v>6292</v>
      </c>
    </row>
    <row r="1010">
      <c r="A1010" s="2">
        <f ca="1">DATE(2003,04,23)</f>
        <v>0</v>
      </c>
      <c r="B1010" s="2">
        <f ca="1">DATE(2003,07,28)</f>
        <v>0</v>
      </c>
      <c r="C1010" s="1" t="s">
        <v>6293</v>
      </c>
      <c r="D1010" s="3">
        <v>6726</v>
      </c>
      <c r="E1010" s="1" t="s">
        <v>43</v>
      </c>
      <c r="F1010" s="1" t="s">
        <v>6294</v>
      </c>
      <c r="G1010" s="1" t="s">
        <v>6295</v>
      </c>
      <c r="H1010" s="4">
        <v>0.67500000000000004</v>
      </c>
      <c r="I1010" s="4">
        <v>4.5</v>
      </c>
      <c r="J1010" s="5">
        <v>825</v>
      </c>
      <c r="K1010" s="4">
        <v>15</v>
      </c>
      <c r="L1010" s="1" t="s">
        <v>46</v>
      </c>
      <c r="M1010" s="1" t="s">
        <v>47</v>
      </c>
      <c r="N1010" s="1" t="s">
        <v>6296</v>
      </c>
      <c r="O1010" s="1" t="s">
        <v>108</v>
      </c>
      <c r="P1010" s="1" t="s">
        <v>6297</v>
      </c>
      <c r="Q1010" s="1" t="s">
        <v>145</v>
      </c>
      <c r="R1010" s="1" t="s">
        <v>145</v>
      </c>
      <c r="S1010" s="1"/>
      <c r="T1010" s="1" t="s">
        <v>50</v>
      </c>
      <c r="U1010" s="8">
        <v>15</v>
      </c>
      <c r="V1010" s="8">
        <v>15</v>
      </c>
      <c r="W1010" s="7">
        <v>1000</v>
      </c>
      <c r="X1010" s="5">
        <v>0</v>
      </c>
      <c r="Y1010" s="7">
        <v>55000000</v>
      </c>
      <c r="Z1010" s="1"/>
      <c r="AA1010" s="2">
        <f ca="1">DATE(2004,01,24)</f>
        <v>0</v>
      </c>
      <c r="AB1010" s="1"/>
      <c r="AC1010" s="3">
        <v>180</v>
      </c>
      <c r="AD1010" s="1"/>
      <c r="AE1010" s="1" t="s">
        <v>51</v>
      </c>
      <c r="AF1010" s="1" t="s">
        <v>51</v>
      </c>
      <c r="AG1010" s="1" t="s">
        <v>51</v>
      </c>
      <c r="AH1010" s="1"/>
      <c r="AI1010" s="1"/>
      <c r="AJ1010" s="3">
        <v>3</v>
      </c>
      <c r="AK1010" s="1" t="s">
        <v>110</v>
      </c>
      <c r="AL1010" s="3">
        <v>13</v>
      </c>
      <c r="AM1010" s="8">
        <v>15</v>
      </c>
      <c r="AN1010" s="1"/>
      <c r="AO1010" s="1" t="s">
        <v>6298</v>
      </c>
      <c r="AP1010" s="1" t="s">
        <v>6299</v>
      </c>
      <c r="AQ1010" s="1" t="s">
        <v>6300</v>
      </c>
      <c r="AR1010" s="1" t="s">
        <v>6301</v>
      </c>
    </row>
    <row r="1011">
      <c r="A1011" s="2">
        <f ca="1">DATE(2003,04,23)</f>
        <v>0</v>
      </c>
      <c r="B1011" s="2">
        <f ca="1">DATE(2003,07,28)</f>
        <v>0</v>
      </c>
      <c r="C1011" s="1" t="s">
        <v>6302</v>
      </c>
      <c r="D1011" s="3">
        <v>6726</v>
      </c>
      <c r="E1011" s="1" t="s">
        <v>43</v>
      </c>
      <c r="F1011" s="1" t="s">
        <v>6303</v>
      </c>
      <c r="G1011" s="1" t="s">
        <v>6201</v>
      </c>
      <c r="H1011" s="4">
        <v>0.67500000000000004</v>
      </c>
      <c r="I1011" s="4">
        <v>4.5</v>
      </c>
      <c r="J1011" s="5">
        <v>435</v>
      </c>
      <c r="K1011" s="4">
        <v>15</v>
      </c>
      <c r="L1011" s="1" t="s">
        <v>46</v>
      </c>
      <c r="M1011" s="1" t="s">
        <v>47</v>
      </c>
      <c r="N1011" s="1" t="s">
        <v>6304</v>
      </c>
      <c r="O1011" s="1" t="s">
        <v>108</v>
      </c>
      <c r="P1011" s="1" t="s">
        <v>6305</v>
      </c>
      <c r="Q1011" s="1" t="s">
        <v>145</v>
      </c>
      <c r="R1011" s="1" t="s">
        <v>145</v>
      </c>
      <c r="S1011" s="1"/>
      <c r="T1011" s="1" t="s">
        <v>50</v>
      </c>
      <c r="U1011" s="8">
        <v>15</v>
      </c>
      <c r="V1011" s="8">
        <v>15</v>
      </c>
      <c r="W1011" s="7">
        <v>4000000</v>
      </c>
      <c r="X1011" s="5">
        <v>60</v>
      </c>
      <c r="Y1011" s="7">
        <v>29000000</v>
      </c>
      <c r="Z1011" s="1"/>
      <c r="AA1011" s="2">
        <f ca="1">DATE(2004,01,24)</f>
        <v>0</v>
      </c>
      <c r="AB1011" s="1"/>
      <c r="AC1011" s="3">
        <v>180</v>
      </c>
      <c r="AD1011" s="1"/>
      <c r="AE1011" s="1" t="s">
        <v>51</v>
      </c>
      <c r="AF1011" s="1" t="s">
        <v>51</v>
      </c>
      <c r="AG1011" s="1" t="s">
        <v>51</v>
      </c>
      <c r="AH1011" s="1"/>
      <c r="AI1011" s="1"/>
      <c r="AJ1011" s="3">
        <v>1</v>
      </c>
      <c r="AK1011" s="1" t="s">
        <v>52</v>
      </c>
      <c r="AL1011" s="3">
        <v>10</v>
      </c>
      <c r="AM1011" s="8">
        <v>15</v>
      </c>
      <c r="AN1011" s="1"/>
      <c r="AO1011" s="1" t="s">
        <v>6306</v>
      </c>
      <c r="AP1011" s="1" t="s">
        <v>6201</v>
      </c>
      <c r="AQ1011" s="1" t="s">
        <v>6307</v>
      </c>
      <c r="AR1011" s="1" t="s">
        <v>6308</v>
      </c>
    </row>
    <row r="1012">
      <c r="A1012" s="2">
        <f ca="1">DATE(2003,05,16)</f>
        <v>0</v>
      </c>
      <c r="B1012" s="2">
        <f ca="1">DATE(2003,07,29)</f>
        <v>0</v>
      </c>
      <c r="C1012" s="1" t="s">
        <v>6309</v>
      </c>
      <c r="D1012" s="3">
        <v>6726</v>
      </c>
      <c r="E1012" s="1" t="s">
        <v>43</v>
      </c>
      <c r="F1012" s="1" t="s">
        <v>6310</v>
      </c>
      <c r="G1012" s="1" t="s">
        <v>45</v>
      </c>
      <c r="H1012" s="4">
        <v>0.67500000000000004</v>
      </c>
      <c r="I1012" s="4">
        <v>4.5</v>
      </c>
      <c r="J1012" s="5">
        <v>60</v>
      </c>
      <c r="K1012" s="4">
        <v>15</v>
      </c>
      <c r="L1012" s="1" t="s">
        <v>46</v>
      </c>
      <c r="M1012" s="1" t="s">
        <v>47</v>
      </c>
      <c r="N1012" s="1" t="s">
        <v>6311</v>
      </c>
      <c r="O1012" s="1" t="s">
        <v>108</v>
      </c>
      <c r="P1012" s="1" t="s">
        <v>6312</v>
      </c>
      <c r="Q1012" s="4">
        <v>0.96699999999999997</v>
      </c>
      <c r="R1012" s="4">
        <v>0.53300000000000003</v>
      </c>
      <c r="S1012" s="8">
        <v>3</v>
      </c>
      <c r="T1012" s="1" t="s">
        <v>50</v>
      </c>
      <c r="U1012" s="1"/>
      <c r="V1012" s="1"/>
      <c r="W1012" s="7">
        <v>56666</v>
      </c>
      <c r="X1012" s="1"/>
      <c r="Y1012" s="7">
        <v>4000000</v>
      </c>
      <c r="Z1012" s="1"/>
      <c r="AA1012" s="1"/>
      <c r="AB1012" s="1"/>
      <c r="AC1012" s="1"/>
      <c r="AD1012" s="1"/>
      <c r="AE1012" s="1" t="s">
        <v>51</v>
      </c>
      <c r="AF1012" s="1" t="s">
        <v>51</v>
      </c>
      <c r="AG1012" s="1" t="s">
        <v>51</v>
      </c>
      <c r="AH1012" s="1"/>
      <c r="AI1012" s="1"/>
      <c r="AJ1012" s="3">
        <v>1</v>
      </c>
      <c r="AK1012" s="1" t="s">
        <v>52</v>
      </c>
      <c r="AL1012" s="3">
        <v>7</v>
      </c>
      <c r="AM1012" s="8">
        <v>15</v>
      </c>
      <c r="AN1012" s="1"/>
      <c r="AO1012" s="1" t="s">
        <v>6313</v>
      </c>
      <c r="AP1012" s="1" t="s">
        <v>45</v>
      </c>
      <c r="AQ1012" s="1" t="s">
        <v>6314</v>
      </c>
      <c r="AR1012" s="1" t="s">
        <v>6315</v>
      </c>
    </row>
    <row r="1013">
      <c r="A1013" s="2">
        <f ca="1">DATE(2003,05,16)</f>
        <v>0</v>
      </c>
      <c r="B1013" s="2">
        <f ca="1">DATE(2003,07,29)</f>
        <v>0</v>
      </c>
      <c r="C1013" s="1" t="s">
        <v>6316</v>
      </c>
      <c r="D1013" s="3">
        <v>6726</v>
      </c>
      <c r="E1013" s="1" t="s">
        <v>43</v>
      </c>
      <c r="F1013" s="1" t="s">
        <v>6317</v>
      </c>
      <c r="G1013" s="1" t="s">
        <v>45</v>
      </c>
      <c r="H1013" s="4">
        <v>0.67500000000000004</v>
      </c>
      <c r="I1013" s="4">
        <v>4.5</v>
      </c>
      <c r="J1013" s="5">
        <v>500.30000000000001</v>
      </c>
      <c r="K1013" s="4">
        <v>15</v>
      </c>
      <c r="L1013" s="1" t="s">
        <v>46</v>
      </c>
      <c r="M1013" s="1" t="s">
        <v>47</v>
      </c>
      <c r="N1013" s="1" t="s">
        <v>6318</v>
      </c>
      <c r="O1013" s="1" t="s">
        <v>108</v>
      </c>
      <c r="P1013" s="1" t="s">
        <v>6319</v>
      </c>
      <c r="Q1013" s="4">
        <v>0.96699999999999997</v>
      </c>
      <c r="R1013" s="4">
        <v>0.53300000000000003</v>
      </c>
      <c r="S1013" s="8">
        <v>3</v>
      </c>
      <c r="T1013" s="1" t="s">
        <v>50</v>
      </c>
      <c r="U1013" s="1"/>
      <c r="V1013" s="1"/>
      <c r="W1013" s="7">
        <v>56666</v>
      </c>
      <c r="X1013" s="1"/>
      <c r="Y1013" s="7">
        <v>33350000</v>
      </c>
      <c r="Z1013" s="1"/>
      <c r="AA1013" s="1"/>
      <c r="AB1013" s="1"/>
      <c r="AC1013" s="1"/>
      <c r="AD1013" s="1"/>
      <c r="AE1013" s="1" t="s">
        <v>51</v>
      </c>
      <c r="AF1013" s="1" t="s">
        <v>51</v>
      </c>
      <c r="AG1013" s="1" t="s">
        <v>51</v>
      </c>
      <c r="AH1013" s="1"/>
      <c r="AI1013" s="1"/>
      <c r="AJ1013" s="3">
        <v>1</v>
      </c>
      <c r="AK1013" s="1" t="s">
        <v>52</v>
      </c>
      <c r="AL1013" s="3">
        <v>12</v>
      </c>
      <c r="AM1013" s="8">
        <v>15</v>
      </c>
      <c r="AN1013" s="1"/>
      <c r="AO1013" s="1" t="s">
        <v>6320</v>
      </c>
      <c r="AP1013" s="1" t="s">
        <v>45</v>
      </c>
      <c r="AQ1013" s="1" t="s">
        <v>6321</v>
      </c>
      <c r="AR1013" s="1" t="s">
        <v>6322</v>
      </c>
    </row>
    <row r="1014">
      <c r="A1014" s="2">
        <f ca="1">DATE(2003,05,07)</f>
        <v>0</v>
      </c>
      <c r="B1014" s="2">
        <f ca="1">DATE(2003,07,29)</f>
        <v>0</v>
      </c>
      <c r="C1014" s="1" t="s">
        <v>6323</v>
      </c>
      <c r="D1014" s="3">
        <v>6726</v>
      </c>
      <c r="E1014" s="1" t="s">
        <v>43</v>
      </c>
      <c r="F1014" s="1" t="s">
        <v>6324</v>
      </c>
      <c r="G1014" s="1" t="s">
        <v>45</v>
      </c>
      <c r="H1014" s="4">
        <v>1.125</v>
      </c>
      <c r="I1014" s="4">
        <v>4.5</v>
      </c>
      <c r="J1014" s="5">
        <v>240</v>
      </c>
      <c r="K1014" s="4">
        <v>25</v>
      </c>
      <c r="L1014" s="1" t="s">
        <v>85</v>
      </c>
      <c r="M1014" s="1" t="s">
        <v>47</v>
      </c>
      <c r="N1014" s="1" t="s">
        <v>6325</v>
      </c>
      <c r="O1014" s="1" t="s">
        <v>108</v>
      </c>
      <c r="P1014" s="1" t="s">
        <v>6326</v>
      </c>
      <c r="Q1014" s="4">
        <v>1</v>
      </c>
      <c r="R1014" s="4">
        <v>0.5</v>
      </c>
      <c r="S1014" s="8">
        <v>3</v>
      </c>
      <c r="T1014" s="1" t="s">
        <v>50</v>
      </c>
      <c r="U1014" s="8">
        <v>25</v>
      </c>
      <c r="V1014" s="8">
        <v>25</v>
      </c>
      <c r="W1014" s="7">
        <v>40000</v>
      </c>
      <c r="X1014" s="5">
        <v>1</v>
      </c>
      <c r="Y1014" s="7">
        <v>9600000</v>
      </c>
      <c r="Z1014" s="1"/>
      <c r="AA1014" s="1"/>
      <c r="AB1014" s="1"/>
      <c r="AC1014" s="1"/>
      <c r="AD1014" s="1"/>
      <c r="AE1014" s="1" t="s">
        <v>51</v>
      </c>
      <c r="AF1014" s="1" t="s">
        <v>51</v>
      </c>
      <c r="AG1014" s="1" t="s">
        <v>51</v>
      </c>
      <c r="AH1014" s="1"/>
      <c r="AI1014" s="1"/>
      <c r="AJ1014" s="3">
        <v>1</v>
      </c>
      <c r="AK1014" s="1" t="s">
        <v>52</v>
      </c>
      <c r="AL1014" s="3">
        <v>10</v>
      </c>
      <c r="AM1014" s="8">
        <v>25</v>
      </c>
      <c r="AN1014" s="1"/>
      <c r="AO1014" s="1" t="s">
        <v>6327</v>
      </c>
      <c r="AP1014" s="1" t="s">
        <v>45</v>
      </c>
      <c r="AQ1014" s="1" t="s">
        <v>6328</v>
      </c>
      <c r="AR1014" s="1" t="s">
        <v>6329</v>
      </c>
    </row>
    <row r="1015">
      <c r="A1015" s="2">
        <f ca="1">DATE(2003,04,10)</f>
        <v>0</v>
      </c>
      <c r="B1015" s="2">
        <f ca="1">DATE(2003,07,30)</f>
        <v>0</v>
      </c>
      <c r="C1015" s="1" t="s">
        <v>6330</v>
      </c>
      <c r="D1015" s="3">
        <v>3663</v>
      </c>
      <c r="E1015" s="1" t="s">
        <v>43</v>
      </c>
      <c r="F1015" s="1" t="s">
        <v>6331</v>
      </c>
      <c r="G1015" s="1" t="s">
        <v>813</v>
      </c>
      <c r="H1015" s="4">
        <v>0.97999999999999998</v>
      </c>
      <c r="I1015" s="8">
        <v>7</v>
      </c>
      <c r="J1015" s="5">
        <v>98</v>
      </c>
      <c r="K1015" s="4">
        <v>14</v>
      </c>
      <c r="L1015" s="1" t="s">
        <v>46</v>
      </c>
      <c r="M1015" s="1" t="s">
        <v>47</v>
      </c>
      <c r="N1015" s="1" t="s">
        <v>6332</v>
      </c>
      <c r="O1015" s="1" t="s">
        <v>48</v>
      </c>
      <c r="P1015" s="1" t="s">
        <v>6333</v>
      </c>
      <c r="Q1015" s="4">
        <v>1.4290000000000001</v>
      </c>
      <c r="R1015" s="4">
        <v>1.4290000000000001</v>
      </c>
      <c r="S1015" s="6">
        <v>4.1428599999999998</v>
      </c>
      <c r="T1015" s="1" t="s">
        <v>50</v>
      </c>
      <c r="U1015" s="1"/>
      <c r="V1015" s="1"/>
      <c r="W1015" s="1"/>
      <c r="X1015" s="5">
        <v>115</v>
      </c>
      <c r="Y1015" s="7">
        <v>7000000</v>
      </c>
      <c r="Z1015" s="1"/>
      <c r="AA1015" s="2">
        <f ca="1">DATE(2004,01,26)</f>
        <v>0</v>
      </c>
      <c r="AB1015" s="4">
        <v>74.292000000000002</v>
      </c>
      <c r="AC1015" s="3">
        <v>180</v>
      </c>
      <c r="AD1015" s="8">
        <v>20228480</v>
      </c>
      <c r="AE1015" s="1" t="s">
        <v>51</v>
      </c>
      <c r="AF1015" s="1" t="s">
        <v>51</v>
      </c>
      <c r="AG1015" s="1" t="s">
        <v>47</v>
      </c>
      <c r="AH1015" s="1"/>
      <c r="AI1015" s="1"/>
      <c r="AJ1015" s="3">
        <v>1</v>
      </c>
      <c r="AK1015" s="1" t="s">
        <v>52</v>
      </c>
      <c r="AL1015" s="3">
        <v>3</v>
      </c>
      <c r="AM1015" s="8">
        <v>17.690000000000001</v>
      </c>
      <c r="AN1015" s="1"/>
      <c r="AO1015" s="1" t="s">
        <v>6334</v>
      </c>
      <c r="AP1015" s="1" t="s">
        <v>813</v>
      </c>
      <c r="AQ1015" s="1" t="s">
        <v>6335</v>
      </c>
      <c r="AR1015" s="1" t="s">
        <v>6336</v>
      </c>
    </row>
    <row r="1016">
      <c r="A1016" s="2">
        <f ca="1">DATE(2002,06,05)</f>
        <v>0</v>
      </c>
      <c r="B1016" s="2">
        <f ca="1">DATE(2003,07,31)</f>
        <v>0</v>
      </c>
      <c r="C1016" s="1" t="s">
        <v>6337</v>
      </c>
      <c r="D1016" s="3">
        <v>4832</v>
      </c>
      <c r="E1016" s="1" t="s">
        <v>43</v>
      </c>
      <c r="F1016" s="1" t="s">
        <v>6338</v>
      </c>
      <c r="G1016" s="1" t="s">
        <v>160</v>
      </c>
      <c r="H1016" s="4">
        <v>1.1399999999999999</v>
      </c>
      <c r="I1016" s="4">
        <v>6</v>
      </c>
      <c r="J1016" s="5">
        <v>418</v>
      </c>
      <c r="K1016" s="4">
        <v>19</v>
      </c>
      <c r="L1016" s="1" t="s">
        <v>46</v>
      </c>
      <c r="M1016" s="1" t="s">
        <v>47</v>
      </c>
      <c r="N1016" s="1" t="s">
        <v>6339</v>
      </c>
      <c r="O1016" s="1" t="s">
        <v>108</v>
      </c>
      <c r="P1016" s="1" t="s">
        <v>6340</v>
      </c>
      <c r="Q1016" s="4">
        <v>1.2110000000000001</v>
      </c>
      <c r="R1016" s="4">
        <v>1.2110000000000001</v>
      </c>
      <c r="S1016" s="6">
        <v>3.5789499999999999</v>
      </c>
      <c r="T1016" s="1" t="s">
        <v>50</v>
      </c>
      <c r="U1016" s="1"/>
      <c r="V1016" s="1"/>
      <c r="W1016" s="1"/>
      <c r="X1016" s="5">
        <v>575</v>
      </c>
      <c r="Y1016" s="7">
        <v>22000000</v>
      </c>
      <c r="Z1016" s="1"/>
      <c r="AA1016" s="2">
        <f ca="1">DATE(2004,01,27)</f>
        <v>0</v>
      </c>
      <c r="AB1016" s="4">
        <v>81.606999999999999</v>
      </c>
      <c r="AC1016" s="3">
        <v>180</v>
      </c>
      <c r="AD1016" s="8">
        <v>97611490</v>
      </c>
      <c r="AE1016" s="1" t="s">
        <v>51</v>
      </c>
      <c r="AF1016" s="1" t="s">
        <v>51</v>
      </c>
      <c r="AG1016" s="1" t="s">
        <v>51</v>
      </c>
      <c r="AH1016" s="1"/>
      <c r="AI1016" s="1"/>
      <c r="AJ1016" s="3">
        <v>1</v>
      </c>
      <c r="AK1016" s="1" t="s">
        <v>89</v>
      </c>
      <c r="AL1016" s="3">
        <v>8</v>
      </c>
      <c r="AM1016" s="8">
        <v>20.649999999999999</v>
      </c>
      <c r="AN1016" s="1"/>
      <c r="AO1016" s="1" t="s">
        <v>6341</v>
      </c>
      <c r="AP1016" s="1" t="s">
        <v>3745</v>
      </c>
      <c r="AQ1016" s="1" t="s">
        <v>6342</v>
      </c>
      <c r="AR1016" s="1" t="s">
        <v>6343</v>
      </c>
    </row>
    <row r="1017">
      <c r="A1017" s="2">
        <f ca="1">DATE(2003,07,15)</f>
        <v>0</v>
      </c>
      <c r="B1017" s="2">
        <f ca="1">DATE(2003,08,06)</f>
        <v>0</v>
      </c>
      <c r="C1017" s="1" t="s">
        <v>6344</v>
      </c>
      <c r="D1017" s="3">
        <v>6159</v>
      </c>
      <c r="E1017" s="1" t="s">
        <v>43</v>
      </c>
      <c r="F1017" s="1" t="s">
        <v>6345</v>
      </c>
      <c r="G1017" s="1" t="s">
        <v>6346</v>
      </c>
      <c r="H1017" s="4">
        <v>0.877</v>
      </c>
      <c r="I1017" s="4">
        <v>6.048</v>
      </c>
      <c r="J1017" s="5">
        <v>308.89999999999998</v>
      </c>
      <c r="K1017" s="4">
        <v>14.5</v>
      </c>
      <c r="L1017" s="1" t="s">
        <v>46</v>
      </c>
      <c r="M1017" s="1" t="s">
        <v>47</v>
      </c>
      <c r="N1017" s="1" t="s">
        <v>6347</v>
      </c>
      <c r="O1017" s="1" t="s">
        <v>108</v>
      </c>
      <c r="P1017" s="1" t="s">
        <v>6348</v>
      </c>
      <c r="Q1017" s="4">
        <v>1.2070000000000001</v>
      </c>
      <c r="R1017" s="4">
        <v>1.2070000000000001</v>
      </c>
      <c r="S1017" s="6">
        <v>3.6344799999999999</v>
      </c>
      <c r="T1017" s="1" t="s">
        <v>50</v>
      </c>
      <c r="U1017" s="1"/>
      <c r="V1017" s="1"/>
      <c r="W1017" s="7">
        <v>21300000</v>
      </c>
      <c r="X1017" s="5">
        <v>342.10000000000002</v>
      </c>
      <c r="Y1017" s="7">
        <v>16000000</v>
      </c>
      <c r="Z1017" s="7">
        <v>5300000</v>
      </c>
      <c r="AA1017" s="2">
        <f ca="1">DATE(2004,02,02)</f>
        <v>0</v>
      </c>
      <c r="AB1017" s="4">
        <v>81.542000000000002</v>
      </c>
      <c r="AC1017" s="3">
        <v>180</v>
      </c>
      <c r="AD1017" s="8">
        <v>94096050</v>
      </c>
      <c r="AE1017" s="1" t="s">
        <v>51</v>
      </c>
      <c r="AF1017" s="1" t="s">
        <v>51</v>
      </c>
      <c r="AG1017" s="1" t="s">
        <v>51</v>
      </c>
      <c r="AH1017" s="1"/>
      <c r="AI1017" s="1"/>
      <c r="AJ1017" s="3">
        <v>3</v>
      </c>
      <c r="AK1017" s="1" t="s">
        <v>110</v>
      </c>
      <c r="AL1017" s="3">
        <v>7</v>
      </c>
      <c r="AM1017" s="8">
        <v>18.199999999999999</v>
      </c>
      <c r="AN1017" s="1"/>
      <c r="AO1017" s="1" t="s">
        <v>6349</v>
      </c>
      <c r="AP1017" s="1" t="s">
        <v>6350</v>
      </c>
      <c r="AQ1017" s="1" t="s">
        <v>6351</v>
      </c>
      <c r="AR1017" s="1" t="s">
        <v>6352</v>
      </c>
    </row>
    <row r="1018">
      <c r="A1018" s="2">
        <f ca="1">DATE(2003,05,23)</f>
        <v>0</v>
      </c>
      <c r="B1018" s="2">
        <f ca="1">DATE(2003,08,11)</f>
        <v>0</v>
      </c>
      <c r="C1018" s="1" t="s">
        <v>6353</v>
      </c>
      <c r="D1018" s="3">
        <v>6311</v>
      </c>
      <c r="E1018" s="1" t="s">
        <v>43</v>
      </c>
      <c r="F1018" s="1" t="s">
        <v>6354</v>
      </c>
      <c r="G1018" s="1" t="s">
        <v>4996</v>
      </c>
      <c r="H1018" s="4">
        <v>1.47</v>
      </c>
      <c r="I1018" s="8">
        <v>7</v>
      </c>
      <c r="J1018" s="5">
        <v>145.59999999999999</v>
      </c>
      <c r="K1018" s="4">
        <v>21</v>
      </c>
      <c r="L1018" s="1" t="s">
        <v>46</v>
      </c>
      <c r="M1018" s="1" t="s">
        <v>47</v>
      </c>
      <c r="N1018" s="1" t="s">
        <v>6355</v>
      </c>
      <c r="O1018" s="1" t="s">
        <v>48</v>
      </c>
      <c r="P1018" s="1" t="s">
        <v>6356</v>
      </c>
      <c r="Q1018" s="4">
        <v>1.3999999999999999</v>
      </c>
      <c r="R1018" s="4">
        <v>1.3999999999999999</v>
      </c>
      <c r="S1018" s="8">
        <v>4.2000000000000002</v>
      </c>
      <c r="T1018" s="1" t="s">
        <v>50</v>
      </c>
      <c r="U1018" s="8">
        <v>21</v>
      </c>
      <c r="V1018" s="8">
        <v>19</v>
      </c>
      <c r="W1018" s="7">
        <v>6932414</v>
      </c>
      <c r="X1018" s="5">
        <v>138.59999999999999</v>
      </c>
      <c r="Y1018" s="7">
        <v>3750000</v>
      </c>
      <c r="Z1018" s="7">
        <v>3182414</v>
      </c>
      <c r="AA1018" s="1" t="s">
        <v>6357</v>
      </c>
      <c r="AB1018" s="1" t="s">
        <v>6358</v>
      </c>
      <c r="AC1018" s="1" t="s">
        <v>3966</v>
      </c>
      <c r="AD1018" s="1" t="s">
        <v>6359</v>
      </c>
      <c r="AE1018" s="1" t="s">
        <v>51</v>
      </c>
      <c r="AF1018" s="1" t="s">
        <v>51</v>
      </c>
      <c r="AG1018" s="1" t="s">
        <v>47</v>
      </c>
      <c r="AH1018" s="1"/>
      <c r="AI1018" s="1"/>
      <c r="AJ1018" s="3">
        <v>1</v>
      </c>
      <c r="AK1018" s="1" t="s">
        <v>52</v>
      </c>
      <c r="AL1018" s="3">
        <v>4</v>
      </c>
      <c r="AM1018" s="8">
        <v>25</v>
      </c>
      <c r="AN1018" s="1"/>
      <c r="AO1018" s="1" t="s">
        <v>6360</v>
      </c>
      <c r="AP1018" s="1" t="s">
        <v>4996</v>
      </c>
      <c r="AQ1018" s="1" t="s">
        <v>6361</v>
      </c>
      <c r="AR1018" s="1" t="s">
        <v>6362</v>
      </c>
    </row>
    <row r="1019">
      <c r="A1019" s="2">
        <f ca="1">DATE(2003,06,11)</f>
        <v>0</v>
      </c>
      <c r="B1019" s="2">
        <f ca="1">DATE(2003,08,12)</f>
        <v>0</v>
      </c>
      <c r="C1019" s="1" t="s">
        <v>6363</v>
      </c>
      <c r="D1019" s="3">
        <v>6798</v>
      </c>
      <c r="E1019" s="1" t="s">
        <v>43</v>
      </c>
      <c r="F1019" s="1" t="s">
        <v>6364</v>
      </c>
      <c r="G1019" s="1" t="s">
        <v>5479</v>
      </c>
      <c r="H1019" s="4">
        <v>1.05</v>
      </c>
      <c r="I1019" s="4">
        <v>7</v>
      </c>
      <c r="J1019" s="5">
        <v>99</v>
      </c>
      <c r="K1019" s="4">
        <v>15</v>
      </c>
      <c r="L1019" s="1" t="s">
        <v>46</v>
      </c>
      <c r="M1019" s="1" t="s">
        <v>47</v>
      </c>
      <c r="N1019" s="3">
        <v>376536108</v>
      </c>
      <c r="O1019" s="1" t="s">
        <v>48</v>
      </c>
      <c r="P1019" s="1" t="s">
        <v>6365</v>
      </c>
      <c r="Q1019" s="4">
        <v>1.3999999999999999</v>
      </c>
      <c r="R1019" s="4">
        <v>1.4670000000000001</v>
      </c>
      <c r="S1019" s="6">
        <v>4.1333299999999999</v>
      </c>
      <c r="T1019" s="1" t="s">
        <v>50</v>
      </c>
      <c r="U1019" s="8">
        <v>15</v>
      </c>
      <c r="V1019" s="8">
        <v>15</v>
      </c>
      <c r="W1019" s="7">
        <v>4420000</v>
      </c>
      <c r="X1019" s="5">
        <v>66.299999999999997</v>
      </c>
      <c r="Y1019" s="7">
        <v>6600000</v>
      </c>
      <c r="Z1019" s="1"/>
      <c r="AA1019" s="2">
        <f ca="1">DATE(2004,02,08)</f>
        <v>0</v>
      </c>
      <c r="AB1019" s="4">
        <v>0.78200000000000003</v>
      </c>
      <c r="AC1019" s="3">
        <v>180</v>
      </c>
      <c r="AD1019" s="8">
        <v>52000</v>
      </c>
      <c r="AE1019" s="1" t="s">
        <v>51</v>
      </c>
      <c r="AF1019" s="1" t="s">
        <v>51</v>
      </c>
      <c r="AG1019" s="1" t="s">
        <v>51</v>
      </c>
      <c r="AH1019" s="1"/>
      <c r="AI1019" s="1"/>
      <c r="AJ1019" s="3">
        <v>1</v>
      </c>
      <c r="AK1019" s="1" t="s">
        <v>89</v>
      </c>
      <c r="AL1019" s="3">
        <v>4</v>
      </c>
      <c r="AM1019" s="8">
        <v>15.029999999999999</v>
      </c>
      <c r="AN1019" s="1"/>
      <c r="AO1019" s="1" t="s">
        <v>6366</v>
      </c>
      <c r="AP1019" s="1" t="s">
        <v>6367</v>
      </c>
      <c r="AQ1019" s="1" t="s">
        <v>6368</v>
      </c>
      <c r="AR1019" s="1" t="s">
        <v>6369</v>
      </c>
    </row>
    <row r="1020">
      <c r="A1020" s="2">
        <f ca="1">DATE(2002,08,09)</f>
        <v>0</v>
      </c>
      <c r="B1020" s="2">
        <f ca="1">DATE(2003,08,13)</f>
        <v>0</v>
      </c>
      <c r="C1020" s="1" t="s">
        <v>6370</v>
      </c>
      <c r="D1020" s="3">
        <v>6022</v>
      </c>
      <c r="E1020" s="1" t="s">
        <v>43</v>
      </c>
      <c r="F1020" s="1" t="s">
        <v>6371</v>
      </c>
      <c r="G1020" s="1" t="s">
        <v>813</v>
      </c>
      <c r="H1020" s="4">
        <v>0.77000000000000002</v>
      </c>
      <c r="I1020" s="4">
        <v>7</v>
      </c>
      <c r="J1020" s="5">
        <v>66</v>
      </c>
      <c r="K1020" s="4">
        <v>11</v>
      </c>
      <c r="L1020" s="1" t="s">
        <v>46</v>
      </c>
      <c r="M1020" s="1" t="s">
        <v>47</v>
      </c>
      <c r="N1020" s="1" t="s">
        <v>6372</v>
      </c>
      <c r="O1020" s="1" t="s">
        <v>48</v>
      </c>
      <c r="P1020" s="1" t="s">
        <v>6373</v>
      </c>
      <c r="Q1020" s="4">
        <v>1.3640000000000001</v>
      </c>
      <c r="R1020" s="4">
        <v>1.3640000000000001</v>
      </c>
      <c r="S1020" s="6">
        <v>4.2727300000000001</v>
      </c>
      <c r="T1020" s="1" t="s">
        <v>50</v>
      </c>
      <c r="U1020" s="1"/>
      <c r="V1020" s="1"/>
      <c r="W1020" s="1"/>
      <c r="X1020" s="5">
        <v>75</v>
      </c>
      <c r="Y1020" s="7">
        <v>3000000</v>
      </c>
      <c r="Z1020" s="7">
        <v>3000000</v>
      </c>
      <c r="AA1020" s="2">
        <f ca="1">DATE(2004,02,08)</f>
        <v>0</v>
      </c>
      <c r="AB1020" s="4">
        <v>53.220999999999997</v>
      </c>
      <c r="AC1020" s="3">
        <v>180</v>
      </c>
      <c r="AD1020" s="8">
        <v>13000000</v>
      </c>
      <c r="AE1020" s="1" t="s">
        <v>51</v>
      </c>
      <c r="AF1020" s="1" t="s">
        <v>51</v>
      </c>
      <c r="AG1020" s="1" t="s">
        <v>51</v>
      </c>
      <c r="AH1020" s="1"/>
      <c r="AI1020" s="1"/>
      <c r="AJ1020" s="3">
        <v>1</v>
      </c>
      <c r="AK1020" s="1" t="s">
        <v>52</v>
      </c>
      <c r="AL1020" s="3">
        <v>4</v>
      </c>
      <c r="AM1020" s="8">
        <v>11.99</v>
      </c>
      <c r="AN1020" s="1"/>
      <c r="AO1020" s="1" t="s">
        <v>6374</v>
      </c>
      <c r="AP1020" s="1" t="s">
        <v>813</v>
      </c>
      <c r="AQ1020" s="1" t="s">
        <v>6375</v>
      </c>
      <c r="AR1020" s="1" t="s">
        <v>6376</v>
      </c>
    </row>
    <row r="1021">
      <c r="A1021" s="2">
        <f ca="1">DATE(2003,06,19)</f>
        <v>0</v>
      </c>
      <c r="B1021" s="2">
        <f ca="1">DATE(2003,08,18)</f>
        <v>0</v>
      </c>
      <c r="C1021" s="1" t="s">
        <v>6377</v>
      </c>
      <c r="D1021" s="3">
        <v>8099</v>
      </c>
      <c r="E1021" s="1" t="s">
        <v>43</v>
      </c>
      <c r="F1021" s="1" t="s">
        <v>6378</v>
      </c>
      <c r="G1021" s="1" t="s">
        <v>6379</v>
      </c>
      <c r="H1021" s="4">
        <v>0.83999999999999997</v>
      </c>
      <c r="I1021" s="8">
        <v>7</v>
      </c>
      <c r="J1021" s="5">
        <v>51.600000000000001</v>
      </c>
      <c r="K1021" s="4">
        <v>12</v>
      </c>
      <c r="L1021" s="1" t="s">
        <v>46</v>
      </c>
      <c r="M1021" s="1" t="s">
        <v>47</v>
      </c>
      <c r="N1021" s="3">
        <v>743815102</v>
      </c>
      <c r="O1021" s="1" t="s">
        <v>48</v>
      </c>
      <c r="P1021" s="1" t="s">
        <v>6380</v>
      </c>
      <c r="Q1021" s="4">
        <v>1.417</v>
      </c>
      <c r="R1021" s="4">
        <v>1.417</v>
      </c>
      <c r="S1021" s="6">
        <v>4.1666699999999999</v>
      </c>
      <c r="T1021" s="1" t="s">
        <v>50</v>
      </c>
      <c r="U1021" s="1"/>
      <c r="V1021" s="1"/>
      <c r="W1021" s="1"/>
      <c r="X1021" s="5">
        <v>60</v>
      </c>
      <c r="Y1021" s="7">
        <v>3000000</v>
      </c>
      <c r="Z1021" s="7">
        <v>1300000</v>
      </c>
      <c r="AA1021" s="2">
        <f ca="1">DATE(2004,02,14)</f>
        <v>0</v>
      </c>
      <c r="AB1021" s="4">
        <v>44.165999999999997</v>
      </c>
      <c r="AC1021" s="3">
        <v>180</v>
      </c>
      <c r="AD1021" s="8">
        <v>3401338</v>
      </c>
      <c r="AE1021" s="1" t="s">
        <v>51</v>
      </c>
      <c r="AF1021" s="1" t="s">
        <v>51</v>
      </c>
      <c r="AG1021" s="1" t="s">
        <v>47</v>
      </c>
      <c r="AH1021" s="1"/>
      <c r="AI1021" s="1"/>
      <c r="AJ1021" s="3">
        <v>1</v>
      </c>
      <c r="AK1021" s="1" t="s">
        <v>89</v>
      </c>
      <c r="AL1021" s="3">
        <v>3</v>
      </c>
      <c r="AM1021" s="8">
        <v>14</v>
      </c>
      <c r="AN1021" s="1"/>
      <c r="AO1021" s="1" t="s">
        <v>6381</v>
      </c>
      <c r="AP1021" s="1" t="s">
        <v>6382</v>
      </c>
      <c r="AQ1021" s="1" t="s">
        <v>6383</v>
      </c>
      <c r="AR1021" s="1" t="s">
        <v>6380</v>
      </c>
    </row>
    <row r="1022">
      <c r="A1022" s="2">
        <f ca="1">DATE(2003,05,15)</f>
        <v>0</v>
      </c>
      <c r="B1022" s="2">
        <f ca="1">DATE(2003,08,26)</f>
        <v>0</v>
      </c>
      <c r="C1022" s="1" t="s">
        <v>6384</v>
      </c>
      <c r="D1022" s="3">
        <v>6798</v>
      </c>
      <c r="E1022" s="1" t="s">
        <v>43</v>
      </c>
      <c r="F1022" s="1" t="s">
        <v>6385</v>
      </c>
      <c r="G1022" s="1" t="s">
        <v>5983</v>
      </c>
      <c r="H1022" s="4">
        <v>0.63</v>
      </c>
      <c r="I1022" s="4">
        <v>7</v>
      </c>
      <c r="J1022" s="5">
        <v>202.5</v>
      </c>
      <c r="K1022" s="4">
        <v>9</v>
      </c>
      <c r="L1022" s="1" t="s">
        <v>46</v>
      </c>
      <c r="M1022" s="1" t="s">
        <v>47</v>
      </c>
      <c r="N1022" s="1" t="s">
        <v>6386</v>
      </c>
      <c r="O1022" s="1" t="s">
        <v>108</v>
      </c>
      <c r="P1022" s="1" t="s">
        <v>6387</v>
      </c>
      <c r="Q1022" s="1" t="s">
        <v>145</v>
      </c>
      <c r="R1022" s="1" t="s">
        <v>145</v>
      </c>
      <c r="S1022" s="6">
        <v>4.11111</v>
      </c>
      <c r="T1022" s="1" t="s">
        <v>50</v>
      </c>
      <c r="U1022" s="8">
        <v>10</v>
      </c>
      <c r="V1022" s="8">
        <v>10</v>
      </c>
      <c r="W1022" s="7">
        <v>35000000</v>
      </c>
      <c r="X1022" s="5">
        <v>350</v>
      </c>
      <c r="Y1022" s="7">
        <v>22500000</v>
      </c>
      <c r="Z1022" s="1"/>
      <c r="AA1022" s="2">
        <f ca="1">DATE(2004,02,22)</f>
        <v>0</v>
      </c>
      <c r="AB1022" s="4">
        <v>2.819</v>
      </c>
      <c r="AC1022" s="3">
        <v>180</v>
      </c>
      <c r="AD1022" s="8">
        <v>675300</v>
      </c>
      <c r="AE1022" s="1" t="s">
        <v>51</v>
      </c>
      <c r="AF1022" s="1" t="s">
        <v>51</v>
      </c>
      <c r="AG1022" s="1" t="s">
        <v>51</v>
      </c>
      <c r="AH1022" s="1"/>
      <c r="AI1022" s="1"/>
      <c r="AJ1022" s="3">
        <v>1</v>
      </c>
      <c r="AK1022" s="1" t="s">
        <v>52</v>
      </c>
      <c r="AL1022" s="3">
        <v>3</v>
      </c>
      <c r="AM1022" s="8">
        <v>9</v>
      </c>
      <c r="AN1022" s="1"/>
      <c r="AO1022" s="1" t="s">
        <v>6388</v>
      </c>
      <c r="AP1022" s="1" t="s">
        <v>5983</v>
      </c>
      <c r="AQ1022" s="1" t="s">
        <v>6389</v>
      </c>
      <c r="AR1022" s="1" t="s">
        <v>6390</v>
      </c>
    </row>
    <row r="1023">
      <c r="A1023" s="2">
        <f ca="1">DATE(2003,06,23)</f>
        <v>0</v>
      </c>
      <c r="B1023" s="2">
        <f ca="1">DATE(2003,08,26)</f>
        <v>0</v>
      </c>
      <c r="C1023" s="1" t="s">
        <v>6391</v>
      </c>
      <c r="D1023" s="3">
        <v>6726</v>
      </c>
      <c r="E1023" s="1" t="s">
        <v>43</v>
      </c>
      <c r="F1023" s="1" t="s">
        <v>6392</v>
      </c>
      <c r="G1023" s="1" t="s">
        <v>6393</v>
      </c>
      <c r="H1023" s="1" t="s">
        <v>57</v>
      </c>
      <c r="I1023" s="1" t="s">
        <v>57</v>
      </c>
      <c r="J1023" s="5">
        <v>450</v>
      </c>
      <c r="K1023" s="4">
        <v>15</v>
      </c>
      <c r="L1023" s="1" t="s">
        <v>46</v>
      </c>
      <c r="M1023" s="1" t="s">
        <v>47</v>
      </c>
      <c r="N1023" s="1" t="s">
        <v>6394</v>
      </c>
      <c r="O1023" s="1" t="s">
        <v>87</v>
      </c>
      <c r="P1023" s="1" t="s">
        <v>6395</v>
      </c>
      <c r="Q1023" s="1"/>
      <c r="R1023" s="1"/>
      <c r="S1023" s="1"/>
      <c r="T1023" s="1" t="s">
        <v>50</v>
      </c>
      <c r="U1023" s="8">
        <v>15</v>
      </c>
      <c r="V1023" s="8">
        <v>15</v>
      </c>
      <c r="W1023" s="7">
        <v>1000</v>
      </c>
      <c r="X1023" s="5">
        <v>0</v>
      </c>
      <c r="Y1023" s="7">
        <v>30000000</v>
      </c>
      <c r="Z1023" s="1"/>
      <c r="AA1023" s="2">
        <f ca="1">DATE(2004,02,22)</f>
        <v>0</v>
      </c>
      <c r="AB1023" s="1"/>
      <c r="AC1023" s="3">
        <v>180</v>
      </c>
      <c r="AD1023" s="1"/>
      <c r="AE1023" s="1" t="s">
        <v>51</v>
      </c>
      <c r="AF1023" s="1" t="s">
        <v>51</v>
      </c>
      <c r="AG1023" s="1" t="s">
        <v>51</v>
      </c>
      <c r="AH1023" s="1"/>
      <c r="AI1023" s="1"/>
      <c r="AJ1023" s="3">
        <v>2</v>
      </c>
      <c r="AK1023" s="1" t="s">
        <v>89</v>
      </c>
      <c r="AL1023" s="3">
        <v>19</v>
      </c>
      <c r="AM1023" s="8">
        <v>15</v>
      </c>
      <c r="AN1023" s="1"/>
      <c r="AO1023" s="1" t="s">
        <v>6396</v>
      </c>
      <c r="AP1023" s="1" t="s">
        <v>6397</v>
      </c>
      <c r="AQ1023" s="1" t="s">
        <v>6398</v>
      </c>
      <c r="AR1023" s="1" t="s">
        <v>6399</v>
      </c>
    </row>
    <row r="1024">
      <c r="A1024" s="2">
        <f ca="1">DATE(2003,06,23)</f>
        <v>0</v>
      </c>
      <c r="B1024" s="2">
        <f ca="1">DATE(2003,08,26)</f>
        <v>0</v>
      </c>
      <c r="C1024" s="1" t="s">
        <v>6400</v>
      </c>
      <c r="D1024" s="3">
        <v>6726</v>
      </c>
      <c r="E1024" s="1" t="s">
        <v>43</v>
      </c>
      <c r="F1024" s="1" t="s">
        <v>6401</v>
      </c>
      <c r="G1024" s="1" t="s">
        <v>6402</v>
      </c>
      <c r="H1024" s="4">
        <v>1.125</v>
      </c>
      <c r="I1024" s="4">
        <v>4.5</v>
      </c>
      <c r="J1024" s="5">
        <v>225</v>
      </c>
      <c r="K1024" s="4">
        <v>25</v>
      </c>
      <c r="L1024" s="1" t="s">
        <v>46</v>
      </c>
      <c r="M1024" s="1" t="s">
        <v>47</v>
      </c>
      <c r="N1024" s="3">
        <v>338479108</v>
      </c>
      <c r="O1024" s="1" t="s">
        <v>108</v>
      </c>
      <c r="P1024" s="1" t="s">
        <v>6403</v>
      </c>
      <c r="Q1024" s="4">
        <v>1</v>
      </c>
      <c r="R1024" s="4">
        <v>0.5</v>
      </c>
      <c r="S1024" s="8">
        <v>3</v>
      </c>
      <c r="T1024" s="1" t="s">
        <v>50</v>
      </c>
      <c r="U1024" s="8">
        <v>25</v>
      </c>
      <c r="V1024" s="8">
        <v>25</v>
      </c>
      <c r="W1024" s="7">
        <v>34000</v>
      </c>
      <c r="X1024" s="5">
        <v>0.90000000000000002</v>
      </c>
      <c r="Y1024" s="7">
        <v>9000000</v>
      </c>
      <c r="Z1024" s="1"/>
      <c r="AA1024" s="1"/>
      <c r="AB1024" s="1"/>
      <c r="AC1024" s="1"/>
      <c r="AD1024" s="1"/>
      <c r="AE1024" s="1" t="s">
        <v>51</v>
      </c>
      <c r="AF1024" s="1" t="s">
        <v>51</v>
      </c>
      <c r="AG1024" s="1" t="s">
        <v>51</v>
      </c>
      <c r="AH1024" s="1"/>
      <c r="AI1024" s="1"/>
      <c r="AJ1024" s="3">
        <v>3</v>
      </c>
      <c r="AK1024" s="1" t="s">
        <v>110</v>
      </c>
      <c r="AL1024" s="3">
        <v>16</v>
      </c>
      <c r="AM1024" s="8">
        <v>25</v>
      </c>
      <c r="AN1024" s="1"/>
      <c r="AO1024" s="1" t="s">
        <v>6404</v>
      </c>
      <c r="AP1024" s="1" t="s">
        <v>6405</v>
      </c>
      <c r="AQ1024" s="1" t="s">
        <v>6406</v>
      </c>
      <c r="AR1024" s="1" t="s">
        <v>6407</v>
      </c>
    </row>
    <row r="1025">
      <c r="A1025" s="2">
        <f ca="1">DATE(2003,05,23)</f>
        <v>0</v>
      </c>
      <c r="B1025" s="2">
        <f ca="1">DATE(2003,08,26)</f>
        <v>0</v>
      </c>
      <c r="C1025" s="1" t="s">
        <v>6408</v>
      </c>
      <c r="D1025" s="3">
        <v>6726</v>
      </c>
      <c r="E1025" s="1" t="s">
        <v>43</v>
      </c>
      <c r="F1025" s="1" t="s">
        <v>6409</v>
      </c>
      <c r="G1025" s="1" t="s">
        <v>6201</v>
      </c>
      <c r="H1025" s="4">
        <v>0.67500000000000004</v>
      </c>
      <c r="I1025" s="4">
        <v>4.5</v>
      </c>
      <c r="J1025" s="5">
        <v>369</v>
      </c>
      <c r="K1025" s="4">
        <v>15</v>
      </c>
      <c r="L1025" s="1" t="s">
        <v>46</v>
      </c>
      <c r="M1025" s="1" t="s">
        <v>47</v>
      </c>
      <c r="N1025" s="1" t="s">
        <v>6410</v>
      </c>
      <c r="O1025" s="1" t="s">
        <v>87</v>
      </c>
      <c r="P1025" s="1" t="s">
        <v>6411</v>
      </c>
      <c r="Q1025" s="4">
        <v>0.93300000000000005</v>
      </c>
      <c r="R1025" s="4">
        <v>0.56699999999999995</v>
      </c>
      <c r="S1025" s="8">
        <v>3</v>
      </c>
      <c r="T1025" s="1" t="s">
        <v>50</v>
      </c>
      <c r="U1025" s="8">
        <v>15</v>
      </c>
      <c r="V1025" s="8">
        <v>15</v>
      </c>
      <c r="W1025" s="7">
        <v>1000</v>
      </c>
      <c r="X1025" s="5">
        <v>0</v>
      </c>
      <c r="Y1025" s="7">
        <v>24600000</v>
      </c>
      <c r="Z1025" s="1"/>
      <c r="AA1025" s="2">
        <f ca="1">DATE(2004,02,22)</f>
        <v>0</v>
      </c>
      <c r="AB1025" s="1"/>
      <c r="AC1025" s="3">
        <v>180</v>
      </c>
      <c r="AD1025" s="1"/>
      <c r="AE1025" s="1" t="s">
        <v>51</v>
      </c>
      <c r="AF1025" s="1" t="s">
        <v>51</v>
      </c>
      <c r="AG1025" s="1" t="s">
        <v>51</v>
      </c>
      <c r="AH1025" s="1"/>
      <c r="AI1025" s="1"/>
      <c r="AJ1025" s="3">
        <v>1</v>
      </c>
      <c r="AK1025" s="1" t="s">
        <v>52</v>
      </c>
      <c r="AL1025" s="3">
        <v>14</v>
      </c>
      <c r="AM1025" s="8">
        <v>15</v>
      </c>
      <c r="AN1025" s="1"/>
      <c r="AO1025" s="1" t="s">
        <v>6412</v>
      </c>
      <c r="AP1025" s="1" t="s">
        <v>6201</v>
      </c>
      <c r="AQ1025" s="1" t="s">
        <v>6413</v>
      </c>
      <c r="AR1025" s="1" t="s">
        <v>6414</v>
      </c>
    </row>
    <row r="1026">
      <c r="A1026" s="2">
        <f ca="1">DATE(2003,05,23)</f>
        <v>0</v>
      </c>
      <c r="B1026" s="2">
        <f ca="1">DATE(2003,08,26)</f>
        <v>0</v>
      </c>
      <c r="C1026" s="1" t="s">
        <v>6415</v>
      </c>
      <c r="D1026" s="3">
        <v>6722</v>
      </c>
      <c r="E1026" s="1" t="s">
        <v>43</v>
      </c>
      <c r="F1026" s="1" t="s">
        <v>6416</v>
      </c>
      <c r="G1026" s="1" t="s">
        <v>4145</v>
      </c>
      <c r="H1026" s="4">
        <v>0.67500000000000004</v>
      </c>
      <c r="I1026" s="4">
        <v>4.5</v>
      </c>
      <c r="J1026" s="5">
        <v>106.5</v>
      </c>
      <c r="K1026" s="4">
        <v>15</v>
      </c>
      <c r="L1026" s="1" t="s">
        <v>46</v>
      </c>
      <c r="M1026" s="1" t="s">
        <v>47</v>
      </c>
      <c r="N1026" s="1" t="s">
        <v>6417</v>
      </c>
      <c r="O1026" s="1" t="s">
        <v>108</v>
      </c>
      <c r="P1026" s="1" t="s">
        <v>6418</v>
      </c>
      <c r="Q1026" s="4">
        <v>0.90000000000000002</v>
      </c>
      <c r="R1026" s="4">
        <v>0.59999999999999998</v>
      </c>
      <c r="S1026" s="8">
        <v>3</v>
      </c>
      <c r="T1026" s="1" t="s">
        <v>50</v>
      </c>
      <c r="U1026" s="8">
        <v>15</v>
      </c>
      <c r="V1026" s="8">
        <v>15</v>
      </c>
      <c r="W1026" s="7">
        <v>66667</v>
      </c>
      <c r="X1026" s="5">
        <v>1</v>
      </c>
      <c r="Y1026" s="7">
        <v>7100000</v>
      </c>
      <c r="Z1026" s="1"/>
      <c r="AA1026" s="2">
        <f ca="1">DATE(2004,02,22)</f>
        <v>0</v>
      </c>
      <c r="AB1026" s="1"/>
      <c r="AC1026" s="3">
        <v>180</v>
      </c>
      <c r="AD1026" s="1"/>
      <c r="AE1026" s="1" t="s">
        <v>51</v>
      </c>
      <c r="AF1026" s="1" t="s">
        <v>51</v>
      </c>
      <c r="AG1026" s="1" t="s">
        <v>51</v>
      </c>
      <c r="AH1026" s="1"/>
      <c r="AI1026" s="1"/>
      <c r="AJ1026" s="3">
        <v>1</v>
      </c>
      <c r="AK1026" s="1" t="s">
        <v>89</v>
      </c>
      <c r="AL1026" s="3">
        <v>14</v>
      </c>
      <c r="AM1026" s="8">
        <v>15</v>
      </c>
      <c r="AN1026" s="1"/>
      <c r="AO1026" s="1" t="s">
        <v>6419</v>
      </c>
      <c r="AP1026" s="1" t="s">
        <v>6006</v>
      </c>
      <c r="AQ1026" s="1" t="s">
        <v>6420</v>
      </c>
      <c r="AR1026" s="1" t="s">
        <v>6421</v>
      </c>
    </row>
    <row r="1027">
      <c r="A1027" s="2">
        <f ca="1">DATE(2003,07,25)</f>
        <v>0</v>
      </c>
      <c r="B1027" s="2">
        <f ca="1">DATE(2003,08,26)</f>
        <v>0</v>
      </c>
      <c r="C1027" s="1" t="s">
        <v>6422</v>
      </c>
      <c r="D1027" s="3">
        <v>6726</v>
      </c>
      <c r="E1027" s="1" t="s">
        <v>43</v>
      </c>
      <c r="F1027" s="1" t="s">
        <v>6423</v>
      </c>
      <c r="G1027" s="1" t="s">
        <v>45</v>
      </c>
      <c r="H1027" s="4">
        <v>0.65000000000000002</v>
      </c>
      <c r="I1027" s="4">
        <v>3.25</v>
      </c>
      <c r="J1027" s="5">
        <v>325</v>
      </c>
      <c r="K1027" s="4">
        <v>20</v>
      </c>
      <c r="L1027" s="1" t="s">
        <v>46</v>
      </c>
      <c r="M1027" s="1" t="s">
        <v>47</v>
      </c>
      <c r="N1027" s="1" t="s">
        <v>6424</v>
      </c>
      <c r="O1027" s="1" t="s">
        <v>108</v>
      </c>
      <c r="P1027" s="1" t="s">
        <v>6425</v>
      </c>
      <c r="Q1027" s="4">
        <v>0.69999999999999996</v>
      </c>
      <c r="R1027" s="4">
        <v>0.29999999999999999</v>
      </c>
      <c r="S1027" s="8">
        <v>2.25</v>
      </c>
      <c r="T1027" s="1" t="s">
        <v>50</v>
      </c>
      <c r="U1027" s="8">
        <v>20</v>
      </c>
      <c r="V1027" s="8">
        <v>20</v>
      </c>
      <c r="W1027" s="7">
        <v>1000</v>
      </c>
      <c r="X1027" s="5">
        <v>0</v>
      </c>
      <c r="Y1027" s="7">
        <v>16250000</v>
      </c>
      <c r="Z1027" s="1"/>
      <c r="AA1027" s="2">
        <f ca="1">DATE(2004,02,22)</f>
        <v>0</v>
      </c>
      <c r="AB1027" s="1"/>
      <c r="AC1027" s="3">
        <v>180</v>
      </c>
      <c r="AD1027" s="1"/>
      <c r="AE1027" s="1" t="s">
        <v>51</v>
      </c>
      <c r="AF1027" s="1" t="s">
        <v>51</v>
      </c>
      <c r="AG1027" s="1" t="s">
        <v>51</v>
      </c>
      <c r="AH1027" s="1"/>
      <c r="AI1027" s="1"/>
      <c r="AJ1027" s="3">
        <v>1</v>
      </c>
      <c r="AK1027" s="1" t="s">
        <v>52</v>
      </c>
      <c r="AL1027" s="3">
        <v>13</v>
      </c>
      <c r="AM1027" s="8">
        <v>20.010000000000002</v>
      </c>
      <c r="AN1027" s="1"/>
      <c r="AO1027" s="1" t="s">
        <v>6426</v>
      </c>
      <c r="AP1027" s="1" t="s">
        <v>45</v>
      </c>
      <c r="AQ1027" s="1" t="s">
        <v>6427</v>
      </c>
      <c r="AR1027" s="1" t="s">
        <v>6428</v>
      </c>
    </row>
    <row r="1028">
      <c r="A1028" s="2">
        <f ca="1">DATE(2003,07,25)</f>
        <v>0</v>
      </c>
      <c r="B1028" s="2">
        <f ca="1">DATE(2003,08,26)</f>
        <v>0</v>
      </c>
      <c r="C1028" s="1" t="s">
        <v>6429</v>
      </c>
      <c r="D1028" s="3">
        <v>6722</v>
      </c>
      <c r="E1028" s="1" t="s">
        <v>43</v>
      </c>
      <c r="F1028" s="1" t="s">
        <v>6430</v>
      </c>
      <c r="G1028" s="1" t="s">
        <v>5704</v>
      </c>
      <c r="H1028" s="4">
        <v>0.67500000000000004</v>
      </c>
      <c r="I1028" s="4">
        <v>4.5</v>
      </c>
      <c r="J1028" s="5">
        <v>525</v>
      </c>
      <c r="K1028" s="4">
        <v>15</v>
      </c>
      <c r="L1028" s="1" t="s">
        <v>46</v>
      </c>
      <c r="M1028" s="1" t="s">
        <v>47</v>
      </c>
      <c r="N1028" s="1" t="s">
        <v>6431</v>
      </c>
      <c r="O1028" s="1" t="s">
        <v>87</v>
      </c>
      <c r="P1028" s="1" t="s">
        <v>6432</v>
      </c>
      <c r="Q1028" s="4">
        <v>0.96699999999999997</v>
      </c>
      <c r="R1028" s="4">
        <v>0.53300000000000003</v>
      </c>
      <c r="S1028" s="8">
        <v>3</v>
      </c>
      <c r="T1028" s="1" t="s">
        <v>50</v>
      </c>
      <c r="U1028" s="8">
        <v>15</v>
      </c>
      <c r="V1028" s="8">
        <v>15</v>
      </c>
      <c r="W1028" s="7">
        <v>66666</v>
      </c>
      <c r="X1028" s="5">
        <v>1</v>
      </c>
      <c r="Y1028" s="7">
        <v>35000000</v>
      </c>
      <c r="Z1028" s="1"/>
      <c r="AA1028" s="2">
        <f ca="1">DATE(2004,02,22)</f>
        <v>0</v>
      </c>
      <c r="AB1028" s="1"/>
      <c r="AC1028" s="3">
        <v>180</v>
      </c>
      <c r="AD1028" s="1"/>
      <c r="AE1028" s="1" t="s">
        <v>51</v>
      </c>
      <c r="AF1028" s="1" t="s">
        <v>51</v>
      </c>
      <c r="AG1028" s="1" t="s">
        <v>51</v>
      </c>
      <c r="AH1028" s="1"/>
      <c r="AI1028" s="1"/>
      <c r="AJ1028" s="3">
        <v>1</v>
      </c>
      <c r="AK1028" s="1" t="s">
        <v>110</v>
      </c>
      <c r="AL1028" s="3">
        <v>9</v>
      </c>
      <c r="AM1028" s="8">
        <v>15</v>
      </c>
      <c r="AN1028" s="1"/>
      <c r="AO1028" s="1" t="s">
        <v>6433</v>
      </c>
      <c r="AP1028" s="1" t="s">
        <v>6434</v>
      </c>
      <c r="AQ1028" s="1" t="s">
        <v>6435</v>
      </c>
      <c r="AR1028" s="1" t="s">
        <v>6436</v>
      </c>
    </row>
    <row r="1029">
      <c r="A1029" s="2">
        <f ca="1">DATE(2003,05,09)</f>
        <v>0</v>
      </c>
      <c r="B1029" s="2">
        <f ca="1">DATE(2003,09,17)</f>
        <v>0</v>
      </c>
      <c r="C1029" s="1" t="s">
        <v>6437</v>
      </c>
      <c r="D1029" s="3">
        <v>6411</v>
      </c>
      <c r="E1029" s="1" t="s">
        <v>43</v>
      </c>
      <c r="F1029" s="1" t="s">
        <v>6438</v>
      </c>
      <c r="G1029" s="1" t="s">
        <v>6056</v>
      </c>
      <c r="H1029" s="4">
        <v>1.6100000000000001</v>
      </c>
      <c r="I1029" s="4">
        <v>7</v>
      </c>
      <c r="J1029" s="5">
        <v>197.09999999999999</v>
      </c>
      <c r="K1029" s="4">
        <v>23</v>
      </c>
      <c r="L1029" s="1" t="s">
        <v>46</v>
      </c>
      <c r="M1029" s="1" t="s">
        <v>47</v>
      </c>
      <c r="N1029" s="1" t="s">
        <v>6439</v>
      </c>
      <c r="O1029" s="1" t="s">
        <v>108</v>
      </c>
      <c r="P1029" s="1" t="s">
        <v>6440</v>
      </c>
      <c r="Q1029" s="4">
        <v>1.391</v>
      </c>
      <c r="R1029" s="4">
        <v>1.391</v>
      </c>
      <c r="S1029" s="6">
        <v>4.21739</v>
      </c>
      <c r="T1029" s="1" t="s">
        <v>50</v>
      </c>
      <c r="U1029" s="1"/>
      <c r="V1029" s="1"/>
      <c r="W1029" s="1"/>
      <c r="X1029" s="5">
        <v>250</v>
      </c>
      <c r="Y1029" s="7">
        <v>3334429</v>
      </c>
      <c r="Z1029" s="7">
        <v>5232959</v>
      </c>
      <c r="AA1029" s="2">
        <f ca="1">DATE(2004,03,15)</f>
        <v>0</v>
      </c>
      <c r="AB1029" s="4">
        <v>71.200999999999993</v>
      </c>
      <c r="AC1029" s="3">
        <v>180</v>
      </c>
      <c r="AD1029" s="8">
        <v>22416394</v>
      </c>
      <c r="AE1029" s="1" t="s">
        <v>51</v>
      </c>
      <c r="AF1029" s="1" t="s">
        <v>51</v>
      </c>
      <c r="AG1029" s="1" t="s">
        <v>51</v>
      </c>
      <c r="AH1029" s="1"/>
      <c r="AI1029" s="1"/>
      <c r="AJ1029" s="3">
        <v>2</v>
      </c>
      <c r="AK1029" s="1" t="s">
        <v>89</v>
      </c>
      <c r="AL1029" s="3">
        <v>6</v>
      </c>
      <c r="AM1029" s="8">
        <v>26.25</v>
      </c>
      <c r="AN1029" s="1"/>
      <c r="AO1029" s="1" t="s">
        <v>6441</v>
      </c>
      <c r="AP1029" s="1" t="s">
        <v>4884</v>
      </c>
      <c r="AQ1029" s="1" t="s">
        <v>6442</v>
      </c>
      <c r="AR1029" s="1" t="s">
        <v>6443</v>
      </c>
    </row>
    <row r="1030">
      <c r="A1030" s="2">
        <f ca="1">DATE(2003,05,09)</f>
        <v>0</v>
      </c>
      <c r="B1030" s="2">
        <f ca="1">DATE(2003,09,17)</f>
        <v>0</v>
      </c>
      <c r="C1030" s="1" t="s">
        <v>6437</v>
      </c>
      <c r="D1030" s="3">
        <v>6411</v>
      </c>
      <c r="E1030" s="1" t="s">
        <v>43</v>
      </c>
      <c r="F1030" s="1" t="s">
        <v>6438</v>
      </c>
      <c r="G1030" s="1" t="s">
        <v>6056</v>
      </c>
      <c r="H1030" s="4">
        <v>1.6100000000000001</v>
      </c>
      <c r="I1030" s="4">
        <v>7</v>
      </c>
      <c r="J1030" s="5">
        <v>11.5</v>
      </c>
      <c r="K1030" s="8">
        <v>23</v>
      </c>
      <c r="L1030" s="1" t="s">
        <v>46</v>
      </c>
      <c r="M1030" s="1" t="s">
        <v>47</v>
      </c>
      <c r="N1030" s="1" t="s">
        <v>6439</v>
      </c>
      <c r="O1030" s="1" t="s">
        <v>108</v>
      </c>
      <c r="P1030" s="1" t="s">
        <v>6440</v>
      </c>
      <c r="Q1030" s="4">
        <v>1.391</v>
      </c>
      <c r="R1030" s="4">
        <v>1.391</v>
      </c>
      <c r="S1030" s="6">
        <v>4.21739</v>
      </c>
      <c r="T1030" s="1" t="s">
        <v>60</v>
      </c>
      <c r="U1030" s="1"/>
      <c r="V1030" s="1"/>
      <c r="W1030" s="1"/>
      <c r="X1030" s="1"/>
      <c r="Y1030" s="7">
        <v>165571</v>
      </c>
      <c r="Z1030" s="7">
        <v>334019</v>
      </c>
      <c r="AA1030" s="1"/>
      <c r="AB1030" s="1"/>
      <c r="AC1030" s="3">
        <v>180</v>
      </c>
      <c r="AD1030" s="8">
        <v>22416394</v>
      </c>
      <c r="AE1030" s="1" t="s">
        <v>51</v>
      </c>
      <c r="AF1030" s="1" t="s">
        <v>51</v>
      </c>
      <c r="AG1030" s="1" t="s">
        <v>51</v>
      </c>
      <c r="AH1030" s="1"/>
      <c r="AI1030" s="1"/>
      <c r="AJ1030" s="3">
        <v>2</v>
      </c>
      <c r="AK1030" s="1" t="s">
        <v>89</v>
      </c>
      <c r="AL1030" s="3">
        <v>2</v>
      </c>
      <c r="AM1030" s="8">
        <v>26.25</v>
      </c>
      <c r="AN1030" s="8">
        <v>26.25</v>
      </c>
      <c r="AO1030" s="1" t="s">
        <v>6444</v>
      </c>
      <c r="AP1030" s="1" t="s">
        <v>4884</v>
      </c>
      <c r="AQ1030" s="1" t="s">
        <v>6445</v>
      </c>
      <c r="AR1030" s="1" t="s">
        <v>6446</v>
      </c>
    </row>
    <row r="1031">
      <c r="A1031" s="2">
        <f ca="1">DATE(2003,08,20)</f>
        <v>0</v>
      </c>
      <c r="B1031" s="2">
        <f ca="1">DATE(2003,09,17)</f>
        <v>0</v>
      </c>
      <c r="C1031" s="1" t="s">
        <v>6447</v>
      </c>
      <c r="D1031" s="3">
        <v>2836</v>
      </c>
      <c r="E1031" s="1" t="s">
        <v>166</v>
      </c>
      <c r="F1031" s="1" t="s">
        <v>6448</v>
      </c>
      <c r="G1031" s="1" t="s">
        <v>5704</v>
      </c>
      <c r="H1031" s="4">
        <v>0.70699999999999996</v>
      </c>
      <c r="I1031" s="4">
        <v>6.5</v>
      </c>
      <c r="J1031" s="5">
        <v>54.399999999999999</v>
      </c>
      <c r="K1031" s="8">
        <v>10.869999999999999</v>
      </c>
      <c r="L1031" s="1" t="s">
        <v>46</v>
      </c>
      <c r="M1031" s="1" t="s">
        <v>47</v>
      </c>
      <c r="N1031" s="1" t="s">
        <v>6449</v>
      </c>
      <c r="O1031" s="1" t="s">
        <v>3171</v>
      </c>
      <c r="P1031" s="1" t="s">
        <v>6450</v>
      </c>
      <c r="Q1031" s="1" t="s">
        <v>145</v>
      </c>
      <c r="R1031" s="1" t="s">
        <v>145</v>
      </c>
      <c r="S1031" s="6">
        <v>3.49586</v>
      </c>
      <c r="T1031" s="1" t="s">
        <v>50</v>
      </c>
      <c r="U1031" s="8">
        <v>10.41</v>
      </c>
      <c r="V1031" s="8">
        <v>10.41</v>
      </c>
      <c r="W1031" s="7">
        <v>4200000</v>
      </c>
      <c r="X1031" s="5">
        <v>43.700000000000003</v>
      </c>
      <c r="Y1031" s="7">
        <v>5000000</v>
      </c>
      <c r="Z1031" s="1"/>
      <c r="AA1031" s="1"/>
      <c r="AB1031" s="1"/>
      <c r="AC1031" s="1"/>
      <c r="AD1031" s="1"/>
      <c r="AE1031" s="1" t="s">
        <v>51</v>
      </c>
      <c r="AF1031" s="1" t="s">
        <v>51</v>
      </c>
      <c r="AG1031" s="1" t="s">
        <v>51</v>
      </c>
      <c r="AH1031" s="1"/>
      <c r="AI1031" s="1"/>
      <c r="AJ1031" s="3">
        <v>1</v>
      </c>
      <c r="AK1031" s="1" t="s">
        <v>52</v>
      </c>
      <c r="AL1031" s="3">
        <v>6</v>
      </c>
      <c r="AM1031" s="8">
        <v>12.94</v>
      </c>
      <c r="AN1031" s="1"/>
      <c r="AO1031" s="1" t="s">
        <v>6451</v>
      </c>
      <c r="AP1031" s="1" t="s">
        <v>5704</v>
      </c>
      <c r="AQ1031" s="1" t="s">
        <v>6452</v>
      </c>
      <c r="AR1031" s="1" t="s">
        <v>6450</v>
      </c>
    </row>
    <row r="1032">
      <c r="A1032" s="2">
        <f ca="1">DATE(2003,07,03)</f>
        <v>0</v>
      </c>
      <c r="B1032" s="2">
        <f ca="1">DATE(2003,09,18)</f>
        <v>0</v>
      </c>
      <c r="C1032" s="1" t="s">
        <v>6453</v>
      </c>
      <c r="D1032" s="3">
        <v>3674</v>
      </c>
      <c r="E1032" s="1" t="s">
        <v>43</v>
      </c>
      <c r="F1032" s="1" t="s">
        <v>6454</v>
      </c>
      <c r="G1032" s="1" t="s">
        <v>45</v>
      </c>
      <c r="H1032" s="4">
        <v>1.05</v>
      </c>
      <c r="I1032" s="4">
        <v>7</v>
      </c>
      <c r="J1032" s="5">
        <v>130.5</v>
      </c>
      <c r="K1032" s="4">
        <v>15</v>
      </c>
      <c r="L1032" s="1" t="s">
        <v>46</v>
      </c>
      <c r="M1032" s="1" t="s">
        <v>47</v>
      </c>
      <c r="N1032" s="1" t="s">
        <v>6455</v>
      </c>
      <c r="O1032" s="1" t="s">
        <v>48</v>
      </c>
      <c r="P1032" s="1" t="s">
        <v>6456</v>
      </c>
      <c r="Q1032" s="4">
        <v>1.3999999999999999</v>
      </c>
      <c r="R1032" s="4">
        <v>1.3999999999999999</v>
      </c>
      <c r="S1032" s="8">
        <v>4.2000000000000002</v>
      </c>
      <c r="T1032" s="1" t="s">
        <v>50</v>
      </c>
      <c r="U1032" s="1"/>
      <c r="V1032" s="1"/>
      <c r="W1032" s="1"/>
      <c r="X1032" s="5">
        <v>75</v>
      </c>
      <c r="Y1032" s="7">
        <v>6090000</v>
      </c>
      <c r="Z1032" s="7">
        <v>2610000</v>
      </c>
      <c r="AA1032" s="1" t="s">
        <v>6457</v>
      </c>
      <c r="AB1032" s="1" t="s">
        <v>6458</v>
      </c>
      <c r="AC1032" s="1" t="s">
        <v>2068</v>
      </c>
      <c r="AD1032" s="1" t="s">
        <v>6459</v>
      </c>
      <c r="AE1032" s="1" t="s">
        <v>51</v>
      </c>
      <c r="AF1032" s="1" t="s">
        <v>51</v>
      </c>
      <c r="AG1032" s="1" t="s">
        <v>47</v>
      </c>
      <c r="AH1032" s="1"/>
      <c r="AI1032" s="1"/>
      <c r="AJ1032" s="3">
        <v>1</v>
      </c>
      <c r="AK1032" s="1" t="s">
        <v>89</v>
      </c>
      <c r="AL1032" s="3">
        <v>4</v>
      </c>
      <c r="AM1032" s="8">
        <v>19.800000000000001</v>
      </c>
      <c r="AN1032" s="1"/>
      <c r="AO1032" s="1" t="s">
        <v>6460</v>
      </c>
      <c r="AP1032" s="1" t="s">
        <v>3866</v>
      </c>
      <c r="AQ1032" s="1" t="s">
        <v>6461</v>
      </c>
      <c r="AR1032" s="1" t="s">
        <v>6462</v>
      </c>
    </row>
    <row r="1033">
      <c r="A1033" s="2">
        <f ca="1">DATE(2003,07,03)</f>
        <v>0</v>
      </c>
      <c r="B1033" s="2">
        <f ca="1">DATE(2003,09,18)</f>
        <v>0</v>
      </c>
      <c r="C1033" s="1" t="s">
        <v>6453</v>
      </c>
      <c r="D1033" s="3">
        <v>3674</v>
      </c>
      <c r="E1033" s="1" t="s">
        <v>43</v>
      </c>
      <c r="F1033" s="1" t="s">
        <v>6454</v>
      </c>
      <c r="G1033" s="1" t="s">
        <v>45</v>
      </c>
      <c r="H1033" s="4">
        <v>1.05</v>
      </c>
      <c r="I1033" s="4">
        <v>7</v>
      </c>
      <c r="J1033" s="5">
        <v>19.5</v>
      </c>
      <c r="K1033" s="8">
        <v>15</v>
      </c>
      <c r="L1033" s="1" t="s">
        <v>46</v>
      </c>
      <c r="M1033" s="1" t="s">
        <v>47</v>
      </c>
      <c r="N1033" s="1" t="s">
        <v>6455</v>
      </c>
      <c r="O1033" s="1" t="s">
        <v>48</v>
      </c>
      <c r="P1033" s="1" t="s">
        <v>6456</v>
      </c>
      <c r="Q1033" s="4">
        <v>1.3999999999999999</v>
      </c>
      <c r="R1033" s="4">
        <v>1.3999999999999999</v>
      </c>
      <c r="S1033" s="8">
        <v>4.2000000000000002</v>
      </c>
      <c r="T1033" s="1" t="s">
        <v>60</v>
      </c>
      <c r="U1033" s="1"/>
      <c r="V1033" s="1"/>
      <c r="W1033" s="1"/>
      <c r="X1033" s="1"/>
      <c r="Y1033" s="7">
        <v>910000</v>
      </c>
      <c r="Z1033" s="7">
        <v>390000</v>
      </c>
      <c r="AA1033" s="1"/>
      <c r="AB1033" s="1" t="s">
        <v>2067</v>
      </c>
      <c r="AC1033" s="1" t="s">
        <v>2068</v>
      </c>
      <c r="AD1033" s="1" t="s">
        <v>6459</v>
      </c>
      <c r="AE1033" s="1" t="s">
        <v>51</v>
      </c>
      <c r="AF1033" s="1" t="s">
        <v>51</v>
      </c>
      <c r="AG1033" s="1" t="s">
        <v>47</v>
      </c>
      <c r="AH1033" s="1"/>
      <c r="AI1033" s="1"/>
      <c r="AJ1033" s="3">
        <v>1</v>
      </c>
      <c r="AK1033" s="1" t="s">
        <v>89</v>
      </c>
      <c r="AL1033" s="3">
        <v>2</v>
      </c>
      <c r="AM1033" s="5">
        <v>19.800000000000001</v>
      </c>
      <c r="AN1033" s="5">
        <v>18.199999999999999</v>
      </c>
      <c r="AO1033" s="1" t="s">
        <v>6463</v>
      </c>
      <c r="AP1033" s="1" t="s">
        <v>3866</v>
      </c>
      <c r="AQ1033" s="1" t="s">
        <v>3871</v>
      </c>
      <c r="AR1033" s="1" t="s">
        <v>3872</v>
      </c>
    </row>
    <row r="1034">
      <c r="A1034" s="2">
        <f ca="1">DATE(2003,08,15)</f>
        <v>0</v>
      </c>
      <c r="B1034" s="2">
        <f ca="1">DATE(2003,09,23)</f>
        <v>0</v>
      </c>
      <c r="C1034" s="1" t="s">
        <v>6464</v>
      </c>
      <c r="D1034" s="3">
        <v>3674</v>
      </c>
      <c r="E1034" s="1" t="s">
        <v>43</v>
      </c>
      <c r="F1034" s="1" t="s">
        <v>6465</v>
      </c>
      <c r="G1034" s="1" t="s">
        <v>6466</v>
      </c>
      <c r="H1034" s="4">
        <v>1.2</v>
      </c>
      <c r="I1034" s="4">
        <v>6</v>
      </c>
      <c r="J1034" s="5">
        <v>600</v>
      </c>
      <c r="K1034" s="4">
        <v>20</v>
      </c>
      <c r="L1034" s="1" t="s">
        <v>46</v>
      </c>
      <c r="M1034" s="1" t="s">
        <v>47</v>
      </c>
      <c r="N1034" s="1" t="s">
        <v>6467</v>
      </c>
      <c r="O1034" s="1" t="s">
        <v>48</v>
      </c>
      <c r="P1034" s="1" t="s">
        <v>6468</v>
      </c>
      <c r="Q1034" s="4">
        <v>1.2</v>
      </c>
      <c r="R1034" s="4">
        <v>1.2</v>
      </c>
      <c r="S1034" s="8">
        <v>3.6000000000000001</v>
      </c>
      <c r="T1034" s="1" t="s">
        <v>50</v>
      </c>
      <c r="U1034" s="1"/>
      <c r="V1034" s="1"/>
      <c r="W1034" s="1"/>
      <c r="X1034" s="5">
        <v>517.5</v>
      </c>
      <c r="Y1034" s="7">
        <v>25145000</v>
      </c>
      <c r="Z1034" s="7">
        <v>4855000</v>
      </c>
      <c r="AA1034" s="2">
        <f ca="1">DATE(2004,03,21)</f>
        <v>0</v>
      </c>
      <c r="AB1034" s="4">
        <v>58.255000000000003</v>
      </c>
      <c r="AC1034" s="3">
        <v>180</v>
      </c>
      <c r="AD1034" s="8">
        <v>41864857</v>
      </c>
      <c r="AE1034" s="1" t="s">
        <v>51</v>
      </c>
      <c r="AF1034" s="1" t="s">
        <v>51</v>
      </c>
      <c r="AG1034" s="1" t="s">
        <v>51</v>
      </c>
      <c r="AH1034" s="1"/>
      <c r="AI1034" s="1"/>
      <c r="AJ1034" s="3">
        <v>2</v>
      </c>
      <c r="AK1034" s="1" t="s">
        <v>1209</v>
      </c>
      <c r="AL1034" s="3">
        <v>7</v>
      </c>
      <c r="AM1034" s="8">
        <v>20.100000000000001</v>
      </c>
      <c r="AN1034" s="1"/>
      <c r="AO1034" s="1" t="s">
        <v>6469</v>
      </c>
      <c r="AP1034" s="1" t="s">
        <v>6470</v>
      </c>
      <c r="AQ1034" s="1" t="s">
        <v>6471</v>
      </c>
      <c r="AR1034" s="1" t="s">
        <v>6472</v>
      </c>
    </row>
    <row r="1035">
      <c r="A1035" s="2">
        <f ca="1">DATE(2003,05,14)</f>
        <v>0</v>
      </c>
      <c r="B1035" s="2">
        <f ca="1">DATE(2003,09,23)</f>
        <v>0</v>
      </c>
      <c r="C1035" s="1" t="s">
        <v>6473</v>
      </c>
      <c r="D1035" s="3">
        <v>2711</v>
      </c>
      <c r="E1035" s="1" t="s">
        <v>43</v>
      </c>
      <c r="F1035" s="1" t="s">
        <v>6474</v>
      </c>
      <c r="G1035" s="1" t="s">
        <v>6475</v>
      </c>
      <c r="H1035" s="4">
        <v>1.05</v>
      </c>
      <c r="I1035" s="4">
        <v>7</v>
      </c>
      <c r="J1035" s="5">
        <v>258.80000000000001</v>
      </c>
      <c r="K1035" s="4">
        <v>15</v>
      </c>
      <c r="L1035" s="1" t="s">
        <v>152</v>
      </c>
      <c r="M1035" s="1" t="s">
        <v>47</v>
      </c>
      <c r="N1035" s="3">
        <v>481130102</v>
      </c>
      <c r="O1035" s="1" t="s">
        <v>108</v>
      </c>
      <c r="P1035" s="1" t="s">
        <v>6476</v>
      </c>
      <c r="Q1035" s="4">
        <v>1.413</v>
      </c>
      <c r="R1035" s="4">
        <v>1.0529999999999999</v>
      </c>
      <c r="S1035" s="6">
        <v>4.5333300000000003</v>
      </c>
      <c r="T1035" s="1" t="s">
        <v>50</v>
      </c>
      <c r="U1035" s="1"/>
      <c r="V1035" s="1"/>
      <c r="W1035" s="1"/>
      <c r="X1035" s="5">
        <v>250</v>
      </c>
      <c r="Y1035" s="7">
        <v>16854000</v>
      </c>
      <c r="Z1035" s="7">
        <v>396000</v>
      </c>
      <c r="AA1035" s="2">
        <f ca="1">DATE(2004,03,21)</f>
        <v>0</v>
      </c>
      <c r="AB1035" s="4">
        <v>83.241</v>
      </c>
      <c r="AC1035" s="3">
        <v>180</v>
      </c>
      <c r="AD1035" s="8">
        <v>85680000</v>
      </c>
      <c r="AE1035" s="1" t="s">
        <v>51</v>
      </c>
      <c r="AF1035" s="1" t="s">
        <v>51</v>
      </c>
      <c r="AG1035" s="1" t="s">
        <v>51</v>
      </c>
      <c r="AH1035" s="1"/>
      <c r="AI1035" s="1"/>
      <c r="AJ1035" s="3">
        <v>2</v>
      </c>
      <c r="AK1035" s="1" t="s">
        <v>89</v>
      </c>
      <c r="AL1035" s="3">
        <v>5</v>
      </c>
      <c r="AM1035" s="8">
        <v>16.25</v>
      </c>
      <c r="AN1035" s="1"/>
      <c r="AO1035" s="1" t="s">
        <v>6477</v>
      </c>
      <c r="AP1035" s="1" t="s">
        <v>6478</v>
      </c>
      <c r="AQ1035" s="1" t="s">
        <v>6479</v>
      </c>
      <c r="AR1035" s="1" t="s">
        <v>6480</v>
      </c>
    </row>
    <row r="1036">
      <c r="A1036" s="2">
        <f ca="1">DATE(2003,08,26)</f>
        <v>0</v>
      </c>
      <c r="B1036" s="2">
        <f ca="1">DATE(2003,09,24)</f>
        <v>0</v>
      </c>
      <c r="C1036" s="1" t="s">
        <v>6481</v>
      </c>
      <c r="D1036" s="3">
        <v>3221</v>
      </c>
      <c r="E1036" s="1" t="s">
        <v>43</v>
      </c>
      <c r="F1036" s="1" t="s">
        <v>6482</v>
      </c>
      <c r="G1036" s="1" t="s">
        <v>6483</v>
      </c>
      <c r="H1036" s="4">
        <v>1.04</v>
      </c>
      <c r="I1036" s="4">
        <v>6.5</v>
      </c>
      <c r="J1036" s="5">
        <v>116.90000000000001</v>
      </c>
      <c r="K1036" s="4">
        <v>16</v>
      </c>
      <c r="L1036" s="1" t="s">
        <v>46</v>
      </c>
      <c r="M1036" s="1" t="s">
        <v>47</v>
      </c>
      <c r="N1036" s="1" t="s">
        <v>6484</v>
      </c>
      <c r="O1036" s="1" t="s">
        <v>48</v>
      </c>
      <c r="P1036" s="1" t="s">
        <v>6485</v>
      </c>
      <c r="Q1036" s="4">
        <v>1.3</v>
      </c>
      <c r="R1036" s="4">
        <v>1.3</v>
      </c>
      <c r="S1036" s="8">
        <v>3.8999999999999999</v>
      </c>
      <c r="T1036" s="1" t="s">
        <v>50</v>
      </c>
      <c r="U1036" s="1"/>
      <c r="V1036" s="1"/>
      <c r="W1036" s="1"/>
      <c r="X1036" s="5">
        <v>143.80000000000001</v>
      </c>
      <c r="Y1036" s="7">
        <v>7308750</v>
      </c>
      <c r="Z1036" s="1"/>
      <c r="AA1036" s="2">
        <f ca="1">DATE(2004,03,22)</f>
        <v>0</v>
      </c>
      <c r="AB1036" s="4">
        <v>64.805999999999997</v>
      </c>
      <c r="AC1036" s="3">
        <v>180</v>
      </c>
      <c r="AD1036" s="8">
        <v>15882343</v>
      </c>
      <c r="AE1036" s="1" t="s">
        <v>51</v>
      </c>
      <c r="AF1036" s="1" t="s">
        <v>51</v>
      </c>
      <c r="AG1036" s="1" t="s">
        <v>51</v>
      </c>
      <c r="AH1036" s="1"/>
      <c r="AI1036" s="1"/>
      <c r="AJ1036" s="3">
        <v>2</v>
      </c>
      <c r="AK1036" s="1" t="s">
        <v>89</v>
      </c>
      <c r="AL1036" s="3">
        <v>3</v>
      </c>
      <c r="AM1036" s="1"/>
      <c r="AN1036" s="1"/>
      <c r="AO1036" s="1" t="s">
        <v>6486</v>
      </c>
      <c r="AP1036" s="1" t="s">
        <v>6487</v>
      </c>
      <c r="AQ1036" s="1" t="s">
        <v>6488</v>
      </c>
      <c r="AR1036" s="1" t="s">
        <v>6489</v>
      </c>
    </row>
    <row r="1037">
      <c r="A1037" s="2">
        <f ca="1">DATE(2003,08,26)</f>
        <v>0</v>
      </c>
      <c r="B1037" s="2">
        <f ca="1">DATE(2003,09,24)</f>
        <v>0</v>
      </c>
      <c r="C1037" s="1" t="s">
        <v>6481</v>
      </c>
      <c r="D1037" s="3">
        <v>3221</v>
      </c>
      <c r="E1037" s="1" t="s">
        <v>43</v>
      </c>
      <c r="F1037" s="1" t="s">
        <v>6482</v>
      </c>
      <c r="G1037" s="1" t="s">
        <v>6483</v>
      </c>
      <c r="H1037" s="4">
        <v>1.04</v>
      </c>
      <c r="I1037" s="4">
        <v>6.5</v>
      </c>
      <c r="J1037" s="5">
        <v>3.1000000000000001</v>
      </c>
      <c r="K1037" s="8">
        <v>16</v>
      </c>
      <c r="L1037" s="1" t="s">
        <v>46</v>
      </c>
      <c r="M1037" s="1" t="s">
        <v>47</v>
      </c>
      <c r="N1037" s="1" t="s">
        <v>6484</v>
      </c>
      <c r="O1037" s="1" t="s">
        <v>48</v>
      </c>
      <c r="P1037" s="1" t="s">
        <v>6485</v>
      </c>
      <c r="Q1037" s="4">
        <v>1.3</v>
      </c>
      <c r="R1037" s="4">
        <v>1.3</v>
      </c>
      <c r="S1037" s="8">
        <v>3.8999999999999999</v>
      </c>
      <c r="T1037" s="1" t="s">
        <v>60</v>
      </c>
      <c r="U1037" s="1"/>
      <c r="V1037" s="1"/>
      <c r="W1037" s="1"/>
      <c r="X1037" s="1"/>
      <c r="Y1037" s="7">
        <v>191250</v>
      </c>
      <c r="Z1037" s="1"/>
      <c r="AA1037" s="1"/>
      <c r="AB1037" s="1"/>
      <c r="AC1037" s="3">
        <v>180</v>
      </c>
      <c r="AD1037" s="8">
        <v>15882343</v>
      </c>
      <c r="AE1037" s="1" t="s">
        <v>51</v>
      </c>
      <c r="AF1037" s="1" t="s">
        <v>51</v>
      </c>
      <c r="AG1037" s="1" t="s">
        <v>51</v>
      </c>
      <c r="AH1037" s="1"/>
      <c r="AI1037" s="1"/>
      <c r="AJ1037" s="3">
        <v>2</v>
      </c>
      <c r="AK1037" s="1" t="s">
        <v>89</v>
      </c>
      <c r="AL1037" s="3">
        <v>2</v>
      </c>
      <c r="AM1037" s="1"/>
      <c r="AN1037" s="1"/>
      <c r="AO1037" s="1" t="s">
        <v>6490</v>
      </c>
      <c r="AP1037" s="1" t="s">
        <v>6487</v>
      </c>
      <c r="AQ1037" s="1" t="s">
        <v>6491</v>
      </c>
      <c r="AR1037" s="1" t="s">
        <v>6492</v>
      </c>
    </row>
    <row r="1038">
      <c r="A1038" s="2">
        <f ca="1">DATE(2003,06,13)</f>
        <v>0</v>
      </c>
      <c r="B1038" s="2">
        <f ca="1">DATE(2003,09,24)</f>
        <v>0</v>
      </c>
      <c r="C1038" s="1" t="s">
        <v>6493</v>
      </c>
      <c r="D1038" s="3">
        <v>5947</v>
      </c>
      <c r="E1038" s="1" t="s">
        <v>43</v>
      </c>
      <c r="F1038" s="1" t="s">
        <v>6494</v>
      </c>
      <c r="G1038" s="1" t="s">
        <v>1624</v>
      </c>
      <c r="H1038" s="4">
        <v>0.83999999999999997</v>
      </c>
      <c r="I1038" s="4">
        <v>6</v>
      </c>
      <c r="J1038" s="5">
        <v>30.800000000000001</v>
      </c>
      <c r="K1038" s="4">
        <v>14</v>
      </c>
      <c r="L1038" s="1" t="s">
        <v>46</v>
      </c>
      <c r="M1038" s="1" t="s">
        <v>47</v>
      </c>
      <c r="N1038" s="1" t="s">
        <v>6495</v>
      </c>
      <c r="O1038" s="1" t="s">
        <v>48</v>
      </c>
      <c r="P1038" s="1" t="s">
        <v>6496</v>
      </c>
      <c r="Q1038" s="4">
        <v>1.214</v>
      </c>
      <c r="R1038" s="4">
        <v>1.214</v>
      </c>
      <c r="S1038" s="6">
        <v>3.5714299999999999</v>
      </c>
      <c r="T1038" s="1" t="s">
        <v>50</v>
      </c>
      <c r="U1038" s="1"/>
      <c r="V1038" s="1"/>
      <c r="W1038" s="1"/>
      <c r="X1038" s="5">
        <v>41</v>
      </c>
      <c r="Y1038" s="7">
        <v>2200000</v>
      </c>
      <c r="Z1038" s="1"/>
      <c r="AA1038" s="2">
        <f ca="1">DATE(2004,03,22)</f>
        <v>0</v>
      </c>
      <c r="AB1038" s="4">
        <v>74.132000000000005</v>
      </c>
      <c r="AC1038" s="3">
        <v>180</v>
      </c>
      <c r="AD1038" s="8">
        <v>6304568</v>
      </c>
      <c r="AE1038" s="1" t="s">
        <v>51</v>
      </c>
      <c r="AF1038" s="1" t="s">
        <v>51</v>
      </c>
      <c r="AG1038" s="1" t="s">
        <v>47</v>
      </c>
      <c r="AH1038" s="1"/>
      <c r="AI1038" s="1"/>
      <c r="AJ1038" s="3">
        <v>1</v>
      </c>
      <c r="AK1038" s="1" t="s">
        <v>52</v>
      </c>
      <c r="AL1038" s="3">
        <v>2</v>
      </c>
      <c r="AM1038" s="1"/>
      <c r="AN1038" s="1"/>
      <c r="AO1038" s="1" t="s">
        <v>6497</v>
      </c>
      <c r="AP1038" s="1" t="s">
        <v>1624</v>
      </c>
      <c r="AQ1038" s="1" t="s">
        <v>6498</v>
      </c>
      <c r="AR1038" s="1" t="s">
        <v>6496</v>
      </c>
    </row>
    <row r="1039">
      <c r="A1039" s="2">
        <f ca="1">DATE(2002,08,20)</f>
        <v>0</v>
      </c>
      <c r="B1039" s="2">
        <f ca="1">DATE(2003,09,25)</f>
        <v>0</v>
      </c>
      <c r="C1039" s="1" t="s">
        <v>6499</v>
      </c>
      <c r="D1039" s="3">
        <v>6726</v>
      </c>
      <c r="E1039" s="1" t="s">
        <v>43</v>
      </c>
      <c r="F1039" s="1" t="s">
        <v>6500</v>
      </c>
      <c r="G1039" s="1" t="s">
        <v>5704</v>
      </c>
      <c r="H1039" s="4">
        <v>0.67500000000000004</v>
      </c>
      <c r="I1039" s="4">
        <v>4.5</v>
      </c>
      <c r="J1039" s="5">
        <v>277.5</v>
      </c>
      <c r="K1039" s="4">
        <v>15</v>
      </c>
      <c r="L1039" s="1" t="s">
        <v>46</v>
      </c>
      <c r="M1039" s="1" t="s">
        <v>47</v>
      </c>
      <c r="N1039" s="1" t="s">
        <v>6501</v>
      </c>
      <c r="O1039" s="1" t="s">
        <v>108</v>
      </c>
      <c r="P1039" s="1" t="s">
        <v>6502</v>
      </c>
      <c r="Q1039" s="1" t="s">
        <v>145</v>
      </c>
      <c r="R1039" s="1" t="s">
        <v>145</v>
      </c>
      <c r="S1039" s="1"/>
      <c r="T1039" s="1" t="s">
        <v>50</v>
      </c>
      <c r="U1039" s="8">
        <v>15</v>
      </c>
      <c r="V1039" s="8">
        <v>15</v>
      </c>
      <c r="W1039" s="7">
        <v>100000</v>
      </c>
      <c r="X1039" s="5">
        <v>1.5</v>
      </c>
      <c r="Y1039" s="7">
        <v>18500000</v>
      </c>
      <c r="Z1039" s="1"/>
      <c r="AA1039" s="1"/>
      <c r="AB1039" s="1"/>
      <c r="AC1039" s="1"/>
      <c r="AD1039" s="1"/>
      <c r="AE1039" s="1" t="s">
        <v>51</v>
      </c>
      <c r="AF1039" s="1" t="s">
        <v>51</v>
      </c>
      <c r="AG1039" s="1" t="s">
        <v>51</v>
      </c>
      <c r="AH1039" s="1"/>
      <c r="AI1039" s="1"/>
      <c r="AJ1039" s="3">
        <v>1</v>
      </c>
      <c r="AK1039" s="1" t="s">
        <v>89</v>
      </c>
      <c r="AL1039" s="3">
        <v>11</v>
      </c>
      <c r="AM1039" s="8">
        <v>15</v>
      </c>
      <c r="AN1039" s="1"/>
      <c r="AO1039" s="1" t="s">
        <v>6503</v>
      </c>
      <c r="AP1039" s="1" t="s">
        <v>6504</v>
      </c>
      <c r="AQ1039" s="1" t="s">
        <v>6505</v>
      </c>
      <c r="AR1039" s="1" t="s">
        <v>6506</v>
      </c>
    </row>
    <row r="1040">
      <c r="A1040" s="2">
        <f ca="1">DATE(2002,08,20)</f>
        <v>0</v>
      </c>
      <c r="B1040" s="2">
        <f ca="1">DATE(2003,09,25)</f>
        <v>0</v>
      </c>
      <c r="C1040" s="1" t="s">
        <v>6507</v>
      </c>
      <c r="D1040" s="3">
        <v>6726</v>
      </c>
      <c r="E1040" s="1" t="s">
        <v>43</v>
      </c>
      <c r="F1040" s="1" t="s">
        <v>6508</v>
      </c>
      <c r="G1040" s="1" t="s">
        <v>6509</v>
      </c>
      <c r="H1040" s="4">
        <v>0.67500000000000004</v>
      </c>
      <c r="I1040" s="4">
        <v>4.5</v>
      </c>
      <c r="J1040" s="5">
        <v>75</v>
      </c>
      <c r="K1040" s="4">
        <v>15</v>
      </c>
      <c r="L1040" s="1" t="s">
        <v>46</v>
      </c>
      <c r="M1040" s="1" t="s">
        <v>47</v>
      </c>
      <c r="N1040" s="1" t="s">
        <v>6510</v>
      </c>
      <c r="O1040" s="1" t="s">
        <v>108</v>
      </c>
      <c r="P1040" s="1" t="s">
        <v>6511</v>
      </c>
      <c r="Q1040" s="1" t="s">
        <v>145</v>
      </c>
      <c r="R1040" s="1" t="s">
        <v>145</v>
      </c>
      <c r="S1040" s="1"/>
      <c r="T1040" s="1" t="s">
        <v>50</v>
      </c>
      <c r="U1040" s="8">
        <v>15</v>
      </c>
      <c r="V1040" s="8">
        <v>15</v>
      </c>
      <c r="W1040" s="7">
        <v>100000</v>
      </c>
      <c r="X1040" s="5">
        <v>1.5</v>
      </c>
      <c r="Y1040" s="7">
        <v>5000000</v>
      </c>
      <c r="Z1040" s="1"/>
      <c r="AA1040" s="1"/>
      <c r="AB1040" s="1"/>
      <c r="AC1040" s="1"/>
      <c r="AD1040" s="1"/>
      <c r="AE1040" s="1" t="s">
        <v>51</v>
      </c>
      <c r="AF1040" s="1" t="s">
        <v>51</v>
      </c>
      <c r="AG1040" s="1" t="s">
        <v>51</v>
      </c>
      <c r="AH1040" s="1"/>
      <c r="AI1040" s="1"/>
      <c r="AJ1040" s="3">
        <v>2</v>
      </c>
      <c r="AK1040" s="1" t="s">
        <v>89</v>
      </c>
      <c r="AL1040" s="3">
        <v>6</v>
      </c>
      <c r="AM1040" s="8">
        <v>15</v>
      </c>
      <c r="AN1040" s="1"/>
      <c r="AO1040" s="1" t="s">
        <v>6512</v>
      </c>
      <c r="AP1040" s="1" t="s">
        <v>6504</v>
      </c>
      <c r="AQ1040" s="1" t="s">
        <v>6513</v>
      </c>
      <c r="AR1040" s="1" t="s">
        <v>6514</v>
      </c>
    </row>
    <row r="1041">
      <c r="A1041" s="2">
        <f ca="1">DATE(2003,08,21)</f>
        <v>0</v>
      </c>
      <c r="B1041" s="2">
        <f ca="1">DATE(2003,09,25)</f>
        <v>0</v>
      </c>
      <c r="C1041" s="1" t="s">
        <v>6515</v>
      </c>
      <c r="D1041" s="3">
        <v>6726</v>
      </c>
      <c r="E1041" s="1" t="s">
        <v>43</v>
      </c>
      <c r="F1041" s="1" t="s">
        <v>6516</v>
      </c>
      <c r="G1041" s="1" t="s">
        <v>6295</v>
      </c>
      <c r="H1041" s="4">
        <v>0.90000000000000002</v>
      </c>
      <c r="I1041" s="4">
        <v>4.5</v>
      </c>
      <c r="J1041" s="9">
        <v>1320</v>
      </c>
      <c r="K1041" s="4">
        <v>20</v>
      </c>
      <c r="L1041" s="1" t="s">
        <v>46</v>
      </c>
      <c r="M1041" s="1" t="s">
        <v>47</v>
      </c>
      <c r="N1041" s="1" t="s">
        <v>6517</v>
      </c>
      <c r="O1041" s="1" t="s">
        <v>108</v>
      </c>
      <c r="P1041" s="1" t="s">
        <v>6518</v>
      </c>
      <c r="Q1041" s="1" t="s">
        <v>145</v>
      </c>
      <c r="R1041" s="1" t="s">
        <v>145</v>
      </c>
      <c r="S1041" s="1"/>
      <c r="T1041" s="1" t="s">
        <v>50</v>
      </c>
      <c r="U1041" s="8">
        <v>20</v>
      </c>
      <c r="V1041" s="8">
        <v>20</v>
      </c>
      <c r="W1041" s="7">
        <v>5000</v>
      </c>
      <c r="X1041" s="5">
        <v>0.10000000000000001</v>
      </c>
      <c r="Y1041" s="7">
        <v>66000000</v>
      </c>
      <c r="Z1041" s="1"/>
      <c r="AA1041" s="2">
        <f ca="1">DATE(2004,03,23)</f>
        <v>0</v>
      </c>
      <c r="AB1041" s="1"/>
      <c r="AC1041" s="3">
        <v>180</v>
      </c>
      <c r="AD1041" s="1"/>
      <c r="AE1041" s="1" t="s">
        <v>51</v>
      </c>
      <c r="AF1041" s="1" t="s">
        <v>51</v>
      </c>
      <c r="AG1041" s="1" t="s">
        <v>51</v>
      </c>
      <c r="AH1041" s="1"/>
      <c r="AI1041" s="1"/>
      <c r="AJ1041" s="3">
        <v>3</v>
      </c>
      <c r="AK1041" s="1" t="s">
        <v>110</v>
      </c>
      <c r="AL1041" s="3">
        <v>13</v>
      </c>
      <c r="AM1041" s="8">
        <v>20</v>
      </c>
      <c r="AN1041" s="1"/>
      <c r="AO1041" s="1" t="s">
        <v>6519</v>
      </c>
      <c r="AP1041" s="1" t="s">
        <v>6299</v>
      </c>
      <c r="AQ1041" s="1" t="s">
        <v>6520</v>
      </c>
      <c r="AR1041" s="1" t="s">
        <v>6521</v>
      </c>
    </row>
    <row r="1042">
      <c r="A1042" s="2">
        <f ca="1">DATE(2003,08,08)</f>
        <v>0</v>
      </c>
      <c r="B1042" s="2">
        <f ca="1">DATE(2003,09,25)</f>
        <v>0</v>
      </c>
      <c r="C1042" s="1" t="s">
        <v>6522</v>
      </c>
      <c r="D1042" s="3">
        <v>6726</v>
      </c>
      <c r="E1042" s="1" t="s">
        <v>43</v>
      </c>
      <c r="F1042" s="1" t="s">
        <v>6523</v>
      </c>
      <c r="G1042" s="1" t="s">
        <v>4327</v>
      </c>
      <c r="H1042" s="4">
        <v>0.90000000000000002</v>
      </c>
      <c r="I1042" s="4">
        <v>4.5</v>
      </c>
      <c r="J1042" s="5">
        <v>87.5</v>
      </c>
      <c r="K1042" s="4">
        <v>20</v>
      </c>
      <c r="L1042" s="1" t="s">
        <v>85</v>
      </c>
      <c r="M1042" s="1" t="s">
        <v>47</v>
      </c>
      <c r="N1042" s="1" t="s">
        <v>6524</v>
      </c>
      <c r="O1042" s="1" t="s">
        <v>87</v>
      </c>
      <c r="P1042" s="1" t="s">
        <v>6525</v>
      </c>
      <c r="Q1042" s="1" t="s">
        <v>145</v>
      </c>
      <c r="R1042" s="1" t="s">
        <v>145</v>
      </c>
      <c r="S1042" s="8">
        <v>3</v>
      </c>
      <c r="T1042" s="1" t="s">
        <v>50</v>
      </c>
      <c r="U1042" s="8">
        <v>20</v>
      </c>
      <c r="V1042" s="8">
        <v>20</v>
      </c>
      <c r="W1042" s="7">
        <v>50000</v>
      </c>
      <c r="X1042" s="5">
        <v>1</v>
      </c>
      <c r="Y1042" s="7">
        <v>4375000</v>
      </c>
      <c r="Z1042" s="1"/>
      <c r="AA1042" s="1"/>
      <c r="AB1042" s="1"/>
      <c r="AC1042" s="1"/>
      <c r="AD1042" s="1"/>
      <c r="AE1042" s="1" t="s">
        <v>51</v>
      </c>
      <c r="AF1042" s="1" t="s">
        <v>51</v>
      </c>
      <c r="AG1042" s="1" t="s">
        <v>51</v>
      </c>
      <c r="AH1042" s="1"/>
      <c r="AI1042" s="1"/>
      <c r="AJ1042" s="3">
        <v>1</v>
      </c>
      <c r="AK1042" s="1" t="s">
        <v>52</v>
      </c>
      <c r="AL1042" s="3">
        <v>11</v>
      </c>
      <c r="AM1042" s="1"/>
      <c r="AN1042" s="1"/>
      <c r="AO1042" s="1" t="s">
        <v>6526</v>
      </c>
      <c r="AP1042" s="1" t="s">
        <v>4327</v>
      </c>
      <c r="AQ1042" s="1" t="s">
        <v>6527</v>
      </c>
      <c r="AR1042" s="1" t="s">
        <v>6528</v>
      </c>
    </row>
    <row r="1043">
      <c r="A1043" s="2">
        <f ca="1">DATE(2003,08,11)</f>
        <v>0</v>
      </c>
      <c r="B1043" s="2">
        <f ca="1">DATE(2003,09,25)</f>
        <v>0</v>
      </c>
      <c r="C1043" s="1" t="s">
        <v>6529</v>
      </c>
      <c r="D1043" s="3">
        <v>6726</v>
      </c>
      <c r="E1043" s="1" t="s">
        <v>43</v>
      </c>
      <c r="F1043" s="1" t="s">
        <v>6530</v>
      </c>
      <c r="G1043" s="1" t="s">
        <v>6201</v>
      </c>
      <c r="H1043" s="4">
        <v>0.67500000000000004</v>
      </c>
      <c r="I1043" s="4">
        <v>4.5</v>
      </c>
      <c r="J1043" s="5">
        <v>281.30000000000001</v>
      </c>
      <c r="K1043" s="4">
        <v>15</v>
      </c>
      <c r="L1043" s="1" t="s">
        <v>46</v>
      </c>
      <c r="M1043" s="1" t="s">
        <v>47</v>
      </c>
      <c r="N1043" s="1" t="s">
        <v>6531</v>
      </c>
      <c r="O1043" s="1" t="s">
        <v>108</v>
      </c>
      <c r="P1043" s="1" t="s">
        <v>6532</v>
      </c>
      <c r="Q1043" s="1" t="s">
        <v>145</v>
      </c>
      <c r="R1043" s="1" t="s">
        <v>145</v>
      </c>
      <c r="S1043" s="8">
        <v>3</v>
      </c>
      <c r="T1043" s="1" t="s">
        <v>50</v>
      </c>
      <c r="U1043" s="8">
        <v>15</v>
      </c>
      <c r="V1043" s="8">
        <v>15</v>
      </c>
      <c r="W1043" s="7">
        <v>1000</v>
      </c>
      <c r="X1043" s="5">
        <v>0</v>
      </c>
      <c r="Y1043" s="7">
        <v>18750000</v>
      </c>
      <c r="Z1043" s="1"/>
      <c r="AA1043" s="1"/>
      <c r="AB1043" s="1"/>
      <c r="AC1043" s="1"/>
      <c r="AD1043" s="1"/>
      <c r="AE1043" s="1" t="s">
        <v>51</v>
      </c>
      <c r="AF1043" s="1" t="s">
        <v>51</v>
      </c>
      <c r="AG1043" s="1" t="s">
        <v>51</v>
      </c>
      <c r="AH1043" s="1"/>
      <c r="AI1043" s="1"/>
      <c r="AJ1043" s="3">
        <v>1</v>
      </c>
      <c r="AK1043" s="1" t="s">
        <v>52</v>
      </c>
      <c r="AL1043" s="3">
        <v>18</v>
      </c>
      <c r="AM1043" s="8">
        <v>15.01</v>
      </c>
      <c r="AN1043" s="1"/>
      <c r="AO1043" s="1" t="s">
        <v>6533</v>
      </c>
      <c r="AP1043" s="1" t="s">
        <v>6201</v>
      </c>
      <c r="AQ1043" s="1" t="s">
        <v>6534</v>
      </c>
      <c r="AR1043" s="1" t="s">
        <v>6535</v>
      </c>
    </row>
    <row r="1044">
      <c r="A1044" s="2">
        <f ca="1">DATE(2003,08,27)</f>
        <v>0</v>
      </c>
      <c r="B1044" s="2">
        <f ca="1">DATE(2003,09,25)</f>
        <v>0</v>
      </c>
      <c r="C1044" s="1" t="s">
        <v>6536</v>
      </c>
      <c r="D1044" s="3">
        <v>6726</v>
      </c>
      <c r="E1044" s="1" t="s">
        <v>43</v>
      </c>
      <c r="F1044" s="1" t="s">
        <v>6537</v>
      </c>
      <c r="G1044" s="1" t="s">
        <v>6538</v>
      </c>
      <c r="H1044" s="4">
        <v>0.67500000000000004</v>
      </c>
      <c r="I1044" s="4">
        <v>4.5</v>
      </c>
      <c r="J1044" s="5">
        <v>378.80000000000001</v>
      </c>
      <c r="K1044" s="4">
        <v>15</v>
      </c>
      <c r="L1044" s="1" t="s">
        <v>4422</v>
      </c>
      <c r="M1044" s="1" t="s">
        <v>47</v>
      </c>
      <c r="N1044" s="1" t="s">
        <v>6539</v>
      </c>
      <c r="O1044" s="1" t="s">
        <v>108</v>
      </c>
      <c r="P1044" s="1" t="s">
        <v>6540</v>
      </c>
      <c r="Q1044" s="4">
        <v>0.96699999999999997</v>
      </c>
      <c r="R1044" s="4">
        <v>0.53300000000000003</v>
      </c>
      <c r="S1044" s="8">
        <v>3</v>
      </c>
      <c r="T1044" s="1" t="s">
        <v>50</v>
      </c>
      <c r="U1044" s="8">
        <v>15</v>
      </c>
      <c r="V1044" s="8">
        <v>15</v>
      </c>
      <c r="W1044" s="7">
        <v>1000</v>
      </c>
      <c r="X1044" s="5">
        <v>0</v>
      </c>
      <c r="Y1044" s="7">
        <v>25250000</v>
      </c>
      <c r="Z1044" s="1"/>
      <c r="AA1044" s="1"/>
      <c r="AB1044" s="1"/>
      <c r="AC1044" s="1"/>
      <c r="AD1044" s="1"/>
      <c r="AE1044" s="1" t="s">
        <v>51</v>
      </c>
      <c r="AF1044" s="1" t="s">
        <v>51</v>
      </c>
      <c r="AG1044" s="1" t="s">
        <v>51</v>
      </c>
      <c r="AH1044" s="1"/>
      <c r="AI1044" s="1"/>
      <c r="AJ1044" s="3">
        <v>2</v>
      </c>
      <c r="AK1044" s="1" t="s">
        <v>89</v>
      </c>
      <c r="AL1044" s="3">
        <v>16</v>
      </c>
      <c r="AM1044" s="8">
        <v>15.050000000000001</v>
      </c>
      <c r="AN1044" s="1"/>
      <c r="AO1044" s="1" t="s">
        <v>6541</v>
      </c>
      <c r="AP1044" s="1" t="s">
        <v>4983</v>
      </c>
      <c r="AQ1044" s="1" t="s">
        <v>6542</v>
      </c>
      <c r="AR1044" s="1" t="s">
        <v>6543</v>
      </c>
    </row>
    <row r="1045">
      <c r="A1045" s="2">
        <f ca="1">DATE(2003,07,18)</f>
        <v>0</v>
      </c>
      <c r="B1045" s="2">
        <f ca="1">DATE(2003,09,26)</f>
        <v>0</v>
      </c>
      <c r="C1045" s="1" t="s">
        <v>6544</v>
      </c>
      <c r="D1045" s="3">
        <v>6726</v>
      </c>
      <c r="E1045" s="1" t="s">
        <v>43</v>
      </c>
      <c r="F1045" s="1" t="s">
        <v>6545</v>
      </c>
      <c r="G1045" s="1" t="s">
        <v>4145</v>
      </c>
      <c r="H1045" s="1" t="s">
        <v>57</v>
      </c>
      <c r="I1045" s="1" t="s">
        <v>57</v>
      </c>
      <c r="J1045" s="5">
        <v>210</v>
      </c>
      <c r="K1045" s="4">
        <v>15</v>
      </c>
      <c r="L1045" s="1" t="s">
        <v>4422</v>
      </c>
      <c r="M1045" s="1" t="s">
        <v>47</v>
      </c>
      <c r="N1045" s="1"/>
      <c r="O1045" s="1" t="s">
        <v>87</v>
      </c>
      <c r="P1045" s="1" t="s">
        <v>6546</v>
      </c>
      <c r="Q1045" s="1"/>
      <c r="R1045" s="1"/>
      <c r="S1045" s="1"/>
      <c r="T1045" s="1" t="s">
        <v>50</v>
      </c>
      <c r="U1045" s="8">
        <v>15</v>
      </c>
      <c r="V1045" s="8">
        <v>15</v>
      </c>
      <c r="W1045" s="7">
        <v>100000</v>
      </c>
      <c r="X1045" s="5">
        <v>1.5</v>
      </c>
      <c r="Y1045" s="7">
        <v>14000000</v>
      </c>
      <c r="Z1045" s="1"/>
      <c r="AA1045" s="1"/>
      <c r="AB1045" s="1"/>
      <c r="AC1045" s="1"/>
      <c r="AD1045" s="1"/>
      <c r="AE1045" s="1" t="s">
        <v>51</v>
      </c>
      <c r="AF1045" s="1" t="s">
        <v>51</v>
      </c>
      <c r="AG1045" s="1" t="s">
        <v>51</v>
      </c>
      <c r="AH1045" s="1"/>
      <c r="AI1045" s="1"/>
      <c r="AJ1045" s="3">
        <v>1</v>
      </c>
      <c r="AK1045" s="1" t="s">
        <v>52</v>
      </c>
      <c r="AL1045" s="3">
        <v>30</v>
      </c>
      <c r="AM1045" s="1"/>
      <c r="AN1045" s="1"/>
      <c r="AO1045" s="1" t="s">
        <v>6547</v>
      </c>
      <c r="AP1045" s="1" t="s">
        <v>4145</v>
      </c>
      <c r="AQ1045" s="1" t="s">
        <v>6548</v>
      </c>
      <c r="AR1045" s="1" t="s">
        <v>6549</v>
      </c>
    </row>
    <row r="1046">
      <c r="A1046" s="2">
        <f ca="1">DATE(2003,07,28)</f>
        <v>0</v>
      </c>
      <c r="B1046" s="2">
        <f ca="1">DATE(2003,10,02)</f>
        <v>0</v>
      </c>
      <c r="C1046" s="1" t="s">
        <v>6550</v>
      </c>
      <c r="D1046" s="3">
        <v>5015</v>
      </c>
      <c r="E1046" s="1" t="s">
        <v>43</v>
      </c>
      <c r="F1046" s="1" t="s">
        <v>6551</v>
      </c>
      <c r="G1046" s="1" t="s">
        <v>6552</v>
      </c>
      <c r="H1046" s="4">
        <v>0.91000000000000003</v>
      </c>
      <c r="I1046" s="4">
        <v>7</v>
      </c>
      <c r="J1046" s="5">
        <v>91</v>
      </c>
      <c r="K1046" s="4">
        <v>13</v>
      </c>
      <c r="L1046" s="1" t="s">
        <v>46</v>
      </c>
      <c r="M1046" s="1" t="s">
        <v>47</v>
      </c>
      <c r="N1046" s="3">
        <v>501889208</v>
      </c>
      <c r="O1046" s="1" t="s">
        <v>48</v>
      </c>
      <c r="P1046" s="1" t="s">
        <v>6553</v>
      </c>
      <c r="Q1046" s="1" t="s">
        <v>145</v>
      </c>
      <c r="R1046" s="1" t="s">
        <v>145</v>
      </c>
      <c r="S1046" s="6">
        <v>4.30769</v>
      </c>
      <c r="T1046" s="1" t="s">
        <v>50</v>
      </c>
      <c r="U1046" s="1"/>
      <c r="V1046" s="1"/>
      <c r="W1046" s="1"/>
      <c r="X1046" s="5">
        <v>75</v>
      </c>
      <c r="Y1046" s="7">
        <v>5000000</v>
      </c>
      <c r="Z1046" s="7">
        <v>2000000</v>
      </c>
      <c r="AA1046" s="1" t="s">
        <v>6554</v>
      </c>
      <c r="AB1046" s="1" t="s">
        <v>6555</v>
      </c>
      <c r="AC1046" s="1" t="s">
        <v>5784</v>
      </c>
      <c r="AD1046" s="1" t="s">
        <v>6556</v>
      </c>
      <c r="AE1046" s="1" t="s">
        <v>51</v>
      </c>
      <c r="AF1046" s="1" t="s">
        <v>51</v>
      </c>
      <c r="AG1046" s="1" t="s">
        <v>51</v>
      </c>
      <c r="AH1046" s="1"/>
      <c r="AI1046" s="1"/>
      <c r="AJ1046" s="3">
        <v>1</v>
      </c>
      <c r="AK1046" s="1" t="s">
        <v>52</v>
      </c>
      <c r="AL1046" s="3">
        <v>2</v>
      </c>
      <c r="AM1046" s="1"/>
      <c r="AN1046" s="1"/>
      <c r="AO1046" s="1" t="s">
        <v>6557</v>
      </c>
      <c r="AP1046" s="1" t="s">
        <v>6552</v>
      </c>
      <c r="AQ1046" s="1" t="s">
        <v>6558</v>
      </c>
      <c r="AR1046" s="1" t="s">
        <v>6559</v>
      </c>
    </row>
    <row r="1047">
      <c r="A1047" s="2">
        <f ca="1">DATE(2003,08,06)</f>
        <v>0</v>
      </c>
      <c r="B1047" s="2">
        <f ca="1">DATE(2003,10,07)</f>
        <v>0</v>
      </c>
      <c r="C1047" s="1" t="s">
        <v>6560</v>
      </c>
      <c r="D1047" s="3">
        <v>2834</v>
      </c>
      <c r="E1047" s="1" t="s">
        <v>43</v>
      </c>
      <c r="F1047" s="1" t="s">
        <v>6561</v>
      </c>
      <c r="G1047" s="1" t="s">
        <v>75</v>
      </c>
      <c r="H1047" s="4">
        <v>0.97999999999999998</v>
      </c>
      <c r="I1047" s="8">
        <v>7</v>
      </c>
      <c r="J1047" s="5">
        <v>52.5</v>
      </c>
      <c r="K1047" s="4">
        <v>14</v>
      </c>
      <c r="L1047" s="1" t="s">
        <v>46</v>
      </c>
      <c r="M1047" s="1" t="s">
        <v>47</v>
      </c>
      <c r="N1047" s="1" t="s">
        <v>6562</v>
      </c>
      <c r="O1047" s="1" t="s">
        <v>48</v>
      </c>
      <c r="P1047" s="1" t="s">
        <v>6563</v>
      </c>
      <c r="Q1047" s="4">
        <v>1.3999999999999999</v>
      </c>
      <c r="R1047" s="4">
        <v>1.3999999999999999</v>
      </c>
      <c r="S1047" s="8">
        <v>4.2000000000000002</v>
      </c>
      <c r="T1047" s="1" t="s">
        <v>50</v>
      </c>
      <c r="U1047" s="1"/>
      <c r="V1047" s="1"/>
      <c r="W1047" s="1"/>
      <c r="X1047" s="5">
        <v>69</v>
      </c>
      <c r="Y1047" s="7">
        <v>3750000</v>
      </c>
      <c r="Z1047" s="1"/>
      <c r="AA1047" s="2">
        <f ca="1">DATE(2004,04,04)</f>
        <v>0</v>
      </c>
      <c r="AB1047" s="4">
        <v>72.706000000000003</v>
      </c>
      <c r="AC1047" s="3">
        <v>180</v>
      </c>
      <c r="AD1047" s="8">
        <v>10375743</v>
      </c>
      <c r="AE1047" s="1" t="s">
        <v>51</v>
      </c>
      <c r="AF1047" s="1" t="s">
        <v>51</v>
      </c>
      <c r="AG1047" s="1" t="s">
        <v>47</v>
      </c>
      <c r="AH1047" s="1"/>
      <c r="AI1047" s="1"/>
      <c r="AJ1047" s="3">
        <v>1</v>
      </c>
      <c r="AK1047" s="1" t="s">
        <v>52</v>
      </c>
      <c r="AL1047" s="3">
        <v>4</v>
      </c>
      <c r="AM1047" s="8">
        <v>14.029999999999999</v>
      </c>
      <c r="AN1047" s="1"/>
      <c r="AO1047" s="1" t="s">
        <v>6564</v>
      </c>
      <c r="AP1047" s="1" t="s">
        <v>75</v>
      </c>
      <c r="AQ1047" s="1" t="s">
        <v>6565</v>
      </c>
      <c r="AR1047" s="1" t="s">
        <v>6566</v>
      </c>
    </row>
    <row r="1048">
      <c r="A1048" s="2">
        <f ca="1">DATE(2003,08,08)</f>
        <v>0</v>
      </c>
      <c r="B1048" s="2">
        <f ca="1">DATE(2003,10,09)</f>
        <v>0</v>
      </c>
      <c r="C1048" s="1" t="s">
        <v>6567</v>
      </c>
      <c r="D1048" s="3">
        <v>7373</v>
      </c>
      <c r="E1048" s="1" t="s">
        <v>43</v>
      </c>
      <c r="F1048" s="1" t="s">
        <v>6568</v>
      </c>
      <c r="G1048" s="1" t="s">
        <v>6569</v>
      </c>
      <c r="H1048" s="4">
        <v>1.19</v>
      </c>
      <c r="I1048" s="8">
        <v>7</v>
      </c>
      <c r="J1048" s="5">
        <v>85</v>
      </c>
      <c r="K1048" s="4">
        <v>17</v>
      </c>
      <c r="L1048" s="1" t="s">
        <v>46</v>
      </c>
      <c r="M1048" s="1" t="s">
        <v>47</v>
      </c>
      <c r="N1048" s="1" t="s">
        <v>6570</v>
      </c>
      <c r="O1048" s="1" t="s">
        <v>48</v>
      </c>
      <c r="P1048" s="1" t="s">
        <v>6571</v>
      </c>
      <c r="Q1048" s="4">
        <v>1.3999999999999999</v>
      </c>
      <c r="R1048" s="4">
        <v>1.3999999999999999</v>
      </c>
      <c r="S1048" s="8">
        <v>4.2000000000000002</v>
      </c>
      <c r="T1048" s="1" t="s">
        <v>50</v>
      </c>
      <c r="U1048" s="1"/>
      <c r="V1048" s="1"/>
      <c r="W1048" s="1"/>
      <c r="X1048" s="5">
        <v>86.299999999999997</v>
      </c>
      <c r="Y1048" s="7">
        <v>5000000</v>
      </c>
      <c r="Z1048" s="1"/>
      <c r="AA1048" s="2">
        <f ca="1">DATE(2004,04,06)</f>
        <v>0</v>
      </c>
      <c r="AB1048" s="4">
        <v>67.686999999999998</v>
      </c>
      <c r="AC1048" s="3">
        <v>180</v>
      </c>
      <c r="AD1048" s="8">
        <v>10473601</v>
      </c>
      <c r="AE1048" s="1" t="s">
        <v>51</v>
      </c>
      <c r="AF1048" s="1" t="s">
        <v>51</v>
      </c>
      <c r="AG1048" s="1" t="s">
        <v>51</v>
      </c>
      <c r="AH1048" s="1"/>
      <c r="AI1048" s="1"/>
      <c r="AJ1048" s="3">
        <v>2</v>
      </c>
      <c r="AK1048" s="1" t="s">
        <v>89</v>
      </c>
      <c r="AL1048" s="3">
        <v>4</v>
      </c>
      <c r="AM1048" s="8">
        <v>20.960000000000001</v>
      </c>
      <c r="AN1048" s="1"/>
      <c r="AO1048" s="1" t="s">
        <v>6572</v>
      </c>
      <c r="AP1048" s="1" t="s">
        <v>6573</v>
      </c>
      <c r="AQ1048" s="1" t="s">
        <v>6574</v>
      </c>
      <c r="AR1048" s="1" t="s">
        <v>6575</v>
      </c>
    </row>
    <row r="1049">
      <c r="A1049" s="2">
        <f ca="1">DATE(2003,08,07)</f>
        <v>0</v>
      </c>
      <c r="B1049" s="2">
        <f ca="1">DATE(2003,10,15)</f>
        <v>0</v>
      </c>
      <c r="C1049" s="1" t="s">
        <v>6576</v>
      </c>
      <c r="D1049" s="3">
        <v>6726</v>
      </c>
      <c r="E1049" s="1" t="s">
        <v>43</v>
      </c>
      <c r="F1049" s="1" t="s">
        <v>6577</v>
      </c>
      <c r="G1049" s="1" t="s">
        <v>6578</v>
      </c>
      <c r="H1049" s="4">
        <v>0.67500000000000004</v>
      </c>
      <c r="I1049" s="4">
        <v>4.5</v>
      </c>
      <c r="J1049" s="5">
        <v>307.5</v>
      </c>
      <c r="K1049" s="4">
        <v>15</v>
      </c>
      <c r="L1049" s="1" t="s">
        <v>85</v>
      </c>
      <c r="M1049" s="1" t="s">
        <v>47</v>
      </c>
      <c r="N1049" s="3">
        <v>723762100</v>
      </c>
      <c r="O1049" s="1" t="s">
        <v>108</v>
      </c>
      <c r="P1049" s="1" t="s">
        <v>6579</v>
      </c>
      <c r="Q1049" s="1" t="s">
        <v>145</v>
      </c>
      <c r="R1049" s="1" t="s">
        <v>145</v>
      </c>
      <c r="S1049" s="8">
        <v>3</v>
      </c>
      <c r="T1049" s="1" t="s">
        <v>50</v>
      </c>
      <c r="U1049" s="8">
        <v>15</v>
      </c>
      <c r="V1049" s="8">
        <v>15</v>
      </c>
      <c r="W1049" s="7">
        <v>56666</v>
      </c>
      <c r="X1049" s="5">
        <v>0.80000000000000004</v>
      </c>
      <c r="Y1049" s="7">
        <v>20500000</v>
      </c>
      <c r="Z1049" s="1"/>
      <c r="AA1049" s="2">
        <f ca="1">DATE(2004,04,12)</f>
        <v>0</v>
      </c>
      <c r="AB1049" s="1"/>
      <c r="AC1049" s="3">
        <v>180</v>
      </c>
      <c r="AD1049" s="1"/>
      <c r="AE1049" s="1" t="s">
        <v>51</v>
      </c>
      <c r="AF1049" s="1" t="s">
        <v>51</v>
      </c>
      <c r="AG1049" s="1" t="s">
        <v>51</v>
      </c>
      <c r="AH1049" s="1"/>
      <c r="AI1049" s="1"/>
      <c r="AJ1049" s="3">
        <v>4</v>
      </c>
      <c r="AK1049" s="1" t="s">
        <v>1209</v>
      </c>
      <c r="AL1049" s="3">
        <v>5</v>
      </c>
      <c r="AM1049" s="1"/>
      <c r="AN1049" s="1"/>
      <c r="AO1049" s="1" t="s">
        <v>6580</v>
      </c>
      <c r="AP1049" s="1" t="s">
        <v>6581</v>
      </c>
      <c r="AQ1049" s="1" t="s">
        <v>6582</v>
      </c>
      <c r="AR1049" s="1" t="s">
        <v>6583</v>
      </c>
    </row>
    <row r="1050">
      <c r="A1050" s="2">
        <f ca="1">DATE(2003,08,01)</f>
        <v>0</v>
      </c>
      <c r="B1050" s="2">
        <f ca="1">DATE(2003,10,16)</f>
        <v>0</v>
      </c>
      <c r="C1050" s="1" t="s">
        <v>6584</v>
      </c>
      <c r="D1050" s="3">
        <v>2834</v>
      </c>
      <c r="E1050" s="1" t="s">
        <v>43</v>
      </c>
      <c r="F1050" s="1" t="s">
        <v>6585</v>
      </c>
      <c r="G1050" s="1" t="s">
        <v>813</v>
      </c>
      <c r="H1050" s="4">
        <v>0.69999999999999996</v>
      </c>
      <c r="I1050" s="8">
        <v>7</v>
      </c>
      <c r="J1050" s="5">
        <v>60</v>
      </c>
      <c r="K1050" s="4">
        <v>10</v>
      </c>
      <c r="L1050" s="1" t="s">
        <v>46</v>
      </c>
      <c r="M1050" s="1" t="s">
        <v>47</v>
      </c>
      <c r="N1050" s="1" t="s">
        <v>6586</v>
      </c>
      <c r="O1050" s="1" t="s">
        <v>48</v>
      </c>
      <c r="P1050" s="1" t="s">
        <v>6587</v>
      </c>
      <c r="Q1050" s="1" t="s">
        <v>145</v>
      </c>
      <c r="R1050" s="1" t="s">
        <v>145</v>
      </c>
      <c r="S1050" s="8">
        <v>4.2000000000000002</v>
      </c>
      <c r="T1050" s="1" t="s">
        <v>50</v>
      </c>
      <c r="U1050" s="1"/>
      <c r="V1050" s="1"/>
      <c r="W1050" s="1"/>
      <c r="X1050" s="5">
        <v>86.299999999999997</v>
      </c>
      <c r="Y1050" s="7">
        <v>6000000</v>
      </c>
      <c r="Z1050" s="1"/>
      <c r="AA1050" s="2">
        <f ca="1">DATE(2004,04,13)</f>
        <v>0</v>
      </c>
      <c r="AB1050" s="4">
        <v>73.638000000000005</v>
      </c>
      <c r="AC1050" s="3">
        <v>180</v>
      </c>
      <c r="AD1050" s="8">
        <v>16760415</v>
      </c>
      <c r="AE1050" s="1" t="s">
        <v>51</v>
      </c>
      <c r="AF1050" s="1" t="s">
        <v>51</v>
      </c>
      <c r="AG1050" s="1" t="s">
        <v>47</v>
      </c>
      <c r="AH1050" s="1"/>
      <c r="AI1050" s="1"/>
      <c r="AJ1050" s="3">
        <v>1</v>
      </c>
      <c r="AK1050" s="1" t="s">
        <v>52</v>
      </c>
      <c r="AL1050" s="3">
        <v>3</v>
      </c>
      <c r="AM1050" s="8">
        <v>10</v>
      </c>
      <c r="AN1050" s="1"/>
      <c r="AO1050" s="1" t="s">
        <v>6588</v>
      </c>
      <c r="AP1050" s="1" t="s">
        <v>813</v>
      </c>
      <c r="AQ1050" s="1" t="s">
        <v>6589</v>
      </c>
      <c r="AR1050" s="1" t="s">
        <v>6590</v>
      </c>
    </row>
    <row r="1051">
      <c r="A1051" s="2">
        <f ca="1">DATE(2002,08,23)</f>
        <v>0</v>
      </c>
      <c r="B1051" s="2">
        <f ca="1">DATE(2003,10,23)</f>
        <v>0</v>
      </c>
      <c r="C1051" s="1" t="s">
        <v>6591</v>
      </c>
      <c r="D1051" s="3">
        <v>5641</v>
      </c>
      <c r="E1051" s="1" t="s">
        <v>43</v>
      </c>
      <c r="F1051" s="1" t="s">
        <v>6592</v>
      </c>
      <c r="G1051" s="1" t="s">
        <v>160</v>
      </c>
      <c r="H1051" s="4">
        <v>1.3300000000000001</v>
      </c>
      <c r="I1051" s="4">
        <v>7</v>
      </c>
      <c r="J1051" s="5">
        <v>118.8</v>
      </c>
      <c r="K1051" s="4">
        <v>19</v>
      </c>
      <c r="L1051" s="1" t="s">
        <v>46</v>
      </c>
      <c r="M1051" s="1" t="s">
        <v>47</v>
      </c>
      <c r="N1051" s="3">
        <v>146229109</v>
      </c>
      <c r="O1051" s="1" t="s">
        <v>108</v>
      </c>
      <c r="P1051" s="1" t="s">
        <v>6593</v>
      </c>
      <c r="Q1051" s="4">
        <v>1.3999999999999999</v>
      </c>
      <c r="R1051" s="4">
        <v>1.3999999999999999</v>
      </c>
      <c r="S1051" s="8">
        <v>4.2000000000000002</v>
      </c>
      <c r="T1051" s="1" t="s">
        <v>50</v>
      </c>
      <c r="U1051" s="1"/>
      <c r="V1051" s="1"/>
      <c r="W1051" s="7">
        <v>6250000</v>
      </c>
      <c r="X1051" s="1"/>
      <c r="Y1051" s="7">
        <v>4687500</v>
      </c>
      <c r="Z1051" s="7">
        <v>1562500</v>
      </c>
      <c r="AA1051" s="2">
        <f ca="1">DATE(2004,04,20)</f>
        <v>0</v>
      </c>
      <c r="AB1051" s="4">
        <v>77.090999999999994</v>
      </c>
      <c r="AC1051" s="3">
        <v>180</v>
      </c>
      <c r="AD1051" s="8">
        <v>21032235</v>
      </c>
      <c r="AE1051" s="1" t="s">
        <v>51</v>
      </c>
      <c r="AF1051" s="1" t="s">
        <v>51</v>
      </c>
      <c r="AG1051" s="1" t="s">
        <v>51</v>
      </c>
      <c r="AH1051" s="1"/>
      <c r="AI1051" s="1"/>
      <c r="AJ1051" s="3">
        <v>1</v>
      </c>
      <c r="AK1051" s="1" t="s">
        <v>52</v>
      </c>
      <c r="AL1051" s="3">
        <v>4</v>
      </c>
      <c r="AM1051" s="8">
        <v>24.649999999999999</v>
      </c>
      <c r="AN1051" s="1"/>
      <c r="AO1051" s="1" t="s">
        <v>6594</v>
      </c>
      <c r="AP1051" s="1" t="s">
        <v>160</v>
      </c>
      <c r="AQ1051" s="1" t="s">
        <v>6595</v>
      </c>
      <c r="AR1051" s="1" t="s">
        <v>6596</v>
      </c>
    </row>
    <row r="1052">
      <c r="A1052" s="2">
        <f ca="1">DATE(2003,07,18)</f>
        <v>0</v>
      </c>
      <c r="B1052" s="2">
        <f ca="1">DATE(2003,10,23)</f>
        <v>0</v>
      </c>
      <c r="C1052" s="1" t="s">
        <v>6597</v>
      </c>
      <c r="D1052" s="3">
        <v>6798</v>
      </c>
      <c r="E1052" s="1" t="s">
        <v>43</v>
      </c>
      <c r="F1052" s="1" t="s">
        <v>6598</v>
      </c>
      <c r="G1052" s="1" t="s">
        <v>5479</v>
      </c>
      <c r="H1052" s="4">
        <v>1.05</v>
      </c>
      <c r="I1052" s="4">
        <v>7</v>
      </c>
      <c r="J1052" s="5">
        <v>112.5</v>
      </c>
      <c r="K1052" s="4">
        <v>15</v>
      </c>
      <c r="L1052" s="1" t="s">
        <v>46</v>
      </c>
      <c r="M1052" s="1" t="s">
        <v>47</v>
      </c>
      <c r="N1052" s="1" t="s">
        <v>6599</v>
      </c>
      <c r="O1052" s="1" t="s">
        <v>108</v>
      </c>
      <c r="P1052" s="1" t="s">
        <v>6600</v>
      </c>
      <c r="Q1052" s="1" t="s">
        <v>145</v>
      </c>
      <c r="R1052" s="1" t="s">
        <v>145</v>
      </c>
      <c r="S1052" s="1"/>
      <c r="T1052" s="1" t="s">
        <v>50</v>
      </c>
      <c r="U1052" s="1"/>
      <c r="V1052" s="1"/>
      <c r="W1052" s="1"/>
      <c r="X1052" s="5">
        <v>95</v>
      </c>
      <c r="Y1052" s="7">
        <v>7500000</v>
      </c>
      <c r="Z1052" s="1"/>
      <c r="AA1052" s="2">
        <f ca="1">DATE(2004,04,20)</f>
        <v>0</v>
      </c>
      <c r="AB1052" s="4">
        <v>0.12</v>
      </c>
      <c r="AC1052" s="3">
        <v>180</v>
      </c>
      <c r="AD1052" s="8">
        <v>9000</v>
      </c>
      <c r="AE1052" s="1" t="s">
        <v>51</v>
      </c>
      <c r="AF1052" s="1" t="s">
        <v>51</v>
      </c>
      <c r="AG1052" s="1" t="s">
        <v>51</v>
      </c>
      <c r="AH1052" s="1"/>
      <c r="AI1052" s="1"/>
      <c r="AJ1052" s="3">
        <v>1</v>
      </c>
      <c r="AK1052" s="1" t="s">
        <v>52</v>
      </c>
      <c r="AL1052" s="3">
        <v>4</v>
      </c>
      <c r="AM1052" s="8">
        <v>16.100000000000001</v>
      </c>
      <c r="AN1052" s="1"/>
      <c r="AO1052" s="1" t="s">
        <v>6601</v>
      </c>
      <c r="AP1052" s="1" t="s">
        <v>5479</v>
      </c>
      <c r="AQ1052" s="1" t="s">
        <v>6602</v>
      </c>
      <c r="AR1052" s="1" t="s">
        <v>6603</v>
      </c>
    </row>
    <row r="1053">
      <c r="A1053" s="2">
        <f ca="1">DATE(2003,09,19)</f>
        <v>0</v>
      </c>
      <c r="B1053" s="2">
        <f ca="1">DATE(2003,10,28)</f>
        <v>0</v>
      </c>
      <c r="C1053" s="1" t="s">
        <v>6604</v>
      </c>
      <c r="D1053" s="3">
        <v>6726</v>
      </c>
      <c r="E1053" s="1" t="s">
        <v>43</v>
      </c>
      <c r="F1053" s="1" t="s">
        <v>6605</v>
      </c>
      <c r="G1053" s="1" t="s">
        <v>45</v>
      </c>
      <c r="H1053" s="4">
        <v>0.90000000000000002</v>
      </c>
      <c r="I1053" s="4">
        <v>4.5</v>
      </c>
      <c r="J1053" s="5">
        <v>322.5</v>
      </c>
      <c r="K1053" s="4">
        <v>20</v>
      </c>
      <c r="L1053" s="1" t="s">
        <v>46</v>
      </c>
      <c r="M1053" s="1" t="s">
        <v>47</v>
      </c>
      <c r="N1053" s="3">
        <v>339735102</v>
      </c>
      <c r="O1053" s="1" t="s">
        <v>108</v>
      </c>
      <c r="P1053" s="1" t="s">
        <v>6606</v>
      </c>
      <c r="Q1053" s="4">
        <v>1</v>
      </c>
      <c r="R1053" s="4">
        <v>0.5</v>
      </c>
      <c r="S1053" s="8">
        <v>3</v>
      </c>
      <c r="T1053" s="1" t="s">
        <v>50</v>
      </c>
      <c r="U1053" s="8">
        <v>20</v>
      </c>
      <c r="V1053" s="8">
        <v>20</v>
      </c>
      <c r="W1053" s="7">
        <v>16000000</v>
      </c>
      <c r="X1053" s="5">
        <v>320</v>
      </c>
      <c r="Y1053" s="7">
        <v>16125000</v>
      </c>
      <c r="Z1053" s="1"/>
      <c r="AA1053" s="1"/>
      <c r="AB1053" s="1"/>
      <c r="AC1053" s="1"/>
      <c r="AD1053" s="1"/>
      <c r="AE1053" s="1" t="s">
        <v>51</v>
      </c>
      <c r="AF1053" s="1" t="s">
        <v>51</v>
      </c>
      <c r="AG1053" s="1" t="s">
        <v>51</v>
      </c>
      <c r="AH1053" s="1"/>
      <c r="AI1053" s="1"/>
      <c r="AJ1053" s="3">
        <v>1</v>
      </c>
      <c r="AK1053" s="1" t="s">
        <v>52</v>
      </c>
      <c r="AL1053" s="3">
        <v>4</v>
      </c>
      <c r="AM1053" s="8">
        <v>20</v>
      </c>
      <c r="AN1053" s="1"/>
      <c r="AO1053" s="1" t="s">
        <v>6607</v>
      </c>
      <c r="AP1053" s="1" t="s">
        <v>45</v>
      </c>
      <c r="AQ1053" s="1" t="s">
        <v>6608</v>
      </c>
      <c r="AR1053" s="1" t="s">
        <v>6609</v>
      </c>
    </row>
    <row r="1054">
      <c r="A1054" s="2">
        <f ca="1">DATE(2003,08,28)</f>
        <v>0</v>
      </c>
      <c r="B1054" s="2">
        <f ca="1">DATE(2003,10,28)</f>
        <v>0</v>
      </c>
      <c r="C1054" s="1" t="s">
        <v>6610</v>
      </c>
      <c r="D1054" s="3">
        <v>6726</v>
      </c>
      <c r="E1054" s="1" t="s">
        <v>43</v>
      </c>
      <c r="F1054" s="1" t="s">
        <v>6611</v>
      </c>
      <c r="G1054" s="1" t="s">
        <v>4145</v>
      </c>
      <c r="H1054" s="4">
        <v>0.67500000000000004</v>
      </c>
      <c r="I1054" s="4">
        <v>4.5</v>
      </c>
      <c r="J1054" s="5">
        <v>435</v>
      </c>
      <c r="K1054" s="4">
        <v>15</v>
      </c>
      <c r="L1054" s="1" t="s">
        <v>46</v>
      </c>
      <c r="M1054" s="1" t="s">
        <v>47</v>
      </c>
      <c r="N1054" s="1" t="s">
        <v>6612</v>
      </c>
      <c r="O1054" s="1" t="s">
        <v>87</v>
      </c>
      <c r="P1054" s="1" t="s">
        <v>6613</v>
      </c>
      <c r="Q1054" s="4">
        <v>0.93300000000000005</v>
      </c>
      <c r="R1054" s="4">
        <v>0.56699999999999995</v>
      </c>
      <c r="S1054" s="8">
        <v>3</v>
      </c>
      <c r="T1054" s="1" t="s">
        <v>50</v>
      </c>
      <c r="U1054" s="8">
        <v>15</v>
      </c>
      <c r="V1054" s="8">
        <v>15</v>
      </c>
      <c r="W1054" s="7">
        <v>27000000</v>
      </c>
      <c r="X1054" s="5">
        <v>405</v>
      </c>
      <c r="Y1054" s="7">
        <v>29000000</v>
      </c>
      <c r="Z1054" s="1"/>
      <c r="AA1054" s="2">
        <f ca="1">DATE(2004,04,25)</f>
        <v>0</v>
      </c>
      <c r="AB1054" s="1"/>
      <c r="AC1054" s="3">
        <v>180</v>
      </c>
      <c r="AD1054" s="1"/>
      <c r="AE1054" s="1" t="s">
        <v>51</v>
      </c>
      <c r="AF1054" s="1" t="s">
        <v>51</v>
      </c>
      <c r="AG1054" s="1" t="s">
        <v>51</v>
      </c>
      <c r="AH1054" s="1"/>
      <c r="AI1054" s="1"/>
      <c r="AJ1054" s="3">
        <v>1</v>
      </c>
      <c r="AK1054" s="1" t="s">
        <v>110</v>
      </c>
      <c r="AL1054" s="3">
        <v>16</v>
      </c>
      <c r="AM1054" s="8">
        <v>15</v>
      </c>
      <c r="AN1054" s="1"/>
      <c r="AO1054" s="1" t="s">
        <v>6614</v>
      </c>
      <c r="AP1054" s="1" t="s">
        <v>6615</v>
      </c>
      <c r="AQ1054" s="1" t="s">
        <v>6616</v>
      </c>
      <c r="AR1054" s="1" t="s">
        <v>6617</v>
      </c>
    </row>
    <row r="1055">
      <c r="A1055" s="2">
        <f ca="1">DATE(2003,08,14)</f>
        <v>0</v>
      </c>
      <c r="B1055" s="2">
        <f ca="1">DATE(2003,10,29)</f>
        <v>0</v>
      </c>
      <c r="C1055" s="1" t="s">
        <v>6618</v>
      </c>
      <c r="D1055" s="3">
        <v>2836</v>
      </c>
      <c r="E1055" s="1" t="s">
        <v>43</v>
      </c>
      <c r="F1055" s="1" t="s">
        <v>6619</v>
      </c>
      <c r="G1055" s="1" t="s">
        <v>813</v>
      </c>
      <c r="H1055" s="4">
        <v>0.83999999999999997</v>
      </c>
      <c r="I1055" s="8">
        <v>7</v>
      </c>
      <c r="J1055" s="5">
        <v>72</v>
      </c>
      <c r="K1055" s="4">
        <v>12</v>
      </c>
      <c r="L1055" s="1" t="s">
        <v>46</v>
      </c>
      <c r="M1055" s="1" t="s">
        <v>47</v>
      </c>
      <c r="N1055" s="1" t="s">
        <v>6620</v>
      </c>
      <c r="O1055" s="1" t="s">
        <v>48</v>
      </c>
      <c r="P1055" s="1" t="s">
        <v>6621</v>
      </c>
      <c r="Q1055" s="4">
        <v>1.417</v>
      </c>
      <c r="R1055" s="4">
        <v>1.75</v>
      </c>
      <c r="S1055" s="6">
        <v>3.8333300000000001</v>
      </c>
      <c r="T1055" s="1" t="s">
        <v>50</v>
      </c>
      <c r="U1055" s="1"/>
      <c r="V1055" s="1"/>
      <c r="W1055" s="7">
        <v>6000000</v>
      </c>
      <c r="X1055" s="5">
        <v>97.799999999999997</v>
      </c>
      <c r="Y1055" s="7">
        <v>6000000</v>
      </c>
      <c r="Z1055" s="1"/>
      <c r="AA1055" s="2">
        <f ca="1">DATE(2004,04,26)</f>
        <v>0</v>
      </c>
      <c r="AB1055" s="4">
        <v>77.507000000000005</v>
      </c>
      <c r="AC1055" s="3">
        <v>180</v>
      </c>
      <c r="AD1055" s="8">
        <v>20675374</v>
      </c>
      <c r="AE1055" s="1" t="s">
        <v>51</v>
      </c>
      <c r="AF1055" s="1" t="s">
        <v>51</v>
      </c>
      <c r="AG1055" s="1" t="s">
        <v>47</v>
      </c>
      <c r="AH1055" s="1"/>
      <c r="AI1055" s="1"/>
      <c r="AJ1055" s="3">
        <v>1</v>
      </c>
      <c r="AK1055" s="1" t="s">
        <v>52</v>
      </c>
      <c r="AL1055" s="3">
        <v>4</v>
      </c>
      <c r="AM1055" s="8">
        <v>12</v>
      </c>
      <c r="AN1055" s="1"/>
      <c r="AO1055" s="1" t="s">
        <v>6622</v>
      </c>
      <c r="AP1055" s="1" t="s">
        <v>813</v>
      </c>
      <c r="AQ1055" s="1" t="s">
        <v>6623</v>
      </c>
      <c r="AR1055" s="1" t="s">
        <v>6624</v>
      </c>
    </row>
    <row r="1056">
      <c r="A1056" s="2">
        <f ca="1">DATE(2003,08,12)</f>
        <v>0</v>
      </c>
      <c r="B1056" s="2">
        <f ca="1">DATE(2003,10,29)</f>
        <v>0</v>
      </c>
      <c r="C1056" s="1" t="s">
        <v>6625</v>
      </c>
      <c r="D1056" s="3">
        <v>2032</v>
      </c>
      <c r="E1056" s="1" t="s">
        <v>43</v>
      </c>
      <c r="F1056" s="1" t="s">
        <v>6626</v>
      </c>
      <c r="G1056" s="1" t="s">
        <v>6627</v>
      </c>
      <c r="H1056" s="4">
        <v>0.5</v>
      </c>
      <c r="I1056" s="4">
        <v>10</v>
      </c>
      <c r="J1056" s="5">
        <v>7.7999999999999998</v>
      </c>
      <c r="K1056" s="4">
        <v>5</v>
      </c>
      <c r="L1056" s="1" t="s">
        <v>46</v>
      </c>
      <c r="M1056" s="1" t="s">
        <v>47</v>
      </c>
      <c r="N1056" s="3">
        <v>151368107</v>
      </c>
      <c r="O1056" s="1" t="s">
        <v>6628</v>
      </c>
      <c r="P1056" s="1" t="s">
        <v>6629</v>
      </c>
      <c r="Q1056" s="1" t="s">
        <v>145</v>
      </c>
      <c r="R1056" s="1" t="s">
        <v>145</v>
      </c>
      <c r="S1056" s="8">
        <v>5</v>
      </c>
      <c r="T1056" s="1" t="s">
        <v>50</v>
      </c>
      <c r="U1056" s="8">
        <v>5</v>
      </c>
      <c r="V1056" s="8">
        <v>5</v>
      </c>
      <c r="W1056" s="7">
        <v>1550000</v>
      </c>
      <c r="X1056" s="5">
        <v>7.7999999999999998</v>
      </c>
      <c r="Y1056" s="7">
        <v>1550000</v>
      </c>
      <c r="Z1056" s="1"/>
      <c r="AA1056" s="2">
        <f ca="1">DATE(2004,10,23)</f>
        <v>0</v>
      </c>
      <c r="AB1056" s="4">
        <v>69.307000000000002</v>
      </c>
      <c r="AC1056" s="3">
        <v>360</v>
      </c>
      <c r="AD1056" s="8">
        <v>3500000</v>
      </c>
      <c r="AE1056" s="1" t="s">
        <v>51</v>
      </c>
      <c r="AF1056" s="1" t="s">
        <v>51</v>
      </c>
      <c r="AG1056" s="1" t="s">
        <v>51</v>
      </c>
      <c r="AH1056" s="1"/>
      <c r="AI1056" s="1"/>
      <c r="AJ1056" s="3">
        <v>1</v>
      </c>
      <c r="AK1056" s="1" t="s">
        <v>52</v>
      </c>
      <c r="AL1056" s="3">
        <v>1</v>
      </c>
      <c r="AM1056" s="8">
        <v>4.7999999999999998</v>
      </c>
      <c r="AN1056" s="1"/>
      <c r="AO1056" s="1" t="s">
        <v>6630</v>
      </c>
      <c r="AP1056" s="1" t="s">
        <v>6627</v>
      </c>
      <c r="AQ1056" s="1" t="s">
        <v>6627</v>
      </c>
      <c r="AR1056" s="1" t="s">
        <v>6631</v>
      </c>
    </row>
    <row r="1057">
      <c r="A1057" s="2">
        <f ca="1">DATE(2003,08,06)</f>
        <v>0</v>
      </c>
      <c r="B1057" s="2">
        <f ca="1">DATE(2003,10,29)</f>
        <v>0</v>
      </c>
      <c r="C1057" s="1" t="s">
        <v>6632</v>
      </c>
      <c r="D1057" s="3">
        <v>2836</v>
      </c>
      <c r="E1057" s="1" t="s">
        <v>43</v>
      </c>
      <c r="F1057" s="1" t="s">
        <v>6633</v>
      </c>
      <c r="G1057" s="1" t="s">
        <v>1624</v>
      </c>
      <c r="H1057" s="4">
        <v>0.63</v>
      </c>
      <c r="I1057" s="4">
        <v>7</v>
      </c>
      <c r="J1057" s="5">
        <v>33.299999999999997</v>
      </c>
      <c r="K1057" s="4">
        <v>9</v>
      </c>
      <c r="L1057" s="1" t="s">
        <v>46</v>
      </c>
      <c r="M1057" s="1" t="s">
        <v>47</v>
      </c>
      <c r="N1057" s="1" t="s">
        <v>6634</v>
      </c>
      <c r="O1057" s="1" t="s">
        <v>48</v>
      </c>
      <c r="P1057" s="1" t="s">
        <v>6635</v>
      </c>
      <c r="Q1057" s="4">
        <v>2.1110000000000002</v>
      </c>
      <c r="R1057" s="4">
        <v>1.444</v>
      </c>
      <c r="S1057" s="6">
        <v>3.4444400000000002</v>
      </c>
      <c r="T1057" s="1" t="s">
        <v>50</v>
      </c>
      <c r="U1057" s="1"/>
      <c r="V1057" s="1"/>
      <c r="W1057" s="1"/>
      <c r="X1057" s="5">
        <v>68.799999999999997</v>
      </c>
      <c r="Y1057" s="7">
        <v>3700000</v>
      </c>
      <c r="Z1057" s="1"/>
      <c r="AA1057" s="2">
        <f ca="1">DATE(2004,04,26)</f>
        <v>0</v>
      </c>
      <c r="AB1057" s="4">
        <v>77.213999999999999</v>
      </c>
      <c r="AC1057" s="3">
        <v>180</v>
      </c>
      <c r="AD1057" s="8">
        <v>12538296</v>
      </c>
      <c r="AE1057" s="1" t="s">
        <v>51</v>
      </c>
      <c r="AF1057" s="1" t="s">
        <v>51</v>
      </c>
      <c r="AG1057" s="1" t="s">
        <v>47</v>
      </c>
      <c r="AH1057" s="1"/>
      <c r="AI1057" s="1"/>
      <c r="AJ1057" s="3">
        <v>1</v>
      </c>
      <c r="AK1057" s="1" t="s">
        <v>52</v>
      </c>
      <c r="AL1057" s="3">
        <v>3</v>
      </c>
      <c r="AM1057" s="8">
        <v>10</v>
      </c>
      <c r="AN1057" s="1"/>
      <c r="AO1057" s="1" t="s">
        <v>6636</v>
      </c>
      <c r="AP1057" s="1" t="s">
        <v>1624</v>
      </c>
      <c r="AQ1057" s="1" t="s">
        <v>6637</v>
      </c>
      <c r="AR1057" s="1" t="s">
        <v>6635</v>
      </c>
    </row>
    <row r="1058">
      <c r="A1058" s="2">
        <f ca="1">DATE(2003,08,28)</f>
        <v>0</v>
      </c>
      <c r="B1058" s="2">
        <f ca="1">DATE(2003,10,29)</f>
        <v>0</v>
      </c>
      <c r="C1058" s="1" t="s">
        <v>6638</v>
      </c>
      <c r="D1058" s="3">
        <v>2834</v>
      </c>
      <c r="E1058" s="1" t="s">
        <v>43</v>
      </c>
      <c r="F1058" s="1" t="s">
        <v>6639</v>
      </c>
      <c r="G1058" s="1" t="s">
        <v>6640</v>
      </c>
      <c r="H1058" s="4">
        <v>0.97999999999999998</v>
      </c>
      <c r="I1058" s="8">
        <v>7</v>
      </c>
      <c r="J1058" s="5">
        <v>70</v>
      </c>
      <c r="K1058" s="4">
        <v>14</v>
      </c>
      <c r="L1058" s="1" t="s">
        <v>46</v>
      </c>
      <c r="M1058" s="1" t="s">
        <v>47</v>
      </c>
      <c r="N1058" s="1" t="s">
        <v>6641</v>
      </c>
      <c r="O1058" s="1" t="s">
        <v>48</v>
      </c>
      <c r="P1058" s="1" t="s">
        <v>6642</v>
      </c>
      <c r="Q1058" s="4">
        <v>1.3999999999999999</v>
      </c>
      <c r="R1058" s="4">
        <v>1.3999999999999999</v>
      </c>
      <c r="S1058" s="8">
        <v>4.2000000000000002</v>
      </c>
      <c r="T1058" s="1" t="s">
        <v>50</v>
      </c>
      <c r="U1058" s="1"/>
      <c r="V1058" s="1"/>
      <c r="W1058" s="1"/>
      <c r="X1058" s="5">
        <v>75</v>
      </c>
      <c r="Y1058" s="7">
        <v>5000000</v>
      </c>
      <c r="Z1058" s="1"/>
      <c r="AA1058" s="2">
        <f ca="1">DATE(2004,04,26)</f>
        <v>0</v>
      </c>
      <c r="AB1058" s="4">
        <v>80.513999999999996</v>
      </c>
      <c r="AC1058" s="3">
        <v>180</v>
      </c>
      <c r="AD1058" s="8">
        <v>20659470</v>
      </c>
      <c r="AE1058" s="1" t="s">
        <v>51</v>
      </c>
      <c r="AF1058" s="1" t="s">
        <v>51</v>
      </c>
      <c r="AG1058" s="1" t="s">
        <v>47</v>
      </c>
      <c r="AH1058" s="1"/>
      <c r="AI1058" s="1"/>
      <c r="AJ1058" s="3">
        <v>2</v>
      </c>
      <c r="AK1058" s="1" t="s">
        <v>89</v>
      </c>
      <c r="AL1058" s="3">
        <v>4</v>
      </c>
      <c r="AM1058" s="8">
        <v>14.9</v>
      </c>
      <c r="AN1058" s="1"/>
      <c r="AO1058" s="1" t="s">
        <v>6643</v>
      </c>
      <c r="AP1058" s="1" t="s">
        <v>6644</v>
      </c>
      <c r="AQ1058" s="1" t="s">
        <v>6645</v>
      </c>
      <c r="AR1058" s="1" t="s">
        <v>6646</v>
      </c>
    </row>
    <row r="1059">
      <c r="A1059" s="2">
        <f ca="1">DATE(2003,09,05)</f>
        <v>0</v>
      </c>
      <c r="B1059" s="2">
        <f ca="1">DATE(2003,10,30)</f>
        <v>0</v>
      </c>
      <c r="C1059" s="1" t="s">
        <v>6647</v>
      </c>
      <c r="D1059" s="3">
        <v>6141</v>
      </c>
      <c r="E1059" s="1" t="s">
        <v>43</v>
      </c>
      <c r="F1059" s="1" t="s">
        <v>6648</v>
      </c>
      <c r="G1059" s="1" t="s">
        <v>160</v>
      </c>
      <c r="H1059" s="4">
        <v>1.1200000000000001</v>
      </c>
      <c r="I1059" s="4">
        <v>7</v>
      </c>
      <c r="J1059" s="5">
        <v>200</v>
      </c>
      <c r="K1059" s="4">
        <v>16</v>
      </c>
      <c r="L1059" s="1" t="s">
        <v>46</v>
      </c>
      <c r="M1059" s="1" t="s">
        <v>47</v>
      </c>
      <c r="N1059" s="3">
        <v>320771108</v>
      </c>
      <c r="O1059" s="1" t="s">
        <v>108</v>
      </c>
      <c r="P1059" s="1" t="s">
        <v>6649</v>
      </c>
      <c r="Q1059" s="4">
        <v>1.375</v>
      </c>
      <c r="R1059" s="4">
        <v>1.375</v>
      </c>
      <c r="S1059" s="8">
        <v>4.25</v>
      </c>
      <c r="T1059" s="1" t="s">
        <v>50</v>
      </c>
      <c r="U1059" s="1"/>
      <c r="V1059" s="1"/>
      <c r="W1059" s="1"/>
      <c r="X1059" s="5">
        <v>200</v>
      </c>
      <c r="Y1059" s="7">
        <v>6875000</v>
      </c>
      <c r="Z1059" s="7">
        <v>5625000</v>
      </c>
      <c r="AA1059" s="2">
        <f ca="1">DATE(2004,04,27)</f>
        <v>0</v>
      </c>
      <c r="AB1059" s="4">
        <v>79.328000000000003</v>
      </c>
      <c r="AC1059" s="3">
        <v>180</v>
      </c>
      <c r="AD1059" s="8">
        <v>47968200</v>
      </c>
      <c r="AE1059" s="1" t="s">
        <v>51</v>
      </c>
      <c r="AF1059" s="1" t="s">
        <v>51</v>
      </c>
      <c r="AG1059" s="1" t="s">
        <v>51</v>
      </c>
      <c r="AH1059" s="1"/>
      <c r="AI1059" s="1"/>
      <c r="AJ1059" s="3">
        <v>1</v>
      </c>
      <c r="AK1059" s="1" t="s">
        <v>89</v>
      </c>
      <c r="AL1059" s="3">
        <v>3</v>
      </c>
      <c r="AM1059" s="8">
        <v>22.149999999999999</v>
      </c>
      <c r="AN1059" s="1"/>
      <c r="AO1059" s="1" t="s">
        <v>6650</v>
      </c>
      <c r="AP1059" s="1" t="s">
        <v>4528</v>
      </c>
      <c r="AQ1059" s="1" t="s">
        <v>6651</v>
      </c>
      <c r="AR1059" s="1" t="s">
        <v>6652</v>
      </c>
    </row>
    <row r="1060">
      <c r="A1060" s="2">
        <f ca="1">DATE(2003,08,04)</f>
        <v>0</v>
      </c>
      <c r="B1060" s="2">
        <f ca="1">DATE(2003,10,30)</f>
        <v>0</v>
      </c>
      <c r="C1060" s="1" t="s">
        <v>6653</v>
      </c>
      <c r="D1060" s="3">
        <v>4213</v>
      </c>
      <c r="E1060" s="1" t="s">
        <v>43</v>
      </c>
      <c r="F1060" s="1" t="s">
        <v>6654</v>
      </c>
      <c r="G1060" s="1" t="s">
        <v>6655</v>
      </c>
      <c r="H1060" s="4">
        <v>1.093</v>
      </c>
      <c r="I1060" s="4">
        <v>5.75</v>
      </c>
      <c r="J1060" s="5">
        <v>475</v>
      </c>
      <c r="K1060" s="4">
        <v>19</v>
      </c>
      <c r="L1060" s="1" t="s">
        <v>46</v>
      </c>
      <c r="M1060" s="1" t="s">
        <v>47</v>
      </c>
      <c r="N1060" s="3">
        <v>690322102</v>
      </c>
      <c r="O1060" s="1" t="s">
        <v>48</v>
      </c>
      <c r="P1060" s="1" t="s">
        <v>6656</v>
      </c>
      <c r="Q1060" s="4">
        <v>1.1379999999999999</v>
      </c>
      <c r="R1060" s="4">
        <v>1.1379999999999999</v>
      </c>
      <c r="S1060" s="6">
        <v>3.4736799999999999</v>
      </c>
      <c r="T1060" s="1" t="s">
        <v>50</v>
      </c>
      <c r="U1060" s="1"/>
      <c r="V1060" s="1"/>
      <c r="W1060" s="1"/>
      <c r="X1060" s="5">
        <v>100</v>
      </c>
      <c r="Y1060" s="1"/>
      <c r="Z1060" s="7">
        <v>25000000</v>
      </c>
      <c r="AA1060" s="2">
        <f ca="1">DATE(2004,04,27)</f>
        <v>0</v>
      </c>
      <c r="AB1060" s="4">
        <v>10.436</v>
      </c>
      <c r="AC1060" s="3">
        <v>180</v>
      </c>
      <c r="AD1060" s="8">
        <v>2913000</v>
      </c>
      <c r="AE1060" s="1" t="s">
        <v>51</v>
      </c>
      <c r="AF1060" s="1" t="s">
        <v>51</v>
      </c>
      <c r="AG1060" s="1" t="s">
        <v>51</v>
      </c>
      <c r="AH1060" s="1" t="s">
        <v>6657</v>
      </c>
      <c r="AI1060" s="1" t="s">
        <v>6658</v>
      </c>
      <c r="AJ1060" s="3">
        <v>2</v>
      </c>
      <c r="AK1060" s="1" t="s">
        <v>110</v>
      </c>
      <c r="AL1060" s="3">
        <v>6</v>
      </c>
      <c r="AM1060" s="8">
        <v>22.16</v>
      </c>
      <c r="AN1060" s="1"/>
      <c r="AO1060" s="1" t="s">
        <v>6659</v>
      </c>
      <c r="AP1060" s="1" t="s">
        <v>6660</v>
      </c>
      <c r="AQ1060" s="1" t="s">
        <v>6661</v>
      </c>
      <c r="AR1060" s="1" t="s">
        <v>6662</v>
      </c>
    </row>
    <row r="1061">
      <c r="A1061" s="2">
        <f ca="1">DATE(2003,09,05)</f>
        <v>0</v>
      </c>
      <c r="B1061" s="2">
        <f ca="1">DATE(2003,11,05)</f>
        <v>0</v>
      </c>
      <c r="C1061" s="1" t="s">
        <v>6663</v>
      </c>
      <c r="D1061" s="3">
        <v>6712</v>
      </c>
      <c r="E1061" s="1" t="s">
        <v>43</v>
      </c>
      <c r="F1061" s="1" t="s">
        <v>6664</v>
      </c>
      <c r="G1061" s="1" t="s">
        <v>6665</v>
      </c>
      <c r="H1061" s="4">
        <v>0.83999999999999997</v>
      </c>
      <c r="I1061" s="8">
        <v>7</v>
      </c>
      <c r="J1061" s="5">
        <v>19.199999999999999</v>
      </c>
      <c r="K1061" s="4">
        <v>12</v>
      </c>
      <c r="L1061" s="1" t="s">
        <v>46</v>
      </c>
      <c r="M1061" s="1" t="s">
        <v>47</v>
      </c>
      <c r="N1061" s="3">
        <v>190354100</v>
      </c>
      <c r="O1061" s="1" t="s">
        <v>698</v>
      </c>
      <c r="P1061" s="1" t="s">
        <v>6666</v>
      </c>
      <c r="Q1061" s="4">
        <v>1.5</v>
      </c>
      <c r="R1061" s="4">
        <v>1.333</v>
      </c>
      <c r="S1061" s="6">
        <v>4.1666699999999999</v>
      </c>
      <c r="T1061" s="1" t="s">
        <v>50</v>
      </c>
      <c r="U1061" s="8">
        <v>12</v>
      </c>
      <c r="V1061" s="8">
        <v>11</v>
      </c>
      <c r="W1061" s="7">
        <v>1350000</v>
      </c>
      <c r="X1061" s="5">
        <v>15.5</v>
      </c>
      <c r="Y1061" s="7">
        <v>1600000</v>
      </c>
      <c r="Z1061" s="1"/>
      <c r="AA1061" s="2">
        <f ca="1">DATE(2004,05,03)</f>
        <v>0</v>
      </c>
      <c r="AB1061" s="1"/>
      <c r="AC1061" s="3">
        <v>180</v>
      </c>
      <c r="AD1061" s="1"/>
      <c r="AE1061" s="1" t="s">
        <v>51</v>
      </c>
      <c r="AF1061" s="1" t="s">
        <v>51</v>
      </c>
      <c r="AG1061" s="1" t="s">
        <v>47</v>
      </c>
      <c r="AH1061" s="1"/>
      <c r="AI1061" s="1"/>
      <c r="AJ1061" s="3">
        <v>1</v>
      </c>
      <c r="AK1061" s="1" t="s">
        <v>52</v>
      </c>
      <c r="AL1061" s="3">
        <v>1</v>
      </c>
      <c r="AM1061" s="8">
        <v>13.449999999999999</v>
      </c>
      <c r="AN1061" s="1"/>
      <c r="AO1061" s="1" t="s">
        <v>6665</v>
      </c>
      <c r="AP1061" s="1" t="s">
        <v>6665</v>
      </c>
      <c r="AQ1061" s="1" t="s">
        <v>6665</v>
      </c>
      <c r="AR1061" s="1" t="s">
        <v>6666</v>
      </c>
    </row>
    <row r="1062">
      <c r="A1062" s="2">
        <f ca="1">DATE(2003,08,20)</f>
        <v>0</v>
      </c>
      <c r="B1062" s="2">
        <f ca="1">DATE(2003,11,05)</f>
        <v>0</v>
      </c>
      <c r="C1062" s="1" t="s">
        <v>6667</v>
      </c>
      <c r="D1062" s="3">
        <v>2834</v>
      </c>
      <c r="E1062" s="1" t="s">
        <v>43</v>
      </c>
      <c r="F1062" s="1" t="s">
        <v>6668</v>
      </c>
      <c r="G1062" s="1" t="s">
        <v>6669</v>
      </c>
      <c r="H1062" s="4">
        <v>0.77000000000000002</v>
      </c>
      <c r="I1062" s="4">
        <v>7</v>
      </c>
      <c r="J1062" s="5">
        <v>66</v>
      </c>
      <c r="K1062" s="4">
        <v>11</v>
      </c>
      <c r="L1062" s="1" t="s">
        <v>46</v>
      </c>
      <c r="M1062" s="1" t="s">
        <v>47</v>
      </c>
      <c r="N1062" s="3">
        <v>654798503</v>
      </c>
      <c r="O1062" s="1" t="s">
        <v>48</v>
      </c>
      <c r="P1062" s="1" t="s">
        <v>6670</v>
      </c>
      <c r="Q1062" s="4">
        <v>1.3640000000000001</v>
      </c>
      <c r="R1062" s="4">
        <v>1.3640000000000001</v>
      </c>
      <c r="S1062" s="6">
        <v>4.2727300000000001</v>
      </c>
      <c r="T1062" s="1" t="s">
        <v>50</v>
      </c>
      <c r="U1062" s="1"/>
      <c r="V1062" s="1"/>
      <c r="W1062" s="1"/>
      <c r="X1062" s="5">
        <v>100</v>
      </c>
      <c r="Y1062" s="7">
        <v>6000000</v>
      </c>
      <c r="Z1062" s="1"/>
      <c r="AA1062" s="2">
        <f ca="1">DATE(2004,05,03)</f>
        <v>0</v>
      </c>
      <c r="AB1062" s="4">
        <v>76.412999999999997</v>
      </c>
      <c r="AC1062" s="3">
        <v>180</v>
      </c>
      <c r="AD1062" s="8">
        <v>19437954</v>
      </c>
      <c r="AE1062" s="1" t="s">
        <v>51</v>
      </c>
      <c r="AF1062" s="1" t="s">
        <v>51</v>
      </c>
      <c r="AG1062" s="1" t="s">
        <v>47</v>
      </c>
      <c r="AH1062" s="1"/>
      <c r="AI1062" s="1"/>
      <c r="AJ1062" s="3">
        <v>2</v>
      </c>
      <c r="AK1062" s="1" t="s">
        <v>89</v>
      </c>
      <c r="AL1062" s="3">
        <v>3</v>
      </c>
      <c r="AM1062" s="8">
        <v>9.2899999999999991</v>
      </c>
      <c r="AN1062" s="1"/>
      <c r="AO1062" s="1" t="s">
        <v>6671</v>
      </c>
      <c r="AP1062" s="1" t="s">
        <v>6672</v>
      </c>
      <c r="AQ1062" s="1" t="s">
        <v>6673</v>
      </c>
      <c r="AR1062" s="1" t="s">
        <v>6674</v>
      </c>
    </row>
    <row r="1063">
      <c r="A1063" s="2">
        <f ca="1">DATE(2003,08,21)</f>
        <v>0</v>
      </c>
      <c r="B1063" s="2">
        <f ca="1">DATE(2003,11,05)</f>
        <v>0</v>
      </c>
      <c r="C1063" s="1" t="s">
        <v>6675</v>
      </c>
      <c r="D1063" s="3">
        <v>2834</v>
      </c>
      <c r="E1063" s="1" t="s">
        <v>43</v>
      </c>
      <c r="F1063" s="1" t="s">
        <v>6676</v>
      </c>
      <c r="G1063" s="1" t="s">
        <v>796</v>
      </c>
      <c r="H1063" s="4">
        <v>0.97999999999999998</v>
      </c>
      <c r="I1063" s="8">
        <v>7</v>
      </c>
      <c r="J1063" s="5">
        <v>84</v>
      </c>
      <c r="K1063" s="4">
        <v>14</v>
      </c>
      <c r="L1063" s="1" t="s">
        <v>46</v>
      </c>
      <c r="M1063" s="1" t="s">
        <v>47</v>
      </c>
      <c r="N1063" s="1" t="s">
        <v>6677</v>
      </c>
      <c r="O1063" s="1" t="s">
        <v>48</v>
      </c>
      <c r="P1063" s="1" t="s">
        <v>6678</v>
      </c>
      <c r="Q1063" s="4">
        <v>1.4290000000000001</v>
      </c>
      <c r="R1063" s="4">
        <v>1.357</v>
      </c>
      <c r="S1063" s="6">
        <v>4.2142900000000001</v>
      </c>
      <c r="T1063" s="1" t="s">
        <v>50</v>
      </c>
      <c r="U1063" s="1"/>
      <c r="V1063" s="1"/>
      <c r="W1063" s="1"/>
      <c r="X1063" s="5">
        <v>86.299999999999997</v>
      </c>
      <c r="Y1063" s="7">
        <v>6000000</v>
      </c>
      <c r="Z1063" s="1"/>
      <c r="AA1063" s="2">
        <f ca="1">DATE(2004,05,03)</f>
        <v>0</v>
      </c>
      <c r="AB1063" s="4">
        <v>74.870000000000005</v>
      </c>
      <c r="AC1063" s="3">
        <v>180</v>
      </c>
      <c r="AD1063" s="8">
        <v>17915771</v>
      </c>
      <c r="AE1063" s="1" t="s">
        <v>51</v>
      </c>
      <c r="AF1063" s="1" t="s">
        <v>51</v>
      </c>
      <c r="AG1063" s="1" t="s">
        <v>47</v>
      </c>
      <c r="AH1063" s="1"/>
      <c r="AI1063" s="1"/>
      <c r="AJ1063" s="3">
        <v>1</v>
      </c>
      <c r="AK1063" s="1" t="s">
        <v>89</v>
      </c>
      <c r="AL1063" s="3">
        <v>4</v>
      </c>
      <c r="AM1063" s="8">
        <v>14</v>
      </c>
      <c r="AN1063" s="1"/>
      <c r="AO1063" s="1" t="s">
        <v>6679</v>
      </c>
      <c r="AP1063" s="1" t="s">
        <v>6680</v>
      </c>
      <c r="AQ1063" s="1" t="s">
        <v>6681</v>
      </c>
      <c r="AR1063" s="1" t="s">
        <v>6682</v>
      </c>
    </row>
    <row r="1064">
      <c r="A1064" s="2">
        <f ca="1">DATE(2003,08,29)</f>
        <v>0</v>
      </c>
      <c r="B1064" s="2">
        <f ca="1">DATE(2003,11,06)</f>
        <v>0</v>
      </c>
      <c r="C1064" s="1" t="s">
        <v>6683</v>
      </c>
      <c r="D1064" s="3">
        <v>4213</v>
      </c>
      <c r="E1064" s="1" t="s">
        <v>43</v>
      </c>
      <c r="F1064" s="1" t="s">
        <v>6684</v>
      </c>
      <c r="G1064" s="1" t="s">
        <v>5276</v>
      </c>
      <c r="H1064" s="4">
        <v>1.19</v>
      </c>
      <c r="I1064" s="8">
        <v>7</v>
      </c>
      <c r="J1064" s="5">
        <v>119</v>
      </c>
      <c r="K1064" s="4">
        <v>17</v>
      </c>
      <c r="L1064" s="1" t="s">
        <v>46</v>
      </c>
      <c r="M1064" s="1" t="s">
        <v>47</v>
      </c>
      <c r="N1064" s="1" t="s">
        <v>6685</v>
      </c>
      <c r="O1064" s="1" t="s">
        <v>48</v>
      </c>
      <c r="P1064" s="1" t="s">
        <v>6686</v>
      </c>
      <c r="Q1064" s="4">
        <v>1.3999999999999999</v>
      </c>
      <c r="R1064" s="4">
        <v>1.3999999999999999</v>
      </c>
      <c r="S1064" s="8">
        <v>4.2000000000000002</v>
      </c>
      <c r="T1064" s="1" t="s">
        <v>50</v>
      </c>
      <c r="U1064" s="1"/>
      <c r="V1064" s="1"/>
      <c r="W1064" s="1"/>
      <c r="X1064" s="5">
        <v>132.30000000000001</v>
      </c>
      <c r="Y1064" s="7">
        <v>7000000</v>
      </c>
      <c r="Z1064" s="1"/>
      <c r="AA1064" s="1" t="s">
        <v>6687</v>
      </c>
      <c r="AB1064" s="1" t="s">
        <v>6688</v>
      </c>
      <c r="AC1064" s="1" t="s">
        <v>6689</v>
      </c>
      <c r="AD1064" s="1" t="s">
        <v>6690</v>
      </c>
      <c r="AE1064" s="1" t="s">
        <v>51</v>
      </c>
      <c r="AF1064" s="1" t="s">
        <v>51</v>
      </c>
      <c r="AG1064" s="1" t="s">
        <v>51</v>
      </c>
      <c r="AH1064" s="1"/>
      <c r="AI1064" s="1" t="s">
        <v>6691</v>
      </c>
      <c r="AJ1064" s="3">
        <v>2</v>
      </c>
      <c r="AK1064" s="1" t="s">
        <v>89</v>
      </c>
      <c r="AL1064" s="3">
        <v>5</v>
      </c>
      <c r="AM1064" s="8">
        <v>18.75</v>
      </c>
      <c r="AN1064" s="1"/>
      <c r="AO1064" s="1" t="s">
        <v>6692</v>
      </c>
      <c r="AP1064" s="1" t="s">
        <v>5280</v>
      </c>
      <c r="AQ1064" s="1" t="s">
        <v>6693</v>
      </c>
      <c r="AR1064" s="1" t="s">
        <v>6694</v>
      </c>
    </row>
    <row r="1065">
      <c r="A1065" s="2">
        <f ca="1">DATE(2003,09,05)</f>
        <v>0</v>
      </c>
      <c r="B1065" s="2">
        <f ca="1">DATE(2003,11,11)</f>
        <v>0</v>
      </c>
      <c r="C1065" s="1" t="s">
        <v>6695</v>
      </c>
      <c r="D1065" s="3">
        <v>7359</v>
      </c>
      <c r="E1065" s="1" t="s">
        <v>43</v>
      </c>
      <c r="F1065" s="1" t="s">
        <v>6696</v>
      </c>
      <c r="G1065" s="1" t="s">
        <v>282</v>
      </c>
      <c r="H1065" s="4">
        <v>0.97999999999999998</v>
      </c>
      <c r="I1065" s="8">
        <v>7</v>
      </c>
      <c r="J1065" s="5">
        <v>61.600000000000001</v>
      </c>
      <c r="K1065" s="4">
        <v>14</v>
      </c>
      <c r="L1065" s="1" t="s">
        <v>46</v>
      </c>
      <c r="M1065" s="1" t="s">
        <v>47</v>
      </c>
      <c r="N1065" s="3">
        <v>571157106</v>
      </c>
      <c r="O1065" s="1" t="s">
        <v>48</v>
      </c>
      <c r="P1065" s="1" t="s">
        <v>6697</v>
      </c>
      <c r="Q1065" s="4">
        <v>1.357</v>
      </c>
      <c r="R1065" s="4">
        <v>1.4290000000000001</v>
      </c>
      <c r="S1065" s="6">
        <v>4.2142900000000001</v>
      </c>
      <c r="T1065" s="1" t="s">
        <v>50</v>
      </c>
      <c r="U1065" s="1"/>
      <c r="V1065" s="1"/>
      <c r="W1065" s="1"/>
      <c r="X1065" s="5">
        <v>60</v>
      </c>
      <c r="Y1065" s="7">
        <v>3113267</v>
      </c>
      <c r="Z1065" s="7">
        <v>1286733</v>
      </c>
      <c r="AA1065" s="2">
        <f ca="1">DATE(2004,05,09)</f>
        <v>0</v>
      </c>
      <c r="AB1065" s="4">
        <v>56.418999999999997</v>
      </c>
      <c r="AC1065" s="3">
        <v>180</v>
      </c>
      <c r="AD1065" s="8">
        <v>6062533</v>
      </c>
      <c r="AE1065" s="1" t="s">
        <v>51</v>
      </c>
      <c r="AF1065" s="1" t="s">
        <v>51</v>
      </c>
      <c r="AG1065" s="1" t="s">
        <v>47</v>
      </c>
      <c r="AH1065" s="1"/>
      <c r="AI1065" s="1"/>
      <c r="AJ1065" s="3">
        <v>1</v>
      </c>
      <c r="AK1065" s="1" t="s">
        <v>52</v>
      </c>
      <c r="AL1065" s="3">
        <v>2</v>
      </c>
      <c r="AM1065" s="8">
        <v>16.149999999999999</v>
      </c>
      <c r="AN1065" s="1"/>
      <c r="AO1065" s="1" t="s">
        <v>6698</v>
      </c>
      <c r="AP1065" s="1" t="s">
        <v>282</v>
      </c>
      <c r="AQ1065" s="1" t="s">
        <v>6699</v>
      </c>
      <c r="AR1065" s="1" t="s">
        <v>6700</v>
      </c>
    </row>
    <row r="1066">
      <c r="A1066" s="2">
        <f ca="1">DATE(2003,09,04)</f>
        <v>0</v>
      </c>
      <c r="B1066" s="2">
        <f ca="1">DATE(2003,11,12)</f>
        <v>0</v>
      </c>
      <c r="C1066" s="1" t="s">
        <v>6701</v>
      </c>
      <c r="D1066" s="3">
        <v>3674</v>
      </c>
      <c r="E1066" s="1" t="s">
        <v>43</v>
      </c>
      <c r="F1066" s="1" t="s">
        <v>6702</v>
      </c>
      <c r="G1066" s="1" t="s">
        <v>813</v>
      </c>
      <c r="H1066" s="4">
        <v>0.91000000000000003</v>
      </c>
      <c r="I1066" s="4">
        <v>7</v>
      </c>
      <c r="J1066" s="5">
        <v>97.5</v>
      </c>
      <c r="K1066" s="4">
        <v>13</v>
      </c>
      <c r="L1066" s="1" t="s">
        <v>46</v>
      </c>
      <c r="M1066" s="1" t="s">
        <v>47</v>
      </c>
      <c r="N1066" s="1" t="s">
        <v>6703</v>
      </c>
      <c r="O1066" s="1" t="s">
        <v>48</v>
      </c>
      <c r="P1066" s="1" t="s">
        <v>6704</v>
      </c>
      <c r="Q1066" s="4">
        <v>1.385</v>
      </c>
      <c r="R1066" s="4">
        <v>1.385</v>
      </c>
      <c r="S1066" s="6">
        <v>4.2307699999999997</v>
      </c>
      <c r="T1066" s="1" t="s">
        <v>50</v>
      </c>
      <c r="U1066" s="1"/>
      <c r="V1066" s="1"/>
      <c r="W1066" s="1"/>
      <c r="X1066" s="5">
        <v>75</v>
      </c>
      <c r="Y1066" s="7">
        <v>3000000</v>
      </c>
      <c r="Z1066" s="7">
        <v>4500000</v>
      </c>
      <c r="AA1066" s="2">
        <f ca="1">DATE(2004,05,10)</f>
        <v>0</v>
      </c>
      <c r="AB1066" s="4">
        <v>76.236999999999995</v>
      </c>
      <c r="AC1066" s="3">
        <v>180</v>
      </c>
      <c r="AD1066" s="8">
        <v>28842879</v>
      </c>
      <c r="AE1066" s="1" t="s">
        <v>51</v>
      </c>
      <c r="AF1066" s="1" t="s">
        <v>51</v>
      </c>
      <c r="AG1066" s="1" t="s">
        <v>47</v>
      </c>
      <c r="AH1066" s="1"/>
      <c r="AI1066" s="1"/>
      <c r="AJ1066" s="3">
        <v>1</v>
      </c>
      <c r="AK1066" s="1" t="s">
        <v>89</v>
      </c>
      <c r="AL1066" s="3">
        <v>4</v>
      </c>
      <c r="AM1066" s="8">
        <v>18.5</v>
      </c>
      <c r="AN1066" s="1"/>
      <c r="AO1066" s="1" t="s">
        <v>6705</v>
      </c>
      <c r="AP1066" s="1" t="s">
        <v>3886</v>
      </c>
      <c r="AQ1066" s="1" t="s">
        <v>6706</v>
      </c>
      <c r="AR1066" s="1" t="s">
        <v>6707</v>
      </c>
    </row>
    <row r="1067">
      <c r="A1067" s="2">
        <f ca="1">DATE(2003,08,25)</f>
        <v>0</v>
      </c>
      <c r="B1067" s="2">
        <f ca="1">DATE(2003,11,13)</f>
        <v>0</v>
      </c>
      <c r="C1067" s="1" t="s">
        <v>6708</v>
      </c>
      <c r="D1067" s="3">
        <v>8748</v>
      </c>
      <c r="E1067" s="1" t="s">
        <v>43</v>
      </c>
      <c r="F1067" s="1" t="s">
        <v>6709</v>
      </c>
      <c r="G1067" s="1" t="s">
        <v>5704</v>
      </c>
      <c r="H1067" s="4">
        <v>1.19</v>
      </c>
      <c r="I1067" s="8">
        <v>7</v>
      </c>
      <c r="J1067" s="5">
        <v>127.5</v>
      </c>
      <c r="K1067" s="4">
        <v>17</v>
      </c>
      <c r="L1067" s="1" t="s">
        <v>46</v>
      </c>
      <c r="M1067" s="1" t="s">
        <v>47</v>
      </c>
      <c r="N1067" s="3">
        <v>523234102</v>
      </c>
      <c r="O1067" s="1" t="s">
        <v>48</v>
      </c>
      <c r="P1067" s="1" t="s">
        <v>6710</v>
      </c>
      <c r="Q1067" s="4">
        <v>1.4119999999999999</v>
      </c>
      <c r="R1067" s="4">
        <v>1.4119999999999999</v>
      </c>
      <c r="S1067" s="6">
        <v>4.1764700000000001</v>
      </c>
      <c r="T1067" s="1" t="s">
        <v>50</v>
      </c>
      <c r="U1067" s="1"/>
      <c r="V1067" s="1"/>
      <c r="W1067" s="1"/>
      <c r="X1067" s="5">
        <v>97.799999999999997</v>
      </c>
      <c r="Y1067" s="7">
        <v>7500000</v>
      </c>
      <c r="Z1067" s="1"/>
      <c r="AA1067" s="2">
        <f ca="1">DATE(2004,05,11)</f>
        <v>0</v>
      </c>
      <c r="AB1067" s="1"/>
      <c r="AC1067" s="3">
        <v>180</v>
      </c>
      <c r="AD1067" s="1"/>
      <c r="AE1067" s="1" t="s">
        <v>51</v>
      </c>
      <c r="AF1067" s="1" t="s">
        <v>51</v>
      </c>
      <c r="AG1067" s="1" t="s">
        <v>51</v>
      </c>
      <c r="AH1067" s="1"/>
      <c r="AI1067" s="1"/>
      <c r="AJ1067" s="3">
        <v>1</v>
      </c>
      <c r="AK1067" s="1" t="s">
        <v>52</v>
      </c>
      <c r="AL1067" s="3">
        <v>4</v>
      </c>
      <c r="AM1067" s="8">
        <v>21.030000000000001</v>
      </c>
      <c r="AN1067" s="1"/>
      <c r="AO1067" s="1" t="s">
        <v>6711</v>
      </c>
      <c r="AP1067" s="1" t="s">
        <v>5704</v>
      </c>
      <c r="AQ1067" s="1" t="s">
        <v>6712</v>
      </c>
      <c r="AR1067" s="1" t="s">
        <v>6713</v>
      </c>
    </row>
    <row r="1068">
      <c r="A1068" s="2">
        <f ca="1">DATE(2003,09,23)</f>
        <v>0</v>
      </c>
      <c r="B1068" s="2">
        <f ca="1">DATE(2003,11,19)</f>
        <v>0</v>
      </c>
      <c r="C1068" s="1" t="s">
        <v>6714</v>
      </c>
      <c r="D1068" s="3">
        <v>7372</v>
      </c>
      <c r="E1068" s="1" t="s">
        <v>43</v>
      </c>
      <c r="F1068" s="1" t="s">
        <v>1025</v>
      </c>
      <c r="G1068" s="1" t="s">
        <v>6715</v>
      </c>
      <c r="H1068" s="4">
        <v>0.97999999999999998</v>
      </c>
      <c r="I1068" s="8">
        <v>7</v>
      </c>
      <c r="J1068" s="5">
        <v>70</v>
      </c>
      <c r="K1068" s="4">
        <v>14</v>
      </c>
      <c r="L1068" s="1" t="s">
        <v>46</v>
      </c>
      <c r="M1068" s="1" t="s">
        <v>47</v>
      </c>
      <c r="N1068" s="1" t="s">
        <v>6716</v>
      </c>
      <c r="O1068" s="1" t="s">
        <v>48</v>
      </c>
      <c r="P1068" s="1" t="s">
        <v>6717</v>
      </c>
      <c r="Q1068" s="4">
        <v>1.3999999999999999</v>
      </c>
      <c r="R1068" s="4">
        <v>1.3999999999999999</v>
      </c>
      <c r="S1068" s="8">
        <v>4.2000000000000002</v>
      </c>
      <c r="T1068" s="1" t="s">
        <v>50</v>
      </c>
      <c r="U1068" s="1"/>
      <c r="V1068" s="1"/>
      <c r="W1068" s="1"/>
      <c r="X1068" s="5">
        <v>75</v>
      </c>
      <c r="Y1068" s="7">
        <v>5000000</v>
      </c>
      <c r="Z1068" s="1"/>
      <c r="AA1068" s="2">
        <f ca="1">DATE(2004,05,17)</f>
        <v>0</v>
      </c>
      <c r="AB1068" s="4">
        <v>75.256</v>
      </c>
      <c r="AC1068" s="3">
        <v>180</v>
      </c>
      <c r="AD1068" s="8">
        <v>17488261</v>
      </c>
      <c r="AE1068" s="1" t="s">
        <v>51</v>
      </c>
      <c r="AF1068" s="1" t="s">
        <v>51</v>
      </c>
      <c r="AG1068" s="1" t="s">
        <v>47</v>
      </c>
      <c r="AH1068" s="1"/>
      <c r="AI1068" s="1"/>
      <c r="AJ1068" s="3">
        <v>1</v>
      </c>
      <c r="AK1068" s="1" t="s">
        <v>52</v>
      </c>
      <c r="AL1068" s="3">
        <v>3</v>
      </c>
      <c r="AM1068" s="8">
        <v>17.370000000000001</v>
      </c>
      <c r="AN1068" s="1"/>
      <c r="AO1068" s="1" t="s">
        <v>6718</v>
      </c>
      <c r="AP1068" s="1" t="s">
        <v>6715</v>
      </c>
      <c r="AQ1068" s="1" t="s">
        <v>6719</v>
      </c>
      <c r="AR1068" s="1" t="s">
        <v>6720</v>
      </c>
    </row>
    <row r="1069">
      <c r="A1069" s="2">
        <f ca="1">DATE(2003,10,17)</f>
        <v>0</v>
      </c>
      <c r="B1069" s="2">
        <f ca="1">DATE(2003,11,19)</f>
        <v>0</v>
      </c>
      <c r="C1069" s="1" t="s">
        <v>6721</v>
      </c>
      <c r="D1069" s="3">
        <v>6726</v>
      </c>
      <c r="E1069" s="1" t="s">
        <v>43</v>
      </c>
      <c r="F1069" s="1" t="s">
        <v>6722</v>
      </c>
      <c r="G1069" s="1" t="s">
        <v>6723</v>
      </c>
      <c r="H1069" s="4">
        <v>0.67500000000000004</v>
      </c>
      <c r="I1069" s="4">
        <v>4.5</v>
      </c>
      <c r="J1069" s="5">
        <v>307.5</v>
      </c>
      <c r="K1069" s="4">
        <v>15</v>
      </c>
      <c r="L1069" s="1" t="s">
        <v>46</v>
      </c>
      <c r="M1069" s="1" t="s">
        <v>47</v>
      </c>
      <c r="N1069" s="3">
        <v>670682103</v>
      </c>
      <c r="O1069" s="1" t="s">
        <v>3689</v>
      </c>
      <c r="P1069" s="1" t="s">
        <v>6724</v>
      </c>
      <c r="Q1069" s="4">
        <v>0.93300000000000005</v>
      </c>
      <c r="R1069" s="4">
        <v>0.56699999999999995</v>
      </c>
      <c r="S1069" s="8">
        <v>3</v>
      </c>
      <c r="T1069" s="1" t="s">
        <v>50</v>
      </c>
      <c r="U1069" s="8">
        <v>15</v>
      </c>
      <c r="V1069" s="8">
        <v>15</v>
      </c>
      <c r="W1069" s="7">
        <v>1000</v>
      </c>
      <c r="X1069" s="5">
        <v>0</v>
      </c>
      <c r="Y1069" s="7">
        <v>20500000</v>
      </c>
      <c r="Z1069" s="1"/>
      <c r="AA1069" s="2">
        <f ca="1">DATE(2004,05,17)</f>
        <v>0</v>
      </c>
      <c r="AB1069" s="1"/>
      <c r="AC1069" s="3">
        <v>180</v>
      </c>
      <c r="AD1069" s="1"/>
      <c r="AE1069" s="1" t="s">
        <v>51</v>
      </c>
      <c r="AF1069" s="1" t="s">
        <v>51</v>
      </c>
      <c r="AG1069" s="1" t="s">
        <v>51</v>
      </c>
      <c r="AH1069" s="1"/>
      <c r="AI1069" s="1"/>
      <c r="AJ1069" s="3">
        <v>1</v>
      </c>
      <c r="AK1069" s="1" t="s">
        <v>52</v>
      </c>
      <c r="AL1069" s="3">
        <v>8</v>
      </c>
      <c r="AM1069" s="8">
        <v>15.25</v>
      </c>
      <c r="AN1069" s="1"/>
      <c r="AO1069" s="1" t="s">
        <v>6725</v>
      </c>
      <c r="AP1069" s="1" t="s">
        <v>6723</v>
      </c>
      <c r="AQ1069" s="1" t="s">
        <v>6726</v>
      </c>
      <c r="AR1069" s="1" t="s">
        <v>6727</v>
      </c>
    </row>
    <row r="1070">
      <c r="A1070" s="2">
        <f ca="1">DATE(2003,07,25)</f>
        <v>0</v>
      </c>
      <c r="B1070" s="2">
        <f ca="1">DATE(2003,11,19)</f>
        <v>0</v>
      </c>
      <c r="C1070" s="1" t="s">
        <v>6728</v>
      </c>
      <c r="D1070" s="3">
        <v>1382</v>
      </c>
      <c r="E1070" s="1" t="s">
        <v>43</v>
      </c>
      <c r="F1070" s="1" t="s">
        <v>6729</v>
      </c>
      <c r="G1070" s="1" t="s">
        <v>56</v>
      </c>
      <c r="H1070" s="4">
        <v>1.085</v>
      </c>
      <c r="I1070" s="8">
        <v>7</v>
      </c>
      <c r="J1070" s="5">
        <v>232.5</v>
      </c>
      <c r="K1070" s="4">
        <v>15.5</v>
      </c>
      <c r="L1070" s="1" t="s">
        <v>46</v>
      </c>
      <c r="M1070" s="1" t="s">
        <v>47</v>
      </c>
      <c r="N1070" s="3">
        <v>966387102</v>
      </c>
      <c r="O1070" s="1" t="s">
        <v>108</v>
      </c>
      <c r="P1070" s="1" t="s">
        <v>6730</v>
      </c>
      <c r="Q1070" s="4">
        <v>1.452</v>
      </c>
      <c r="R1070" s="4">
        <v>1.355</v>
      </c>
      <c r="S1070" s="6">
        <v>4.1935500000000001</v>
      </c>
      <c r="T1070" s="1" t="s">
        <v>50</v>
      </c>
      <c r="U1070" s="1"/>
      <c r="V1070" s="1"/>
      <c r="W1070" s="1"/>
      <c r="X1070" s="5">
        <v>130</v>
      </c>
      <c r="Y1070" s="1"/>
      <c r="Z1070" s="7">
        <v>15000000</v>
      </c>
      <c r="AA1070" s="2">
        <f ca="1">DATE(2004,05,17)</f>
        <v>0</v>
      </c>
      <c r="AB1070" s="4">
        <v>15.866</v>
      </c>
      <c r="AC1070" s="3">
        <v>180</v>
      </c>
      <c r="AD1070" s="8">
        <v>3330000</v>
      </c>
      <c r="AE1070" s="1" t="s">
        <v>51</v>
      </c>
      <c r="AF1070" s="1" t="s">
        <v>51</v>
      </c>
      <c r="AG1070" s="1" t="s">
        <v>51</v>
      </c>
      <c r="AH1070" s="1"/>
      <c r="AI1070" s="1"/>
      <c r="AJ1070" s="3">
        <v>1</v>
      </c>
      <c r="AK1070" s="1" t="s">
        <v>89</v>
      </c>
      <c r="AL1070" s="3">
        <v>8</v>
      </c>
      <c r="AM1070" s="8">
        <v>16.27</v>
      </c>
      <c r="AN1070" s="1"/>
      <c r="AO1070" s="1" t="s">
        <v>6731</v>
      </c>
      <c r="AP1070" s="1" t="s">
        <v>6732</v>
      </c>
      <c r="AQ1070" s="1" t="s">
        <v>6733</v>
      </c>
      <c r="AR1070" s="1" t="s">
        <v>6734</v>
      </c>
    </row>
    <row r="1071">
      <c r="A1071" s="2">
        <f ca="1">DATE(2003,09,11)</f>
        <v>0</v>
      </c>
      <c r="B1071" s="2">
        <f ca="1">DATE(2003,11,20)</f>
        <v>0</v>
      </c>
      <c r="C1071" s="1" t="s">
        <v>6735</v>
      </c>
      <c r="D1071" s="3">
        <v>5812</v>
      </c>
      <c r="E1071" s="1" t="s">
        <v>43</v>
      </c>
      <c r="F1071" s="1" t="s">
        <v>6736</v>
      </c>
      <c r="G1071" s="1" t="s">
        <v>6737</v>
      </c>
      <c r="H1071" s="4">
        <v>1.19</v>
      </c>
      <c r="I1071" s="8">
        <v>7</v>
      </c>
      <c r="J1071" s="5">
        <v>51</v>
      </c>
      <c r="K1071" s="4">
        <v>17</v>
      </c>
      <c r="L1071" s="1" t="s">
        <v>46</v>
      </c>
      <c r="M1071" s="1" t="s">
        <v>47</v>
      </c>
      <c r="N1071" s="3">
        <v>119848109</v>
      </c>
      <c r="O1071" s="1" t="s">
        <v>48</v>
      </c>
      <c r="P1071" s="1" t="s">
        <v>6738</v>
      </c>
      <c r="Q1071" s="4">
        <v>1.4119999999999999</v>
      </c>
      <c r="R1071" s="4">
        <v>1.4119999999999999</v>
      </c>
      <c r="S1071" s="6">
        <v>4.1764700000000001</v>
      </c>
      <c r="T1071" s="1" t="s">
        <v>50</v>
      </c>
      <c r="U1071" s="1"/>
      <c r="V1071" s="1"/>
      <c r="W1071" s="1"/>
      <c r="X1071" s="5">
        <v>46</v>
      </c>
      <c r="Y1071" s="7">
        <v>3000000</v>
      </c>
      <c r="Z1071" s="1"/>
      <c r="AA1071" s="2">
        <f ca="1">DATE(2004,05,18)</f>
        <v>0</v>
      </c>
      <c r="AB1071" s="4">
        <v>61.100000000000001</v>
      </c>
      <c r="AC1071" s="3">
        <v>180</v>
      </c>
      <c r="AD1071" s="8">
        <v>4712116</v>
      </c>
      <c r="AE1071" s="1" t="s">
        <v>51</v>
      </c>
      <c r="AF1071" s="1" t="s">
        <v>51</v>
      </c>
      <c r="AG1071" s="1" t="s">
        <v>47</v>
      </c>
      <c r="AH1071" s="1"/>
      <c r="AI1071" s="1"/>
      <c r="AJ1071" s="3">
        <v>2</v>
      </c>
      <c r="AK1071" s="1" t="s">
        <v>89</v>
      </c>
      <c r="AL1071" s="3">
        <v>3</v>
      </c>
      <c r="AM1071" s="8">
        <v>22.949999999999999</v>
      </c>
      <c r="AN1071" s="1"/>
      <c r="AO1071" s="1" t="s">
        <v>6739</v>
      </c>
      <c r="AP1071" s="1" t="s">
        <v>6740</v>
      </c>
      <c r="AQ1071" s="1" t="s">
        <v>6741</v>
      </c>
      <c r="AR1071" s="1" t="s">
        <v>6742</v>
      </c>
    </row>
    <row r="1072">
      <c r="A1072" s="2">
        <f ca="1">DATE(2003,09,23)</f>
        <v>0</v>
      </c>
      <c r="B1072" s="2">
        <f ca="1">DATE(2003,11,20)</f>
        <v>0</v>
      </c>
      <c r="C1072" s="1" t="s">
        <v>6743</v>
      </c>
      <c r="D1072" s="3">
        <v>6799</v>
      </c>
      <c r="E1072" s="1" t="s">
        <v>43</v>
      </c>
      <c r="F1072" s="1" t="s">
        <v>6744</v>
      </c>
      <c r="G1072" s="1" t="s">
        <v>5704</v>
      </c>
      <c r="H1072" s="4">
        <v>1.05</v>
      </c>
      <c r="I1072" s="4">
        <v>7</v>
      </c>
      <c r="J1072" s="5">
        <v>130.40000000000001</v>
      </c>
      <c r="K1072" s="4">
        <v>15</v>
      </c>
      <c r="L1072" s="1" t="s">
        <v>46</v>
      </c>
      <c r="M1072" s="1" t="s">
        <v>47</v>
      </c>
      <c r="N1072" s="3">
        <v>878717305</v>
      </c>
      <c r="O1072" s="1" t="s">
        <v>48</v>
      </c>
      <c r="P1072" s="1" t="s">
        <v>6745</v>
      </c>
      <c r="Q1072" s="4">
        <v>1.3999999999999999</v>
      </c>
      <c r="R1072" s="4">
        <v>1.3999999999999999</v>
      </c>
      <c r="S1072" s="8">
        <v>4.2000000000000002</v>
      </c>
      <c r="T1072" s="1" t="s">
        <v>50</v>
      </c>
      <c r="U1072" s="8">
        <v>15</v>
      </c>
      <c r="V1072" s="8">
        <v>15</v>
      </c>
      <c r="W1072" s="7">
        <v>6666666</v>
      </c>
      <c r="X1072" s="5">
        <v>100</v>
      </c>
      <c r="Y1072" s="7">
        <v>8695653</v>
      </c>
      <c r="Z1072" s="1"/>
      <c r="AA1072" s="2">
        <f ca="1">DATE(2004,05,18)</f>
        <v>0</v>
      </c>
      <c r="AB1072" s="4">
        <v>0.001</v>
      </c>
      <c r="AC1072" s="3">
        <v>180</v>
      </c>
      <c r="AD1072" s="8">
        <v>100</v>
      </c>
      <c r="AE1072" s="1" t="s">
        <v>51</v>
      </c>
      <c r="AF1072" s="1" t="s">
        <v>51</v>
      </c>
      <c r="AG1072" s="1" t="s">
        <v>51</v>
      </c>
      <c r="AH1072" s="1"/>
      <c r="AI1072" s="1"/>
      <c r="AJ1072" s="3">
        <v>1</v>
      </c>
      <c r="AK1072" s="1" t="s">
        <v>52</v>
      </c>
      <c r="AL1072" s="3">
        <v>5</v>
      </c>
      <c r="AM1072" s="8">
        <v>15</v>
      </c>
      <c r="AN1072" s="1"/>
      <c r="AO1072" s="1" t="s">
        <v>6746</v>
      </c>
      <c r="AP1072" s="1" t="s">
        <v>5704</v>
      </c>
      <c r="AQ1072" s="1" t="s">
        <v>6747</v>
      </c>
      <c r="AR1072" s="1" t="s">
        <v>6748</v>
      </c>
    </row>
    <row r="1073">
      <c r="A1073" s="2">
        <f ca="1">DATE(2003,09,23)</f>
        <v>0</v>
      </c>
      <c r="B1073" s="2">
        <f ca="1">DATE(2003,11,24)</f>
        <v>0</v>
      </c>
      <c r="C1073" s="1" t="s">
        <v>6749</v>
      </c>
      <c r="D1073" s="3">
        <v>5999</v>
      </c>
      <c r="E1073" s="1" t="s">
        <v>43</v>
      </c>
      <c r="F1073" s="1" t="s">
        <v>6750</v>
      </c>
      <c r="G1073" s="1" t="s">
        <v>6751</v>
      </c>
      <c r="H1073" s="4">
        <v>0.97999999999999998</v>
      </c>
      <c r="I1073" s="8">
        <v>7</v>
      </c>
      <c r="J1073" s="5">
        <v>58.100000000000001</v>
      </c>
      <c r="K1073" s="4">
        <v>14</v>
      </c>
      <c r="L1073" s="1" t="s">
        <v>46</v>
      </c>
      <c r="M1073" s="1" t="s">
        <v>47</v>
      </c>
      <c r="N1073" s="3">
        <v>208242107</v>
      </c>
      <c r="O1073" s="1" t="s">
        <v>48</v>
      </c>
      <c r="P1073" s="1" t="s">
        <v>6752</v>
      </c>
      <c r="Q1073" s="1" t="s">
        <v>145</v>
      </c>
      <c r="R1073" s="1" t="s">
        <v>145</v>
      </c>
      <c r="S1073" s="6">
        <v>3.9285700000000001</v>
      </c>
      <c r="T1073" s="1" t="s">
        <v>50</v>
      </c>
      <c r="U1073" s="1"/>
      <c r="V1073" s="1"/>
      <c r="W1073" s="1"/>
      <c r="X1073" s="5">
        <v>68.400000000000006</v>
      </c>
      <c r="Y1073" s="7">
        <v>4000000</v>
      </c>
      <c r="Z1073" s="7">
        <v>150000</v>
      </c>
      <c r="AA1073" s="2">
        <f ca="1">DATE(2004,05,22)</f>
        <v>0</v>
      </c>
      <c r="AB1073" s="4">
        <v>81.483000000000004</v>
      </c>
      <c r="AC1073" s="3">
        <v>180</v>
      </c>
      <c r="AD1073" s="8">
        <v>18262040</v>
      </c>
      <c r="AE1073" s="1" t="s">
        <v>51</v>
      </c>
      <c r="AF1073" s="1" t="s">
        <v>51</v>
      </c>
      <c r="AG1073" s="1" t="s">
        <v>51</v>
      </c>
      <c r="AH1073" s="1"/>
      <c r="AI1073" s="1"/>
      <c r="AJ1073" s="3">
        <v>2</v>
      </c>
      <c r="AK1073" s="1" t="s">
        <v>89</v>
      </c>
      <c r="AL1073" s="3">
        <v>2</v>
      </c>
      <c r="AM1073" s="8">
        <v>15.039999999999999</v>
      </c>
      <c r="AN1073" s="1"/>
      <c r="AO1073" s="1" t="s">
        <v>6753</v>
      </c>
      <c r="AP1073" s="1" t="s">
        <v>6754</v>
      </c>
      <c r="AQ1073" s="1" t="s">
        <v>6755</v>
      </c>
      <c r="AR1073" s="1" t="s">
        <v>6756</v>
      </c>
    </row>
    <row r="1074">
      <c r="A1074" s="2">
        <f ca="1">DATE(2003,08,15)</f>
        <v>0</v>
      </c>
      <c r="B1074" s="2">
        <f ca="1">DATE(2003,11,24)</f>
        <v>0</v>
      </c>
      <c r="C1074" s="1" t="s">
        <v>6757</v>
      </c>
      <c r="D1074" s="3">
        <v>6726</v>
      </c>
      <c r="E1074" s="1" t="s">
        <v>43</v>
      </c>
      <c r="F1074" s="1" t="s">
        <v>6758</v>
      </c>
      <c r="G1074" s="1" t="s">
        <v>5704</v>
      </c>
      <c r="H1074" s="4">
        <v>0.90000000000000002</v>
      </c>
      <c r="I1074" s="4">
        <v>4.5</v>
      </c>
      <c r="J1074" s="5">
        <v>600</v>
      </c>
      <c r="K1074" s="4">
        <v>20</v>
      </c>
      <c r="L1074" s="1" t="s">
        <v>46</v>
      </c>
      <c r="M1074" s="1" t="s">
        <v>47</v>
      </c>
      <c r="N1074" s="1" t="s">
        <v>6759</v>
      </c>
      <c r="O1074" s="1" t="s">
        <v>108</v>
      </c>
      <c r="P1074" s="1" t="s">
        <v>6760</v>
      </c>
      <c r="Q1074" s="4">
        <v>1</v>
      </c>
      <c r="R1074" s="4">
        <v>0.5</v>
      </c>
      <c r="S1074" s="8">
        <v>3</v>
      </c>
      <c r="T1074" s="1" t="s">
        <v>50</v>
      </c>
      <c r="U1074" s="8">
        <v>20</v>
      </c>
      <c r="V1074" s="8">
        <v>20</v>
      </c>
      <c r="W1074" s="7">
        <v>50000</v>
      </c>
      <c r="X1074" s="5">
        <v>1</v>
      </c>
      <c r="Y1074" s="7">
        <v>30000000</v>
      </c>
      <c r="Z1074" s="1"/>
      <c r="AA1074" s="2">
        <f ca="1">DATE(2004,05,22)</f>
        <v>0</v>
      </c>
      <c r="AB1074" s="1"/>
      <c r="AC1074" s="3">
        <v>180</v>
      </c>
      <c r="AD1074" s="1"/>
      <c r="AE1074" s="1" t="s">
        <v>51</v>
      </c>
      <c r="AF1074" s="1" t="s">
        <v>51</v>
      </c>
      <c r="AG1074" s="1" t="s">
        <v>51</v>
      </c>
      <c r="AH1074" s="1"/>
      <c r="AI1074" s="1"/>
      <c r="AJ1074" s="3">
        <v>1</v>
      </c>
      <c r="AK1074" s="1" t="s">
        <v>89</v>
      </c>
      <c r="AL1074" s="3">
        <v>9</v>
      </c>
      <c r="AM1074" s="8">
        <v>20</v>
      </c>
      <c r="AN1074" s="1"/>
      <c r="AO1074" s="1" t="s">
        <v>6761</v>
      </c>
      <c r="AP1074" s="1" t="s">
        <v>6762</v>
      </c>
      <c r="AQ1074" s="1" t="s">
        <v>6763</v>
      </c>
      <c r="AR1074" s="1" t="s">
        <v>6764</v>
      </c>
    </row>
    <row r="1075">
      <c r="A1075" s="2">
        <f ca="1">DATE(2003,08,29)</f>
        <v>0</v>
      </c>
      <c r="B1075" s="2">
        <f ca="1">DATE(2003,11,24)</f>
        <v>0</v>
      </c>
      <c r="C1075" s="1" t="s">
        <v>6765</v>
      </c>
      <c r="D1075" s="3">
        <v>6726</v>
      </c>
      <c r="E1075" s="1" t="s">
        <v>43</v>
      </c>
      <c r="F1075" s="1" t="s">
        <v>6766</v>
      </c>
      <c r="G1075" s="1" t="s">
        <v>56</v>
      </c>
      <c r="H1075" s="4">
        <v>0.90000000000000002</v>
      </c>
      <c r="I1075" s="4">
        <v>4.5</v>
      </c>
      <c r="J1075" s="9">
        <v>1460</v>
      </c>
      <c r="K1075" s="4">
        <v>20</v>
      </c>
      <c r="L1075" s="1" t="s">
        <v>4422</v>
      </c>
      <c r="M1075" s="1" t="s">
        <v>47</v>
      </c>
      <c r="N1075" s="1" t="s">
        <v>6767</v>
      </c>
      <c r="O1075" s="1" t="s">
        <v>108</v>
      </c>
      <c r="P1075" s="1" t="s">
        <v>6768</v>
      </c>
      <c r="Q1075" s="4">
        <v>1</v>
      </c>
      <c r="R1075" s="4">
        <v>0.5</v>
      </c>
      <c r="S1075" s="8">
        <v>3</v>
      </c>
      <c r="T1075" s="1" t="s">
        <v>50</v>
      </c>
      <c r="U1075" s="8">
        <v>20</v>
      </c>
      <c r="V1075" s="8">
        <v>20</v>
      </c>
      <c r="W1075" s="7">
        <v>500000</v>
      </c>
      <c r="X1075" s="5">
        <v>10</v>
      </c>
      <c r="Y1075" s="7">
        <v>73000000</v>
      </c>
      <c r="Z1075" s="1"/>
      <c r="AA1075" s="2">
        <f ca="1">DATE(2004,05,22)</f>
        <v>0</v>
      </c>
      <c r="AB1075" s="1"/>
      <c r="AC1075" s="3">
        <v>180</v>
      </c>
      <c r="AD1075" s="1"/>
      <c r="AE1075" s="1" t="s">
        <v>51</v>
      </c>
      <c r="AF1075" s="1" t="s">
        <v>51</v>
      </c>
      <c r="AG1075" s="1" t="s">
        <v>51</v>
      </c>
      <c r="AH1075" s="1"/>
      <c r="AI1075" s="1"/>
      <c r="AJ1075" s="3">
        <v>1</v>
      </c>
      <c r="AK1075" s="1" t="s">
        <v>52</v>
      </c>
      <c r="AL1075" s="3">
        <v>26</v>
      </c>
      <c r="AM1075" s="8">
        <v>20</v>
      </c>
      <c r="AN1075" s="1"/>
      <c r="AO1075" s="1" t="s">
        <v>6769</v>
      </c>
      <c r="AP1075" s="1" t="s">
        <v>56</v>
      </c>
      <c r="AQ1075" s="1" t="s">
        <v>6770</v>
      </c>
      <c r="AR1075" s="1" t="s">
        <v>6771</v>
      </c>
    </row>
    <row r="1076">
      <c r="A1076" s="2">
        <f ca="1">DATE(2002,04,25)</f>
        <v>0</v>
      </c>
      <c r="B1076" s="2">
        <f ca="1">DATE(2003,11,24)</f>
        <v>0</v>
      </c>
      <c r="C1076" s="1" t="s">
        <v>6772</v>
      </c>
      <c r="D1076" s="3">
        <v>4833</v>
      </c>
      <c r="E1076" s="1" t="s">
        <v>43</v>
      </c>
      <c r="F1076" s="1" t="s">
        <v>6773</v>
      </c>
      <c r="G1076" s="1" t="s">
        <v>1297</v>
      </c>
      <c r="H1076" s="4">
        <v>0.97999999999999998</v>
      </c>
      <c r="I1076" s="8">
        <v>7</v>
      </c>
      <c r="J1076" s="5">
        <v>140</v>
      </c>
      <c r="K1076" s="4">
        <v>14</v>
      </c>
      <c r="L1076" s="1" t="s">
        <v>152</v>
      </c>
      <c r="M1076" s="1" t="s">
        <v>47</v>
      </c>
      <c r="N1076" s="1" t="s">
        <v>6774</v>
      </c>
      <c r="O1076" s="1" t="s">
        <v>48</v>
      </c>
      <c r="P1076" s="1" t="s">
        <v>6775</v>
      </c>
      <c r="Q1076" s="4">
        <v>1.3999999999999999</v>
      </c>
      <c r="R1076" s="4">
        <v>1.3999999999999999</v>
      </c>
      <c r="S1076" s="8">
        <v>4.2000000000000002</v>
      </c>
      <c r="T1076" s="1" t="s">
        <v>50</v>
      </c>
      <c r="U1076" s="1"/>
      <c r="V1076" s="1"/>
      <c r="W1076" s="1"/>
      <c r="X1076" s="5">
        <v>143.80000000000001</v>
      </c>
      <c r="Y1076" s="7">
        <v>10000000</v>
      </c>
      <c r="Z1076" s="1"/>
      <c r="AA1076" s="2">
        <f ca="1">DATE(2004,05,22)</f>
        <v>0</v>
      </c>
      <c r="AB1076" s="1"/>
      <c r="AC1076" s="3">
        <v>180</v>
      </c>
      <c r="AD1076" s="1"/>
      <c r="AE1076" s="1" t="s">
        <v>51</v>
      </c>
      <c r="AF1076" s="1" t="s">
        <v>51</v>
      </c>
      <c r="AG1076" s="1" t="s">
        <v>51</v>
      </c>
      <c r="AH1076" s="1"/>
      <c r="AI1076" s="1"/>
      <c r="AJ1076" s="3">
        <v>1</v>
      </c>
      <c r="AK1076" s="1" t="s">
        <v>89</v>
      </c>
      <c r="AL1076" s="3">
        <v>5</v>
      </c>
      <c r="AM1076" s="8">
        <v>13.35</v>
      </c>
      <c r="AN1076" s="1"/>
      <c r="AO1076" s="1" t="s">
        <v>6776</v>
      </c>
      <c r="AP1076" s="1" t="s">
        <v>6777</v>
      </c>
      <c r="AQ1076" s="1" t="s">
        <v>6778</v>
      </c>
      <c r="AR1076" s="1" t="s">
        <v>6779</v>
      </c>
    </row>
    <row r="1077">
      <c r="A1077" s="2">
        <f ca="1">DATE(2002,02,25)</f>
        <v>0</v>
      </c>
      <c r="B1077" s="2">
        <f ca="1">DATE(2003,11,24)</f>
        <v>0</v>
      </c>
      <c r="C1077" s="1" t="s">
        <v>6780</v>
      </c>
      <c r="D1077" s="3">
        <v>4512</v>
      </c>
      <c r="E1077" s="1" t="s">
        <v>43</v>
      </c>
      <c r="F1077" s="1" t="s">
        <v>6781</v>
      </c>
      <c r="G1077" s="1" t="s">
        <v>796</v>
      </c>
      <c r="H1077" s="4">
        <v>0.83999999999999997</v>
      </c>
      <c r="I1077" s="4">
        <v>6</v>
      </c>
      <c r="J1077" s="5">
        <v>271.60000000000002</v>
      </c>
      <c r="K1077" s="4">
        <v>14</v>
      </c>
      <c r="L1077" s="1" t="s">
        <v>46</v>
      </c>
      <c r="M1077" s="1" t="s">
        <v>47</v>
      </c>
      <c r="N1077" s="3">
        <v>723443107</v>
      </c>
      <c r="O1077" s="1" t="s">
        <v>48</v>
      </c>
      <c r="P1077" s="1" t="s">
        <v>6782</v>
      </c>
      <c r="Q1077" s="4">
        <v>1.1790000000000001</v>
      </c>
      <c r="R1077" s="4">
        <v>1.1790000000000001</v>
      </c>
      <c r="S1077" s="6">
        <v>3.6428600000000002</v>
      </c>
      <c r="T1077" s="1" t="s">
        <v>50</v>
      </c>
      <c r="U1077" s="8">
        <v>17</v>
      </c>
      <c r="V1077" s="8">
        <v>15</v>
      </c>
      <c r="W1077" s="7">
        <v>19400000</v>
      </c>
      <c r="X1077" s="5">
        <v>310.39999999999998</v>
      </c>
      <c r="Y1077" s="1"/>
      <c r="Z1077" s="7">
        <v>19400000</v>
      </c>
      <c r="AA1077" s="2">
        <f ca="1">DATE(2004,05,22)</f>
        <v>0</v>
      </c>
      <c r="AB1077" s="4">
        <v>11.382999999999999</v>
      </c>
      <c r="AC1077" s="3">
        <v>180</v>
      </c>
      <c r="AD1077" s="8">
        <v>2492062</v>
      </c>
      <c r="AE1077" s="1" t="s">
        <v>51</v>
      </c>
      <c r="AF1077" s="1" t="s">
        <v>51</v>
      </c>
      <c r="AG1077" s="1" t="s">
        <v>51</v>
      </c>
      <c r="AH1077" s="1"/>
      <c r="AI1077" s="1"/>
      <c r="AJ1077" s="3">
        <v>1</v>
      </c>
      <c r="AK1077" s="1" t="s">
        <v>52</v>
      </c>
      <c r="AL1077" s="3">
        <v>6</v>
      </c>
      <c r="AM1077" s="8">
        <v>13.300000000000001</v>
      </c>
      <c r="AN1077" s="1"/>
      <c r="AO1077" s="1" t="s">
        <v>6783</v>
      </c>
      <c r="AP1077" s="1" t="s">
        <v>796</v>
      </c>
      <c r="AQ1077" s="1" t="s">
        <v>6784</v>
      </c>
      <c r="AR1077" s="1" t="s">
        <v>6785</v>
      </c>
    </row>
    <row r="1078">
      <c r="A1078" s="2">
        <f ca="1">DATE(2003,08,22)</f>
        <v>0</v>
      </c>
      <c r="B1078" s="2">
        <f ca="1">DATE(2003,11,24)</f>
        <v>0</v>
      </c>
      <c r="C1078" s="1" t="s">
        <v>6786</v>
      </c>
      <c r="D1078" s="3">
        <v>4213</v>
      </c>
      <c r="E1078" s="1" t="s">
        <v>43</v>
      </c>
      <c r="F1078" s="1" t="s">
        <v>6787</v>
      </c>
      <c r="G1078" s="1" t="s">
        <v>6466</v>
      </c>
      <c r="H1078" s="4">
        <v>1.1559999999999999</v>
      </c>
      <c r="I1078" s="4">
        <v>6.2489999999999997</v>
      </c>
      <c r="J1078" s="5">
        <v>389.5</v>
      </c>
      <c r="K1078" s="4">
        <v>18.5</v>
      </c>
      <c r="L1078" s="1" t="s">
        <v>46</v>
      </c>
      <c r="M1078" s="1" t="s">
        <v>47</v>
      </c>
      <c r="N1078" s="1" t="s">
        <v>6788</v>
      </c>
      <c r="O1078" s="1" t="s">
        <v>108</v>
      </c>
      <c r="P1078" s="1" t="s">
        <v>6789</v>
      </c>
      <c r="Q1078" s="4">
        <v>1.2490000000000001</v>
      </c>
      <c r="R1078" s="4">
        <v>0.23100000000000001</v>
      </c>
      <c r="S1078" s="6">
        <v>3.7514099999999999</v>
      </c>
      <c r="T1078" s="1" t="s">
        <v>50</v>
      </c>
      <c r="U1078" s="1"/>
      <c r="V1078" s="1"/>
      <c r="W1078" s="1"/>
      <c r="X1078" s="5">
        <v>350</v>
      </c>
      <c r="Y1078" s="7">
        <v>13513514</v>
      </c>
      <c r="Z1078" s="7">
        <v>7539118</v>
      </c>
      <c r="AA1078" s="2">
        <f ca="1">DATE(2004,05,22)</f>
        <v>0</v>
      </c>
      <c r="AB1078" s="4">
        <v>70.113</v>
      </c>
      <c r="AC1078" s="3">
        <v>180</v>
      </c>
      <c r="AD1078" s="8">
        <v>49387735</v>
      </c>
      <c r="AE1078" s="1" t="s">
        <v>51</v>
      </c>
      <c r="AF1078" s="1" t="s">
        <v>51</v>
      </c>
      <c r="AG1078" s="1" t="s">
        <v>51</v>
      </c>
      <c r="AH1078" s="1"/>
      <c r="AI1078" s="1"/>
      <c r="AJ1078" s="3">
        <v>2</v>
      </c>
      <c r="AK1078" s="1" t="s">
        <v>89</v>
      </c>
      <c r="AL1078" s="3">
        <v>6</v>
      </c>
      <c r="AM1078" s="8">
        <v>18.100000000000001</v>
      </c>
      <c r="AN1078" s="1"/>
      <c r="AO1078" s="1" t="s">
        <v>6790</v>
      </c>
      <c r="AP1078" s="1" t="s">
        <v>4535</v>
      </c>
      <c r="AQ1078" s="1" t="s">
        <v>6791</v>
      </c>
      <c r="AR1078" s="1" t="s">
        <v>6792</v>
      </c>
    </row>
    <row r="1079">
      <c r="A1079" s="2">
        <f ca="1">DATE(2003,08,28)</f>
        <v>0</v>
      </c>
      <c r="B1079" s="2">
        <f ca="1">DATE(2003,11,25)</f>
        <v>0</v>
      </c>
      <c r="C1079" s="1" t="s">
        <v>6793</v>
      </c>
      <c r="D1079" s="3">
        <v>7373</v>
      </c>
      <c r="E1079" s="1" t="s">
        <v>43</v>
      </c>
      <c r="F1079" s="1" t="s">
        <v>6794</v>
      </c>
      <c r="G1079" s="1" t="s">
        <v>411</v>
      </c>
      <c r="H1079" s="4">
        <v>1.19</v>
      </c>
      <c r="I1079" s="8">
        <v>7</v>
      </c>
      <c r="J1079" s="5">
        <v>85</v>
      </c>
      <c r="K1079" s="4">
        <v>17</v>
      </c>
      <c r="L1079" s="1" t="s">
        <v>46</v>
      </c>
      <c r="M1079" s="1" t="s">
        <v>47</v>
      </c>
      <c r="N1079" s="1" t="s">
        <v>6795</v>
      </c>
      <c r="O1079" s="1" t="s">
        <v>48</v>
      </c>
      <c r="P1079" s="1" t="s">
        <v>6796</v>
      </c>
      <c r="Q1079" s="1" t="s">
        <v>145</v>
      </c>
      <c r="R1079" s="1" t="s">
        <v>145</v>
      </c>
      <c r="S1079" s="6">
        <v>4.23529</v>
      </c>
      <c r="T1079" s="1" t="s">
        <v>50</v>
      </c>
      <c r="U1079" s="1"/>
      <c r="V1079" s="1"/>
      <c r="W1079" s="1"/>
      <c r="X1079" s="5">
        <v>75</v>
      </c>
      <c r="Y1079" s="7">
        <v>4820000</v>
      </c>
      <c r="Z1079" s="7">
        <v>180000</v>
      </c>
      <c r="AA1079" s="2">
        <f ca="1">DATE(2004,05,23)</f>
        <v>0</v>
      </c>
      <c r="AB1079" s="1"/>
      <c r="AC1079" s="3">
        <v>180</v>
      </c>
      <c r="AD1079" s="1"/>
      <c r="AE1079" s="1" t="s">
        <v>51</v>
      </c>
      <c r="AF1079" s="1" t="s">
        <v>51</v>
      </c>
      <c r="AG1079" s="1" t="s">
        <v>47</v>
      </c>
      <c r="AH1079" s="1"/>
      <c r="AI1079" s="1"/>
      <c r="AJ1079" s="3">
        <v>1</v>
      </c>
      <c r="AK1079" s="1" t="s">
        <v>52</v>
      </c>
      <c r="AL1079" s="3">
        <v>3</v>
      </c>
      <c r="AM1079" s="8">
        <v>18.66</v>
      </c>
      <c r="AN1079" s="1"/>
      <c r="AO1079" s="1" t="s">
        <v>6797</v>
      </c>
      <c r="AP1079" s="1" t="s">
        <v>411</v>
      </c>
      <c r="AQ1079" s="1" t="s">
        <v>6798</v>
      </c>
      <c r="AR1079" s="1" t="s">
        <v>6799</v>
      </c>
    </row>
    <row r="1080">
      <c r="A1080" s="2">
        <f ca="1">DATE(2003,09,05)</f>
        <v>0</v>
      </c>
      <c r="B1080" s="2">
        <f ca="1">DATE(2003,11,25)</f>
        <v>0</v>
      </c>
      <c r="C1080" s="1" t="s">
        <v>6800</v>
      </c>
      <c r="D1080" s="3">
        <v>7373</v>
      </c>
      <c r="E1080" s="1" t="s">
        <v>43</v>
      </c>
      <c r="F1080" s="1" t="s">
        <v>6801</v>
      </c>
      <c r="G1080" s="1" t="s">
        <v>411</v>
      </c>
      <c r="H1080" s="4">
        <v>1.0149999999999999</v>
      </c>
      <c r="I1080" s="8">
        <v>7</v>
      </c>
      <c r="J1080" s="5">
        <v>78.299999999999997</v>
      </c>
      <c r="K1080" s="4">
        <v>14.5</v>
      </c>
      <c r="L1080" s="1" t="s">
        <v>46</v>
      </c>
      <c r="M1080" s="1" t="s">
        <v>47</v>
      </c>
      <c r="N1080" s="1" t="s">
        <v>6802</v>
      </c>
      <c r="O1080" s="1" t="s">
        <v>108</v>
      </c>
      <c r="P1080" s="1" t="s">
        <v>6803</v>
      </c>
      <c r="Q1080" s="4">
        <v>1.379</v>
      </c>
      <c r="R1080" s="4">
        <v>1.4139999999999999</v>
      </c>
      <c r="S1080" s="10">
        <v>4.2069000000000001</v>
      </c>
      <c r="T1080" s="1" t="s">
        <v>50</v>
      </c>
      <c r="U1080" s="1"/>
      <c r="V1080" s="1"/>
      <c r="W1080" s="1"/>
      <c r="X1080" s="5">
        <v>92</v>
      </c>
      <c r="Y1080" s="7">
        <v>3577500</v>
      </c>
      <c r="Z1080" s="7">
        <v>1822500</v>
      </c>
      <c r="AA1080" s="2">
        <f ca="1">DATE(2004,05,23)</f>
        <v>0</v>
      </c>
      <c r="AB1080" s="4">
        <v>78.397999999999996</v>
      </c>
      <c r="AC1080" s="3">
        <v>180</v>
      </c>
      <c r="AD1080" s="8">
        <v>20122935</v>
      </c>
      <c r="AE1080" s="1" t="s">
        <v>51</v>
      </c>
      <c r="AF1080" s="1" t="s">
        <v>51</v>
      </c>
      <c r="AG1080" s="1" t="s">
        <v>51</v>
      </c>
      <c r="AH1080" s="1"/>
      <c r="AI1080" s="1"/>
      <c r="AJ1080" s="3">
        <v>1</v>
      </c>
      <c r="AK1080" s="1" t="s">
        <v>52</v>
      </c>
      <c r="AL1080" s="3">
        <v>3</v>
      </c>
      <c r="AM1080" s="8">
        <v>14.25</v>
      </c>
      <c r="AN1080" s="1"/>
      <c r="AO1080" s="1" t="s">
        <v>6804</v>
      </c>
      <c r="AP1080" s="1" t="s">
        <v>411</v>
      </c>
      <c r="AQ1080" s="1" t="s">
        <v>6805</v>
      </c>
      <c r="AR1080" s="1" t="s">
        <v>6803</v>
      </c>
    </row>
    <row r="1081">
      <c r="A1081" s="2">
        <f ca="1">DATE(2003,10,07)</f>
        <v>0</v>
      </c>
      <c r="B1081" s="2">
        <f ca="1">DATE(2003,12,01)</f>
        <v>0</v>
      </c>
      <c r="C1081" s="1" t="s">
        <v>6806</v>
      </c>
      <c r="D1081" s="3">
        <v>6726</v>
      </c>
      <c r="E1081" s="1" t="s">
        <v>43</v>
      </c>
      <c r="F1081" s="1" t="s">
        <v>6807</v>
      </c>
      <c r="G1081" s="1" t="s">
        <v>6201</v>
      </c>
      <c r="H1081" s="4">
        <v>0.90000000000000002</v>
      </c>
      <c r="I1081" s="4">
        <v>4.5</v>
      </c>
      <c r="J1081" s="5">
        <v>480</v>
      </c>
      <c r="K1081" s="4">
        <v>20</v>
      </c>
      <c r="L1081" s="1" t="s">
        <v>46</v>
      </c>
      <c r="M1081" s="1" t="s">
        <v>47</v>
      </c>
      <c r="N1081" s="1" t="s">
        <v>6808</v>
      </c>
      <c r="O1081" s="1" t="s">
        <v>108</v>
      </c>
      <c r="P1081" s="1" t="s">
        <v>6809</v>
      </c>
      <c r="Q1081" s="1" t="s">
        <v>145</v>
      </c>
      <c r="R1081" s="1" t="s">
        <v>145</v>
      </c>
      <c r="S1081" s="1"/>
      <c r="T1081" s="1" t="s">
        <v>50</v>
      </c>
      <c r="U1081" s="8">
        <v>20</v>
      </c>
      <c r="V1081" s="8">
        <v>20</v>
      </c>
      <c r="W1081" s="7">
        <v>1000</v>
      </c>
      <c r="X1081" s="5">
        <v>0</v>
      </c>
      <c r="Y1081" s="7">
        <v>24000000</v>
      </c>
      <c r="Z1081" s="1"/>
      <c r="AA1081" s="1"/>
      <c r="AB1081" s="1"/>
      <c r="AC1081" s="1"/>
      <c r="AD1081" s="1"/>
      <c r="AE1081" s="1" t="s">
        <v>51</v>
      </c>
      <c r="AF1081" s="1" t="s">
        <v>51</v>
      </c>
      <c r="AG1081" s="1" t="s">
        <v>51</v>
      </c>
      <c r="AH1081" s="1"/>
      <c r="AI1081" s="1"/>
      <c r="AJ1081" s="3">
        <v>1</v>
      </c>
      <c r="AK1081" s="1" t="s">
        <v>52</v>
      </c>
      <c r="AL1081" s="3">
        <v>5</v>
      </c>
      <c r="AM1081" s="8">
        <v>20</v>
      </c>
      <c r="AN1081" s="1"/>
      <c r="AO1081" s="1" t="s">
        <v>6810</v>
      </c>
      <c r="AP1081" s="1" t="s">
        <v>6201</v>
      </c>
      <c r="AQ1081" s="1" t="s">
        <v>6811</v>
      </c>
      <c r="AR1081" s="1" t="s">
        <v>6812</v>
      </c>
    </row>
    <row r="1082">
      <c r="A1082" s="2">
        <f ca="1">DATE(2003,09,15)</f>
        <v>0</v>
      </c>
      <c r="B1082" s="2">
        <f ca="1">DATE(2003,12,03)</f>
        <v>0</v>
      </c>
      <c r="C1082" s="1" t="s">
        <v>6813</v>
      </c>
      <c r="D1082" s="3">
        <v>6311</v>
      </c>
      <c r="E1082" s="1" t="s">
        <v>43</v>
      </c>
      <c r="F1082" s="1" t="s">
        <v>6814</v>
      </c>
      <c r="G1082" s="1" t="s">
        <v>45</v>
      </c>
      <c r="H1082" s="4">
        <v>0.63</v>
      </c>
      <c r="I1082" s="4">
        <v>7</v>
      </c>
      <c r="J1082" s="5">
        <v>168.30000000000001</v>
      </c>
      <c r="K1082" s="4">
        <v>9</v>
      </c>
      <c r="L1082" s="1" t="s">
        <v>46</v>
      </c>
      <c r="M1082" s="1" t="s">
        <v>47</v>
      </c>
      <c r="N1082" s="1" t="s">
        <v>6815</v>
      </c>
      <c r="O1082" s="1" t="s">
        <v>108</v>
      </c>
      <c r="P1082" s="1" t="s">
        <v>6816</v>
      </c>
      <c r="Q1082" s="1" t="s">
        <v>145</v>
      </c>
      <c r="R1082" s="1" t="s">
        <v>145</v>
      </c>
      <c r="S1082" s="1"/>
      <c r="T1082" s="1" t="s">
        <v>50</v>
      </c>
      <c r="U1082" s="1"/>
      <c r="V1082" s="1"/>
      <c r="W1082" s="1"/>
      <c r="X1082" s="5">
        <v>247.30000000000001</v>
      </c>
      <c r="Y1082" s="7">
        <v>18700000</v>
      </c>
      <c r="Z1082" s="1"/>
      <c r="AA1082" s="2">
        <f ca="1">DATE(2004,05,31)</f>
        <v>0</v>
      </c>
      <c r="AB1082" s="4">
        <v>43.834000000000003</v>
      </c>
      <c r="AC1082" s="3">
        <v>180</v>
      </c>
      <c r="AD1082" s="8">
        <v>14594035</v>
      </c>
      <c r="AE1082" s="1" t="s">
        <v>51</v>
      </c>
      <c r="AF1082" s="1" t="s">
        <v>51</v>
      </c>
      <c r="AG1082" s="1" t="s">
        <v>51</v>
      </c>
      <c r="AH1082" s="1"/>
      <c r="AI1082" s="1"/>
      <c r="AJ1082" s="3">
        <v>1</v>
      </c>
      <c r="AK1082" s="1" t="s">
        <v>52</v>
      </c>
      <c r="AL1082" s="3">
        <v>4</v>
      </c>
      <c r="AM1082" s="8">
        <v>9.0500000000000007</v>
      </c>
      <c r="AN1082" s="1"/>
      <c r="AO1082" s="1" t="s">
        <v>6817</v>
      </c>
      <c r="AP1082" s="1" t="s">
        <v>45</v>
      </c>
      <c r="AQ1082" s="1" t="s">
        <v>6818</v>
      </c>
      <c r="AR1082" s="1" t="s">
        <v>6819</v>
      </c>
    </row>
    <row r="1083">
      <c r="A1083" s="2">
        <f ca="1">DATE(2003,11,12)</f>
        <v>0</v>
      </c>
      <c r="B1083" s="2">
        <f ca="1">DATE(2003,12,03)</f>
        <v>0</v>
      </c>
      <c r="C1083" s="1" t="s">
        <v>6820</v>
      </c>
      <c r="D1083" s="3">
        <v>6321</v>
      </c>
      <c r="E1083" s="1" t="s">
        <v>517</v>
      </c>
      <c r="F1083" s="1" t="s">
        <v>6821</v>
      </c>
      <c r="G1083" s="1" t="s">
        <v>6466</v>
      </c>
      <c r="H1083" s="4">
        <v>1.575</v>
      </c>
      <c r="I1083" s="8">
        <v>7</v>
      </c>
      <c r="J1083" s="5">
        <v>236.80000000000001</v>
      </c>
      <c r="K1083" s="4">
        <v>22.5</v>
      </c>
      <c r="L1083" s="1" t="s">
        <v>1057</v>
      </c>
      <c r="M1083" s="1" t="s">
        <v>47</v>
      </c>
      <c r="N1083" s="1" t="s">
        <v>6822</v>
      </c>
      <c r="O1083" s="1" t="s">
        <v>108</v>
      </c>
      <c r="P1083" s="1" t="s">
        <v>6823</v>
      </c>
      <c r="Q1083" s="1" t="s">
        <v>145</v>
      </c>
      <c r="R1083" s="1" t="s">
        <v>145</v>
      </c>
      <c r="S1083" s="6">
        <v>4.2222200000000001</v>
      </c>
      <c r="T1083" s="1" t="s">
        <v>50</v>
      </c>
      <c r="U1083" s="8">
        <v>22</v>
      </c>
      <c r="V1083" s="8">
        <v>20</v>
      </c>
      <c r="W1083" s="7">
        <v>9524000</v>
      </c>
      <c r="X1083" s="5">
        <v>200</v>
      </c>
      <c r="Y1083" s="7">
        <v>10524000</v>
      </c>
      <c r="Z1083" s="1"/>
      <c r="AA1083" s="2">
        <f ca="1">DATE(2004,05,31)</f>
        <v>0</v>
      </c>
      <c r="AB1083" s="4">
        <v>82.504999999999995</v>
      </c>
      <c r="AC1083" s="3">
        <v>180</v>
      </c>
      <c r="AD1083" s="8">
        <v>57076703</v>
      </c>
      <c r="AE1083" s="1" t="s">
        <v>51</v>
      </c>
      <c r="AF1083" s="1" t="s">
        <v>51</v>
      </c>
      <c r="AG1083" s="1" t="s">
        <v>51</v>
      </c>
      <c r="AH1083" s="1"/>
      <c r="AI1083" s="1"/>
      <c r="AJ1083" s="3">
        <v>2</v>
      </c>
      <c r="AK1083" s="1" t="s">
        <v>110</v>
      </c>
      <c r="AL1083" s="3">
        <v>7</v>
      </c>
      <c r="AM1083" s="8">
        <v>24.050000000000001</v>
      </c>
      <c r="AN1083" s="1"/>
      <c r="AO1083" s="1" t="s">
        <v>6824</v>
      </c>
      <c r="AP1083" s="1" t="s">
        <v>6825</v>
      </c>
      <c r="AQ1083" s="1" t="s">
        <v>6826</v>
      </c>
      <c r="AR1083" s="1" t="s">
        <v>6827</v>
      </c>
    </row>
    <row r="1084">
      <c r="A1084" s="2">
        <f ca="1">DATE(2003,02,13)</f>
        <v>0</v>
      </c>
      <c r="B1084" s="2">
        <f ca="1">DATE(2003,12,04)</f>
        <v>0</v>
      </c>
      <c r="C1084" s="1" t="s">
        <v>6828</v>
      </c>
      <c r="D1084" s="3">
        <v>5812</v>
      </c>
      <c r="E1084" s="1" t="s">
        <v>43</v>
      </c>
      <c r="F1084" s="1" t="s">
        <v>6829</v>
      </c>
      <c r="G1084" s="1" t="s">
        <v>1056</v>
      </c>
      <c r="H1084" s="4">
        <v>0.90000000000000002</v>
      </c>
      <c r="I1084" s="4">
        <v>6</v>
      </c>
      <c r="J1084" s="5">
        <v>251.80000000000001</v>
      </c>
      <c r="K1084" s="4">
        <v>15</v>
      </c>
      <c r="L1084" s="1" t="s">
        <v>6830</v>
      </c>
      <c r="M1084" s="1" t="s">
        <v>47</v>
      </c>
      <c r="N1084" s="1" t="s">
        <v>6831</v>
      </c>
      <c r="O1084" s="1" t="s">
        <v>87</v>
      </c>
      <c r="P1084" s="1" t="s">
        <v>6832</v>
      </c>
      <c r="Q1084" s="1" t="s">
        <v>145</v>
      </c>
      <c r="R1084" s="1" t="s">
        <v>145</v>
      </c>
      <c r="S1084" s="1"/>
      <c r="T1084" s="1" t="s">
        <v>50</v>
      </c>
      <c r="U1084" s="1"/>
      <c r="V1084" s="1"/>
      <c r="W1084" s="1"/>
      <c r="X1084" s="5">
        <v>275</v>
      </c>
      <c r="Y1084" s="7">
        <v>16785450</v>
      </c>
      <c r="Z1084" s="1"/>
      <c r="AA1084" s="2">
        <f ca="1">DATE(2004,06,01)</f>
        <v>0</v>
      </c>
      <c r="AB1084" s="1"/>
      <c r="AC1084" s="3">
        <v>180</v>
      </c>
      <c r="AD1084" s="1"/>
      <c r="AE1084" s="1" t="s">
        <v>51</v>
      </c>
      <c r="AF1084" s="1" t="s">
        <v>51</v>
      </c>
      <c r="AG1084" s="1" t="s">
        <v>51</v>
      </c>
      <c r="AH1084" s="1"/>
      <c r="AI1084" s="1"/>
      <c r="AJ1084" s="3">
        <v>1</v>
      </c>
      <c r="AK1084" s="1" t="s">
        <v>89</v>
      </c>
      <c r="AL1084" s="3">
        <v>46</v>
      </c>
      <c r="AM1084" s="8">
        <v>15.26</v>
      </c>
      <c r="AN1084" s="1"/>
      <c r="AO1084" s="1" t="s">
        <v>6833</v>
      </c>
      <c r="AP1084" s="1" t="s">
        <v>6834</v>
      </c>
      <c r="AQ1084" s="1" t="s">
        <v>6835</v>
      </c>
      <c r="AR1084" s="1" t="s">
        <v>6836</v>
      </c>
    </row>
    <row r="1085">
      <c r="A1085" s="2">
        <f ca="1">DATE(2003,11,13)</f>
        <v>0</v>
      </c>
      <c r="B1085" s="2">
        <f ca="1">DATE(2003,12,09)</f>
        <v>0</v>
      </c>
      <c r="C1085" s="1" t="s">
        <v>6837</v>
      </c>
      <c r="D1085" s="3">
        <v>7375</v>
      </c>
      <c r="E1085" s="1" t="s">
        <v>744</v>
      </c>
      <c r="F1085" s="1" t="s">
        <v>6838</v>
      </c>
      <c r="G1085" s="1" t="s">
        <v>56</v>
      </c>
      <c r="H1085" s="4">
        <v>1.26</v>
      </c>
      <c r="I1085" s="4">
        <v>7</v>
      </c>
      <c r="J1085" s="5">
        <v>75.599999999999994</v>
      </c>
      <c r="K1085" s="4">
        <v>18</v>
      </c>
      <c r="L1085" s="1" t="s">
        <v>651</v>
      </c>
      <c r="M1085" s="1" t="s">
        <v>47</v>
      </c>
      <c r="N1085" s="1" t="s">
        <v>6839</v>
      </c>
      <c r="O1085" s="1" t="s">
        <v>48</v>
      </c>
      <c r="P1085" s="1" t="s">
        <v>6840</v>
      </c>
      <c r="Q1085" s="4">
        <v>1.3999999999999999</v>
      </c>
      <c r="R1085" s="4">
        <v>1.3999999999999999</v>
      </c>
      <c r="S1085" s="8">
        <v>4.2000000000000002</v>
      </c>
      <c r="T1085" s="1" t="s">
        <v>50</v>
      </c>
      <c r="U1085" s="1"/>
      <c r="V1085" s="1"/>
      <c r="W1085" s="1"/>
      <c r="X1085" s="5">
        <v>60</v>
      </c>
      <c r="Y1085" s="7">
        <v>2700000</v>
      </c>
      <c r="Z1085" s="7">
        <v>1500000</v>
      </c>
      <c r="AA1085" s="1" t="s">
        <v>6841</v>
      </c>
      <c r="AB1085" s="1" t="s">
        <v>2067</v>
      </c>
      <c r="AC1085" s="1" t="s">
        <v>2068</v>
      </c>
      <c r="AD1085" s="1" t="s">
        <v>2067</v>
      </c>
      <c r="AE1085" s="1" t="s">
        <v>47</v>
      </c>
      <c r="AF1085" s="1" t="s">
        <v>51</v>
      </c>
      <c r="AG1085" s="1" t="s">
        <v>47</v>
      </c>
      <c r="AH1085" s="1"/>
      <c r="AI1085" s="1"/>
      <c r="AJ1085" s="3">
        <v>1</v>
      </c>
      <c r="AK1085" s="1" t="s">
        <v>52</v>
      </c>
      <c r="AL1085" s="3">
        <v>3</v>
      </c>
      <c r="AM1085" s="8">
        <v>32.509999999999998</v>
      </c>
      <c r="AN1085" s="1"/>
      <c r="AO1085" s="1" t="s">
        <v>6842</v>
      </c>
      <c r="AP1085" s="1" t="s">
        <v>56</v>
      </c>
      <c r="AQ1085" s="1" t="s">
        <v>6843</v>
      </c>
      <c r="AR1085" s="1" t="s">
        <v>6844</v>
      </c>
    </row>
    <row r="1086">
      <c r="A1086" s="2">
        <f ca="1">DATE(2003,07,03)</f>
        <v>0</v>
      </c>
      <c r="B1086" s="2">
        <f ca="1">DATE(2003,12,09)</f>
        <v>0</v>
      </c>
      <c r="C1086" s="1" t="s">
        <v>6845</v>
      </c>
      <c r="D1086" s="3">
        <v>2834</v>
      </c>
      <c r="E1086" s="1" t="s">
        <v>43</v>
      </c>
      <c r="F1086" s="1" t="s">
        <v>6846</v>
      </c>
      <c r="G1086" s="1" t="s">
        <v>630</v>
      </c>
      <c r="H1086" s="1" t="s">
        <v>57</v>
      </c>
      <c r="I1086" s="1" t="s">
        <v>57</v>
      </c>
      <c r="J1086" s="5">
        <v>6.5</v>
      </c>
      <c r="K1086" s="4">
        <v>5</v>
      </c>
      <c r="L1086" s="1" t="s">
        <v>152</v>
      </c>
      <c r="M1086" s="1" t="s">
        <v>47</v>
      </c>
      <c r="N1086" s="1" t="s">
        <v>6847</v>
      </c>
      <c r="O1086" s="1" t="s">
        <v>698</v>
      </c>
      <c r="P1086" s="1" t="s">
        <v>6848</v>
      </c>
      <c r="Q1086" s="1"/>
      <c r="R1086" s="1"/>
      <c r="S1086" s="1"/>
      <c r="T1086" s="1" t="s">
        <v>50</v>
      </c>
      <c r="U1086" s="8">
        <v>5</v>
      </c>
      <c r="V1086" s="8">
        <v>5</v>
      </c>
      <c r="W1086" s="7">
        <v>1000000</v>
      </c>
      <c r="X1086" s="5">
        <v>5</v>
      </c>
      <c r="Y1086" s="7">
        <v>1300000</v>
      </c>
      <c r="Z1086" s="1"/>
      <c r="AA1086" s="1"/>
      <c r="AB1086" s="1"/>
      <c r="AC1086" s="1"/>
      <c r="AD1086" s="1"/>
      <c r="AE1086" s="1" t="s">
        <v>51</v>
      </c>
      <c r="AF1086" s="1" t="s">
        <v>51</v>
      </c>
      <c r="AG1086" s="1" t="s">
        <v>51</v>
      </c>
      <c r="AH1086" s="1"/>
      <c r="AI1086" s="1"/>
      <c r="AJ1086" s="3">
        <v>1</v>
      </c>
      <c r="AK1086" s="1" t="s">
        <v>52</v>
      </c>
      <c r="AL1086" s="3">
        <v>1</v>
      </c>
      <c r="AM1086" s="8">
        <v>5.5</v>
      </c>
      <c r="AN1086" s="1"/>
      <c r="AO1086" s="1" t="s">
        <v>630</v>
      </c>
      <c r="AP1086" s="1" t="s">
        <v>630</v>
      </c>
      <c r="AQ1086" s="1" t="s">
        <v>630</v>
      </c>
      <c r="AR1086" s="1" t="s">
        <v>6849</v>
      </c>
    </row>
    <row r="1087">
      <c r="A1087" s="2">
        <f ca="1">DATE(2003,08,19)</f>
        <v>0</v>
      </c>
      <c r="B1087" s="2">
        <f ca="1">DATE(2003,12,10)</f>
        <v>0</v>
      </c>
      <c r="C1087" s="1" t="s">
        <v>6850</v>
      </c>
      <c r="D1087" s="3">
        <v>6141</v>
      </c>
      <c r="E1087" s="1" t="s">
        <v>43</v>
      </c>
      <c r="F1087" s="1" t="s">
        <v>6851</v>
      </c>
      <c r="G1087" s="1" t="s">
        <v>6852</v>
      </c>
      <c r="H1087" s="4">
        <v>1.47</v>
      </c>
      <c r="I1087" s="8">
        <v>7</v>
      </c>
      <c r="J1087" s="5">
        <v>168</v>
      </c>
      <c r="K1087" s="4">
        <v>21</v>
      </c>
      <c r="L1087" s="1" t="s">
        <v>152</v>
      </c>
      <c r="M1087" s="1" t="s">
        <v>47</v>
      </c>
      <c r="N1087" s="1" t="s">
        <v>6853</v>
      </c>
      <c r="O1087" s="1" t="s">
        <v>108</v>
      </c>
      <c r="P1087" s="1" t="s">
        <v>6854</v>
      </c>
      <c r="Q1087" s="4">
        <v>1.3999999999999999</v>
      </c>
      <c r="R1087" s="4">
        <v>1.3999999999999999</v>
      </c>
      <c r="S1087" s="8">
        <v>4.2000000000000002</v>
      </c>
      <c r="T1087" s="1" t="s">
        <v>50</v>
      </c>
      <c r="U1087" s="1"/>
      <c r="V1087" s="1"/>
      <c r="W1087" s="7">
        <v>8000000</v>
      </c>
      <c r="X1087" s="5">
        <v>200</v>
      </c>
      <c r="Y1087" s="7">
        <v>8000000</v>
      </c>
      <c r="Z1087" s="1"/>
      <c r="AA1087" s="2">
        <f ca="1">DATE(2004,06,07)</f>
        <v>0</v>
      </c>
      <c r="AB1087" s="4">
        <v>57.837000000000003</v>
      </c>
      <c r="AC1087" s="3">
        <v>180</v>
      </c>
      <c r="AD1087" s="8">
        <v>31015034</v>
      </c>
      <c r="AE1087" s="1" t="s">
        <v>51</v>
      </c>
      <c r="AF1087" s="1" t="s">
        <v>51</v>
      </c>
      <c r="AG1087" s="1" t="s">
        <v>51</v>
      </c>
      <c r="AH1087" s="1"/>
      <c r="AI1087" s="1"/>
      <c r="AJ1087" s="3">
        <v>2</v>
      </c>
      <c r="AK1087" s="1" t="s">
        <v>89</v>
      </c>
      <c r="AL1087" s="3">
        <v>4</v>
      </c>
      <c r="AM1087" s="8">
        <v>21.800000000000001</v>
      </c>
      <c r="AN1087" s="1"/>
      <c r="AO1087" s="1" t="s">
        <v>6855</v>
      </c>
      <c r="AP1087" s="1" t="s">
        <v>6856</v>
      </c>
      <c r="AQ1087" s="1" t="s">
        <v>6857</v>
      </c>
      <c r="AR1087" s="1" t="s">
        <v>6858</v>
      </c>
    </row>
    <row r="1088">
      <c r="A1088" s="2">
        <f ca="1">DATE(2003,09,24)</f>
        <v>0</v>
      </c>
      <c r="B1088" s="2">
        <f ca="1">DATE(2003,12,11)</f>
        <v>0</v>
      </c>
      <c r="C1088" s="1" t="s">
        <v>6859</v>
      </c>
      <c r="D1088" s="3">
        <v>4213</v>
      </c>
      <c r="E1088" s="1" t="s">
        <v>43</v>
      </c>
      <c r="F1088" s="1" t="s">
        <v>6860</v>
      </c>
      <c r="G1088" s="1" t="s">
        <v>411</v>
      </c>
      <c r="H1088" s="4">
        <v>1.05</v>
      </c>
      <c r="I1088" s="4">
        <v>7</v>
      </c>
      <c r="J1088" s="5">
        <v>127.5</v>
      </c>
      <c r="K1088" s="4">
        <v>15</v>
      </c>
      <c r="L1088" s="1" t="s">
        <v>46</v>
      </c>
      <c r="M1088" s="1" t="s">
        <v>47</v>
      </c>
      <c r="N1088" s="3">
        <v>153491105</v>
      </c>
      <c r="O1088" s="1" t="s">
        <v>48</v>
      </c>
      <c r="P1088" s="1" t="s">
        <v>6861</v>
      </c>
      <c r="Q1088" s="4">
        <v>1.3999999999999999</v>
      </c>
      <c r="R1088" s="4">
        <v>1.3999999999999999</v>
      </c>
      <c r="S1088" s="8">
        <v>4.2000000000000002</v>
      </c>
      <c r="T1088" s="1" t="s">
        <v>50</v>
      </c>
      <c r="U1088" s="1"/>
      <c r="V1088" s="1"/>
      <c r="W1088" s="1"/>
      <c r="X1088" s="5">
        <v>138</v>
      </c>
      <c r="Y1088" s="7">
        <v>5700000</v>
      </c>
      <c r="Z1088" s="7">
        <v>2800000</v>
      </c>
      <c r="AA1088" s="2">
        <f ca="1">DATE(2004,06,08)</f>
        <v>0</v>
      </c>
      <c r="AB1088" s="1"/>
      <c r="AC1088" s="3">
        <v>180</v>
      </c>
      <c r="AD1088" s="1"/>
      <c r="AE1088" s="1" t="s">
        <v>51</v>
      </c>
      <c r="AF1088" s="1" t="s">
        <v>51</v>
      </c>
      <c r="AG1088" s="1" t="s">
        <v>51</v>
      </c>
      <c r="AH1088" s="1"/>
      <c r="AI1088" s="1"/>
      <c r="AJ1088" s="3">
        <v>1</v>
      </c>
      <c r="AK1088" s="1" t="s">
        <v>52</v>
      </c>
      <c r="AL1088" s="3">
        <v>5</v>
      </c>
      <c r="AM1088" s="8">
        <v>17.350000000000001</v>
      </c>
      <c r="AN1088" s="1"/>
      <c r="AO1088" s="1" t="s">
        <v>6862</v>
      </c>
      <c r="AP1088" s="1" t="s">
        <v>411</v>
      </c>
      <c r="AQ1088" s="1" t="s">
        <v>6863</v>
      </c>
      <c r="AR1088" s="1" t="s">
        <v>6864</v>
      </c>
    </row>
    <row r="1089">
      <c r="A1089" s="2">
        <f ca="1">DATE(2003,11,20)</f>
        <v>0</v>
      </c>
      <c r="B1089" s="2">
        <f ca="1">DATE(2003,12,11)</f>
        <v>0</v>
      </c>
      <c r="C1089" s="1" t="s">
        <v>6865</v>
      </c>
      <c r="D1089" s="3">
        <v>6311</v>
      </c>
      <c r="E1089" s="1" t="s">
        <v>744</v>
      </c>
      <c r="F1089" s="1" t="s">
        <v>6866</v>
      </c>
      <c r="G1089" s="1" t="s">
        <v>6867</v>
      </c>
      <c r="H1089" s="4">
        <v>0.65400000000000003</v>
      </c>
      <c r="I1089" s="4">
        <v>3.5</v>
      </c>
      <c r="J1089" s="9">
        <v>1208.7000000000001</v>
      </c>
      <c r="K1089" s="4">
        <v>18.68</v>
      </c>
      <c r="L1089" s="1" t="s">
        <v>651</v>
      </c>
      <c r="M1089" s="1" t="s">
        <v>47</v>
      </c>
      <c r="N1089" s="1" t="s">
        <v>6868</v>
      </c>
      <c r="O1089" s="1" t="s">
        <v>108</v>
      </c>
      <c r="P1089" s="1" t="s">
        <v>6869</v>
      </c>
      <c r="Q1089" s="4">
        <v>0.69999999999999996</v>
      </c>
      <c r="R1089" s="4">
        <v>0.69999999999999996</v>
      </c>
      <c r="S1089" s="8">
        <v>2.1000000000000001</v>
      </c>
      <c r="T1089" s="1" t="s">
        <v>50</v>
      </c>
      <c r="U1089" s="1"/>
      <c r="V1089" s="1"/>
      <c r="W1089" s="1"/>
      <c r="X1089" s="9">
        <v>2500</v>
      </c>
      <c r="Y1089" s="7">
        <v>58823525</v>
      </c>
      <c r="Z1089" s="7">
        <v>5882350</v>
      </c>
      <c r="AA1089" s="2">
        <f ca="1">DATE(2004,06,08)</f>
        <v>0</v>
      </c>
      <c r="AB1089" s="1"/>
      <c r="AC1089" s="3">
        <v>180</v>
      </c>
      <c r="AD1089" s="1"/>
      <c r="AE1089" s="1" t="s">
        <v>47</v>
      </c>
      <c r="AF1089" s="1" t="s">
        <v>51</v>
      </c>
      <c r="AG1089" s="1" t="s">
        <v>51</v>
      </c>
      <c r="AH1089" s="1"/>
      <c r="AI1089" s="1" t="s">
        <v>6870</v>
      </c>
      <c r="AJ1089" s="3">
        <v>4</v>
      </c>
      <c r="AK1089" s="1" t="s">
        <v>1209</v>
      </c>
      <c r="AL1089" s="3">
        <v>11</v>
      </c>
      <c r="AM1089" s="8">
        <v>23.719999999999999</v>
      </c>
      <c r="AN1089" s="1"/>
      <c r="AO1089" s="1" t="s">
        <v>6871</v>
      </c>
      <c r="AP1089" s="1" t="s">
        <v>6872</v>
      </c>
      <c r="AQ1089" s="1" t="s">
        <v>6873</v>
      </c>
      <c r="AR1089" s="1" t="s">
        <v>6874</v>
      </c>
    </row>
    <row r="1090">
      <c r="A1090" s="2">
        <f ca="1">DATE(2003,11,20)</f>
        <v>0</v>
      </c>
      <c r="B1090" s="2">
        <f ca="1">DATE(2003,12,11)</f>
        <v>0</v>
      </c>
      <c r="C1090" s="1" t="s">
        <v>6865</v>
      </c>
      <c r="D1090" s="3">
        <v>6311</v>
      </c>
      <c r="E1090" s="1" t="s">
        <v>744</v>
      </c>
      <c r="F1090" s="1" t="s">
        <v>6866</v>
      </c>
      <c r="G1090" s="1" t="s">
        <v>6875</v>
      </c>
      <c r="H1090" s="4">
        <v>0.65400000000000003</v>
      </c>
      <c r="I1090" s="4">
        <v>3.5</v>
      </c>
      <c r="J1090" s="9">
        <v>1208.7000000000001</v>
      </c>
      <c r="K1090" s="8">
        <v>18.68</v>
      </c>
      <c r="L1090" s="1" t="s">
        <v>651</v>
      </c>
      <c r="M1090" s="1" t="s">
        <v>47</v>
      </c>
      <c r="N1090" s="1" t="s">
        <v>6868</v>
      </c>
      <c r="O1090" s="1" t="s">
        <v>108</v>
      </c>
      <c r="P1090" s="1" t="s">
        <v>6876</v>
      </c>
      <c r="Q1090" s="4">
        <v>0.69999999999999996</v>
      </c>
      <c r="R1090" s="4">
        <v>0.69999999999999996</v>
      </c>
      <c r="S1090" s="8">
        <v>2.1000000000000001</v>
      </c>
      <c r="T1090" s="1" t="s">
        <v>60</v>
      </c>
      <c r="U1090" s="1"/>
      <c r="V1090" s="1"/>
      <c r="W1090" s="1"/>
      <c r="X1090" s="1"/>
      <c r="Y1090" s="7">
        <v>58823525</v>
      </c>
      <c r="Z1090" s="7">
        <v>5882350</v>
      </c>
      <c r="AA1090" s="1"/>
      <c r="AB1090" s="1"/>
      <c r="AC1090" s="3">
        <v>180</v>
      </c>
      <c r="AD1090" s="1"/>
      <c r="AE1090" s="1" t="s">
        <v>47</v>
      </c>
      <c r="AF1090" s="1" t="s">
        <v>51</v>
      </c>
      <c r="AG1090" s="1" t="s">
        <v>51</v>
      </c>
      <c r="AH1090" s="1"/>
      <c r="AI1090" s="1" t="s">
        <v>6870</v>
      </c>
      <c r="AJ1090" s="3">
        <v>4</v>
      </c>
      <c r="AK1090" s="1" t="s">
        <v>1209</v>
      </c>
      <c r="AL1090" s="3">
        <v>10</v>
      </c>
      <c r="AM1090" s="1"/>
      <c r="AN1090" s="1"/>
      <c r="AO1090" s="1" t="s">
        <v>6877</v>
      </c>
      <c r="AP1090" s="1" t="s">
        <v>6878</v>
      </c>
      <c r="AQ1090" s="1" t="s">
        <v>6879</v>
      </c>
      <c r="AR1090" s="1" t="s">
        <v>6880</v>
      </c>
    </row>
    <row r="1091">
      <c r="A1091" s="2">
        <f ca="1">DATE(2003,11,05)</f>
        <v>0</v>
      </c>
      <c r="B1091" s="2">
        <f ca="1">DATE(2003,12,11)</f>
        <v>0</v>
      </c>
      <c r="C1091" s="1" t="s">
        <v>6881</v>
      </c>
      <c r="D1091" s="3">
        <v>2819</v>
      </c>
      <c r="E1091" s="1" t="s">
        <v>43</v>
      </c>
      <c r="F1091" s="1" t="s">
        <v>6882</v>
      </c>
      <c r="G1091" s="1" t="s">
        <v>6883</v>
      </c>
      <c r="H1091" s="4">
        <v>0.91000000000000003</v>
      </c>
      <c r="I1091" s="4">
        <v>7</v>
      </c>
      <c r="J1091" s="5">
        <v>188.5</v>
      </c>
      <c r="K1091" s="4">
        <v>13</v>
      </c>
      <c r="L1091" s="1" t="s">
        <v>46</v>
      </c>
      <c r="M1091" s="1" t="s">
        <v>47</v>
      </c>
      <c r="N1091" s="1" t="s">
        <v>6884</v>
      </c>
      <c r="O1091" s="1" t="s">
        <v>108</v>
      </c>
      <c r="P1091" s="1" t="s">
        <v>6885</v>
      </c>
      <c r="Q1091" s="4">
        <v>1.3999999999999999</v>
      </c>
      <c r="R1091" s="4">
        <v>1.3999999999999999</v>
      </c>
      <c r="S1091" s="8">
        <v>4.2000000000000002</v>
      </c>
      <c r="T1091" s="1" t="s">
        <v>50</v>
      </c>
      <c r="U1091" s="1"/>
      <c r="V1091" s="1"/>
      <c r="W1091" s="1"/>
      <c r="X1091" s="5">
        <v>172.5</v>
      </c>
      <c r="Y1091" s="1"/>
      <c r="Z1091" s="7">
        <v>14500000</v>
      </c>
      <c r="AA1091" s="2">
        <f ca="1">DATE(2004,06,08)</f>
        <v>0</v>
      </c>
      <c r="AB1091" s="4">
        <v>51.948999999999998</v>
      </c>
      <c r="AC1091" s="3">
        <v>180</v>
      </c>
      <c r="AD1091" s="8">
        <v>15676058</v>
      </c>
      <c r="AE1091" s="1" t="s">
        <v>51</v>
      </c>
      <c r="AF1091" s="1" t="s">
        <v>51</v>
      </c>
      <c r="AG1091" s="1" t="s">
        <v>51</v>
      </c>
      <c r="AH1091" s="1"/>
      <c r="AI1091" s="1"/>
      <c r="AJ1091" s="3">
        <v>2</v>
      </c>
      <c r="AK1091" s="1" t="s">
        <v>89</v>
      </c>
      <c r="AL1091" s="3">
        <v>5</v>
      </c>
      <c r="AM1091" s="8">
        <v>13.75</v>
      </c>
      <c r="AN1091" s="1"/>
      <c r="AO1091" s="1" t="s">
        <v>6886</v>
      </c>
      <c r="AP1091" s="1" t="s">
        <v>3745</v>
      </c>
      <c r="AQ1091" s="1" t="s">
        <v>6887</v>
      </c>
      <c r="AR1091" s="1" t="s">
        <v>6888</v>
      </c>
    </row>
    <row r="1092">
      <c r="A1092" s="2">
        <f ca="1">DATE(2003,07,31)</f>
        <v>0</v>
      </c>
      <c r="B1092" s="2">
        <f ca="1">DATE(2003,12,11)</f>
        <v>0</v>
      </c>
      <c r="C1092" s="1" t="s">
        <v>6889</v>
      </c>
      <c r="D1092" s="3">
        <v>3312</v>
      </c>
      <c r="E1092" s="1" t="s">
        <v>43</v>
      </c>
      <c r="F1092" s="1" t="s">
        <v>6890</v>
      </c>
      <c r="G1092" s="1" t="s">
        <v>6891</v>
      </c>
      <c r="H1092" s="4">
        <v>1.8200000000000001</v>
      </c>
      <c r="I1092" s="4">
        <v>6.5</v>
      </c>
      <c r="J1092" s="5">
        <v>462</v>
      </c>
      <c r="K1092" s="4">
        <v>28</v>
      </c>
      <c r="L1092" s="1" t="s">
        <v>46</v>
      </c>
      <c r="M1092" s="1" t="s">
        <v>47</v>
      </c>
      <c r="N1092" s="3">
        <v>460377104</v>
      </c>
      <c r="O1092" s="1" t="s">
        <v>108</v>
      </c>
      <c r="P1092" s="1" t="s">
        <v>6892</v>
      </c>
      <c r="Q1092" s="4">
        <v>1.321</v>
      </c>
      <c r="R1092" s="4">
        <v>1.286</v>
      </c>
      <c r="S1092" s="6">
        <v>3.8928600000000002</v>
      </c>
      <c r="T1092" s="1" t="s">
        <v>50</v>
      </c>
      <c r="U1092" s="1"/>
      <c r="V1092" s="1"/>
      <c r="W1092" s="1"/>
      <c r="X1092" s="5">
        <v>250</v>
      </c>
      <c r="Y1092" s="7">
        <v>16500000</v>
      </c>
      <c r="Z1092" s="1"/>
      <c r="AA1092" s="2">
        <f ca="1">DATE(2004,06,08)</f>
        <v>0</v>
      </c>
      <c r="AB1092" s="4">
        <v>82.631</v>
      </c>
      <c r="AC1092" s="3">
        <v>180</v>
      </c>
      <c r="AD1092" s="8">
        <v>78495629</v>
      </c>
      <c r="AE1092" s="1" t="s">
        <v>51</v>
      </c>
      <c r="AF1092" s="1" t="s">
        <v>51</v>
      </c>
      <c r="AG1092" s="1" t="s">
        <v>51</v>
      </c>
      <c r="AH1092" s="1"/>
      <c r="AI1092" s="1"/>
      <c r="AJ1092" s="3">
        <v>2</v>
      </c>
      <c r="AK1092" s="1" t="s">
        <v>89</v>
      </c>
      <c r="AL1092" s="3">
        <v>5</v>
      </c>
      <c r="AM1092" s="8">
        <v>35.200000000000003</v>
      </c>
      <c r="AN1092" s="1"/>
      <c r="AO1092" s="1" t="s">
        <v>6893</v>
      </c>
      <c r="AP1092" s="1" t="s">
        <v>6894</v>
      </c>
      <c r="AQ1092" s="1" t="s">
        <v>6895</v>
      </c>
      <c r="AR1092" s="1" t="s">
        <v>6896</v>
      </c>
    </row>
    <row r="1093">
      <c r="A1093" s="2">
        <f ca="1">DATE(2003,08,08)</f>
        <v>0</v>
      </c>
      <c r="B1093" s="2">
        <f ca="1">DATE(2003,12,11)</f>
        <v>0</v>
      </c>
      <c r="C1093" s="1" t="s">
        <v>6897</v>
      </c>
      <c r="D1093" s="3">
        <v>7999</v>
      </c>
      <c r="E1093" s="1" t="s">
        <v>43</v>
      </c>
      <c r="F1093" s="1" t="s">
        <v>6898</v>
      </c>
      <c r="G1093" s="1" t="s">
        <v>6899</v>
      </c>
      <c r="H1093" s="4">
        <v>0.40000000000000002</v>
      </c>
      <c r="I1093" s="4">
        <v>8</v>
      </c>
      <c r="J1093" s="5">
        <v>12.5</v>
      </c>
      <c r="K1093" s="4">
        <v>5</v>
      </c>
      <c r="L1093" s="1" t="s">
        <v>46</v>
      </c>
      <c r="M1093" s="1" t="s">
        <v>47</v>
      </c>
      <c r="N1093" s="1" t="s">
        <v>6900</v>
      </c>
      <c r="O1093" s="1" t="s">
        <v>87</v>
      </c>
      <c r="P1093" s="1" t="s">
        <v>6901</v>
      </c>
      <c r="Q1093" s="4">
        <v>1.5</v>
      </c>
      <c r="R1093" s="4">
        <v>1.5</v>
      </c>
      <c r="S1093" s="8">
        <v>5</v>
      </c>
      <c r="T1093" s="1" t="s">
        <v>50</v>
      </c>
      <c r="U1093" s="1"/>
      <c r="V1093" s="1"/>
      <c r="W1093" s="7">
        <v>2500000</v>
      </c>
      <c r="X1093" s="1"/>
      <c r="Y1093" s="7">
        <v>2500000</v>
      </c>
      <c r="Z1093" s="1"/>
      <c r="AA1093" s="2">
        <f ca="1">DATE(2004,12,05)</f>
        <v>0</v>
      </c>
      <c r="AB1093" s="4">
        <v>50.212000000000003</v>
      </c>
      <c r="AC1093" s="3">
        <v>360</v>
      </c>
      <c r="AD1093" s="8">
        <v>2521254</v>
      </c>
      <c r="AE1093" s="1" t="s">
        <v>51</v>
      </c>
      <c r="AF1093" s="1" t="s">
        <v>51</v>
      </c>
      <c r="AG1093" s="1" t="s">
        <v>51</v>
      </c>
      <c r="AH1093" s="1"/>
      <c r="AI1093" s="1"/>
      <c r="AJ1093" s="3">
        <v>1</v>
      </c>
      <c r="AK1093" s="1" t="s">
        <v>52</v>
      </c>
      <c r="AL1093" s="3">
        <v>1</v>
      </c>
      <c r="AM1093" s="8">
        <v>5</v>
      </c>
      <c r="AN1093" s="1"/>
      <c r="AO1093" s="1" t="s">
        <v>6902</v>
      </c>
      <c r="AP1093" s="1" t="s">
        <v>6899</v>
      </c>
      <c r="AQ1093" s="1" t="s">
        <v>6899</v>
      </c>
      <c r="AR1093" s="1" t="s">
        <v>6903</v>
      </c>
    </row>
    <row r="1094">
      <c r="A1094" s="2">
        <f ca="1">DATE(2003,09,10)</f>
        <v>0</v>
      </c>
      <c r="B1094" s="2">
        <f ca="1">DATE(2003,12,11)</f>
        <v>0</v>
      </c>
      <c r="C1094" s="1" t="s">
        <v>6904</v>
      </c>
      <c r="D1094" s="3">
        <v>3674</v>
      </c>
      <c r="E1094" s="1" t="s">
        <v>43</v>
      </c>
      <c r="F1094" s="1" t="s">
        <v>6905</v>
      </c>
      <c r="G1094" s="1" t="s">
        <v>6201</v>
      </c>
      <c r="H1094" s="4">
        <v>0.83999999999999997</v>
      </c>
      <c r="I1094" s="8">
        <v>7</v>
      </c>
      <c r="J1094" s="5">
        <v>175.19999999999999</v>
      </c>
      <c r="K1094" s="4">
        <v>12</v>
      </c>
      <c r="L1094" s="1" t="s">
        <v>46</v>
      </c>
      <c r="M1094" s="1" t="s">
        <v>47</v>
      </c>
      <c r="N1094" s="1" t="s">
        <v>6906</v>
      </c>
      <c r="O1094" s="1" t="s">
        <v>48</v>
      </c>
      <c r="P1094" s="1" t="s">
        <v>6907</v>
      </c>
      <c r="Q1094" s="4">
        <v>1.3999999999999999</v>
      </c>
      <c r="R1094" s="4">
        <v>1.3999999999999999</v>
      </c>
      <c r="S1094" s="8">
        <v>4.2000000000000002</v>
      </c>
      <c r="T1094" s="1" t="s">
        <v>50</v>
      </c>
      <c r="U1094" s="1"/>
      <c r="V1094" s="1"/>
      <c r="W1094" s="1"/>
      <c r="X1094" s="5">
        <v>172.5</v>
      </c>
      <c r="Y1094" s="1"/>
      <c r="Z1094" s="7">
        <v>14600000</v>
      </c>
      <c r="AA1094" s="2">
        <f ca="1">DATE(2004,06,08)</f>
        <v>0</v>
      </c>
      <c r="AB1094" s="1"/>
      <c r="AC1094" s="3">
        <v>180</v>
      </c>
      <c r="AD1094" s="1"/>
      <c r="AE1094" s="1" t="s">
        <v>51</v>
      </c>
      <c r="AF1094" s="1" t="s">
        <v>51</v>
      </c>
      <c r="AG1094" s="1" t="s">
        <v>51</v>
      </c>
      <c r="AH1094" s="1"/>
      <c r="AI1094" s="1"/>
      <c r="AJ1094" s="3">
        <v>1</v>
      </c>
      <c r="AK1094" s="1" t="s">
        <v>89</v>
      </c>
      <c r="AL1094" s="3">
        <v>4</v>
      </c>
      <c r="AM1094" s="8">
        <v>11.49</v>
      </c>
      <c r="AN1094" s="1"/>
      <c r="AO1094" s="1" t="s">
        <v>6908</v>
      </c>
      <c r="AP1094" s="1" t="s">
        <v>6909</v>
      </c>
      <c r="AQ1094" s="1" t="s">
        <v>6910</v>
      </c>
      <c r="AR1094" s="1" t="s">
        <v>6911</v>
      </c>
    </row>
    <row r="1095">
      <c r="A1095" s="2">
        <f ca="1">DATE(2003,09,17)</f>
        <v>0</v>
      </c>
      <c r="B1095" s="2">
        <f ca="1">DATE(2003,12,15)</f>
        <v>0</v>
      </c>
      <c r="C1095" s="1" t="s">
        <v>6912</v>
      </c>
      <c r="D1095" s="3">
        <v>6311</v>
      </c>
      <c r="E1095" s="1" t="s">
        <v>43</v>
      </c>
      <c r="F1095" s="1" t="s">
        <v>6913</v>
      </c>
      <c r="G1095" s="1" t="s">
        <v>45</v>
      </c>
      <c r="H1095" s="4">
        <v>1.19</v>
      </c>
      <c r="I1095" s="8">
        <v>7</v>
      </c>
      <c r="J1095" s="5">
        <v>165.80000000000001</v>
      </c>
      <c r="K1095" s="4">
        <v>17</v>
      </c>
      <c r="L1095" s="1" t="s">
        <v>152</v>
      </c>
      <c r="M1095" s="1" t="s">
        <v>47</v>
      </c>
      <c r="N1095" s="1" t="s">
        <v>6914</v>
      </c>
      <c r="O1095" s="1" t="s">
        <v>48</v>
      </c>
      <c r="P1095" s="1" t="s">
        <v>6915</v>
      </c>
      <c r="Q1095" s="4">
        <v>1.4119999999999999</v>
      </c>
      <c r="R1095" s="4">
        <v>1.4119999999999999</v>
      </c>
      <c r="S1095" s="6">
        <v>4.1764700000000001</v>
      </c>
      <c r="T1095" s="1" t="s">
        <v>50</v>
      </c>
      <c r="U1095" s="1"/>
      <c r="V1095" s="1"/>
      <c r="W1095" s="1"/>
      <c r="X1095" s="5">
        <v>230</v>
      </c>
      <c r="Y1095" s="7">
        <v>9750000</v>
      </c>
      <c r="Z1095" s="1"/>
      <c r="AA1095" s="2">
        <f ca="1">DATE(2004,06,12)</f>
        <v>0</v>
      </c>
      <c r="AB1095" s="4">
        <v>30.649999999999999</v>
      </c>
      <c r="AC1095" s="3">
        <v>180</v>
      </c>
      <c r="AD1095" s="8">
        <v>4309044</v>
      </c>
      <c r="AE1095" s="1" t="s">
        <v>51</v>
      </c>
      <c r="AF1095" s="1" t="s">
        <v>51</v>
      </c>
      <c r="AG1095" s="1" t="s">
        <v>51</v>
      </c>
      <c r="AH1095" s="1"/>
      <c r="AI1095" s="1"/>
      <c r="AJ1095" s="3">
        <v>1</v>
      </c>
      <c r="AK1095" s="1" t="s">
        <v>52</v>
      </c>
      <c r="AL1095" s="3">
        <v>5</v>
      </c>
      <c r="AM1095" s="8">
        <v>17.5</v>
      </c>
      <c r="AN1095" s="1"/>
      <c r="AO1095" s="1" t="s">
        <v>6916</v>
      </c>
      <c r="AP1095" s="1" t="s">
        <v>45</v>
      </c>
      <c r="AQ1095" s="1" t="s">
        <v>6917</v>
      </c>
      <c r="AR1095" s="1" t="s">
        <v>6918</v>
      </c>
    </row>
    <row r="1096">
      <c r="A1096" s="2">
        <f ca="1">DATE(2003,09,08)</f>
        <v>0</v>
      </c>
      <c r="B1096" s="2">
        <f ca="1">DATE(2003,12,16)</f>
        <v>0</v>
      </c>
      <c r="C1096" s="1" t="s">
        <v>6919</v>
      </c>
      <c r="D1096" s="3">
        <v>6798</v>
      </c>
      <c r="E1096" s="1" t="s">
        <v>43</v>
      </c>
      <c r="F1096" s="1" t="s">
        <v>6920</v>
      </c>
      <c r="G1096" s="1" t="s">
        <v>84</v>
      </c>
      <c r="H1096" s="4">
        <v>0.63</v>
      </c>
      <c r="I1096" s="4">
        <v>7</v>
      </c>
      <c r="J1096" s="5">
        <v>112.5</v>
      </c>
      <c r="K1096" s="4">
        <v>9</v>
      </c>
      <c r="L1096" s="1" t="s">
        <v>46</v>
      </c>
      <c r="M1096" s="1" t="s">
        <v>47</v>
      </c>
      <c r="N1096" s="3">
        <v>306032103</v>
      </c>
      <c r="O1096" s="1" t="s">
        <v>48</v>
      </c>
      <c r="P1096" s="1" t="s">
        <v>6921</v>
      </c>
      <c r="Q1096" s="4">
        <v>1.444</v>
      </c>
      <c r="R1096" s="4">
        <v>1.444</v>
      </c>
      <c r="S1096" s="6">
        <v>4.11111</v>
      </c>
      <c r="T1096" s="1" t="s">
        <v>50</v>
      </c>
      <c r="U1096" s="1"/>
      <c r="V1096" s="1"/>
      <c r="W1096" s="1"/>
      <c r="X1096" s="5">
        <v>125</v>
      </c>
      <c r="Y1096" s="7">
        <v>12500000</v>
      </c>
      <c r="Z1096" s="1"/>
      <c r="AA1096" s="2">
        <f ca="1">DATE(2004,06,13)</f>
        <v>0</v>
      </c>
      <c r="AB1096" s="4">
        <v>11.384</v>
      </c>
      <c r="AC1096" s="3">
        <v>180</v>
      </c>
      <c r="AD1096" s="8">
        <v>1605800</v>
      </c>
      <c r="AE1096" s="1" t="s">
        <v>51</v>
      </c>
      <c r="AF1096" s="1" t="s">
        <v>51</v>
      </c>
      <c r="AG1096" s="1" t="s">
        <v>51</v>
      </c>
      <c r="AH1096" s="1"/>
      <c r="AI1096" s="1"/>
      <c r="AJ1096" s="3">
        <v>1</v>
      </c>
      <c r="AK1096" s="1" t="s">
        <v>52</v>
      </c>
      <c r="AL1096" s="3">
        <v>4</v>
      </c>
      <c r="AM1096" s="8">
        <v>9.0500000000000007</v>
      </c>
      <c r="AN1096" s="1"/>
      <c r="AO1096" s="1" t="s">
        <v>6922</v>
      </c>
      <c r="AP1096" s="1" t="s">
        <v>84</v>
      </c>
      <c r="AQ1096" s="1" t="s">
        <v>6923</v>
      </c>
      <c r="AR1096" s="1" t="s">
        <v>6921</v>
      </c>
    </row>
    <row r="1097">
      <c r="A1097" s="2">
        <f ca="1">DATE(2003,09,10)</f>
        <v>0</v>
      </c>
      <c r="B1097" s="2">
        <f ca="1">DATE(2003,12,16)</f>
        <v>0</v>
      </c>
      <c r="C1097" s="1" t="s">
        <v>6924</v>
      </c>
      <c r="D1097" s="3">
        <v>6798</v>
      </c>
      <c r="E1097" s="1" t="s">
        <v>43</v>
      </c>
      <c r="F1097" s="1" t="s">
        <v>6925</v>
      </c>
      <c r="G1097" s="1" t="s">
        <v>84</v>
      </c>
      <c r="H1097" s="4">
        <v>0.69999999999999996</v>
      </c>
      <c r="I1097" s="8">
        <v>7</v>
      </c>
      <c r="J1097" s="5">
        <v>300</v>
      </c>
      <c r="K1097" s="4">
        <v>10</v>
      </c>
      <c r="L1097" s="1" t="s">
        <v>46</v>
      </c>
      <c r="M1097" s="1" t="s">
        <v>47</v>
      </c>
      <c r="N1097" s="3">
        <v>430141101</v>
      </c>
      <c r="O1097" s="1" t="s">
        <v>108</v>
      </c>
      <c r="P1097" s="1" t="s">
        <v>6926</v>
      </c>
      <c r="Q1097" s="4">
        <v>1.3999999999999999</v>
      </c>
      <c r="R1097" s="4">
        <v>1.3999999999999999</v>
      </c>
      <c r="S1097" s="8">
        <v>4.2000000000000002</v>
      </c>
      <c r="T1097" s="1" t="s">
        <v>50</v>
      </c>
      <c r="U1097" s="1"/>
      <c r="V1097" s="1"/>
      <c r="W1097" s="7">
        <v>25000000</v>
      </c>
      <c r="X1097" s="5">
        <v>287.5</v>
      </c>
      <c r="Y1097" s="7">
        <v>30000000</v>
      </c>
      <c r="Z1097" s="1"/>
      <c r="AA1097" s="2">
        <f ca="1">DATE(2004,06,13)</f>
        <v>0</v>
      </c>
      <c r="AB1097" s="1"/>
      <c r="AC1097" s="3">
        <v>180</v>
      </c>
      <c r="AD1097" s="1"/>
      <c r="AE1097" s="1" t="s">
        <v>51</v>
      </c>
      <c r="AF1097" s="1" t="s">
        <v>51</v>
      </c>
      <c r="AG1097" s="1" t="s">
        <v>51</v>
      </c>
      <c r="AH1097" s="1"/>
      <c r="AI1097" s="1"/>
      <c r="AJ1097" s="3">
        <v>1</v>
      </c>
      <c r="AK1097" s="1" t="s">
        <v>52</v>
      </c>
      <c r="AL1097" s="3">
        <v>3</v>
      </c>
      <c r="AM1097" s="8">
        <v>10.65</v>
      </c>
      <c r="AN1097" s="1"/>
      <c r="AO1097" s="1" t="s">
        <v>6927</v>
      </c>
      <c r="AP1097" s="1" t="s">
        <v>84</v>
      </c>
      <c r="AQ1097" s="1" t="s">
        <v>6928</v>
      </c>
      <c r="AR1097" s="1" t="s">
        <v>6929</v>
      </c>
    </row>
    <row r="1098">
      <c r="A1098" s="2">
        <f ca="1">DATE(2002,05,20)</f>
        <v>0</v>
      </c>
      <c r="B1098" s="2">
        <f ca="1">DATE(2003,12,16)</f>
        <v>0</v>
      </c>
      <c r="C1098" s="1" t="s">
        <v>6930</v>
      </c>
      <c r="D1098" s="3">
        <v>4724</v>
      </c>
      <c r="E1098" s="1" t="s">
        <v>43</v>
      </c>
      <c r="F1098" s="1" t="s">
        <v>6931</v>
      </c>
      <c r="G1098" s="1" t="s">
        <v>160</v>
      </c>
      <c r="H1098" s="4">
        <v>1.625</v>
      </c>
      <c r="I1098" s="4">
        <v>6.25</v>
      </c>
      <c r="J1098" s="5">
        <v>316.69999999999999</v>
      </c>
      <c r="K1098" s="4">
        <v>26</v>
      </c>
      <c r="L1098" s="1" t="s">
        <v>152</v>
      </c>
      <c r="M1098" s="1" t="s">
        <v>47</v>
      </c>
      <c r="N1098" s="1" t="s">
        <v>6932</v>
      </c>
      <c r="O1098" s="1" t="s">
        <v>48</v>
      </c>
      <c r="P1098" s="1" t="s">
        <v>6933</v>
      </c>
      <c r="Q1098" s="4">
        <v>1.25</v>
      </c>
      <c r="R1098" s="4">
        <v>0.93799999999999994</v>
      </c>
      <c r="S1098" s="6">
        <v>4.0615399999999999</v>
      </c>
      <c r="T1098" s="1" t="s">
        <v>50</v>
      </c>
      <c r="U1098" s="1"/>
      <c r="V1098" s="1"/>
      <c r="W1098" s="1"/>
      <c r="X1098" s="5">
        <v>125</v>
      </c>
      <c r="Y1098" s="7">
        <v>4000000</v>
      </c>
      <c r="Z1098" s="7">
        <v>8180000</v>
      </c>
      <c r="AA1098" s="2">
        <f ca="1">DATE(2004,06,13)</f>
        <v>0</v>
      </c>
      <c r="AB1098" s="1"/>
      <c r="AC1098" s="3">
        <v>180</v>
      </c>
      <c r="AD1098" s="1"/>
      <c r="AE1098" s="1" t="s">
        <v>51</v>
      </c>
      <c r="AF1098" s="1" t="s">
        <v>51</v>
      </c>
      <c r="AG1098" s="1" t="s">
        <v>51</v>
      </c>
      <c r="AH1098" s="1"/>
      <c r="AI1098" s="1"/>
      <c r="AJ1098" s="3">
        <v>1</v>
      </c>
      <c r="AK1098" s="1" t="s">
        <v>89</v>
      </c>
      <c r="AL1098" s="3">
        <v>4</v>
      </c>
      <c r="AM1098" s="8">
        <v>24.98</v>
      </c>
      <c r="AN1098" s="1"/>
      <c r="AO1098" s="1" t="s">
        <v>6934</v>
      </c>
      <c r="AP1098" s="1" t="s">
        <v>3745</v>
      </c>
      <c r="AQ1098" s="1" t="s">
        <v>6935</v>
      </c>
      <c r="AR1098" s="1" t="s">
        <v>6936</v>
      </c>
    </row>
    <row r="1099">
      <c r="A1099" s="2">
        <f ca="1">DATE(2003,10,03)</f>
        <v>0</v>
      </c>
      <c r="B1099" s="2">
        <f ca="1">DATE(2003,12,16)</f>
        <v>0</v>
      </c>
      <c r="C1099" s="1" t="s">
        <v>6937</v>
      </c>
      <c r="D1099" s="3">
        <v>8249</v>
      </c>
      <c r="E1099" s="1" t="s">
        <v>43</v>
      </c>
      <c r="F1099" s="1" t="s">
        <v>6938</v>
      </c>
      <c r="G1099" s="1" t="s">
        <v>168</v>
      </c>
      <c r="H1099" s="4">
        <v>1.4350000000000001</v>
      </c>
      <c r="I1099" s="4">
        <v>7</v>
      </c>
      <c r="J1099" s="5">
        <v>153.80000000000001</v>
      </c>
      <c r="K1099" s="4">
        <v>20.5</v>
      </c>
      <c r="L1099" s="1" t="s">
        <v>46</v>
      </c>
      <c r="M1099" s="1" t="s">
        <v>47</v>
      </c>
      <c r="N1099" s="3">
        <v>913915104</v>
      </c>
      <c r="O1099" s="1" t="s">
        <v>108</v>
      </c>
      <c r="P1099" s="1" t="s">
        <v>6939</v>
      </c>
      <c r="Q1099" s="4">
        <v>1.3999999999999999</v>
      </c>
      <c r="R1099" s="4">
        <v>1.3999999999999999</v>
      </c>
      <c r="S1099" s="8">
        <v>4.2000000000000002</v>
      </c>
      <c r="T1099" s="1" t="s">
        <v>50</v>
      </c>
      <c r="U1099" s="1"/>
      <c r="V1099" s="1"/>
      <c r="W1099" s="1"/>
      <c r="X1099" s="5">
        <v>125</v>
      </c>
      <c r="Y1099" s="7">
        <v>3250000</v>
      </c>
      <c r="Z1099" s="7">
        <v>4250000</v>
      </c>
      <c r="AA1099" s="2">
        <f ca="1">DATE(2004,06,13)</f>
        <v>0</v>
      </c>
      <c r="AB1099" s="4">
        <v>68.724999999999994</v>
      </c>
      <c r="AC1099" s="3">
        <v>180</v>
      </c>
      <c r="AD1099" s="8">
        <v>19032359</v>
      </c>
      <c r="AE1099" s="1" t="s">
        <v>51</v>
      </c>
      <c r="AF1099" s="1" t="s">
        <v>51</v>
      </c>
      <c r="AG1099" s="1" t="s">
        <v>51</v>
      </c>
      <c r="AH1099" s="1"/>
      <c r="AI1099" s="1"/>
      <c r="AJ1099" s="3">
        <v>1</v>
      </c>
      <c r="AK1099" s="1" t="s">
        <v>52</v>
      </c>
      <c r="AL1099" s="3">
        <v>5</v>
      </c>
      <c r="AM1099" s="8">
        <v>26.350000000000001</v>
      </c>
      <c r="AN1099" s="1"/>
      <c r="AO1099" s="1" t="s">
        <v>6940</v>
      </c>
      <c r="AP1099" s="1" t="s">
        <v>168</v>
      </c>
      <c r="AQ1099" s="1" t="s">
        <v>6941</v>
      </c>
      <c r="AR1099" s="1" t="s">
        <v>6942</v>
      </c>
    </row>
    <row r="1100">
      <c r="A1100" s="2">
        <f ca="1">DATE(2003,11,07)</f>
        <v>0</v>
      </c>
      <c r="B1100" s="2">
        <f ca="1">DATE(2003,12,16)</f>
        <v>0</v>
      </c>
      <c r="C1100" s="1" t="s">
        <v>6943</v>
      </c>
      <c r="D1100" s="3">
        <v>7372</v>
      </c>
      <c r="E1100" s="1" t="s">
        <v>1204</v>
      </c>
      <c r="F1100" s="1" t="s">
        <v>6944</v>
      </c>
      <c r="G1100" s="1" t="s">
        <v>400</v>
      </c>
      <c r="H1100" s="4">
        <v>0.56299999999999994</v>
      </c>
      <c r="I1100" s="4">
        <v>5.0439999999999996</v>
      </c>
      <c r="J1100" s="5">
        <v>97.200000000000003</v>
      </c>
      <c r="K1100" s="4">
        <v>11.17</v>
      </c>
      <c r="L1100" s="1" t="s">
        <v>651</v>
      </c>
      <c r="M1100" s="1" t="s">
        <v>47</v>
      </c>
      <c r="N1100" s="1" t="s">
        <v>6945</v>
      </c>
      <c r="O1100" s="1" t="s">
        <v>48</v>
      </c>
      <c r="P1100" s="1" t="s">
        <v>6946</v>
      </c>
      <c r="Q1100" s="4">
        <v>1</v>
      </c>
      <c r="R1100" s="4">
        <v>1</v>
      </c>
      <c r="S1100" s="6">
        <v>3.0438700000000001</v>
      </c>
      <c r="T1100" s="1" t="s">
        <v>50</v>
      </c>
      <c r="U1100" s="1"/>
      <c r="V1100" s="1"/>
      <c r="W1100" s="7">
        <v>8700000</v>
      </c>
      <c r="X1100" s="1"/>
      <c r="Y1100" s="7">
        <v>8700000</v>
      </c>
      <c r="Z1100" s="1"/>
      <c r="AA1100" s="2">
        <f ca="1">DATE(2004,06,13)</f>
        <v>0</v>
      </c>
      <c r="AB1100" s="1"/>
      <c r="AC1100" s="3">
        <v>180</v>
      </c>
      <c r="AD1100" s="1"/>
      <c r="AE1100" s="1" t="s">
        <v>47</v>
      </c>
      <c r="AF1100" s="1" t="s">
        <v>51</v>
      </c>
      <c r="AG1100" s="1" t="s">
        <v>51</v>
      </c>
      <c r="AH1100" s="1"/>
      <c r="AI1100" s="1"/>
      <c r="AJ1100" s="3">
        <v>1</v>
      </c>
      <c r="AK1100" s="1" t="s">
        <v>52</v>
      </c>
      <c r="AL1100" s="3">
        <v>3</v>
      </c>
      <c r="AM1100" s="8">
        <v>10</v>
      </c>
      <c r="AN1100" s="1"/>
      <c r="AO1100" s="1" t="s">
        <v>6947</v>
      </c>
      <c r="AP1100" s="1" t="s">
        <v>400</v>
      </c>
      <c r="AQ1100" s="1" t="s">
        <v>6948</v>
      </c>
      <c r="AR1100" s="1" t="s">
        <v>6949</v>
      </c>
    </row>
    <row r="1101">
      <c r="A1101" s="2">
        <f ca="1">DATE(2003,08,15)</f>
        <v>0</v>
      </c>
      <c r="B1101" s="2">
        <f ca="1">DATE(2003,12,17)</f>
        <v>0</v>
      </c>
      <c r="C1101" s="1" t="s">
        <v>6950</v>
      </c>
      <c r="D1101" s="3">
        <v>6035</v>
      </c>
      <c r="E1101" s="1" t="s">
        <v>43</v>
      </c>
      <c r="F1101" s="1" t="s">
        <v>6951</v>
      </c>
      <c r="G1101" s="1" t="s">
        <v>5983</v>
      </c>
      <c r="H1101" s="4">
        <v>1.0149999999999999</v>
      </c>
      <c r="I1101" s="8">
        <v>7</v>
      </c>
      <c r="J1101" s="5">
        <v>134.09999999999999</v>
      </c>
      <c r="K1101" s="4">
        <v>14.5</v>
      </c>
      <c r="L1101" s="1" t="s">
        <v>46</v>
      </c>
      <c r="M1101" s="1" t="s">
        <v>47</v>
      </c>
      <c r="N1101" s="3">
        <v>352451108</v>
      </c>
      <c r="O1101" s="1" t="s">
        <v>48</v>
      </c>
      <c r="P1101" s="1" t="s">
        <v>6952</v>
      </c>
      <c r="Q1101" s="4">
        <v>1.4139999999999999</v>
      </c>
      <c r="R1101" s="4">
        <v>1.448</v>
      </c>
      <c r="S1101" s="6">
        <v>4.1379299999999999</v>
      </c>
      <c r="T1101" s="1" t="s">
        <v>50</v>
      </c>
      <c r="U1101" s="1"/>
      <c r="V1101" s="1"/>
      <c r="W1101" s="1"/>
      <c r="X1101" s="5">
        <v>115</v>
      </c>
      <c r="Y1101" s="7">
        <v>9120775</v>
      </c>
      <c r="Z1101" s="7">
        <v>127500</v>
      </c>
      <c r="AA1101" s="1" t="s">
        <v>6953</v>
      </c>
      <c r="AB1101" s="1" t="s">
        <v>6954</v>
      </c>
      <c r="AC1101" s="1" t="s">
        <v>2068</v>
      </c>
      <c r="AD1101" s="1" t="s">
        <v>6955</v>
      </c>
      <c r="AE1101" s="1" t="s">
        <v>51</v>
      </c>
      <c r="AF1101" s="1" t="s">
        <v>51</v>
      </c>
      <c r="AG1101" s="1" t="s">
        <v>51</v>
      </c>
      <c r="AH1101" s="1"/>
      <c r="AI1101" s="1"/>
      <c r="AJ1101" s="3">
        <v>1</v>
      </c>
      <c r="AK1101" s="1" t="s">
        <v>52</v>
      </c>
      <c r="AL1101" s="3">
        <v>4</v>
      </c>
      <c r="AM1101" s="8">
        <v>17.800000000000001</v>
      </c>
      <c r="AN1101" s="1"/>
      <c r="AO1101" s="1" t="s">
        <v>6956</v>
      </c>
      <c r="AP1101" s="1" t="s">
        <v>5983</v>
      </c>
      <c r="AQ1101" s="1" t="s">
        <v>6957</v>
      </c>
      <c r="AR1101" s="1" t="s">
        <v>6958</v>
      </c>
    </row>
    <row r="1102">
      <c r="A1102" s="2">
        <f ca="1">DATE(2003,09,22)</f>
        <v>0</v>
      </c>
      <c r="B1102" s="2">
        <f ca="1">DATE(2003,12,17)</f>
        <v>0</v>
      </c>
      <c r="C1102" s="1" t="s">
        <v>6959</v>
      </c>
      <c r="D1102" s="3">
        <v>5961</v>
      </c>
      <c r="E1102" s="1" t="s">
        <v>43</v>
      </c>
      <c r="F1102" s="1" t="s">
        <v>6960</v>
      </c>
      <c r="G1102" s="1" t="s">
        <v>75</v>
      </c>
      <c r="H1102" s="4">
        <v>1.05</v>
      </c>
      <c r="I1102" s="4">
        <v>7</v>
      </c>
      <c r="J1102" s="5">
        <v>65</v>
      </c>
      <c r="K1102" s="4">
        <v>15</v>
      </c>
      <c r="L1102" s="1" t="s">
        <v>46</v>
      </c>
      <c r="M1102" s="1" t="s">
        <v>47</v>
      </c>
      <c r="N1102" s="1" t="s">
        <v>6961</v>
      </c>
      <c r="O1102" s="1" t="s">
        <v>48</v>
      </c>
      <c r="P1102" s="1" t="s">
        <v>6962</v>
      </c>
      <c r="Q1102" s="4">
        <v>1.3999999999999999</v>
      </c>
      <c r="R1102" s="4">
        <v>1.3999999999999999</v>
      </c>
      <c r="S1102" s="8">
        <v>4.2000000000000002</v>
      </c>
      <c r="T1102" s="1" t="s">
        <v>50</v>
      </c>
      <c r="U1102" s="1"/>
      <c r="V1102" s="1"/>
      <c r="W1102" s="1"/>
      <c r="X1102" s="5">
        <v>74.799999999999997</v>
      </c>
      <c r="Y1102" s="7">
        <v>2666667</v>
      </c>
      <c r="Z1102" s="7">
        <v>1667333</v>
      </c>
      <c r="AA1102" s="1" t="s">
        <v>6963</v>
      </c>
      <c r="AB1102" s="1" t="s">
        <v>6964</v>
      </c>
      <c r="AC1102" s="1" t="s">
        <v>3966</v>
      </c>
      <c r="AD1102" s="1" t="s">
        <v>6965</v>
      </c>
      <c r="AE1102" s="1" t="s">
        <v>51</v>
      </c>
      <c r="AF1102" s="1" t="s">
        <v>51</v>
      </c>
      <c r="AG1102" s="1" t="s">
        <v>47</v>
      </c>
      <c r="AH1102" s="1"/>
      <c r="AI1102" s="1"/>
      <c r="AJ1102" s="3">
        <v>1</v>
      </c>
      <c r="AK1102" s="1" t="s">
        <v>52</v>
      </c>
      <c r="AL1102" s="3">
        <v>3</v>
      </c>
      <c r="AM1102" s="8">
        <v>13</v>
      </c>
      <c r="AN1102" s="1"/>
      <c r="AO1102" s="1" t="s">
        <v>6966</v>
      </c>
      <c r="AP1102" s="1" t="s">
        <v>75</v>
      </c>
      <c r="AQ1102" s="1" t="s">
        <v>6967</v>
      </c>
      <c r="AR1102" s="1" t="s">
        <v>6968</v>
      </c>
    </row>
    <row r="1103">
      <c r="A1103" s="2">
        <f ca="1">DATE(2003,10,17)</f>
        <v>0</v>
      </c>
      <c r="B1103" s="2">
        <f ca="1">DATE(2003,12,17)</f>
        <v>0</v>
      </c>
      <c r="C1103" s="1" t="s">
        <v>6969</v>
      </c>
      <c r="D1103" s="3">
        <v>2515</v>
      </c>
      <c r="E1103" s="1" t="s">
        <v>43</v>
      </c>
      <c r="F1103" s="1" t="s">
        <v>6970</v>
      </c>
      <c r="G1103" s="1" t="s">
        <v>4712</v>
      </c>
      <c r="H1103" s="4">
        <v>0.91000000000000003</v>
      </c>
      <c r="I1103" s="4">
        <v>6.5</v>
      </c>
      <c r="J1103" s="5">
        <v>262.5</v>
      </c>
      <c r="K1103" s="4">
        <v>14</v>
      </c>
      <c r="L1103" s="1" t="s">
        <v>46</v>
      </c>
      <c r="M1103" s="1" t="s">
        <v>47</v>
      </c>
      <c r="N1103" s="1" t="s">
        <v>6971</v>
      </c>
      <c r="O1103" s="1" t="s">
        <v>108</v>
      </c>
      <c r="P1103" s="1" t="s">
        <v>6972</v>
      </c>
      <c r="Q1103" s="1" t="s">
        <v>145</v>
      </c>
      <c r="R1103" s="1" t="s">
        <v>145</v>
      </c>
      <c r="S1103" s="6">
        <v>3.9285700000000001</v>
      </c>
      <c r="T1103" s="1" t="s">
        <v>50</v>
      </c>
      <c r="U1103" s="1"/>
      <c r="V1103" s="1"/>
      <c r="W1103" s="1"/>
      <c r="X1103" s="5">
        <v>300</v>
      </c>
      <c r="Y1103" s="7">
        <v>6250000</v>
      </c>
      <c r="Z1103" s="7">
        <v>12500000</v>
      </c>
      <c r="AA1103" s="1" t="s">
        <v>6953</v>
      </c>
      <c r="AB1103" s="1" t="s">
        <v>6973</v>
      </c>
      <c r="AC1103" s="1" t="s">
        <v>2068</v>
      </c>
      <c r="AD1103" s="1" t="s">
        <v>6974</v>
      </c>
      <c r="AE1103" s="1" t="s">
        <v>51</v>
      </c>
      <c r="AF1103" s="1" t="s">
        <v>51</v>
      </c>
      <c r="AG1103" s="1" t="s">
        <v>51</v>
      </c>
      <c r="AH1103" s="1"/>
      <c r="AI1103" s="1"/>
      <c r="AJ1103" s="3">
        <v>2</v>
      </c>
      <c r="AK1103" s="1" t="s">
        <v>89</v>
      </c>
      <c r="AL1103" s="3">
        <v>6</v>
      </c>
      <c r="AM1103" s="8">
        <v>15.5</v>
      </c>
      <c r="AN1103" s="1"/>
      <c r="AO1103" s="1" t="s">
        <v>6975</v>
      </c>
      <c r="AP1103" s="1" t="s">
        <v>4717</v>
      </c>
      <c r="AQ1103" s="1" t="s">
        <v>6976</v>
      </c>
      <c r="AR1103" s="1" t="s">
        <v>6977</v>
      </c>
    </row>
    <row r="1104">
      <c r="A1104" s="2">
        <f ca="1">DATE(2003,11,26)</f>
        <v>0</v>
      </c>
      <c r="B1104" s="2">
        <f ca="1">DATE(2003,12,18)</f>
        <v>0</v>
      </c>
      <c r="C1104" s="1" t="s">
        <v>6978</v>
      </c>
      <c r="D1104" s="3">
        <v>6726</v>
      </c>
      <c r="E1104" s="1" t="s">
        <v>43</v>
      </c>
      <c r="F1104" s="1" t="s">
        <v>6979</v>
      </c>
      <c r="G1104" s="1" t="s">
        <v>6002</v>
      </c>
      <c r="H1104" s="4">
        <v>0.67500000000000004</v>
      </c>
      <c r="I1104" s="4">
        <v>4.5</v>
      </c>
      <c r="J1104" s="5">
        <v>720</v>
      </c>
      <c r="K1104" s="4">
        <v>15</v>
      </c>
      <c r="L1104" s="1" t="s">
        <v>46</v>
      </c>
      <c r="M1104" s="1" t="s">
        <v>47</v>
      </c>
      <c r="N1104" s="1" t="s">
        <v>6980</v>
      </c>
      <c r="O1104" s="1" t="s">
        <v>108</v>
      </c>
      <c r="P1104" s="1" t="s">
        <v>6981</v>
      </c>
      <c r="Q1104" s="1" t="s">
        <v>145</v>
      </c>
      <c r="R1104" s="1" t="s">
        <v>145</v>
      </c>
      <c r="S1104" s="1"/>
      <c r="T1104" s="1" t="s">
        <v>50</v>
      </c>
      <c r="U1104" s="8">
        <v>15</v>
      </c>
      <c r="V1104" s="8">
        <v>15</v>
      </c>
      <c r="W1104" s="7">
        <v>4000000</v>
      </c>
      <c r="X1104" s="5">
        <v>60</v>
      </c>
      <c r="Y1104" s="7">
        <v>48000000</v>
      </c>
      <c r="Z1104" s="1"/>
      <c r="AA1104" s="2">
        <f ca="1">DATE(2004,06,15)</f>
        <v>0</v>
      </c>
      <c r="AB1104" s="1"/>
      <c r="AC1104" s="3">
        <v>180</v>
      </c>
      <c r="AD1104" s="1"/>
      <c r="AE1104" s="1" t="s">
        <v>51</v>
      </c>
      <c r="AF1104" s="1" t="s">
        <v>51</v>
      </c>
      <c r="AG1104" s="1" t="s">
        <v>51</v>
      </c>
      <c r="AH1104" s="1"/>
      <c r="AI1104" s="1"/>
      <c r="AJ1104" s="3">
        <v>2</v>
      </c>
      <c r="AK1104" s="1" t="s">
        <v>89</v>
      </c>
      <c r="AL1104" s="3">
        <v>16</v>
      </c>
      <c r="AM1104" s="8">
        <v>15</v>
      </c>
      <c r="AN1104" s="1"/>
      <c r="AO1104" s="1" t="s">
        <v>6982</v>
      </c>
      <c r="AP1104" s="1" t="s">
        <v>6006</v>
      </c>
      <c r="AQ1104" s="1" t="s">
        <v>6983</v>
      </c>
      <c r="AR1104" s="1" t="s">
        <v>6984</v>
      </c>
    </row>
    <row r="1105">
      <c r="A1105" s="2">
        <f ca="1">DATE(2003,10,01)</f>
        <v>0</v>
      </c>
      <c r="B1105" s="2">
        <f ca="1">DATE(2003,12,18)</f>
        <v>0</v>
      </c>
      <c r="C1105" s="1" t="s">
        <v>6985</v>
      </c>
      <c r="D1105" s="3">
        <v>4812</v>
      </c>
      <c r="E1105" s="1" t="s">
        <v>43</v>
      </c>
      <c r="F1105" s="1" t="s">
        <v>6986</v>
      </c>
      <c r="G1105" s="1" t="s">
        <v>5704</v>
      </c>
      <c r="H1105" s="4">
        <v>0.63</v>
      </c>
      <c r="I1105" s="4">
        <v>7</v>
      </c>
      <c r="J1105" s="5">
        <v>54</v>
      </c>
      <c r="K1105" s="4">
        <v>9</v>
      </c>
      <c r="L1105" s="1" t="s">
        <v>46</v>
      </c>
      <c r="M1105" s="1" t="s">
        <v>47</v>
      </c>
      <c r="N1105" s="3">
        <v>499183804</v>
      </c>
      <c r="O1105" s="1" t="s">
        <v>48</v>
      </c>
      <c r="P1105" s="1" t="s">
        <v>6987</v>
      </c>
      <c r="Q1105" s="4">
        <v>1.444</v>
      </c>
      <c r="R1105" s="4">
        <v>1.444</v>
      </c>
      <c r="S1105" s="6">
        <v>4.11111</v>
      </c>
      <c r="T1105" s="1" t="s">
        <v>50</v>
      </c>
      <c r="U1105" s="1"/>
      <c r="V1105" s="1"/>
      <c r="W1105" s="1"/>
      <c r="X1105" s="5">
        <v>86.299999999999997</v>
      </c>
      <c r="Y1105" s="7">
        <v>6000000</v>
      </c>
      <c r="Z1105" s="1"/>
      <c r="AA1105" s="2">
        <f ca="1">DATE(2004,06,15)</f>
        <v>0</v>
      </c>
      <c r="AB1105" s="1"/>
      <c r="AC1105" s="3">
        <v>180</v>
      </c>
      <c r="AD1105" s="1"/>
      <c r="AE1105" s="1" t="s">
        <v>51</v>
      </c>
      <c r="AF1105" s="1" t="s">
        <v>51</v>
      </c>
      <c r="AG1105" s="1" t="s">
        <v>47</v>
      </c>
      <c r="AH1105" s="1"/>
      <c r="AI1105" s="1"/>
      <c r="AJ1105" s="3">
        <v>1</v>
      </c>
      <c r="AK1105" s="1" t="s">
        <v>52</v>
      </c>
      <c r="AL1105" s="3">
        <v>4</v>
      </c>
      <c r="AM1105" s="8">
        <v>9.1400000000000006</v>
      </c>
      <c r="AN1105" s="1"/>
      <c r="AO1105" s="1" t="s">
        <v>6988</v>
      </c>
      <c r="AP1105" s="1" t="s">
        <v>5704</v>
      </c>
      <c r="AQ1105" s="1" t="s">
        <v>6989</v>
      </c>
      <c r="AR1105" s="1" t="s">
        <v>6987</v>
      </c>
    </row>
    <row r="1106">
      <c r="A1106" s="2">
        <f ca="1">DATE(2003,10,02)</f>
        <v>0</v>
      </c>
      <c r="B1106" s="2">
        <f ca="1">DATE(2003,12,18)</f>
        <v>0</v>
      </c>
      <c r="C1106" s="1" t="s">
        <v>6990</v>
      </c>
      <c r="D1106" s="3">
        <v>6798</v>
      </c>
      <c r="E1106" s="1" t="s">
        <v>43</v>
      </c>
      <c r="F1106" s="1" t="s">
        <v>6991</v>
      </c>
      <c r="G1106" s="1" t="s">
        <v>84</v>
      </c>
      <c r="H1106" s="4">
        <v>0.91000000000000003</v>
      </c>
      <c r="I1106" s="4">
        <v>7</v>
      </c>
      <c r="J1106" s="5">
        <v>148.19999999999999</v>
      </c>
      <c r="K1106" s="4">
        <v>13</v>
      </c>
      <c r="L1106" s="1" t="s">
        <v>46</v>
      </c>
      <c r="M1106" s="1" t="s">
        <v>47</v>
      </c>
      <c r="N1106" s="3">
        <v>550278303</v>
      </c>
      <c r="O1106" s="1" t="s">
        <v>108</v>
      </c>
      <c r="P1106" s="1" t="s">
        <v>6992</v>
      </c>
      <c r="Q1106" s="4">
        <v>1.385</v>
      </c>
      <c r="R1106" s="4">
        <v>1.462</v>
      </c>
      <c r="S1106" s="6">
        <v>4.1538500000000003</v>
      </c>
      <c r="T1106" s="1" t="s">
        <v>50</v>
      </c>
      <c r="U1106" s="1"/>
      <c r="V1106" s="1"/>
      <c r="W1106" s="1"/>
      <c r="X1106" s="1"/>
      <c r="Y1106" s="7">
        <v>11400000</v>
      </c>
      <c r="Z1106" s="1"/>
      <c r="AA1106" s="1" t="s">
        <v>6993</v>
      </c>
      <c r="AB1106" s="1" t="s">
        <v>6994</v>
      </c>
      <c r="AC1106" s="1" t="s">
        <v>6995</v>
      </c>
      <c r="AD1106" s="1" t="s">
        <v>6996</v>
      </c>
      <c r="AE1106" s="1" t="s">
        <v>51</v>
      </c>
      <c r="AF1106" s="1" t="s">
        <v>51</v>
      </c>
      <c r="AG1106" s="1" t="s">
        <v>51</v>
      </c>
      <c r="AH1106" s="1"/>
      <c r="AI1106" s="1"/>
      <c r="AJ1106" s="3">
        <v>1</v>
      </c>
      <c r="AK1106" s="1" t="s">
        <v>52</v>
      </c>
      <c r="AL1106" s="3">
        <v>4</v>
      </c>
      <c r="AM1106" s="8">
        <v>13.560000000000001</v>
      </c>
      <c r="AN1106" s="1"/>
      <c r="AO1106" s="1" t="s">
        <v>6997</v>
      </c>
      <c r="AP1106" s="1" t="s">
        <v>84</v>
      </c>
      <c r="AQ1106" s="1" t="s">
        <v>6998</v>
      </c>
      <c r="AR1106" s="1" t="s">
        <v>6999</v>
      </c>
    </row>
    <row r="1107">
      <c r="A1107" s="2">
        <f ca="1">DATE(2003,09,25)</f>
        <v>0</v>
      </c>
      <c r="B1107" s="2">
        <f ca="1">DATE(2003,12,18)</f>
        <v>0</v>
      </c>
      <c r="C1107" s="1" t="s">
        <v>7000</v>
      </c>
      <c r="D1107" s="3">
        <v>2833</v>
      </c>
      <c r="E1107" s="1" t="s">
        <v>7001</v>
      </c>
      <c r="F1107" s="1" t="s">
        <v>7002</v>
      </c>
      <c r="G1107" s="1" t="s">
        <v>7003</v>
      </c>
      <c r="H1107" s="4">
        <v>0.52500000000000002</v>
      </c>
      <c r="I1107" s="4">
        <v>7</v>
      </c>
      <c r="J1107" s="5">
        <v>4.4000000000000004</v>
      </c>
      <c r="K1107" s="4">
        <v>7.5</v>
      </c>
      <c r="L1107" s="1" t="s">
        <v>46</v>
      </c>
      <c r="M1107" s="1" t="s">
        <v>47</v>
      </c>
      <c r="N1107" s="3">
        <v>572322303</v>
      </c>
      <c r="O1107" s="1" t="s">
        <v>48</v>
      </c>
      <c r="P1107" s="1" t="s">
        <v>7004</v>
      </c>
      <c r="Q1107" s="1" t="s">
        <v>145</v>
      </c>
      <c r="R1107" s="1" t="s">
        <v>145</v>
      </c>
      <c r="S1107" s="8">
        <v>4</v>
      </c>
      <c r="T1107" s="1" t="s">
        <v>50</v>
      </c>
      <c r="U1107" s="8">
        <v>6.5</v>
      </c>
      <c r="V1107" s="8">
        <v>4.5</v>
      </c>
      <c r="W1107" s="7">
        <v>500000</v>
      </c>
      <c r="X1107" s="5">
        <v>2.7999999999999998</v>
      </c>
      <c r="Y1107" s="7">
        <v>580000</v>
      </c>
      <c r="Z1107" s="1"/>
      <c r="AA1107" s="2">
        <f ca="1">DATE(2004,04,16)</f>
        <v>0</v>
      </c>
      <c r="AB1107" s="4">
        <v>96.326999999999998</v>
      </c>
      <c r="AC1107" s="3">
        <v>120</v>
      </c>
      <c r="AD1107" s="8">
        <v>54546000</v>
      </c>
      <c r="AE1107" s="1" t="s">
        <v>51</v>
      </c>
      <c r="AF1107" s="1" t="s">
        <v>51</v>
      </c>
      <c r="AG1107" s="1" t="s">
        <v>51</v>
      </c>
      <c r="AH1107" s="1"/>
      <c r="AI1107" s="1"/>
      <c r="AJ1107" s="3">
        <v>1</v>
      </c>
      <c r="AK1107" s="1" t="s">
        <v>52</v>
      </c>
      <c r="AL1107" s="3">
        <v>1</v>
      </c>
      <c r="AM1107" s="8">
        <v>7.5</v>
      </c>
      <c r="AN1107" s="1"/>
      <c r="AO1107" s="1" t="s">
        <v>7003</v>
      </c>
      <c r="AP1107" s="1" t="s">
        <v>7003</v>
      </c>
      <c r="AQ1107" s="1" t="s">
        <v>7003</v>
      </c>
      <c r="AR1107" s="1" t="s">
        <v>7004</v>
      </c>
    </row>
    <row r="1108">
      <c r="A1108" s="2">
        <f ca="1">DATE(2003,09,26)</f>
        <v>0</v>
      </c>
      <c r="B1108" s="2">
        <f ca="1">DATE(2003,12,19)</f>
        <v>0</v>
      </c>
      <c r="C1108" s="1" t="s">
        <v>7005</v>
      </c>
      <c r="D1108" s="3">
        <v>7372</v>
      </c>
      <c r="E1108" s="1" t="s">
        <v>43</v>
      </c>
      <c r="F1108" s="1" t="s">
        <v>7006</v>
      </c>
      <c r="G1108" s="1" t="s">
        <v>75</v>
      </c>
      <c r="H1108" s="4">
        <v>0.48999999999999999</v>
      </c>
      <c r="I1108" s="8">
        <v>7</v>
      </c>
      <c r="J1108" s="5">
        <v>35</v>
      </c>
      <c r="K1108" s="4">
        <v>7</v>
      </c>
      <c r="L1108" s="1" t="s">
        <v>46</v>
      </c>
      <c r="M1108" s="1" t="s">
        <v>47</v>
      </c>
      <c r="N1108" s="1" t="s">
        <v>7007</v>
      </c>
      <c r="O1108" s="1" t="s">
        <v>48</v>
      </c>
      <c r="P1108" s="1" t="s">
        <v>7008</v>
      </c>
      <c r="Q1108" s="4">
        <v>1.3999999999999999</v>
      </c>
      <c r="R1108" s="4">
        <v>1.3999999999999999</v>
      </c>
      <c r="S1108" s="8">
        <v>4.2000000000000002</v>
      </c>
      <c r="T1108" s="1" t="s">
        <v>50</v>
      </c>
      <c r="U1108" s="1"/>
      <c r="V1108" s="1"/>
      <c r="W1108" s="1"/>
      <c r="X1108" s="5">
        <v>46</v>
      </c>
      <c r="Y1108" s="7">
        <v>5000000</v>
      </c>
      <c r="Z1108" s="1"/>
      <c r="AA1108" s="1" t="s">
        <v>7009</v>
      </c>
      <c r="AB1108" s="1" t="s">
        <v>7010</v>
      </c>
      <c r="AC1108" s="1" t="s">
        <v>7011</v>
      </c>
      <c r="AD1108" s="1" t="s">
        <v>7012</v>
      </c>
      <c r="AE1108" s="1" t="s">
        <v>51</v>
      </c>
      <c r="AF1108" s="1" t="s">
        <v>51</v>
      </c>
      <c r="AG1108" s="1" t="s">
        <v>47</v>
      </c>
      <c r="AH1108" s="1"/>
      <c r="AI1108" s="1"/>
      <c r="AJ1108" s="3">
        <v>1</v>
      </c>
      <c r="AK1108" s="1" t="s">
        <v>52</v>
      </c>
      <c r="AL1108" s="3">
        <v>3</v>
      </c>
      <c r="AM1108" s="8">
        <v>10.300000000000001</v>
      </c>
      <c r="AN1108" s="1"/>
      <c r="AO1108" s="1" t="s">
        <v>7013</v>
      </c>
      <c r="AP1108" s="1" t="s">
        <v>75</v>
      </c>
      <c r="AQ1108" s="1" t="s">
        <v>7014</v>
      </c>
      <c r="AR1108" s="1" t="s">
        <v>7015</v>
      </c>
    </row>
    <row r="1109">
      <c r="A1109" s="2">
        <f ca="1">DATE(2002,10,25)</f>
        <v>0</v>
      </c>
      <c r="B1109" s="2">
        <f ca="1">DATE(2003,12,19)</f>
        <v>0</v>
      </c>
      <c r="C1109" s="1" t="s">
        <v>7016</v>
      </c>
      <c r="D1109" s="3">
        <v>6726</v>
      </c>
      <c r="E1109" s="1" t="s">
        <v>43</v>
      </c>
      <c r="F1109" s="1" t="s">
        <v>5852</v>
      </c>
      <c r="G1109" s="1" t="s">
        <v>7017</v>
      </c>
      <c r="H1109" s="4">
        <v>0.67500000000000004</v>
      </c>
      <c r="I1109" s="4">
        <v>4.5</v>
      </c>
      <c r="J1109" s="5">
        <v>100</v>
      </c>
      <c r="K1109" s="4">
        <v>15</v>
      </c>
      <c r="L1109" s="1" t="s">
        <v>4422</v>
      </c>
      <c r="M1109" s="1" t="s">
        <v>47</v>
      </c>
      <c r="N1109" s="1" t="s">
        <v>7018</v>
      </c>
      <c r="O1109" s="1" t="s">
        <v>3689</v>
      </c>
      <c r="P1109" s="1" t="s">
        <v>7019</v>
      </c>
      <c r="Q1109" s="4">
        <v>0.93300000000000005</v>
      </c>
      <c r="R1109" s="4">
        <v>0.56699999999999995</v>
      </c>
      <c r="S1109" s="8">
        <v>3</v>
      </c>
      <c r="T1109" s="1" t="s">
        <v>50</v>
      </c>
      <c r="U1109" s="8">
        <v>15</v>
      </c>
      <c r="V1109" s="8">
        <v>15</v>
      </c>
      <c r="W1109" s="7">
        <v>5000000</v>
      </c>
      <c r="X1109" s="5">
        <v>75</v>
      </c>
      <c r="Y1109" s="7">
        <v>6667000</v>
      </c>
      <c r="Z1109" s="1"/>
      <c r="AA1109" s="2">
        <f ca="1">DATE(2004,03,18)</f>
        <v>0</v>
      </c>
      <c r="AB1109" s="1"/>
      <c r="AC1109" s="3">
        <v>90</v>
      </c>
      <c r="AD1109" s="1"/>
      <c r="AE1109" s="1" t="s">
        <v>51</v>
      </c>
      <c r="AF1109" s="1" t="s">
        <v>51</v>
      </c>
      <c r="AG1109" s="1" t="s">
        <v>51</v>
      </c>
      <c r="AH1109" s="1"/>
      <c r="AI1109" s="1"/>
      <c r="AJ1109" s="3">
        <v>1</v>
      </c>
      <c r="AK1109" s="1" t="s">
        <v>52</v>
      </c>
      <c r="AL1109" s="3">
        <v>11</v>
      </c>
      <c r="AM1109" s="1"/>
      <c r="AN1109" s="1"/>
      <c r="AO1109" s="1" t="s">
        <v>7020</v>
      </c>
      <c r="AP1109" s="1" t="s">
        <v>7017</v>
      </c>
      <c r="AQ1109" s="1" t="s">
        <v>7021</v>
      </c>
      <c r="AR1109" s="1" t="s">
        <v>7022</v>
      </c>
    </row>
    <row r="1110">
      <c r="A1110" s="2">
        <f ca="1">DATE(2003,07,16)</f>
        <v>0</v>
      </c>
      <c r="B1110" s="2">
        <f ca="1">DATE(2004,01,08)</f>
        <v>0</v>
      </c>
      <c r="C1110" s="1" t="s">
        <v>7023</v>
      </c>
      <c r="D1110" s="3">
        <v>4449</v>
      </c>
      <c r="E1110" s="1" t="s">
        <v>43</v>
      </c>
      <c r="F1110" s="1" t="s">
        <v>7024</v>
      </c>
      <c r="G1110" s="1" t="s">
        <v>813</v>
      </c>
      <c r="H1110" s="4">
        <v>1.5569999999999999</v>
      </c>
      <c r="I1110" s="4">
        <v>6.6260000000000003</v>
      </c>
      <c r="J1110" s="5">
        <v>85.200000000000003</v>
      </c>
      <c r="K1110" s="4">
        <v>23.5</v>
      </c>
      <c r="L1110" s="1" t="s">
        <v>85</v>
      </c>
      <c r="M1110" s="1" t="s">
        <v>47</v>
      </c>
      <c r="N1110" s="1" t="s">
        <v>7025</v>
      </c>
      <c r="O1110" s="1" t="s">
        <v>108</v>
      </c>
      <c r="P1110" s="1" t="s">
        <v>7026</v>
      </c>
      <c r="Q1110" s="4">
        <v>1.319</v>
      </c>
      <c r="R1110" s="4">
        <v>1.319</v>
      </c>
      <c r="S1110" s="6">
        <v>3.9872299999999998</v>
      </c>
      <c r="T1110" s="1" t="s">
        <v>50</v>
      </c>
      <c r="U1110" s="1"/>
      <c r="V1110" s="1"/>
      <c r="W1110" s="7">
        <v>3500000</v>
      </c>
      <c r="X1110" s="5">
        <v>88.599999999999994</v>
      </c>
      <c r="Y1110" s="7">
        <v>3625000</v>
      </c>
      <c r="Z1110" s="1"/>
      <c r="AA1110" s="2">
        <f ca="1">DATE(2004,07,06)</f>
        <v>0</v>
      </c>
      <c r="AB1110" s="1"/>
      <c r="AC1110" s="3">
        <v>180</v>
      </c>
      <c r="AD1110" s="1"/>
      <c r="AE1110" s="1" t="s">
        <v>51</v>
      </c>
      <c r="AF1110" s="1" t="s">
        <v>51</v>
      </c>
      <c r="AG1110" s="1" t="s">
        <v>47</v>
      </c>
      <c r="AH1110" s="1"/>
      <c r="AI1110" s="1"/>
      <c r="AJ1110" s="3">
        <v>1</v>
      </c>
      <c r="AK1110" s="1" t="s">
        <v>89</v>
      </c>
      <c r="AL1110" s="3">
        <v>5</v>
      </c>
      <c r="AM1110" s="8">
        <v>27.09</v>
      </c>
      <c r="AN1110" s="1"/>
      <c r="AO1110" s="1" t="s">
        <v>7027</v>
      </c>
      <c r="AP1110" s="1" t="s">
        <v>7028</v>
      </c>
      <c r="AQ1110" s="1" t="s">
        <v>7029</v>
      </c>
      <c r="AR1110" s="1" t="s">
        <v>7030</v>
      </c>
    </row>
    <row r="1111">
      <c r="A1111" s="2">
        <f ca="1">DATE(2003,10,30)</f>
        <v>0</v>
      </c>
      <c r="B1111" s="2">
        <f ca="1">DATE(2004,01,13)</f>
        <v>0</v>
      </c>
      <c r="C1111" s="1" t="s">
        <v>7031</v>
      </c>
      <c r="D1111" s="3">
        <v>4922</v>
      </c>
      <c r="E1111" s="1" t="s">
        <v>43</v>
      </c>
      <c r="F1111" s="1" t="s">
        <v>7032</v>
      </c>
      <c r="G1111" s="1" t="s">
        <v>4145</v>
      </c>
      <c r="H1111" s="4">
        <v>1.26</v>
      </c>
      <c r="I1111" s="4">
        <v>6.4619999999999997</v>
      </c>
      <c r="J1111" s="5">
        <v>45</v>
      </c>
      <c r="K1111" s="4">
        <v>19.5</v>
      </c>
      <c r="L1111" s="1" t="s">
        <v>46</v>
      </c>
      <c r="M1111" s="1" t="s">
        <v>47</v>
      </c>
      <c r="N1111" s="1" t="s">
        <v>7033</v>
      </c>
      <c r="O1111" s="1" t="s">
        <v>48</v>
      </c>
      <c r="P1111" s="1" t="s">
        <v>5955</v>
      </c>
      <c r="Q1111" s="4">
        <v>1.333</v>
      </c>
      <c r="R1111" s="4">
        <v>1.282</v>
      </c>
      <c r="S1111" s="6">
        <v>3.8461500000000002</v>
      </c>
      <c r="T1111" s="1" t="s">
        <v>50</v>
      </c>
      <c r="U1111" s="1"/>
      <c r="V1111" s="1"/>
      <c r="W1111" s="1"/>
      <c r="X1111" s="5">
        <v>50</v>
      </c>
      <c r="Y1111" s="1"/>
      <c r="Z1111" s="7">
        <v>2306000</v>
      </c>
      <c r="AA1111" s="2">
        <f ca="1">DATE(2004,07,11)</f>
        <v>0</v>
      </c>
      <c r="AB1111" s="1"/>
      <c r="AC1111" s="3">
        <v>180</v>
      </c>
      <c r="AD1111" s="1"/>
      <c r="AE1111" s="1" t="s">
        <v>51</v>
      </c>
      <c r="AF1111" s="1" t="s">
        <v>51</v>
      </c>
      <c r="AG1111" s="1" t="s">
        <v>51</v>
      </c>
      <c r="AH1111" s="1"/>
      <c r="AI1111" s="1"/>
      <c r="AJ1111" s="3">
        <v>1</v>
      </c>
      <c r="AK1111" s="1" t="s">
        <v>52</v>
      </c>
      <c r="AL1111" s="3">
        <v>3</v>
      </c>
      <c r="AM1111" s="8">
        <v>25.399999999999999</v>
      </c>
      <c r="AN1111" s="1"/>
      <c r="AO1111" s="1" t="s">
        <v>5956</v>
      </c>
      <c r="AP1111" s="1" t="s">
        <v>4145</v>
      </c>
      <c r="AQ1111" s="1" t="s">
        <v>5957</v>
      </c>
      <c r="AR1111" s="1" t="s">
        <v>5955</v>
      </c>
    </row>
    <row r="1112">
      <c r="A1112" s="2">
        <f ca="1">DATE(2003,11,06)</f>
        <v>0</v>
      </c>
      <c r="B1112" s="2">
        <f ca="1">DATE(2004,01,23)</f>
        <v>0</v>
      </c>
      <c r="C1112" s="1" t="s">
        <v>7034</v>
      </c>
      <c r="D1112" s="3">
        <v>3743</v>
      </c>
      <c r="E1112" s="1" t="s">
        <v>43</v>
      </c>
      <c r="F1112" s="1" t="s">
        <v>7035</v>
      </c>
      <c r="G1112" s="1" t="s">
        <v>5479</v>
      </c>
      <c r="H1112" s="4">
        <v>0.69999999999999996</v>
      </c>
      <c r="I1112" s="8">
        <v>7</v>
      </c>
      <c r="J1112" s="5">
        <v>20</v>
      </c>
      <c r="K1112" s="4">
        <v>10</v>
      </c>
      <c r="L1112" s="1" t="s">
        <v>46</v>
      </c>
      <c r="M1112" s="1" t="s">
        <v>47</v>
      </c>
      <c r="N1112" s="3">
        <v>736212101</v>
      </c>
      <c r="O1112" s="1" t="s">
        <v>48</v>
      </c>
      <c r="P1112" s="1" t="s">
        <v>7036</v>
      </c>
      <c r="Q1112" s="4">
        <v>1.3999999999999999</v>
      </c>
      <c r="R1112" s="4">
        <v>1.3999999999999999</v>
      </c>
      <c r="S1112" s="8">
        <v>4.2000000000000002</v>
      </c>
      <c r="T1112" s="1" t="s">
        <v>50</v>
      </c>
      <c r="U1112" s="1"/>
      <c r="V1112" s="1"/>
      <c r="W1112" s="1"/>
      <c r="X1112" s="5">
        <v>28.800000000000001</v>
      </c>
      <c r="Y1112" s="7">
        <v>2000000</v>
      </c>
      <c r="Z1112" s="1"/>
      <c r="AA1112" s="2">
        <f ca="1">DATE(2004,07,21)</f>
        <v>0</v>
      </c>
      <c r="AB1112" s="1"/>
      <c r="AC1112" s="3">
        <v>180</v>
      </c>
      <c r="AD1112" s="1"/>
      <c r="AE1112" s="1" t="s">
        <v>51</v>
      </c>
      <c r="AF1112" s="1" t="s">
        <v>51</v>
      </c>
      <c r="AG1112" s="1" t="s">
        <v>51</v>
      </c>
      <c r="AH1112" s="1"/>
      <c r="AI1112" s="1"/>
      <c r="AJ1112" s="3">
        <v>1</v>
      </c>
      <c r="AK1112" s="1" t="s">
        <v>52</v>
      </c>
      <c r="AL1112" s="3">
        <v>1</v>
      </c>
      <c r="AM1112" s="8">
        <v>9.9600000000000009</v>
      </c>
      <c r="AN1112" s="1"/>
      <c r="AO1112" s="1" t="s">
        <v>5479</v>
      </c>
      <c r="AP1112" s="1" t="s">
        <v>5479</v>
      </c>
      <c r="AQ1112" s="1" t="s">
        <v>5479</v>
      </c>
      <c r="AR1112" s="1" t="s">
        <v>7037</v>
      </c>
    </row>
    <row r="1113">
      <c r="A1113" s="2">
        <f ca="1">DATE(2003,10,08)</f>
        <v>0</v>
      </c>
      <c r="B1113" s="2">
        <f ca="1">DATE(2004,01,26)</f>
        <v>0</v>
      </c>
      <c r="C1113" s="1" t="s">
        <v>7038</v>
      </c>
      <c r="D1113" s="3">
        <v>6798</v>
      </c>
      <c r="E1113" s="1" t="s">
        <v>43</v>
      </c>
      <c r="F1113" s="1" t="s">
        <v>7039</v>
      </c>
      <c r="G1113" s="1" t="s">
        <v>84</v>
      </c>
      <c r="H1113" s="4">
        <v>0.69999999999999996</v>
      </c>
      <c r="I1113" s="8">
        <v>7</v>
      </c>
      <c r="J1113" s="5">
        <v>168</v>
      </c>
      <c r="K1113" s="4">
        <v>10</v>
      </c>
      <c r="L1113" s="1" t="s">
        <v>46</v>
      </c>
      <c r="M1113" s="1" t="s">
        <v>47</v>
      </c>
      <c r="N1113" s="1" t="s">
        <v>7040</v>
      </c>
      <c r="O1113" s="1" t="s">
        <v>108</v>
      </c>
      <c r="P1113" s="1" t="s">
        <v>7041</v>
      </c>
      <c r="Q1113" s="4">
        <v>1.3999999999999999</v>
      </c>
      <c r="R1113" s="4">
        <v>1.3999999999999999</v>
      </c>
      <c r="S1113" s="8">
        <v>4.2000000000000002</v>
      </c>
      <c r="T1113" s="1" t="s">
        <v>50</v>
      </c>
      <c r="U1113" s="8">
        <v>11</v>
      </c>
      <c r="V1113" s="8">
        <v>9</v>
      </c>
      <c r="W1113" s="7">
        <v>10000000</v>
      </c>
      <c r="X1113" s="5">
        <v>100</v>
      </c>
      <c r="Y1113" s="7">
        <v>16800000</v>
      </c>
      <c r="Z1113" s="1"/>
      <c r="AA1113" s="2">
        <f ca="1">DATE(2004,07,24)</f>
        <v>0</v>
      </c>
      <c r="AB1113" s="1"/>
      <c r="AC1113" s="3">
        <v>180</v>
      </c>
      <c r="AD1113" s="1"/>
      <c r="AE1113" s="1" t="s">
        <v>51</v>
      </c>
      <c r="AF1113" s="1" t="s">
        <v>51</v>
      </c>
      <c r="AG1113" s="1" t="s">
        <v>51</v>
      </c>
      <c r="AH1113" s="1"/>
      <c r="AI1113" s="1"/>
      <c r="AJ1113" s="3">
        <v>1</v>
      </c>
      <c r="AK1113" s="1" t="s">
        <v>52</v>
      </c>
      <c r="AL1113" s="3">
        <v>3</v>
      </c>
      <c r="AM1113" s="8">
        <v>13.029999999999999</v>
      </c>
      <c r="AN1113" s="1"/>
      <c r="AO1113" s="1" t="s">
        <v>7042</v>
      </c>
      <c r="AP1113" s="1" t="s">
        <v>84</v>
      </c>
      <c r="AQ1113" s="1" t="s">
        <v>7043</v>
      </c>
      <c r="AR1113" s="1" t="s">
        <v>7044</v>
      </c>
    </row>
    <row r="1114">
      <c r="A1114" s="2">
        <f ca="1">DATE(2003,10,03)</f>
        <v>0</v>
      </c>
      <c r="B1114" s="2">
        <f ca="1">DATE(2004,01,27)</f>
        <v>0</v>
      </c>
      <c r="C1114" s="1" t="s">
        <v>7045</v>
      </c>
      <c r="D1114" s="3">
        <v>6726</v>
      </c>
      <c r="E1114" s="1" t="s">
        <v>43</v>
      </c>
      <c r="F1114" s="1" t="s">
        <v>7046</v>
      </c>
      <c r="G1114" s="1" t="s">
        <v>45</v>
      </c>
      <c r="H1114" s="4">
        <v>0.90000000000000002</v>
      </c>
      <c r="I1114" s="4">
        <v>4.5</v>
      </c>
      <c r="J1114" s="9">
        <v>1050</v>
      </c>
      <c r="K1114" s="4">
        <v>20</v>
      </c>
      <c r="L1114" s="1" t="s">
        <v>46</v>
      </c>
      <c r="M1114" s="1" t="s">
        <v>47</v>
      </c>
      <c r="N1114" s="1" t="s">
        <v>7047</v>
      </c>
      <c r="O1114" s="1" t="s">
        <v>108</v>
      </c>
      <c r="P1114" s="1" t="s">
        <v>7048</v>
      </c>
      <c r="Q1114" s="4">
        <v>1</v>
      </c>
      <c r="R1114" s="4">
        <v>0.5</v>
      </c>
      <c r="S1114" s="8">
        <v>3</v>
      </c>
      <c r="T1114" s="1" t="s">
        <v>50</v>
      </c>
      <c r="U1114" s="8">
        <v>20</v>
      </c>
      <c r="V1114" s="8">
        <v>20</v>
      </c>
      <c r="W1114" s="7">
        <v>50000</v>
      </c>
      <c r="X1114" s="5">
        <v>1</v>
      </c>
      <c r="Y1114" s="7">
        <v>52500000</v>
      </c>
      <c r="Z1114" s="1"/>
      <c r="AA1114" s="2">
        <f ca="1">DATE(2004,07,25)</f>
        <v>0</v>
      </c>
      <c r="AB1114" s="1"/>
      <c r="AC1114" s="3">
        <v>180</v>
      </c>
      <c r="AD1114" s="1"/>
      <c r="AE1114" s="1" t="s">
        <v>51</v>
      </c>
      <c r="AF1114" s="1" t="s">
        <v>51</v>
      </c>
      <c r="AG1114" s="1" t="s">
        <v>51</v>
      </c>
      <c r="AH1114" s="1"/>
      <c r="AI1114" s="1"/>
      <c r="AJ1114" s="3">
        <v>1</v>
      </c>
      <c r="AK1114" s="1" t="s">
        <v>89</v>
      </c>
      <c r="AL1114" s="3">
        <v>21</v>
      </c>
      <c r="AM1114" s="8">
        <v>20.050000000000001</v>
      </c>
      <c r="AN1114" s="1"/>
      <c r="AO1114" s="1" t="s">
        <v>7049</v>
      </c>
      <c r="AP1114" s="1" t="s">
        <v>7050</v>
      </c>
      <c r="AQ1114" s="1" t="s">
        <v>7051</v>
      </c>
      <c r="AR1114" s="1" t="s">
        <v>7052</v>
      </c>
    </row>
    <row r="1115">
      <c r="A1115" s="2">
        <f ca="1">DATE(2003,10,23)</f>
        <v>0</v>
      </c>
      <c r="B1115" s="2">
        <f ca="1">DATE(2004,01,27)</f>
        <v>0</v>
      </c>
      <c r="C1115" s="1" t="s">
        <v>7053</v>
      </c>
      <c r="D1115" s="3">
        <v>6726</v>
      </c>
      <c r="E1115" s="1" t="s">
        <v>43</v>
      </c>
      <c r="F1115" s="1" t="s">
        <v>7054</v>
      </c>
      <c r="G1115" s="1" t="s">
        <v>45</v>
      </c>
      <c r="H1115" s="4">
        <v>0.90000000000000002</v>
      </c>
      <c r="I1115" s="4">
        <v>4.5</v>
      </c>
      <c r="J1115" s="5">
        <v>810</v>
      </c>
      <c r="K1115" s="4">
        <v>20</v>
      </c>
      <c r="L1115" s="1" t="s">
        <v>46</v>
      </c>
      <c r="M1115" s="1" t="s">
        <v>47</v>
      </c>
      <c r="N1115" s="1" t="s">
        <v>7055</v>
      </c>
      <c r="O1115" s="1" t="s">
        <v>108</v>
      </c>
      <c r="P1115" s="1" t="s">
        <v>7056</v>
      </c>
      <c r="Q1115" s="4">
        <v>1</v>
      </c>
      <c r="R1115" s="4">
        <v>0.5</v>
      </c>
      <c r="S1115" s="8">
        <v>3</v>
      </c>
      <c r="T1115" s="1" t="s">
        <v>50</v>
      </c>
      <c r="U1115" s="8">
        <v>20</v>
      </c>
      <c r="V1115" s="8">
        <v>20</v>
      </c>
      <c r="W1115" s="7">
        <v>50000</v>
      </c>
      <c r="X1115" s="5">
        <v>1</v>
      </c>
      <c r="Y1115" s="7">
        <v>40500000</v>
      </c>
      <c r="Z1115" s="1"/>
      <c r="AA1115" s="2">
        <f ca="1">DATE(2004,07,25)</f>
        <v>0</v>
      </c>
      <c r="AB1115" s="1"/>
      <c r="AC1115" s="3">
        <v>180</v>
      </c>
      <c r="AD1115" s="1"/>
      <c r="AE1115" s="1" t="s">
        <v>51</v>
      </c>
      <c r="AF1115" s="1" t="s">
        <v>51</v>
      </c>
      <c r="AG1115" s="1" t="s">
        <v>51</v>
      </c>
      <c r="AH1115" s="1"/>
      <c r="AI1115" s="1"/>
      <c r="AJ1115" s="3">
        <v>1</v>
      </c>
      <c r="AK1115" s="1" t="s">
        <v>52</v>
      </c>
      <c r="AL1115" s="3">
        <v>14</v>
      </c>
      <c r="AM1115" s="8">
        <v>20</v>
      </c>
      <c r="AN1115" s="1"/>
      <c r="AO1115" s="1" t="s">
        <v>7057</v>
      </c>
      <c r="AP1115" s="1" t="s">
        <v>45</v>
      </c>
      <c r="AQ1115" s="1" t="s">
        <v>7058</v>
      </c>
      <c r="AR1115" s="1" t="s">
        <v>7059</v>
      </c>
    </row>
    <row r="1116">
      <c r="A1116" s="2">
        <f ca="1">DATE(2003,11,20)</f>
        <v>0</v>
      </c>
      <c r="B1116" s="2">
        <f ca="1">DATE(2004,01,27)</f>
        <v>0</v>
      </c>
      <c r="C1116" s="1" t="s">
        <v>7060</v>
      </c>
      <c r="D1116" s="3">
        <v>6726</v>
      </c>
      <c r="E1116" s="1" t="s">
        <v>43</v>
      </c>
      <c r="F1116" s="1" t="s">
        <v>7061</v>
      </c>
      <c r="G1116" s="1" t="s">
        <v>6295</v>
      </c>
      <c r="H1116" s="4">
        <v>0.90000000000000002</v>
      </c>
      <c r="I1116" s="4">
        <v>4.5</v>
      </c>
      <c r="J1116" s="9">
        <v>1400</v>
      </c>
      <c r="K1116" s="4">
        <v>20</v>
      </c>
      <c r="L1116" s="1" t="s">
        <v>46</v>
      </c>
      <c r="M1116" s="1" t="s">
        <v>47</v>
      </c>
      <c r="N1116" s="1" t="s">
        <v>7062</v>
      </c>
      <c r="O1116" s="1" t="s">
        <v>108</v>
      </c>
      <c r="P1116" s="1" t="s">
        <v>7063</v>
      </c>
      <c r="Q1116" s="1" t="s">
        <v>145</v>
      </c>
      <c r="R1116" s="1" t="s">
        <v>145</v>
      </c>
      <c r="S1116" s="8">
        <v>3</v>
      </c>
      <c r="T1116" s="1" t="s">
        <v>50</v>
      </c>
      <c r="U1116" s="8">
        <v>20</v>
      </c>
      <c r="V1116" s="8">
        <v>20</v>
      </c>
      <c r="W1116" s="7">
        <v>50000</v>
      </c>
      <c r="X1116" s="5">
        <v>1</v>
      </c>
      <c r="Y1116" s="7">
        <v>70000000</v>
      </c>
      <c r="Z1116" s="1"/>
      <c r="AA1116" s="1"/>
      <c r="AB1116" s="1"/>
      <c r="AC1116" s="1"/>
      <c r="AD1116" s="1"/>
      <c r="AE1116" s="1" t="s">
        <v>51</v>
      </c>
      <c r="AF1116" s="1" t="s">
        <v>51</v>
      </c>
      <c r="AG1116" s="1" t="s">
        <v>51</v>
      </c>
      <c r="AH1116" s="1"/>
      <c r="AI1116" s="1"/>
      <c r="AJ1116" s="3">
        <v>3</v>
      </c>
      <c r="AK1116" s="1" t="s">
        <v>110</v>
      </c>
      <c r="AL1116" s="3">
        <v>12</v>
      </c>
      <c r="AM1116" s="8">
        <v>28</v>
      </c>
      <c r="AN1116" s="1"/>
      <c r="AO1116" s="1" t="s">
        <v>7064</v>
      </c>
      <c r="AP1116" s="1" t="s">
        <v>6299</v>
      </c>
      <c r="AQ1116" s="1" t="s">
        <v>7065</v>
      </c>
      <c r="AR1116" s="1" t="s">
        <v>7066</v>
      </c>
    </row>
    <row r="1117">
      <c r="A1117" s="2">
        <f ca="1">DATE(2003,11,26)</f>
        <v>0</v>
      </c>
      <c r="B1117" s="2">
        <f ca="1">DATE(2004,01,27)</f>
        <v>0</v>
      </c>
      <c r="C1117" s="1" t="s">
        <v>7067</v>
      </c>
      <c r="D1117" s="3">
        <v>6726</v>
      </c>
      <c r="E1117" s="1" t="s">
        <v>43</v>
      </c>
      <c r="F1117" s="1" t="s">
        <v>7068</v>
      </c>
      <c r="G1117" s="1" t="s">
        <v>6201</v>
      </c>
      <c r="H1117" s="4">
        <v>0.90000000000000002</v>
      </c>
      <c r="I1117" s="4">
        <v>4.5</v>
      </c>
      <c r="J1117" s="5">
        <v>267</v>
      </c>
      <c r="K1117" s="4">
        <v>20</v>
      </c>
      <c r="L1117" s="1" t="s">
        <v>46</v>
      </c>
      <c r="M1117" s="1" t="s">
        <v>47</v>
      </c>
      <c r="N1117" s="1" t="s">
        <v>7069</v>
      </c>
      <c r="O1117" s="1" t="s">
        <v>108</v>
      </c>
      <c r="P1117" s="1" t="s">
        <v>7070</v>
      </c>
      <c r="Q1117" s="4">
        <v>0.94999999999999996</v>
      </c>
      <c r="R1117" s="4">
        <v>0.55000000000000004</v>
      </c>
      <c r="S1117" s="8">
        <v>3</v>
      </c>
      <c r="T1117" s="1" t="s">
        <v>50</v>
      </c>
      <c r="U1117" s="8">
        <v>20</v>
      </c>
      <c r="V1117" s="8">
        <v>20</v>
      </c>
      <c r="W1117" s="7">
        <v>4000000</v>
      </c>
      <c r="X1117" s="5">
        <v>80</v>
      </c>
      <c r="Y1117" s="7">
        <v>13350000</v>
      </c>
      <c r="Z1117" s="1"/>
      <c r="AA1117" s="1"/>
      <c r="AB1117" s="1"/>
      <c r="AC1117" s="1"/>
      <c r="AD1117" s="1"/>
      <c r="AE1117" s="1" t="s">
        <v>51</v>
      </c>
      <c r="AF1117" s="1" t="s">
        <v>51</v>
      </c>
      <c r="AG1117" s="1" t="s">
        <v>51</v>
      </c>
      <c r="AH1117" s="1"/>
      <c r="AI1117" s="1"/>
      <c r="AJ1117" s="3">
        <v>1</v>
      </c>
      <c r="AK1117" s="1" t="s">
        <v>52</v>
      </c>
      <c r="AL1117" s="3">
        <v>14</v>
      </c>
      <c r="AM1117" s="8">
        <v>20</v>
      </c>
      <c r="AN1117" s="1"/>
      <c r="AO1117" s="1" t="s">
        <v>7071</v>
      </c>
      <c r="AP1117" s="1" t="s">
        <v>6201</v>
      </c>
      <c r="AQ1117" s="1" t="s">
        <v>7072</v>
      </c>
      <c r="AR1117" s="1" t="s">
        <v>7073</v>
      </c>
    </row>
    <row r="1118">
      <c r="A1118" s="2">
        <f ca="1">DATE(2003,10,17)</f>
        <v>0</v>
      </c>
      <c r="B1118" s="2">
        <f ca="1">DATE(2004,01,27)</f>
        <v>0</v>
      </c>
      <c r="C1118" s="1" t="s">
        <v>7074</v>
      </c>
      <c r="D1118" s="3">
        <v>6726</v>
      </c>
      <c r="E1118" s="1" t="s">
        <v>43</v>
      </c>
      <c r="F1118" s="1" t="s">
        <v>7075</v>
      </c>
      <c r="G1118" s="1" t="s">
        <v>45</v>
      </c>
      <c r="H1118" s="4">
        <v>0.67500000000000004</v>
      </c>
      <c r="I1118" s="4">
        <v>4.5</v>
      </c>
      <c r="J1118" s="5">
        <v>384</v>
      </c>
      <c r="K1118" s="4">
        <v>15</v>
      </c>
      <c r="L1118" s="1" t="s">
        <v>46</v>
      </c>
      <c r="M1118" s="1" t="s">
        <v>47</v>
      </c>
      <c r="N1118" s="1" t="s">
        <v>7076</v>
      </c>
      <c r="O1118" s="1" t="s">
        <v>108</v>
      </c>
      <c r="P1118" s="1" t="s">
        <v>7077</v>
      </c>
      <c r="Q1118" s="4">
        <v>0.96699999999999997</v>
      </c>
      <c r="R1118" s="4">
        <v>0.53300000000000003</v>
      </c>
      <c r="S1118" s="8">
        <v>3</v>
      </c>
      <c r="T1118" s="1" t="s">
        <v>50</v>
      </c>
      <c r="U1118" s="8">
        <v>15</v>
      </c>
      <c r="V1118" s="8">
        <v>15</v>
      </c>
      <c r="W1118" s="7">
        <v>66667</v>
      </c>
      <c r="X1118" s="5">
        <v>1</v>
      </c>
      <c r="Y1118" s="7">
        <v>25600000</v>
      </c>
      <c r="Z1118" s="1"/>
      <c r="AA1118" s="2">
        <f ca="1">DATE(2004,07,25)</f>
        <v>0</v>
      </c>
      <c r="AB1118" s="1"/>
      <c r="AC1118" s="3">
        <v>180</v>
      </c>
      <c r="AD1118" s="1"/>
      <c r="AE1118" s="1" t="s">
        <v>51</v>
      </c>
      <c r="AF1118" s="1" t="s">
        <v>51</v>
      </c>
      <c r="AG1118" s="1" t="s">
        <v>51</v>
      </c>
      <c r="AH1118" s="1"/>
      <c r="AI1118" s="1"/>
      <c r="AJ1118" s="3">
        <v>1</v>
      </c>
      <c r="AK1118" s="1" t="s">
        <v>52</v>
      </c>
      <c r="AL1118" s="3">
        <v>4</v>
      </c>
      <c r="AM1118" s="8">
        <v>15</v>
      </c>
      <c r="AN1118" s="1"/>
      <c r="AO1118" s="1" t="s">
        <v>7078</v>
      </c>
      <c r="AP1118" s="1" t="s">
        <v>45</v>
      </c>
      <c r="AQ1118" s="1" t="s">
        <v>7079</v>
      </c>
      <c r="AR1118" s="1" t="s">
        <v>7080</v>
      </c>
    </row>
    <row r="1119">
      <c r="A1119" s="2">
        <f ca="1">DATE(2004,01,12)</f>
        <v>0</v>
      </c>
      <c r="B1119" s="2">
        <f ca="1">DATE(2004,01,28)</f>
        <v>0</v>
      </c>
      <c r="C1119" s="1" t="s">
        <v>7081</v>
      </c>
      <c r="D1119" s="3">
        <v>3578</v>
      </c>
      <c r="E1119" s="1" t="s">
        <v>934</v>
      </c>
      <c r="F1119" s="1" t="s">
        <v>7082</v>
      </c>
      <c r="G1119" s="1" t="s">
        <v>7083</v>
      </c>
      <c r="H1119" s="4">
        <v>2.5</v>
      </c>
      <c r="I1119" s="8">
        <v>6.0099999999999998</v>
      </c>
      <c r="J1119" s="5">
        <v>124.8</v>
      </c>
      <c r="K1119" s="4">
        <v>41.600000000000001</v>
      </c>
      <c r="L1119" s="1" t="s">
        <v>1057</v>
      </c>
      <c r="M1119" s="1" t="s">
        <v>47</v>
      </c>
      <c r="N1119" s="1" t="s">
        <v>7084</v>
      </c>
      <c r="O1119" s="1" t="s">
        <v>2646</v>
      </c>
      <c r="P1119" s="1" t="s">
        <v>7085</v>
      </c>
      <c r="Q1119" s="4">
        <v>1.202</v>
      </c>
      <c r="R1119" s="4">
        <v>1.202</v>
      </c>
      <c r="S1119" s="6">
        <v>3.6057700000000001</v>
      </c>
      <c r="T1119" s="1" t="s">
        <v>50</v>
      </c>
      <c r="U1119" s="8">
        <v>41.409999999999997</v>
      </c>
      <c r="V1119" s="8">
        <v>41.409999999999997</v>
      </c>
      <c r="W1119" s="7">
        <v>3000000</v>
      </c>
      <c r="X1119" s="5">
        <v>124.2</v>
      </c>
      <c r="Y1119" s="7">
        <v>2250000</v>
      </c>
      <c r="Z1119" s="7">
        <v>750000</v>
      </c>
      <c r="AA1119" s="1" t="s">
        <v>7086</v>
      </c>
      <c r="AB1119" s="1" t="s">
        <v>2067</v>
      </c>
      <c r="AC1119" s="1" t="s">
        <v>2068</v>
      </c>
      <c r="AD1119" s="1" t="s">
        <v>2067</v>
      </c>
      <c r="AE1119" s="1" t="s">
        <v>51</v>
      </c>
      <c r="AF1119" s="1" t="s">
        <v>51</v>
      </c>
      <c r="AG1119" s="1" t="s">
        <v>51</v>
      </c>
      <c r="AH1119" s="1"/>
      <c r="AI1119" s="1"/>
      <c r="AJ1119" s="3">
        <v>2</v>
      </c>
      <c r="AK1119" s="1" t="s">
        <v>89</v>
      </c>
      <c r="AL1119" s="3">
        <v>3</v>
      </c>
      <c r="AM1119" s="1"/>
      <c r="AN1119" s="1"/>
      <c r="AO1119" s="1" t="s">
        <v>7087</v>
      </c>
      <c r="AP1119" s="1" t="s">
        <v>7088</v>
      </c>
      <c r="AQ1119" s="1" t="s">
        <v>7089</v>
      </c>
      <c r="AR1119" s="1" t="s">
        <v>7090</v>
      </c>
    </row>
    <row r="1120">
      <c r="A1120" s="2">
        <f ca="1">DATE(2003,09,12)</f>
        <v>0</v>
      </c>
      <c r="B1120" s="2">
        <f ca="1">DATE(2004,01,29)</f>
        <v>0</v>
      </c>
      <c r="C1120" s="1" t="s">
        <v>7091</v>
      </c>
      <c r="D1120" s="3">
        <v>2834</v>
      </c>
      <c r="E1120" s="1" t="s">
        <v>43</v>
      </c>
      <c r="F1120" s="1" t="s">
        <v>7092</v>
      </c>
      <c r="G1120" s="1" t="s">
        <v>4823</v>
      </c>
      <c r="H1120" s="4">
        <v>1.47</v>
      </c>
      <c r="I1120" s="8">
        <v>7</v>
      </c>
      <c r="J1120" s="5">
        <v>136.5</v>
      </c>
      <c r="K1120" s="4">
        <v>21</v>
      </c>
      <c r="L1120" s="1" t="s">
        <v>46</v>
      </c>
      <c r="M1120" s="1" t="s">
        <v>47</v>
      </c>
      <c r="N1120" s="3">
        <v>302297106</v>
      </c>
      <c r="O1120" s="1" t="s">
        <v>48</v>
      </c>
      <c r="P1120" s="1" t="s">
        <v>7093</v>
      </c>
      <c r="Q1120" s="4">
        <v>1.4290000000000001</v>
      </c>
      <c r="R1120" s="4">
        <v>1.381</v>
      </c>
      <c r="S1120" s="6">
        <v>4.19048</v>
      </c>
      <c r="T1120" s="1" t="s">
        <v>50</v>
      </c>
      <c r="U1120" s="1"/>
      <c r="V1120" s="1"/>
      <c r="W1120" s="7">
        <v>6500000</v>
      </c>
      <c r="X1120" s="5">
        <v>85</v>
      </c>
      <c r="Y1120" s="7">
        <v>6500000</v>
      </c>
      <c r="Z1120" s="1"/>
      <c r="AA1120" s="2">
        <f ca="1">DATE(2004,07,27)</f>
        <v>0</v>
      </c>
      <c r="AB1120" s="4">
        <v>81.081000000000003</v>
      </c>
      <c r="AC1120" s="3">
        <v>180</v>
      </c>
      <c r="AD1120" s="8">
        <v>32035063</v>
      </c>
      <c r="AE1120" s="1" t="s">
        <v>51</v>
      </c>
      <c r="AF1120" s="1" t="s">
        <v>51</v>
      </c>
      <c r="AG1120" s="1" t="s">
        <v>47</v>
      </c>
      <c r="AH1120" s="1"/>
      <c r="AI1120" s="1"/>
      <c r="AJ1120" s="3">
        <v>2</v>
      </c>
      <c r="AK1120" s="1" t="s">
        <v>89</v>
      </c>
      <c r="AL1120" s="3">
        <v>4</v>
      </c>
      <c r="AM1120" s="8">
        <v>32.399999999999999</v>
      </c>
      <c r="AN1120" s="1"/>
      <c r="AO1120" s="1" t="s">
        <v>7094</v>
      </c>
      <c r="AP1120" s="1" t="s">
        <v>4826</v>
      </c>
      <c r="AQ1120" s="1" t="s">
        <v>7095</v>
      </c>
      <c r="AR1120" s="1" t="s">
        <v>7096</v>
      </c>
    </row>
    <row r="1121">
      <c r="A1121" s="1"/>
      <c r="B1121" s="2">
        <f ca="1">DATE(2004,02,02)</f>
        <v>0</v>
      </c>
      <c r="C1121" s="1" t="s">
        <v>7097</v>
      </c>
      <c r="D1121" s="3">
        <v>6021</v>
      </c>
      <c r="E1121" s="1" t="s">
        <v>43</v>
      </c>
      <c r="F1121" s="1" t="s">
        <v>7098</v>
      </c>
      <c r="G1121" s="1" t="s">
        <v>84</v>
      </c>
      <c r="H1121" s="4">
        <v>0.875</v>
      </c>
      <c r="I1121" s="4">
        <v>7</v>
      </c>
      <c r="J1121" s="5">
        <v>78.099999999999994</v>
      </c>
      <c r="K1121" s="4">
        <v>12.5</v>
      </c>
      <c r="L1121" s="1" t="s">
        <v>46</v>
      </c>
      <c r="M1121" s="1" t="s">
        <v>47</v>
      </c>
      <c r="N1121" s="1" t="s">
        <v>7099</v>
      </c>
      <c r="O1121" s="1" t="s">
        <v>48</v>
      </c>
      <c r="P1121" s="1" t="s">
        <v>7100</v>
      </c>
      <c r="Q1121" s="4">
        <v>1.44</v>
      </c>
      <c r="R1121" s="4">
        <v>1.3999999999999999</v>
      </c>
      <c r="S1121" s="8">
        <v>4.1600000000000001</v>
      </c>
      <c r="T1121" s="1" t="s">
        <v>50</v>
      </c>
      <c r="U1121" s="1"/>
      <c r="V1121" s="1"/>
      <c r="W1121" s="1"/>
      <c r="X1121" s="1"/>
      <c r="Y1121" s="7">
        <v>6250000</v>
      </c>
      <c r="Z1121" s="1"/>
      <c r="AA1121" s="1"/>
      <c r="AB1121" s="1"/>
      <c r="AC1121" s="1"/>
      <c r="AD1121" s="1"/>
      <c r="AE1121" s="1" t="s">
        <v>51</v>
      </c>
      <c r="AF1121" s="1" t="s">
        <v>51</v>
      </c>
      <c r="AG1121" s="1" t="s">
        <v>51</v>
      </c>
      <c r="AH1121" s="1"/>
      <c r="AI1121" s="1"/>
      <c r="AJ1121" s="3">
        <v>1</v>
      </c>
      <c r="AK1121" s="1" t="s">
        <v>52</v>
      </c>
      <c r="AL1121" s="3">
        <v>3</v>
      </c>
      <c r="AM1121" s="1"/>
      <c r="AN1121" s="1"/>
      <c r="AO1121" s="1" t="s">
        <v>7101</v>
      </c>
      <c r="AP1121" s="1" t="s">
        <v>84</v>
      </c>
      <c r="AQ1121" s="1" t="s">
        <v>7102</v>
      </c>
      <c r="AR1121" s="1" t="s">
        <v>7103</v>
      </c>
    </row>
    <row r="1122">
      <c r="A1122" s="2">
        <f ca="1">DATE(2003,10,15)</f>
        <v>0</v>
      </c>
      <c r="B1122" s="2">
        <f ca="1">DATE(2004,02,02)</f>
        <v>0</v>
      </c>
      <c r="C1122" s="1" t="s">
        <v>7104</v>
      </c>
      <c r="D1122" s="3">
        <v>2834</v>
      </c>
      <c r="E1122" s="1" t="s">
        <v>43</v>
      </c>
      <c r="F1122" s="1" t="s">
        <v>7105</v>
      </c>
      <c r="G1122" s="1" t="s">
        <v>160</v>
      </c>
      <c r="H1122" s="4">
        <v>1.0149999999999999</v>
      </c>
      <c r="I1122" s="8">
        <v>7</v>
      </c>
      <c r="J1122" s="5">
        <v>78.299999999999997</v>
      </c>
      <c r="K1122" s="4">
        <v>14.5</v>
      </c>
      <c r="L1122" s="1" t="s">
        <v>46</v>
      </c>
      <c r="M1122" s="1" t="s">
        <v>47</v>
      </c>
      <c r="N1122" s="1" t="s">
        <v>7106</v>
      </c>
      <c r="O1122" s="1" t="s">
        <v>48</v>
      </c>
      <c r="P1122" s="1" t="s">
        <v>7107</v>
      </c>
      <c r="Q1122" s="4">
        <v>1.3999999999999999</v>
      </c>
      <c r="R1122" s="4">
        <v>1.3999999999999999</v>
      </c>
      <c r="S1122" s="8">
        <v>4.2000000000000002</v>
      </c>
      <c r="T1122" s="1" t="s">
        <v>50</v>
      </c>
      <c r="U1122" s="1"/>
      <c r="V1122" s="1"/>
      <c r="W1122" s="1"/>
      <c r="X1122" s="5">
        <v>86.299999999999997</v>
      </c>
      <c r="Y1122" s="7">
        <v>5400000</v>
      </c>
      <c r="Z1122" s="1"/>
      <c r="AA1122" s="2">
        <f ca="1">DATE(2004,07,31)</f>
        <v>0</v>
      </c>
      <c r="AB1122" s="1" t="s">
        <v>7108</v>
      </c>
      <c r="AC1122" s="1" t="s">
        <v>7109</v>
      </c>
      <c r="AD1122" s="1" t="s">
        <v>7110</v>
      </c>
      <c r="AE1122" s="1" t="s">
        <v>51</v>
      </c>
      <c r="AF1122" s="1" t="s">
        <v>51</v>
      </c>
      <c r="AG1122" s="1" t="s">
        <v>47</v>
      </c>
      <c r="AH1122" s="1"/>
      <c r="AI1122" s="1"/>
      <c r="AJ1122" s="3">
        <v>1</v>
      </c>
      <c r="AK1122" s="1" t="s">
        <v>52</v>
      </c>
      <c r="AL1122" s="3">
        <v>3</v>
      </c>
      <c r="AM1122" s="8">
        <v>12.9</v>
      </c>
      <c r="AN1122" s="1"/>
      <c r="AO1122" s="1" t="s">
        <v>7111</v>
      </c>
      <c r="AP1122" s="1" t="s">
        <v>160</v>
      </c>
      <c r="AQ1122" s="1" t="s">
        <v>7112</v>
      </c>
      <c r="AR1122" s="1" t="s">
        <v>7113</v>
      </c>
    </row>
    <row r="1123">
      <c r="A1123" s="2">
        <f ca="1">DATE(2003,11,14)</f>
        <v>0</v>
      </c>
      <c r="B1123" s="2">
        <f ca="1">DATE(2004,02,02)</f>
        <v>0</v>
      </c>
      <c r="C1123" s="1" t="s">
        <v>7114</v>
      </c>
      <c r="D1123" s="3">
        <v>3714</v>
      </c>
      <c r="E1123" s="1" t="s">
        <v>43</v>
      </c>
      <c r="F1123" s="1"/>
      <c r="G1123" s="1" t="s">
        <v>7115</v>
      </c>
      <c r="H1123" s="8">
        <v>0.31</v>
      </c>
      <c r="I1123" s="4">
        <v>1.107</v>
      </c>
      <c r="J1123" s="5">
        <v>675.89999999999998</v>
      </c>
      <c r="K1123" s="4">
        <v>28</v>
      </c>
      <c r="L1123" s="1" t="s">
        <v>46</v>
      </c>
      <c r="M1123" s="1" t="s">
        <v>47</v>
      </c>
      <c r="N1123" s="1" t="s">
        <v>7116</v>
      </c>
      <c r="O1123" s="1"/>
      <c r="P1123" s="1" t="s">
        <v>7117</v>
      </c>
      <c r="Q1123" s="4">
        <v>1.107</v>
      </c>
      <c r="R1123" s="4">
        <v>1.107</v>
      </c>
      <c r="S1123" s="6">
        <v>3.2857099999999999</v>
      </c>
      <c r="T1123" s="1" t="s">
        <v>50</v>
      </c>
      <c r="U1123" s="1"/>
      <c r="V1123" s="1"/>
      <c r="W1123" s="1"/>
      <c r="X1123" s="5">
        <v>350</v>
      </c>
      <c r="Y1123" s="7">
        <v>24137931</v>
      </c>
      <c r="Z1123" s="1"/>
      <c r="AA1123" s="2">
        <f ca="1">DATE(2004,07,31)</f>
        <v>0</v>
      </c>
      <c r="AB1123" s="1" t="s">
        <v>7118</v>
      </c>
      <c r="AC1123" s="1" t="s">
        <v>7109</v>
      </c>
      <c r="AD1123" s="1" t="s">
        <v>7119</v>
      </c>
      <c r="AE1123" s="1" t="s">
        <v>51</v>
      </c>
      <c r="AF1123" s="1" t="s">
        <v>51</v>
      </c>
      <c r="AG1123" s="1" t="s">
        <v>47</v>
      </c>
      <c r="AH1123" s="1"/>
      <c r="AI1123" s="1"/>
      <c r="AJ1123" s="3">
        <v>3</v>
      </c>
      <c r="AK1123" s="1" t="s">
        <v>110</v>
      </c>
      <c r="AL1123" s="3">
        <v>9</v>
      </c>
      <c r="AM1123" s="8">
        <v>27.100000000000001</v>
      </c>
      <c r="AN1123" s="1"/>
      <c r="AO1123" s="1" t="s">
        <v>7120</v>
      </c>
      <c r="AP1123" s="1" t="s">
        <v>7121</v>
      </c>
      <c r="AQ1123" s="1" t="s">
        <v>7122</v>
      </c>
      <c r="AR1123" s="1" t="s">
        <v>7123</v>
      </c>
    </row>
    <row r="1124">
      <c r="A1124" s="2">
        <f ca="1">DATE(2003,10,24)</f>
        <v>0</v>
      </c>
      <c r="B1124" s="2">
        <f ca="1">DATE(2004,02,04)</f>
        <v>0</v>
      </c>
      <c r="C1124" s="1" t="s">
        <v>7124</v>
      </c>
      <c r="D1124" s="3">
        <v>6321</v>
      </c>
      <c r="E1124" s="1" t="s">
        <v>43</v>
      </c>
      <c r="F1124" s="1" t="s">
        <v>7125</v>
      </c>
      <c r="G1124" s="1" t="s">
        <v>796</v>
      </c>
      <c r="H1124" s="4">
        <v>1.0449999999999999</v>
      </c>
      <c r="I1124" s="8">
        <v>4.75</v>
      </c>
      <c r="J1124" s="9">
        <v>1760</v>
      </c>
      <c r="K1124" s="4">
        <v>22</v>
      </c>
      <c r="L1124" s="1" t="s">
        <v>46</v>
      </c>
      <c r="M1124" s="1" t="s">
        <v>47</v>
      </c>
      <c r="N1124" s="1" t="s">
        <v>7126</v>
      </c>
      <c r="O1124" s="1" t="s">
        <v>108</v>
      </c>
      <c r="P1124" s="1" t="s">
        <v>7127</v>
      </c>
      <c r="Q1124" s="4">
        <v>0.94999999999999996</v>
      </c>
      <c r="R1124" s="4">
        <v>0.70899999999999996</v>
      </c>
      <c r="S1124" s="6">
        <v>3.09091</v>
      </c>
      <c r="T1124" s="1" t="s">
        <v>50</v>
      </c>
      <c r="U1124" s="1"/>
      <c r="V1124" s="1"/>
      <c r="W1124" s="1"/>
      <c r="X1124" s="9">
        <v>1000</v>
      </c>
      <c r="Y1124" s="1"/>
      <c r="Z1124" s="7">
        <v>80000000</v>
      </c>
      <c r="AA1124" s="1" t="s">
        <v>7128</v>
      </c>
      <c r="AB1124" s="1" t="s">
        <v>7129</v>
      </c>
      <c r="AC1124" s="1" t="s">
        <v>2068</v>
      </c>
      <c r="AD1124" s="1" t="s">
        <v>7130</v>
      </c>
      <c r="AE1124" s="1" t="s">
        <v>51</v>
      </c>
      <c r="AF1124" s="1" t="s">
        <v>51</v>
      </c>
      <c r="AG1124" s="1" t="s">
        <v>51</v>
      </c>
      <c r="AH1124" s="1" t="s">
        <v>7131</v>
      </c>
      <c r="AI1124" s="1" t="s">
        <v>7132</v>
      </c>
      <c r="AJ1124" s="3">
        <v>1</v>
      </c>
      <c r="AK1124" s="1" t="s">
        <v>110</v>
      </c>
      <c r="AL1124" s="3">
        <v>12</v>
      </c>
      <c r="AM1124" s="1"/>
      <c r="AN1124" s="1"/>
      <c r="AO1124" s="1" t="s">
        <v>7133</v>
      </c>
      <c r="AP1124" s="1" t="s">
        <v>7134</v>
      </c>
      <c r="AQ1124" s="1" t="s">
        <v>7135</v>
      </c>
      <c r="AR1124" s="1" t="s">
        <v>7136</v>
      </c>
    </row>
    <row r="1125">
      <c r="A1125" s="2">
        <f ca="1">DATE(2003,10,24)</f>
        <v>0</v>
      </c>
      <c r="B1125" s="2">
        <f ca="1">DATE(2004,02,04)</f>
        <v>0</v>
      </c>
      <c r="C1125" s="1" t="s">
        <v>7137</v>
      </c>
      <c r="D1125" s="3">
        <v>6153</v>
      </c>
      <c r="E1125" s="1" t="s">
        <v>43</v>
      </c>
      <c r="F1125" s="1" t="s">
        <v>7138</v>
      </c>
      <c r="G1125" s="1" t="s">
        <v>411</v>
      </c>
      <c r="H1125" s="4">
        <v>1.05</v>
      </c>
      <c r="I1125" s="4">
        <v>7</v>
      </c>
      <c r="J1125" s="5">
        <v>105</v>
      </c>
      <c r="K1125" s="4">
        <v>15</v>
      </c>
      <c r="L1125" s="1" t="s">
        <v>46</v>
      </c>
      <c r="M1125" s="1" t="s">
        <v>47</v>
      </c>
      <c r="N1125" s="1" t="s">
        <v>7139</v>
      </c>
      <c r="O1125" s="1" t="s">
        <v>48</v>
      </c>
      <c r="P1125" s="1" t="s">
        <v>7140</v>
      </c>
      <c r="Q1125" s="4">
        <v>1.3999999999999999</v>
      </c>
      <c r="R1125" s="4">
        <v>1.3999999999999999</v>
      </c>
      <c r="S1125" s="8">
        <v>4.2000000000000002</v>
      </c>
      <c r="T1125" s="1" t="s">
        <v>50</v>
      </c>
      <c r="U1125" s="1"/>
      <c r="V1125" s="1"/>
      <c r="W1125" s="1"/>
      <c r="X1125" s="5">
        <v>115</v>
      </c>
      <c r="Y1125" s="7">
        <v>7000000</v>
      </c>
      <c r="Z1125" s="1"/>
      <c r="AA1125" s="2">
        <f ca="1">DATE(2004,08,02)</f>
        <v>0</v>
      </c>
      <c r="AB1125" s="1" t="s">
        <v>7141</v>
      </c>
      <c r="AC1125" s="1" t="s">
        <v>7109</v>
      </c>
      <c r="AD1125" s="1" t="s">
        <v>7142</v>
      </c>
      <c r="AE1125" s="1" t="s">
        <v>51</v>
      </c>
      <c r="AF1125" s="1" t="s">
        <v>51</v>
      </c>
      <c r="AG1125" s="1" t="s">
        <v>47</v>
      </c>
      <c r="AH1125" s="1"/>
      <c r="AI1125" s="1"/>
      <c r="AJ1125" s="3">
        <v>1</v>
      </c>
      <c r="AK1125" s="1" t="s">
        <v>52</v>
      </c>
      <c r="AL1125" s="3">
        <v>4</v>
      </c>
      <c r="AM1125" s="8">
        <v>16.68</v>
      </c>
      <c r="AN1125" s="1"/>
      <c r="AO1125" s="1" t="s">
        <v>7143</v>
      </c>
      <c r="AP1125" s="1" t="s">
        <v>411</v>
      </c>
      <c r="AQ1125" s="1" t="s">
        <v>7144</v>
      </c>
      <c r="AR1125" s="1" t="s">
        <v>7140</v>
      </c>
    </row>
    <row r="1126">
      <c r="A1126" s="2">
        <f ca="1">DATE(2003,10,17)</f>
        <v>0</v>
      </c>
      <c r="B1126" s="2">
        <f ca="1">DATE(2004,02,04)</f>
        <v>0</v>
      </c>
      <c r="C1126" s="1" t="s">
        <v>7145</v>
      </c>
      <c r="D1126" s="3">
        <v>2834</v>
      </c>
      <c r="E1126" s="1" t="s">
        <v>43</v>
      </c>
      <c r="F1126" s="1" t="s">
        <v>7146</v>
      </c>
      <c r="G1126" s="1" t="s">
        <v>160</v>
      </c>
      <c r="H1126" s="4">
        <v>0.83999999999999997</v>
      </c>
      <c r="I1126" s="8">
        <v>7</v>
      </c>
      <c r="J1126" s="5">
        <v>66</v>
      </c>
      <c r="K1126" s="4">
        <v>12</v>
      </c>
      <c r="L1126" s="1" t="s">
        <v>46</v>
      </c>
      <c r="M1126" s="1" t="s">
        <v>47</v>
      </c>
      <c r="N1126" s="3">
        <v>759885106</v>
      </c>
      <c r="O1126" s="1" t="s">
        <v>48</v>
      </c>
      <c r="P1126" s="1" t="s">
        <v>7147</v>
      </c>
      <c r="Q1126" s="4">
        <v>5.9169999999999998</v>
      </c>
      <c r="R1126" s="4">
        <v>1.417</v>
      </c>
      <c r="S1126" s="6">
        <v>4.1666699999999999</v>
      </c>
      <c r="T1126" s="1" t="s">
        <v>50</v>
      </c>
      <c r="U1126" s="1"/>
      <c r="V1126" s="1"/>
      <c r="W1126" s="1"/>
      <c r="X1126" s="5">
        <v>75</v>
      </c>
      <c r="Y1126" s="7">
        <v>5500000</v>
      </c>
      <c r="Z1126" s="1"/>
      <c r="AA1126" s="2">
        <f ca="1">DATE(2004,08,02)</f>
        <v>0</v>
      </c>
      <c r="AB1126" s="4">
        <v>43.630000000000003</v>
      </c>
      <c r="AC1126" s="3">
        <v>180</v>
      </c>
      <c r="AD1126" s="8">
        <v>10686271</v>
      </c>
      <c r="AE1126" s="1" t="s">
        <v>51</v>
      </c>
      <c r="AF1126" s="1" t="s">
        <v>51</v>
      </c>
      <c r="AG1126" s="1" t="s">
        <v>47</v>
      </c>
      <c r="AH1126" s="1"/>
      <c r="AI1126" s="1"/>
      <c r="AJ1126" s="3">
        <v>1</v>
      </c>
      <c r="AK1126" s="1" t="s">
        <v>52</v>
      </c>
      <c r="AL1126" s="3">
        <v>4</v>
      </c>
      <c r="AM1126" s="8">
        <v>14.5</v>
      </c>
      <c r="AN1126" s="1"/>
      <c r="AO1126" s="1" t="s">
        <v>7148</v>
      </c>
      <c r="AP1126" s="1" t="s">
        <v>160</v>
      </c>
      <c r="AQ1126" s="1" t="s">
        <v>7149</v>
      </c>
      <c r="AR1126" s="1" t="s">
        <v>7147</v>
      </c>
    </row>
    <row r="1127">
      <c r="A1127" s="2">
        <f ca="1">DATE(2002,12,18)</f>
        <v>0</v>
      </c>
      <c r="B1127" s="2">
        <f ca="1">DATE(2004,02,04)</f>
        <v>0</v>
      </c>
      <c r="C1127" s="1" t="s">
        <v>7150</v>
      </c>
      <c r="D1127" s="3">
        <v>1381</v>
      </c>
      <c r="E1127" s="1" t="s">
        <v>43</v>
      </c>
      <c r="F1127" s="1" t="s">
        <v>7151</v>
      </c>
      <c r="G1127" s="1" t="s">
        <v>796</v>
      </c>
      <c r="H1127" s="4">
        <v>0.81000000000000005</v>
      </c>
      <c r="I1127" s="4">
        <v>6.75</v>
      </c>
      <c r="J1127" s="5">
        <v>144</v>
      </c>
      <c r="K1127" s="4">
        <v>12</v>
      </c>
      <c r="L1127" s="1" t="s">
        <v>152</v>
      </c>
      <c r="M1127" s="1" t="s">
        <v>47</v>
      </c>
      <c r="N1127" s="1" t="s">
        <v>7152</v>
      </c>
      <c r="O1127" s="1" t="s">
        <v>108</v>
      </c>
      <c r="P1127" s="1" t="s">
        <v>7153</v>
      </c>
      <c r="Q1127" s="4">
        <v>1.583</v>
      </c>
      <c r="R1127" s="4">
        <v>1.583</v>
      </c>
      <c r="S1127" s="6">
        <v>3.5833300000000001</v>
      </c>
      <c r="T1127" s="1" t="s">
        <v>50</v>
      </c>
      <c r="U1127" s="1"/>
      <c r="V1127" s="1"/>
      <c r="W1127" s="1"/>
      <c r="X1127" s="5">
        <v>250</v>
      </c>
      <c r="Y1127" s="1"/>
      <c r="Z1127" s="7">
        <v>12000000</v>
      </c>
      <c r="AA1127" s="1" t="s">
        <v>7154</v>
      </c>
      <c r="AB1127" s="1" t="s">
        <v>2067</v>
      </c>
      <c r="AC1127" s="1" t="s">
        <v>7155</v>
      </c>
      <c r="AD1127" s="1" t="s">
        <v>2067</v>
      </c>
      <c r="AE1127" s="1" t="s">
        <v>51</v>
      </c>
      <c r="AF1127" s="1" t="s">
        <v>51</v>
      </c>
      <c r="AG1127" s="1" t="s">
        <v>51</v>
      </c>
      <c r="AH1127" s="1"/>
      <c r="AI1127" s="1"/>
      <c r="AJ1127" s="3">
        <v>1</v>
      </c>
      <c r="AK1127" s="1" t="s">
        <v>52</v>
      </c>
      <c r="AL1127" s="3">
        <v>6</v>
      </c>
      <c r="AM1127" s="8">
        <v>13.699999999999999</v>
      </c>
      <c r="AN1127" s="1"/>
      <c r="AO1127" s="1" t="s">
        <v>7156</v>
      </c>
      <c r="AP1127" s="1" t="s">
        <v>796</v>
      </c>
      <c r="AQ1127" s="1" t="s">
        <v>7157</v>
      </c>
      <c r="AR1127" s="1" t="s">
        <v>7158</v>
      </c>
    </row>
    <row r="1128">
      <c r="A1128" s="2">
        <f ca="1">DATE(2002,04,16)</f>
        <v>0</v>
      </c>
      <c r="B1128" s="2">
        <f ca="1">DATE(2004,02,05)</f>
        <v>0</v>
      </c>
      <c r="C1128" s="1" t="s">
        <v>7159</v>
      </c>
      <c r="D1128" s="3">
        <v>5661</v>
      </c>
      <c r="E1128" s="1" t="s">
        <v>43</v>
      </c>
      <c r="F1128" s="1" t="s">
        <v>7160</v>
      </c>
      <c r="G1128" s="1" t="s">
        <v>7161</v>
      </c>
      <c r="H1128" s="4">
        <v>0.54300000000000004</v>
      </c>
      <c r="I1128" s="8">
        <v>7</v>
      </c>
      <c r="J1128" s="5">
        <v>16.699999999999999</v>
      </c>
      <c r="K1128" s="4">
        <v>7.75</v>
      </c>
      <c r="L1128" s="1" t="s">
        <v>46</v>
      </c>
      <c r="M1128" s="1" t="s">
        <v>47</v>
      </c>
      <c r="N1128" s="1" t="s">
        <v>7162</v>
      </c>
      <c r="O1128" s="1" t="s">
        <v>48</v>
      </c>
      <c r="P1128" s="1" t="s">
        <v>7163</v>
      </c>
      <c r="Q1128" s="4">
        <v>1.452</v>
      </c>
      <c r="R1128" s="4">
        <v>1.419</v>
      </c>
      <c r="S1128" s="6">
        <v>4.1290300000000002</v>
      </c>
      <c r="T1128" s="1" t="s">
        <v>50</v>
      </c>
      <c r="U1128" s="1"/>
      <c r="V1128" s="1"/>
      <c r="W1128" s="7">
        <v>2000000</v>
      </c>
      <c r="X1128" s="1"/>
      <c r="Y1128" s="7">
        <v>2160000</v>
      </c>
      <c r="Z1128" s="1"/>
      <c r="AA1128" s="2">
        <f ca="1">DATE(2004,05,05)</f>
        <v>0</v>
      </c>
      <c r="AB1128" s="4">
        <v>35.435000000000002</v>
      </c>
      <c r="AC1128" s="3">
        <v>90</v>
      </c>
      <c r="AD1128" s="8">
        <v>1903355</v>
      </c>
      <c r="AE1128" s="1" t="s">
        <v>51</v>
      </c>
      <c r="AF1128" s="1" t="s">
        <v>51</v>
      </c>
      <c r="AG1128" s="1" t="s">
        <v>51</v>
      </c>
      <c r="AH1128" s="1"/>
      <c r="AI1128" s="1"/>
      <c r="AJ1128" s="3">
        <v>2</v>
      </c>
      <c r="AK1128" s="1" t="s">
        <v>89</v>
      </c>
      <c r="AL1128" s="3">
        <v>2</v>
      </c>
      <c r="AM1128" s="8">
        <v>9.3000000000000007</v>
      </c>
      <c r="AN1128" s="1"/>
      <c r="AO1128" s="1" t="s">
        <v>7164</v>
      </c>
      <c r="AP1128" s="1" t="s">
        <v>7165</v>
      </c>
      <c r="AQ1128" s="1" t="s">
        <v>7166</v>
      </c>
      <c r="AR1128" s="1" t="s">
        <v>7163</v>
      </c>
    </row>
    <row r="1129">
      <c r="A1129" s="2">
        <f ca="1">DATE(2003,12,03)</f>
        <v>0</v>
      </c>
      <c r="B1129" s="2">
        <f ca="1">DATE(2004,02,05)</f>
        <v>0</v>
      </c>
      <c r="C1129" s="1" t="s">
        <v>7167</v>
      </c>
      <c r="D1129" s="3">
        <v>3674</v>
      </c>
      <c r="E1129" s="1" t="s">
        <v>43</v>
      </c>
      <c r="F1129" s="1" t="s">
        <v>7168</v>
      </c>
      <c r="G1129" s="1" t="s">
        <v>1223</v>
      </c>
      <c r="H1129" s="4">
        <v>0.40000000000000002</v>
      </c>
      <c r="I1129" s="4">
        <v>8</v>
      </c>
      <c r="J1129" s="5">
        <v>10.5</v>
      </c>
      <c r="K1129" s="4">
        <v>5</v>
      </c>
      <c r="L1129" s="1" t="s">
        <v>31</v>
      </c>
      <c r="M1129" s="1" t="s">
        <v>47</v>
      </c>
      <c r="N1129" s="1" t="s">
        <v>7169</v>
      </c>
      <c r="O1129" s="1" t="s">
        <v>48</v>
      </c>
      <c r="P1129" s="1" t="s">
        <v>7170</v>
      </c>
      <c r="Q1129" s="4">
        <v>2.75</v>
      </c>
      <c r="R1129" s="4">
        <v>1</v>
      </c>
      <c r="S1129" s="8">
        <v>4.25</v>
      </c>
      <c r="T1129" s="1" t="s">
        <v>50</v>
      </c>
      <c r="U1129" s="8">
        <v>11</v>
      </c>
      <c r="V1129" s="8">
        <v>9</v>
      </c>
      <c r="W1129" s="7">
        <v>1000000</v>
      </c>
      <c r="X1129" s="5">
        <v>10</v>
      </c>
      <c r="Y1129" s="7">
        <v>2100000</v>
      </c>
      <c r="Z1129" s="1"/>
      <c r="AA1129" s="2">
        <f ca="1">DATE(2005,01,30)</f>
        <v>0</v>
      </c>
      <c r="AB1129" s="4">
        <v>40.320999999999998</v>
      </c>
      <c r="AC1129" s="3">
        <v>360</v>
      </c>
      <c r="AD1129" s="8">
        <v>1431333</v>
      </c>
      <c r="AE1129" s="1" t="s">
        <v>51</v>
      </c>
      <c r="AF1129" s="1" t="s">
        <v>51</v>
      </c>
      <c r="AG1129" s="1" t="s">
        <v>51</v>
      </c>
      <c r="AH1129" s="1"/>
      <c r="AI1129" s="1"/>
      <c r="AJ1129" s="3">
        <v>1</v>
      </c>
      <c r="AK1129" s="1" t="s">
        <v>52</v>
      </c>
      <c r="AL1129" s="3">
        <v>3</v>
      </c>
      <c r="AM1129" s="8">
        <v>4.9500000000000002</v>
      </c>
      <c r="AN1129" s="1"/>
      <c r="AO1129" s="1" t="s">
        <v>7171</v>
      </c>
      <c r="AP1129" s="1" t="s">
        <v>1223</v>
      </c>
      <c r="AQ1129" s="1" t="s">
        <v>7172</v>
      </c>
      <c r="AR1129" s="1" t="s">
        <v>7170</v>
      </c>
    </row>
    <row r="1130">
      <c r="A1130" s="2">
        <f ca="1">DATE(2003,11,26)</f>
        <v>0</v>
      </c>
      <c r="B1130" s="2">
        <f ca="1">DATE(2004,02,05)</f>
        <v>0</v>
      </c>
      <c r="C1130" s="1" t="s">
        <v>7173</v>
      </c>
      <c r="D1130" s="3">
        <v>3674</v>
      </c>
      <c r="E1130" s="1" t="s">
        <v>43</v>
      </c>
      <c r="F1130" s="1" t="s">
        <v>7174</v>
      </c>
      <c r="G1130" s="1" t="s">
        <v>796</v>
      </c>
      <c r="H1130" s="4">
        <v>0.91000000000000003</v>
      </c>
      <c r="I1130" s="4">
        <v>7</v>
      </c>
      <c r="J1130" s="5">
        <v>130</v>
      </c>
      <c r="K1130" s="4">
        <v>13</v>
      </c>
      <c r="L1130" s="1" t="s">
        <v>46</v>
      </c>
      <c r="M1130" s="1" t="s">
        <v>47</v>
      </c>
      <c r="N1130" s="1" t="s">
        <v>7175</v>
      </c>
      <c r="O1130" s="1" t="s">
        <v>48</v>
      </c>
      <c r="P1130" s="1" t="s">
        <v>7176</v>
      </c>
      <c r="Q1130" s="4">
        <v>1.385</v>
      </c>
      <c r="R1130" s="4">
        <v>1.077</v>
      </c>
      <c r="S1130" s="6">
        <v>4.5384599999999997</v>
      </c>
      <c r="T1130" s="1" t="s">
        <v>50</v>
      </c>
      <c r="U1130" s="1"/>
      <c r="V1130" s="1"/>
      <c r="W1130" s="1"/>
      <c r="X1130" s="5">
        <v>145</v>
      </c>
      <c r="Y1130" s="7">
        <v>10000000</v>
      </c>
      <c r="Z1130" s="1"/>
      <c r="AA1130" s="2">
        <f ca="1">DATE(2004,08,03)</f>
        <v>0</v>
      </c>
      <c r="AB1130" s="4">
        <v>71.591999999999999</v>
      </c>
      <c r="AC1130" s="3">
        <v>180</v>
      </c>
      <c r="AD1130" s="8">
        <v>36917878</v>
      </c>
      <c r="AE1130" s="1" t="s">
        <v>51</v>
      </c>
      <c r="AF1130" s="1" t="s">
        <v>51</v>
      </c>
      <c r="AG1130" s="1" t="s">
        <v>47</v>
      </c>
      <c r="AH1130" s="1"/>
      <c r="AI1130" s="1"/>
      <c r="AJ1130" s="3">
        <v>1</v>
      </c>
      <c r="AK1130" s="1" t="s">
        <v>89</v>
      </c>
      <c r="AL1130" s="3">
        <v>4</v>
      </c>
      <c r="AM1130" s="8">
        <v>14.880000000000001</v>
      </c>
      <c r="AN1130" s="1"/>
      <c r="AO1130" s="1" t="s">
        <v>7177</v>
      </c>
      <c r="AP1130" s="1" t="s">
        <v>4103</v>
      </c>
      <c r="AQ1130" s="1" t="s">
        <v>7178</v>
      </c>
      <c r="AR1130" s="1" t="s">
        <v>7179</v>
      </c>
    </row>
    <row r="1131">
      <c r="A1131" s="2">
        <f ca="1">DATE(2003,11,17)</f>
        <v>0</v>
      </c>
      <c r="B1131" s="2">
        <f ca="1">DATE(2004,02,05)</f>
        <v>0</v>
      </c>
      <c r="C1131" s="1" t="s">
        <v>7180</v>
      </c>
      <c r="D1131" s="3">
        <v>8062</v>
      </c>
      <c r="E1131" s="1" t="s">
        <v>43</v>
      </c>
      <c r="F1131" s="1" t="s">
        <v>7181</v>
      </c>
      <c r="G1131" s="1" t="s">
        <v>168</v>
      </c>
      <c r="H1131" s="4">
        <v>1.05</v>
      </c>
      <c r="I1131" s="4">
        <v>7</v>
      </c>
      <c r="J1131" s="5">
        <v>108</v>
      </c>
      <c r="K1131" s="4">
        <v>15</v>
      </c>
      <c r="L1131" s="1" t="s">
        <v>46</v>
      </c>
      <c r="M1131" s="1" t="s">
        <v>47</v>
      </c>
      <c r="N1131" s="3">
        <v>871507109</v>
      </c>
      <c r="O1131" s="1" t="s">
        <v>48</v>
      </c>
      <c r="P1131" s="1" t="s">
        <v>7182</v>
      </c>
      <c r="Q1131" s="4">
        <v>1.3999999999999999</v>
      </c>
      <c r="R1131" s="4">
        <v>1.333</v>
      </c>
      <c r="S1131" s="8">
        <v>4.2000000000000002</v>
      </c>
      <c r="T1131" s="1" t="s">
        <v>50</v>
      </c>
      <c r="U1131" s="1"/>
      <c r="V1131" s="1"/>
      <c r="W1131" s="1"/>
      <c r="X1131" s="5">
        <v>115</v>
      </c>
      <c r="Y1131" s="7">
        <v>7200000</v>
      </c>
      <c r="Z1131" s="1"/>
      <c r="AA1131" s="2">
        <f ca="1">DATE(2004,08,03)</f>
        <v>0</v>
      </c>
      <c r="AB1131" s="4">
        <v>52.265000000000001</v>
      </c>
      <c r="AC1131" s="3">
        <v>180</v>
      </c>
      <c r="AD1131" s="8">
        <v>10811128</v>
      </c>
      <c r="AE1131" s="1" t="s">
        <v>51</v>
      </c>
      <c r="AF1131" s="1" t="s">
        <v>51</v>
      </c>
      <c r="AG1131" s="1" t="s">
        <v>47</v>
      </c>
      <c r="AH1131" s="1"/>
      <c r="AI1131" s="1"/>
      <c r="AJ1131" s="3">
        <v>1</v>
      </c>
      <c r="AK1131" s="1" t="s">
        <v>110</v>
      </c>
      <c r="AL1131" s="3">
        <v>5</v>
      </c>
      <c r="AM1131" s="8">
        <v>18.629999999999999</v>
      </c>
      <c r="AN1131" s="1"/>
      <c r="AO1131" s="1" t="s">
        <v>7183</v>
      </c>
      <c r="AP1131" s="1" t="s">
        <v>7184</v>
      </c>
      <c r="AQ1131" s="1" t="s">
        <v>7185</v>
      </c>
      <c r="AR1131" s="1" t="s">
        <v>7186</v>
      </c>
    </row>
    <row r="1132">
      <c r="A1132" s="2">
        <f ca="1">DATE(2003,09,30)</f>
        <v>0</v>
      </c>
      <c r="B1132" s="2">
        <f ca="1">DATE(2004,02,06)</f>
        <v>0</v>
      </c>
      <c r="C1132" s="1" t="s">
        <v>7187</v>
      </c>
      <c r="D1132" s="3">
        <v>7371</v>
      </c>
      <c r="E1132" s="1" t="s">
        <v>43</v>
      </c>
      <c r="F1132" s="1" t="s">
        <v>7188</v>
      </c>
      <c r="G1132" s="1" t="s">
        <v>3766</v>
      </c>
      <c r="H1132" s="4">
        <v>0.41999999999999998</v>
      </c>
      <c r="I1132" s="8">
        <v>7</v>
      </c>
      <c r="J1132" s="5">
        <v>26.399999999999999</v>
      </c>
      <c r="K1132" s="4">
        <v>6</v>
      </c>
      <c r="L1132" s="1" t="s">
        <v>46</v>
      </c>
      <c r="M1132" s="1" t="s">
        <v>47</v>
      </c>
      <c r="N1132" s="1" t="s">
        <v>7189</v>
      </c>
      <c r="O1132" s="1" t="s">
        <v>48</v>
      </c>
      <c r="P1132" s="1" t="s">
        <v>7190</v>
      </c>
      <c r="Q1132" s="4">
        <v>1.333</v>
      </c>
      <c r="R1132" s="4">
        <v>1.5</v>
      </c>
      <c r="S1132" s="6">
        <v>4.1666699999999999</v>
      </c>
      <c r="T1132" s="1" t="s">
        <v>50</v>
      </c>
      <c r="U1132" s="1"/>
      <c r="V1132" s="1"/>
      <c r="W1132" s="1"/>
      <c r="X1132" s="5">
        <v>58</v>
      </c>
      <c r="Y1132" s="7">
        <v>4000000</v>
      </c>
      <c r="Z1132" s="7">
        <v>400000</v>
      </c>
      <c r="AA1132" s="2">
        <f ca="1">DATE(2004,08,04)</f>
        <v>0</v>
      </c>
      <c r="AB1132" s="4">
        <v>69.265000000000001</v>
      </c>
      <c r="AC1132" s="3">
        <v>180</v>
      </c>
      <c r="AD1132" s="8">
        <v>10138496</v>
      </c>
      <c r="AE1132" s="1" t="s">
        <v>51</v>
      </c>
      <c r="AF1132" s="1" t="s">
        <v>51</v>
      </c>
      <c r="AG1132" s="1" t="s">
        <v>51</v>
      </c>
      <c r="AH1132" s="1"/>
      <c r="AI1132" s="1"/>
      <c r="AJ1132" s="3">
        <v>1</v>
      </c>
      <c r="AK1132" s="1" t="s">
        <v>52</v>
      </c>
      <c r="AL1132" s="3">
        <v>3</v>
      </c>
      <c r="AM1132" s="8">
        <v>6.1200000000000001</v>
      </c>
      <c r="AN1132" s="1"/>
      <c r="AO1132" s="1" t="s">
        <v>7191</v>
      </c>
      <c r="AP1132" s="1" t="s">
        <v>3766</v>
      </c>
      <c r="AQ1132" s="1" t="s">
        <v>7192</v>
      </c>
      <c r="AR1132" s="1" t="s">
        <v>7193</v>
      </c>
    </row>
    <row r="1133">
      <c r="A1133" s="2">
        <f ca="1">DATE(2003,10,20)</f>
        <v>0</v>
      </c>
      <c r="B1133" s="2">
        <f ca="1">DATE(2004,02,11)</f>
        <v>0</v>
      </c>
      <c r="C1133" s="1" t="s">
        <v>7194</v>
      </c>
      <c r="D1133" s="3">
        <v>6798</v>
      </c>
      <c r="E1133" s="1" t="s">
        <v>43</v>
      </c>
      <c r="F1133" s="1" t="s">
        <v>7195</v>
      </c>
      <c r="G1133" s="1" t="s">
        <v>7196</v>
      </c>
      <c r="H1133" s="4">
        <v>1.1879999999999999</v>
      </c>
      <c r="I1133" s="4">
        <v>6.25</v>
      </c>
      <c r="J1133" s="5">
        <v>465.69999999999999</v>
      </c>
      <c r="K1133" s="4">
        <v>19</v>
      </c>
      <c r="L1133" s="1" t="s">
        <v>46</v>
      </c>
      <c r="M1133" s="1" t="s">
        <v>47</v>
      </c>
      <c r="N1133" s="1" t="s">
        <v>7197</v>
      </c>
      <c r="O1133" s="1" t="s">
        <v>108</v>
      </c>
      <c r="P1133" s="1" t="s">
        <v>7198</v>
      </c>
      <c r="Q1133" s="4">
        <v>1.2629999999999999</v>
      </c>
      <c r="R1133" s="4">
        <v>1.25</v>
      </c>
      <c r="S1133" s="6">
        <v>3.7368399999999999</v>
      </c>
      <c r="T1133" s="1" t="s">
        <v>50</v>
      </c>
      <c r="U1133" s="1"/>
      <c r="V1133" s="1"/>
      <c r="W1133" s="1"/>
      <c r="X1133" s="5">
        <v>450</v>
      </c>
      <c r="Y1133" s="7">
        <v>22250000</v>
      </c>
      <c r="Z1133" s="7">
        <v>2258617</v>
      </c>
      <c r="AA1133" s="2">
        <f ca="1">DATE(2004,08,09)</f>
        <v>0</v>
      </c>
      <c r="AB1133" s="4">
        <v>38.219999999999999</v>
      </c>
      <c r="AC1133" s="3">
        <v>180</v>
      </c>
      <c r="AD1133" s="8">
        <v>15652225</v>
      </c>
      <c r="AE1133" s="1" t="s">
        <v>51</v>
      </c>
      <c r="AF1133" s="1" t="s">
        <v>51</v>
      </c>
      <c r="AG1133" s="1" t="s">
        <v>51</v>
      </c>
      <c r="AH1133" s="1"/>
      <c r="AI1133" s="1"/>
      <c r="AJ1133" s="3">
        <v>2</v>
      </c>
      <c r="AK1133" s="1" t="s">
        <v>89</v>
      </c>
      <c r="AL1133" s="3">
        <v>9</v>
      </c>
      <c r="AM1133" s="8">
        <v>19</v>
      </c>
      <c r="AN1133" s="1"/>
      <c r="AO1133" s="1" t="s">
        <v>7199</v>
      </c>
      <c r="AP1133" s="1" t="s">
        <v>7200</v>
      </c>
      <c r="AQ1133" s="1" t="s">
        <v>7201</v>
      </c>
      <c r="AR1133" s="1" t="s">
        <v>7202</v>
      </c>
    </row>
    <row r="1134">
      <c r="A1134" s="2">
        <f ca="1">DATE(2003,11,26)</f>
        <v>0</v>
      </c>
      <c r="B1134" s="2">
        <f ca="1">DATE(2004,02,11)</f>
        <v>0</v>
      </c>
      <c r="C1134" s="1" t="s">
        <v>7203</v>
      </c>
      <c r="D1134" s="3">
        <v>3674</v>
      </c>
      <c r="E1134" s="1" t="s">
        <v>43</v>
      </c>
      <c r="F1134" s="1" t="s">
        <v>7204</v>
      </c>
      <c r="G1134" s="1" t="s">
        <v>796</v>
      </c>
      <c r="H1134" s="4">
        <v>0.97999999999999998</v>
      </c>
      <c r="I1134" s="8">
        <v>7</v>
      </c>
      <c r="J1134" s="5">
        <v>126</v>
      </c>
      <c r="K1134" s="4">
        <v>14</v>
      </c>
      <c r="L1134" s="1" t="s">
        <v>46</v>
      </c>
      <c r="M1134" s="1" t="s">
        <v>47</v>
      </c>
      <c r="N1134" s="1" t="s">
        <v>7205</v>
      </c>
      <c r="O1134" s="1" t="s">
        <v>48</v>
      </c>
      <c r="P1134" s="1" t="s">
        <v>7206</v>
      </c>
      <c r="Q1134" s="4">
        <v>1.4139999999999999</v>
      </c>
      <c r="R1134" s="4">
        <v>1.036</v>
      </c>
      <c r="S1134" s="8">
        <v>4.5499999999999998</v>
      </c>
      <c r="T1134" s="1" t="s">
        <v>50</v>
      </c>
      <c r="U1134" s="1"/>
      <c r="V1134" s="1"/>
      <c r="W1134" s="7">
        <v>9000000</v>
      </c>
      <c r="X1134" s="5">
        <v>100</v>
      </c>
      <c r="Y1134" s="7">
        <v>9000000</v>
      </c>
      <c r="Z1134" s="1"/>
      <c r="AA1134" s="2">
        <f ca="1">DATE(2004,08,09)</f>
        <v>0</v>
      </c>
      <c r="AB1134" s="4">
        <v>77.885000000000005</v>
      </c>
      <c r="AC1134" s="3">
        <v>180</v>
      </c>
      <c r="AD1134" s="8">
        <v>36451734</v>
      </c>
      <c r="AE1134" s="1" t="s">
        <v>51</v>
      </c>
      <c r="AF1134" s="1" t="s">
        <v>51</v>
      </c>
      <c r="AG1134" s="1" t="s">
        <v>47</v>
      </c>
      <c r="AH1134" s="1"/>
      <c r="AI1134" s="1"/>
      <c r="AJ1134" s="3">
        <v>1</v>
      </c>
      <c r="AK1134" s="1" t="s">
        <v>89</v>
      </c>
      <c r="AL1134" s="3">
        <v>4</v>
      </c>
      <c r="AM1134" s="8">
        <v>17.600000000000001</v>
      </c>
      <c r="AN1134" s="1"/>
      <c r="AO1134" s="1" t="s">
        <v>7207</v>
      </c>
      <c r="AP1134" s="1" t="s">
        <v>7208</v>
      </c>
      <c r="AQ1134" s="1" t="s">
        <v>7209</v>
      </c>
      <c r="AR1134" s="1" t="s">
        <v>6156</v>
      </c>
    </row>
    <row r="1135">
      <c r="A1135" s="2">
        <f ca="1">DATE(2003,12,17)</f>
        <v>0</v>
      </c>
      <c r="B1135" s="2">
        <f ca="1">DATE(2004,02,11)</f>
        <v>0</v>
      </c>
      <c r="C1135" s="1" t="s">
        <v>7210</v>
      </c>
      <c r="D1135" s="3">
        <v>6331</v>
      </c>
      <c r="E1135" s="1" t="s">
        <v>43</v>
      </c>
      <c r="F1135" s="1" t="s">
        <v>7211</v>
      </c>
      <c r="G1135" s="1" t="s">
        <v>5276</v>
      </c>
      <c r="H1135" s="4">
        <v>1.3500000000000001</v>
      </c>
      <c r="I1135" s="4">
        <v>6.75</v>
      </c>
      <c r="J1135" s="5">
        <v>300</v>
      </c>
      <c r="K1135" s="4">
        <v>20</v>
      </c>
      <c r="L1135" s="1" t="s">
        <v>46</v>
      </c>
      <c r="M1135" s="1" t="s">
        <v>47</v>
      </c>
      <c r="N1135" s="1" t="s">
        <v>7212</v>
      </c>
      <c r="O1135" s="1" t="s">
        <v>108</v>
      </c>
      <c r="P1135" s="1" t="s">
        <v>7213</v>
      </c>
      <c r="Q1135" s="4">
        <v>1.3500000000000001</v>
      </c>
      <c r="R1135" s="4">
        <v>4.0499999999999998</v>
      </c>
      <c r="S1135" s="8">
        <v>1.05</v>
      </c>
      <c r="T1135" s="1" t="s">
        <v>50</v>
      </c>
      <c r="U1135" s="1"/>
      <c r="V1135" s="1"/>
      <c r="W1135" s="1"/>
      <c r="X1135" s="5">
        <v>300</v>
      </c>
      <c r="Y1135" s="7">
        <v>6250000</v>
      </c>
      <c r="Z1135" s="7">
        <v>8750000</v>
      </c>
      <c r="AA1135" s="1" t="s">
        <v>7214</v>
      </c>
      <c r="AB1135" s="1" t="s">
        <v>7215</v>
      </c>
      <c r="AC1135" s="1" t="s">
        <v>2068</v>
      </c>
      <c r="AD1135" s="1" t="s">
        <v>7216</v>
      </c>
      <c r="AE1135" s="1" t="s">
        <v>51</v>
      </c>
      <c r="AF1135" s="1" t="s">
        <v>51</v>
      </c>
      <c r="AG1135" s="1" t="s">
        <v>51</v>
      </c>
      <c r="AH1135" s="1"/>
      <c r="AI1135" s="1"/>
      <c r="AJ1135" s="3">
        <v>2</v>
      </c>
      <c r="AK1135" s="1" t="s">
        <v>89</v>
      </c>
      <c r="AL1135" s="3">
        <v>7</v>
      </c>
      <c r="AM1135" s="8">
        <v>22.800000000000001</v>
      </c>
      <c r="AN1135" s="1"/>
      <c r="AO1135" s="1" t="s">
        <v>7217</v>
      </c>
      <c r="AP1135" s="1" t="s">
        <v>5280</v>
      </c>
      <c r="AQ1135" s="1" t="s">
        <v>7218</v>
      </c>
      <c r="AR1135" s="1" t="s">
        <v>7219</v>
      </c>
    </row>
    <row r="1136">
      <c r="A1136" s="2">
        <f ca="1">DATE(2003,11,10)</f>
        <v>0</v>
      </c>
      <c r="B1136" s="2">
        <f ca="1">DATE(2004,02,12)</f>
        <v>0</v>
      </c>
      <c r="C1136" s="1" t="s">
        <v>7220</v>
      </c>
      <c r="D1136" s="3">
        <v>6726</v>
      </c>
      <c r="E1136" s="1" t="s">
        <v>43</v>
      </c>
      <c r="F1136" s="1" t="s">
        <v>7221</v>
      </c>
      <c r="G1136" s="1" t="s">
        <v>7222</v>
      </c>
      <c r="H1136" s="4">
        <v>0.59999999999999998</v>
      </c>
      <c r="I1136" s="4">
        <v>10</v>
      </c>
      <c r="J1136" s="5">
        <v>21</v>
      </c>
      <c r="K1136" s="4">
        <v>6</v>
      </c>
      <c r="L1136" s="1" t="s">
        <v>46</v>
      </c>
      <c r="M1136" s="1" t="s">
        <v>47</v>
      </c>
      <c r="N1136" s="1" t="s">
        <v>7223</v>
      </c>
      <c r="O1136" s="1" t="s">
        <v>77</v>
      </c>
      <c r="P1136" s="1" t="s">
        <v>7224</v>
      </c>
      <c r="Q1136" s="1" t="s">
        <v>145</v>
      </c>
      <c r="R1136" s="1" t="s">
        <v>145</v>
      </c>
      <c r="S1136" s="8">
        <v>5</v>
      </c>
      <c r="T1136" s="1" t="s">
        <v>50</v>
      </c>
      <c r="U1136" s="8">
        <v>5</v>
      </c>
      <c r="V1136" s="8">
        <v>5</v>
      </c>
      <c r="W1136" s="7">
        <v>3000000</v>
      </c>
      <c r="X1136" s="5">
        <v>15</v>
      </c>
      <c r="Y1136" s="7">
        <v>3500000</v>
      </c>
      <c r="Z1136" s="1"/>
      <c r="AA1136" s="2">
        <f ca="1">DATE(2004,08,10)</f>
        <v>0</v>
      </c>
      <c r="AB1136" s="4">
        <v>17.856999999999999</v>
      </c>
      <c r="AC1136" s="3">
        <v>180</v>
      </c>
      <c r="AD1136" s="8">
        <v>875000</v>
      </c>
      <c r="AE1136" s="1" t="s">
        <v>51</v>
      </c>
      <c r="AF1136" s="1" t="s">
        <v>51</v>
      </c>
      <c r="AG1136" s="1" t="s">
        <v>51</v>
      </c>
      <c r="AH1136" s="1"/>
      <c r="AI1136" s="1"/>
      <c r="AJ1136" s="3">
        <v>1</v>
      </c>
      <c r="AK1136" s="1" t="s">
        <v>89</v>
      </c>
      <c r="AL1136" s="3">
        <v>2</v>
      </c>
      <c r="AM1136" s="8">
        <v>6.0599999999999996</v>
      </c>
      <c r="AN1136" s="1"/>
      <c r="AO1136" s="1" t="s">
        <v>7225</v>
      </c>
      <c r="AP1136" s="1" t="s">
        <v>7226</v>
      </c>
      <c r="AQ1136" s="1" t="s">
        <v>7227</v>
      </c>
      <c r="AR1136" s="1" t="s">
        <v>7228</v>
      </c>
    </row>
    <row r="1137">
      <c r="A1137" s="2">
        <f ca="1">DATE(2003,12,04)</f>
        <v>0</v>
      </c>
      <c r="B1137" s="2">
        <f ca="1">DATE(2004,02,12)</f>
        <v>0</v>
      </c>
      <c r="C1137" s="1" t="s">
        <v>7229</v>
      </c>
      <c r="D1137" s="3">
        <v>2836</v>
      </c>
      <c r="E1137" s="1" t="s">
        <v>43</v>
      </c>
      <c r="F1137" s="1" t="s">
        <v>7230</v>
      </c>
      <c r="G1137" s="1" t="s">
        <v>5123</v>
      </c>
      <c r="H1137" s="4">
        <v>1.1200000000000001</v>
      </c>
      <c r="I1137" s="4">
        <v>7</v>
      </c>
      <c r="J1137" s="5">
        <v>96</v>
      </c>
      <c r="K1137" s="4">
        <v>16</v>
      </c>
      <c r="L1137" s="1" t="s">
        <v>46</v>
      </c>
      <c r="M1137" s="1" t="s">
        <v>47</v>
      </c>
      <c r="N1137" s="1" t="s">
        <v>7231</v>
      </c>
      <c r="O1137" s="1" t="s">
        <v>48</v>
      </c>
      <c r="P1137" s="1" t="s">
        <v>7232</v>
      </c>
      <c r="Q1137" s="4">
        <v>1.375</v>
      </c>
      <c r="R1137" s="4">
        <v>1.375</v>
      </c>
      <c r="S1137" s="8">
        <v>4.25</v>
      </c>
      <c r="T1137" s="1" t="s">
        <v>50</v>
      </c>
      <c r="U1137" s="1"/>
      <c r="V1137" s="1"/>
      <c r="W1137" s="1"/>
      <c r="X1137" s="5">
        <v>86.299999999999997</v>
      </c>
      <c r="Y1137" s="7">
        <v>6000000</v>
      </c>
      <c r="Z1137" s="1"/>
      <c r="AA1137" s="2">
        <f ca="1">DATE(2004,08,10)</f>
        <v>0</v>
      </c>
      <c r="AB1137" s="4">
        <v>78.021000000000001</v>
      </c>
      <c r="AC1137" s="3">
        <v>180</v>
      </c>
      <c r="AD1137" s="8">
        <v>21076119</v>
      </c>
      <c r="AE1137" s="1" t="s">
        <v>51</v>
      </c>
      <c r="AF1137" s="1" t="s">
        <v>51</v>
      </c>
      <c r="AG1137" s="1" t="s">
        <v>47</v>
      </c>
      <c r="AH1137" s="1"/>
      <c r="AI1137" s="1"/>
      <c r="AJ1137" s="3">
        <v>2</v>
      </c>
      <c r="AK1137" s="1" t="s">
        <v>89</v>
      </c>
      <c r="AL1137" s="3">
        <v>4</v>
      </c>
      <c r="AM1137" s="8">
        <v>19.25</v>
      </c>
      <c r="AN1137" s="1"/>
      <c r="AO1137" s="1" t="s">
        <v>7233</v>
      </c>
      <c r="AP1137" s="1" t="s">
        <v>5126</v>
      </c>
      <c r="AQ1137" s="1" t="s">
        <v>7234</v>
      </c>
      <c r="AR1137" s="1" t="s">
        <v>7235</v>
      </c>
    </row>
    <row r="1138">
      <c r="A1138" s="2">
        <f ca="1">DATE(2003,11,25)</f>
        <v>0</v>
      </c>
      <c r="B1138" s="2">
        <f ca="1">DATE(2004,02,19)</f>
        <v>0</v>
      </c>
      <c r="C1138" s="1" t="s">
        <v>7236</v>
      </c>
      <c r="D1138" s="3">
        <v>3679</v>
      </c>
      <c r="E1138" s="1" t="s">
        <v>43</v>
      </c>
      <c r="F1138" s="1" t="s">
        <v>7237</v>
      </c>
      <c r="G1138" s="1" t="s">
        <v>168</v>
      </c>
      <c r="H1138" s="4">
        <v>1.0149999999999999</v>
      </c>
      <c r="I1138" s="8">
        <v>7</v>
      </c>
      <c r="J1138" s="5">
        <v>95.700000000000003</v>
      </c>
      <c r="K1138" s="4">
        <v>14.5</v>
      </c>
      <c r="L1138" s="1" t="s">
        <v>46</v>
      </c>
      <c r="M1138" s="1" t="s">
        <v>47</v>
      </c>
      <c r="N1138" s="3">
        <v>164450108</v>
      </c>
      <c r="O1138" s="1" t="s">
        <v>48</v>
      </c>
      <c r="P1138" s="1" t="s">
        <v>7238</v>
      </c>
      <c r="Q1138" s="4">
        <v>1.3999999999999999</v>
      </c>
      <c r="R1138" s="4">
        <v>1.3999999999999999</v>
      </c>
      <c r="S1138" s="8">
        <v>4.2000000000000002</v>
      </c>
      <c r="T1138" s="1" t="s">
        <v>50</v>
      </c>
      <c r="U1138" s="1"/>
      <c r="V1138" s="1"/>
      <c r="W1138" s="1"/>
      <c r="X1138" s="5">
        <v>72</v>
      </c>
      <c r="Y1138" s="7">
        <v>6600000</v>
      </c>
      <c r="Z1138" s="1"/>
      <c r="AA1138" s="2">
        <f ca="1">DATE(2004,08,17)</f>
        <v>0</v>
      </c>
      <c r="AB1138" s="1"/>
      <c r="AC1138" s="3">
        <v>180</v>
      </c>
      <c r="AD1138" s="1"/>
      <c r="AE1138" s="1" t="s">
        <v>51</v>
      </c>
      <c r="AF1138" s="1" t="s">
        <v>51</v>
      </c>
      <c r="AG1138" s="1" t="s">
        <v>47</v>
      </c>
      <c r="AH1138" s="1"/>
      <c r="AI1138" s="1"/>
      <c r="AJ1138" s="3">
        <v>1</v>
      </c>
      <c r="AK1138" s="1" t="s">
        <v>89</v>
      </c>
      <c r="AL1138" s="3">
        <v>4</v>
      </c>
      <c r="AM1138" s="8">
        <v>16.5</v>
      </c>
      <c r="AN1138" s="1"/>
      <c r="AO1138" s="1" t="s">
        <v>7239</v>
      </c>
      <c r="AP1138" s="1" t="s">
        <v>5126</v>
      </c>
      <c r="AQ1138" s="1" t="s">
        <v>7240</v>
      </c>
      <c r="AR1138" s="1" t="s">
        <v>7241</v>
      </c>
    </row>
    <row r="1139">
      <c r="A1139" s="2">
        <f ca="1">DATE(2003,10,24)</f>
        <v>0</v>
      </c>
      <c r="B1139" s="2">
        <f ca="1">DATE(2004,02,19)</f>
        <v>0</v>
      </c>
      <c r="C1139" s="1" t="s">
        <v>7242</v>
      </c>
      <c r="D1139" s="3">
        <v>2834</v>
      </c>
      <c r="E1139" s="1" t="s">
        <v>43</v>
      </c>
      <c r="F1139" s="1" t="s">
        <v>7243</v>
      </c>
      <c r="G1139" s="1" t="s">
        <v>7244</v>
      </c>
      <c r="H1139" s="4">
        <v>0.52500000000000002</v>
      </c>
      <c r="I1139" s="4">
        <v>7</v>
      </c>
      <c r="J1139" s="5">
        <v>45</v>
      </c>
      <c r="K1139" s="4">
        <v>7.5</v>
      </c>
      <c r="L1139" s="1" t="s">
        <v>46</v>
      </c>
      <c r="M1139" s="1" t="s">
        <v>47</v>
      </c>
      <c r="N1139" s="3">
        <v>268158102</v>
      </c>
      <c r="O1139" s="1" t="s">
        <v>48</v>
      </c>
      <c r="P1139" s="1" t="s">
        <v>7245</v>
      </c>
      <c r="Q1139" s="4">
        <v>1.3999999999999999</v>
      </c>
      <c r="R1139" s="4">
        <v>1.3999999999999999</v>
      </c>
      <c r="S1139" s="8">
        <v>4.2000000000000002</v>
      </c>
      <c r="T1139" s="1" t="s">
        <v>50</v>
      </c>
      <c r="U1139" s="1"/>
      <c r="V1139" s="1"/>
      <c r="W1139" s="1"/>
      <c r="X1139" s="5">
        <v>90</v>
      </c>
      <c r="Y1139" s="7">
        <v>6000000</v>
      </c>
      <c r="Z1139" s="1"/>
      <c r="AA1139" s="2">
        <f ca="1">DATE(2004,08,17)</f>
        <v>0</v>
      </c>
      <c r="AB1139" s="4">
        <v>63.329999999999998</v>
      </c>
      <c r="AC1139" s="3">
        <v>180</v>
      </c>
      <c r="AD1139" s="8">
        <v>15562645</v>
      </c>
      <c r="AE1139" s="1" t="s">
        <v>51</v>
      </c>
      <c r="AF1139" s="1" t="s">
        <v>51</v>
      </c>
      <c r="AG1139" s="1" t="s">
        <v>47</v>
      </c>
      <c r="AH1139" s="1"/>
      <c r="AI1139" s="1"/>
      <c r="AJ1139" s="3">
        <v>2</v>
      </c>
      <c r="AK1139" s="1" t="s">
        <v>89</v>
      </c>
      <c r="AL1139" s="3">
        <v>3</v>
      </c>
      <c r="AM1139" s="8">
        <v>9.4000000000000004</v>
      </c>
      <c r="AN1139" s="1"/>
      <c r="AO1139" s="1" t="s">
        <v>7246</v>
      </c>
      <c r="AP1139" s="1" t="s">
        <v>7247</v>
      </c>
      <c r="AQ1139" s="1" t="s">
        <v>7248</v>
      </c>
      <c r="AR1139" s="1" t="s">
        <v>7249</v>
      </c>
    </row>
    <row r="1140">
      <c r="A1140" s="2">
        <f ca="1">DATE(2003,12,31)</f>
        <v>0</v>
      </c>
      <c r="B1140" s="2">
        <f ca="1">DATE(2004,02,23)</f>
        <v>0</v>
      </c>
      <c r="C1140" s="1" t="s">
        <v>7250</v>
      </c>
      <c r="D1140" s="3">
        <v>3841</v>
      </c>
      <c r="E1140" s="1" t="s">
        <v>43</v>
      </c>
      <c r="F1140" s="1" t="s">
        <v>7251</v>
      </c>
      <c r="G1140" s="1" t="s">
        <v>5645</v>
      </c>
      <c r="H1140" s="4">
        <v>1.8</v>
      </c>
      <c r="I1140" s="4">
        <v>6</v>
      </c>
      <c r="J1140" s="5">
        <v>540</v>
      </c>
      <c r="K1140" s="4">
        <v>30</v>
      </c>
      <c r="L1140" s="1" t="s">
        <v>46</v>
      </c>
      <c r="M1140" s="1" t="s">
        <v>47</v>
      </c>
      <c r="N1140" s="1" t="s">
        <v>7252</v>
      </c>
      <c r="O1140" s="1" t="s">
        <v>108</v>
      </c>
      <c r="P1140" s="1" t="s">
        <v>7253</v>
      </c>
      <c r="Q1140" s="4">
        <v>1.2</v>
      </c>
      <c r="R1140" s="4">
        <v>1.2</v>
      </c>
      <c r="S1140" s="8">
        <v>6</v>
      </c>
      <c r="T1140" s="1" t="s">
        <v>50</v>
      </c>
      <c r="U1140" s="1"/>
      <c r="V1140" s="1"/>
      <c r="W1140" s="1"/>
      <c r="X1140" s="5">
        <v>460</v>
      </c>
      <c r="Y1140" s="7">
        <v>3500000</v>
      </c>
      <c r="Z1140" s="7">
        <v>14500000</v>
      </c>
      <c r="AA1140" s="2">
        <f ca="1">DATE(2004,08,21)</f>
        <v>0</v>
      </c>
      <c r="AB1140" s="4">
        <v>1.567</v>
      </c>
      <c r="AC1140" s="3">
        <v>180</v>
      </c>
      <c r="AD1140" s="8">
        <v>1015727</v>
      </c>
      <c r="AE1140" s="1" t="s">
        <v>51</v>
      </c>
      <c r="AF1140" s="1" t="s">
        <v>51</v>
      </c>
      <c r="AG1140" s="1" t="s">
        <v>47</v>
      </c>
      <c r="AH1140" s="1"/>
      <c r="AI1140" s="1"/>
      <c r="AJ1140" s="3">
        <v>2</v>
      </c>
      <c r="AK1140" s="1" t="s">
        <v>1209</v>
      </c>
      <c r="AL1140" s="3">
        <v>8</v>
      </c>
      <c r="AM1140" s="8">
        <v>40.399999999999999</v>
      </c>
      <c r="AN1140" s="1"/>
      <c r="AO1140" s="1" t="s">
        <v>7254</v>
      </c>
      <c r="AP1140" s="1" t="s">
        <v>7255</v>
      </c>
      <c r="AQ1140" s="1" t="s">
        <v>7256</v>
      </c>
      <c r="AR1140" s="1" t="s">
        <v>7257</v>
      </c>
    </row>
    <row r="1141">
      <c r="A1141" s="2">
        <f ca="1">DATE(2003,08,20)</f>
        <v>0</v>
      </c>
      <c r="B1141" s="2">
        <f ca="1">DATE(2004,02,24)</f>
        <v>0</v>
      </c>
      <c r="C1141" s="1" t="s">
        <v>7258</v>
      </c>
      <c r="D1141" s="3">
        <v>6726</v>
      </c>
      <c r="E1141" s="1" t="s">
        <v>43</v>
      </c>
      <c r="F1141" s="1" t="s">
        <v>7259</v>
      </c>
      <c r="G1141" s="1" t="s">
        <v>6509</v>
      </c>
      <c r="H1141" s="4">
        <v>0.90000000000000002</v>
      </c>
      <c r="I1141" s="4">
        <v>4.5</v>
      </c>
      <c r="J1141" s="5">
        <v>760</v>
      </c>
      <c r="K1141" s="4">
        <v>20</v>
      </c>
      <c r="L1141" s="1" t="s">
        <v>4422</v>
      </c>
      <c r="M1141" s="1" t="s">
        <v>47</v>
      </c>
      <c r="N1141" s="1" t="s">
        <v>7260</v>
      </c>
      <c r="O1141" s="1" t="s">
        <v>108</v>
      </c>
      <c r="P1141" s="1" t="s">
        <v>7261</v>
      </c>
      <c r="Q1141" s="4">
        <v>1</v>
      </c>
      <c r="R1141" s="4">
        <v>0.5</v>
      </c>
      <c r="S1141" s="8">
        <v>3</v>
      </c>
      <c r="T1141" s="1" t="s">
        <v>50</v>
      </c>
      <c r="U1141" s="8">
        <v>25</v>
      </c>
      <c r="V1141" s="8">
        <v>25</v>
      </c>
      <c r="W1141" s="7">
        <v>34000000</v>
      </c>
      <c r="X1141" s="5">
        <v>850</v>
      </c>
      <c r="Y1141" s="7">
        <v>38000000</v>
      </c>
      <c r="Z1141" s="1"/>
      <c r="AA1141" s="2">
        <f ca="1">DATE(2004,08,22)</f>
        <v>0</v>
      </c>
      <c r="AB1141" s="1"/>
      <c r="AC1141" s="3">
        <v>180</v>
      </c>
      <c r="AD1141" s="1"/>
      <c r="AE1141" s="1" t="s">
        <v>51</v>
      </c>
      <c r="AF1141" s="1" t="s">
        <v>51</v>
      </c>
      <c r="AG1141" s="1" t="s">
        <v>51</v>
      </c>
      <c r="AH1141" s="1"/>
      <c r="AI1141" s="1"/>
      <c r="AJ1141" s="3">
        <v>2</v>
      </c>
      <c r="AK1141" s="1" t="s">
        <v>89</v>
      </c>
      <c r="AL1141" s="3">
        <v>12</v>
      </c>
      <c r="AM1141" s="1"/>
      <c r="AN1141" s="1"/>
      <c r="AO1141" s="1" t="s">
        <v>7262</v>
      </c>
      <c r="AP1141" s="1" t="s">
        <v>6504</v>
      </c>
      <c r="AQ1141" s="1" t="s">
        <v>7263</v>
      </c>
      <c r="AR1141" s="1" t="s">
        <v>7264</v>
      </c>
    </row>
    <row r="1142">
      <c r="A1142" s="2">
        <f ca="1">DATE(2003,11,07)</f>
        <v>0</v>
      </c>
      <c r="B1142" s="2">
        <f ca="1">DATE(2004,02,24)</f>
        <v>0</v>
      </c>
      <c r="C1142" s="1" t="s">
        <v>7265</v>
      </c>
      <c r="D1142" s="3">
        <v>6726</v>
      </c>
      <c r="E1142" s="1" t="s">
        <v>43</v>
      </c>
      <c r="F1142" s="1" t="s">
        <v>7266</v>
      </c>
      <c r="G1142" s="1" t="s">
        <v>6201</v>
      </c>
      <c r="H1142" s="4">
        <v>0.67500000000000004</v>
      </c>
      <c r="I1142" s="4">
        <v>4.5</v>
      </c>
      <c r="J1142" s="9">
        <v>1350</v>
      </c>
      <c r="K1142" s="4">
        <v>15</v>
      </c>
      <c r="L1142" s="1" t="s">
        <v>46</v>
      </c>
      <c r="M1142" s="1" t="s">
        <v>47</v>
      </c>
      <c r="N1142" s="1" t="s">
        <v>7267</v>
      </c>
      <c r="O1142" s="1" t="s">
        <v>87</v>
      </c>
      <c r="P1142" s="1" t="s">
        <v>7268</v>
      </c>
      <c r="Q1142" s="4">
        <v>0.93300000000000005</v>
      </c>
      <c r="R1142" s="4">
        <v>0.56699999999999995</v>
      </c>
      <c r="S1142" s="8">
        <v>3</v>
      </c>
      <c r="T1142" s="1" t="s">
        <v>50</v>
      </c>
      <c r="U1142" s="8">
        <v>15</v>
      </c>
      <c r="V1142" s="8">
        <v>15</v>
      </c>
      <c r="W1142" s="7">
        <v>100000</v>
      </c>
      <c r="X1142" s="5">
        <v>1.5</v>
      </c>
      <c r="Y1142" s="7">
        <v>90000000</v>
      </c>
      <c r="Z1142" s="1"/>
      <c r="AA1142" s="2">
        <f ca="1">DATE(2004,08,22)</f>
        <v>0</v>
      </c>
      <c r="AB1142" s="1"/>
      <c r="AC1142" s="3">
        <v>180</v>
      </c>
      <c r="AD1142" s="1"/>
      <c r="AE1142" s="1" t="s">
        <v>51</v>
      </c>
      <c r="AF1142" s="1" t="s">
        <v>51</v>
      </c>
      <c r="AG1142" s="1" t="s">
        <v>51</v>
      </c>
      <c r="AH1142" s="1"/>
      <c r="AI1142" s="1"/>
      <c r="AJ1142" s="3">
        <v>1</v>
      </c>
      <c r="AK1142" s="1" t="s">
        <v>89</v>
      </c>
      <c r="AL1142" s="3">
        <v>18</v>
      </c>
      <c r="AM1142" s="8">
        <v>15</v>
      </c>
      <c r="AN1142" s="1"/>
      <c r="AO1142" s="1" t="s">
        <v>7269</v>
      </c>
      <c r="AP1142" s="1" t="s">
        <v>7270</v>
      </c>
      <c r="AQ1142" s="1" t="s">
        <v>7271</v>
      </c>
      <c r="AR1142" s="1" t="s">
        <v>7272</v>
      </c>
    </row>
    <row r="1143">
      <c r="A1143" s="2">
        <f ca="1">DATE(2003,10,22)</f>
        <v>0</v>
      </c>
      <c r="B1143" s="2">
        <f ca="1">DATE(2004,02,24)</f>
        <v>0</v>
      </c>
      <c r="C1143" s="1" t="s">
        <v>7273</v>
      </c>
      <c r="D1143" s="3">
        <v>6726</v>
      </c>
      <c r="E1143" s="1" t="s">
        <v>43</v>
      </c>
      <c r="F1143" s="1" t="s">
        <v>7274</v>
      </c>
      <c r="G1143" s="1" t="s">
        <v>45</v>
      </c>
      <c r="H1143" s="4">
        <v>0.90000000000000002</v>
      </c>
      <c r="I1143" s="4">
        <v>4.5</v>
      </c>
      <c r="J1143" s="5">
        <v>400</v>
      </c>
      <c r="K1143" s="4">
        <v>20</v>
      </c>
      <c r="L1143" s="1" t="s">
        <v>4422</v>
      </c>
      <c r="M1143" s="1" t="s">
        <v>47</v>
      </c>
      <c r="N1143" s="3">
        <v>756158101</v>
      </c>
      <c r="O1143" s="1" t="s">
        <v>87</v>
      </c>
      <c r="P1143" s="1" t="s">
        <v>7275</v>
      </c>
      <c r="Q1143" s="4">
        <v>1</v>
      </c>
      <c r="R1143" s="4">
        <v>0.5</v>
      </c>
      <c r="S1143" s="8">
        <v>3</v>
      </c>
      <c r="T1143" s="1" t="s">
        <v>50</v>
      </c>
      <c r="U1143" s="8">
        <v>20</v>
      </c>
      <c r="V1143" s="8">
        <v>20</v>
      </c>
      <c r="W1143" s="7">
        <v>50000</v>
      </c>
      <c r="X1143" s="5">
        <v>1</v>
      </c>
      <c r="Y1143" s="7">
        <v>20000000</v>
      </c>
      <c r="Z1143" s="1"/>
      <c r="AA1143" s="2">
        <f ca="1">DATE(2004,08,22)</f>
        <v>0</v>
      </c>
      <c r="AB1143" s="1"/>
      <c r="AC1143" s="3">
        <v>180</v>
      </c>
      <c r="AD1143" s="1"/>
      <c r="AE1143" s="1" t="s">
        <v>51</v>
      </c>
      <c r="AF1143" s="1" t="s">
        <v>51</v>
      </c>
      <c r="AG1143" s="1" t="s">
        <v>51</v>
      </c>
      <c r="AH1143" s="1"/>
      <c r="AI1143" s="1"/>
      <c r="AJ1143" s="3">
        <v>1</v>
      </c>
      <c r="AK1143" s="1" t="s">
        <v>52</v>
      </c>
      <c r="AL1143" s="3">
        <v>11</v>
      </c>
      <c r="AM1143" s="8">
        <v>20.010000000000002</v>
      </c>
      <c r="AN1143" s="1"/>
      <c r="AO1143" s="1" t="s">
        <v>7276</v>
      </c>
      <c r="AP1143" s="1" t="s">
        <v>45</v>
      </c>
      <c r="AQ1143" s="1" t="s">
        <v>7277</v>
      </c>
      <c r="AR1143" s="1" t="s">
        <v>7278</v>
      </c>
    </row>
    <row r="1144">
      <c r="A1144" s="2">
        <f ca="1">DATE(2003,11,14)</f>
        <v>0</v>
      </c>
      <c r="B1144" s="2">
        <f ca="1">DATE(2004,02,24)</f>
        <v>0</v>
      </c>
      <c r="C1144" s="1" t="s">
        <v>7279</v>
      </c>
      <c r="D1144" s="3">
        <v>6726</v>
      </c>
      <c r="E1144" s="1" t="s">
        <v>43</v>
      </c>
      <c r="F1144" s="1" t="s">
        <v>7280</v>
      </c>
      <c r="G1144" s="1" t="s">
        <v>6201</v>
      </c>
      <c r="H1144" s="4">
        <v>0.90000000000000002</v>
      </c>
      <c r="I1144" s="4">
        <v>4.5</v>
      </c>
      <c r="J1144" s="5">
        <v>594</v>
      </c>
      <c r="K1144" s="4">
        <v>20</v>
      </c>
      <c r="L1144" s="1" t="s">
        <v>46</v>
      </c>
      <c r="M1144" s="1" t="s">
        <v>47</v>
      </c>
      <c r="N1144" s="3">
        <v>795500107</v>
      </c>
      <c r="O1144" s="1" t="s">
        <v>108</v>
      </c>
      <c r="P1144" s="1" t="s">
        <v>7281</v>
      </c>
      <c r="Q1144" s="4">
        <v>0.94999999999999996</v>
      </c>
      <c r="R1144" s="4">
        <v>0.55000000000000004</v>
      </c>
      <c r="S1144" s="8">
        <v>3</v>
      </c>
      <c r="T1144" s="1" t="s">
        <v>50</v>
      </c>
      <c r="U1144" s="8">
        <v>20</v>
      </c>
      <c r="V1144" s="8">
        <v>20</v>
      </c>
      <c r="W1144" s="7">
        <v>3000000</v>
      </c>
      <c r="X1144" s="5">
        <v>60</v>
      </c>
      <c r="Y1144" s="7">
        <v>29700000</v>
      </c>
      <c r="Z1144" s="1"/>
      <c r="AA1144" s="2">
        <f ca="1">DATE(2004,08,22)</f>
        <v>0</v>
      </c>
      <c r="AB1144" s="1"/>
      <c r="AC1144" s="3">
        <v>180</v>
      </c>
      <c r="AD1144" s="1"/>
      <c r="AE1144" s="1" t="s">
        <v>51</v>
      </c>
      <c r="AF1144" s="1" t="s">
        <v>51</v>
      </c>
      <c r="AG1144" s="1" t="s">
        <v>51</v>
      </c>
      <c r="AH1144" s="1"/>
      <c r="AI1144" s="1"/>
      <c r="AJ1144" s="3">
        <v>1</v>
      </c>
      <c r="AK1144" s="1" t="s">
        <v>52</v>
      </c>
      <c r="AL1144" s="3">
        <v>5</v>
      </c>
      <c r="AM1144" s="8">
        <v>20.010000000000002</v>
      </c>
      <c r="AN1144" s="1"/>
      <c r="AO1144" s="1" t="s">
        <v>7282</v>
      </c>
      <c r="AP1144" s="1" t="s">
        <v>6201</v>
      </c>
      <c r="AQ1144" s="1" t="s">
        <v>7283</v>
      </c>
      <c r="AR1144" s="1" t="s">
        <v>7284</v>
      </c>
    </row>
    <row r="1145">
      <c r="A1145" s="2">
        <f ca="1">DATE(2003,10,31)</f>
        <v>0</v>
      </c>
      <c r="B1145" s="2">
        <f ca="1">DATE(2004,02,24)</f>
        <v>0</v>
      </c>
      <c r="C1145" s="1" t="s">
        <v>7285</v>
      </c>
      <c r="D1145" s="3">
        <v>6726</v>
      </c>
      <c r="E1145" s="1" t="s">
        <v>43</v>
      </c>
      <c r="F1145" s="1" t="s">
        <v>7286</v>
      </c>
      <c r="G1145" s="1" t="s">
        <v>7287</v>
      </c>
      <c r="H1145" s="4">
        <v>1.125</v>
      </c>
      <c r="I1145" s="4">
        <v>4.5</v>
      </c>
      <c r="J1145" s="5">
        <v>275</v>
      </c>
      <c r="K1145" s="4">
        <v>25</v>
      </c>
      <c r="L1145" s="1" t="s">
        <v>46</v>
      </c>
      <c r="M1145" s="1" t="s">
        <v>47</v>
      </c>
      <c r="N1145" s="1" t="s">
        <v>7288</v>
      </c>
      <c r="O1145" s="1" t="s">
        <v>108</v>
      </c>
      <c r="P1145" s="1" t="s">
        <v>7289</v>
      </c>
      <c r="Q1145" s="4">
        <v>1</v>
      </c>
      <c r="R1145" s="4">
        <v>0.5</v>
      </c>
      <c r="S1145" s="8">
        <v>3</v>
      </c>
      <c r="T1145" s="1" t="s">
        <v>50</v>
      </c>
      <c r="U1145" s="8">
        <v>25</v>
      </c>
      <c r="V1145" s="8">
        <v>25</v>
      </c>
      <c r="W1145" s="7">
        <v>11500000</v>
      </c>
      <c r="X1145" s="5">
        <v>287.5</v>
      </c>
      <c r="Y1145" s="7">
        <v>11000000</v>
      </c>
      <c r="Z1145" s="1"/>
      <c r="AA1145" s="2">
        <f ca="1">DATE(2004,08,22)</f>
        <v>0</v>
      </c>
      <c r="AB1145" s="1"/>
      <c r="AC1145" s="3">
        <v>180</v>
      </c>
      <c r="AD1145" s="1"/>
      <c r="AE1145" s="1" t="s">
        <v>51</v>
      </c>
      <c r="AF1145" s="1" t="s">
        <v>51</v>
      </c>
      <c r="AG1145" s="1" t="s">
        <v>51</v>
      </c>
      <c r="AH1145" s="1"/>
      <c r="AI1145" s="1"/>
      <c r="AJ1145" s="3">
        <v>1</v>
      </c>
      <c r="AK1145" s="1" t="s">
        <v>52</v>
      </c>
      <c r="AL1145" s="3">
        <v>10</v>
      </c>
      <c r="AM1145" s="8">
        <v>25</v>
      </c>
      <c r="AN1145" s="1"/>
      <c r="AO1145" s="1" t="s">
        <v>7290</v>
      </c>
      <c r="AP1145" s="1" t="s">
        <v>7287</v>
      </c>
      <c r="AQ1145" s="1" t="s">
        <v>7291</v>
      </c>
      <c r="AR1145" s="1" t="s">
        <v>7292</v>
      </c>
    </row>
    <row r="1146">
      <c r="A1146" s="2">
        <f ca="1">DATE(2004,01,27)</f>
        <v>0</v>
      </c>
      <c r="B1146" s="2">
        <f ca="1">DATE(2004,02,24)</f>
        <v>0</v>
      </c>
      <c r="C1146" s="1" t="s">
        <v>7293</v>
      </c>
      <c r="D1146" s="3">
        <v>6726</v>
      </c>
      <c r="E1146" s="1" t="s">
        <v>43</v>
      </c>
      <c r="F1146" s="1" t="s">
        <v>7294</v>
      </c>
      <c r="G1146" s="1" t="s">
        <v>7295</v>
      </c>
      <c r="H1146" s="4">
        <v>0.67500000000000004</v>
      </c>
      <c r="I1146" s="4">
        <v>4.5</v>
      </c>
      <c r="J1146" s="5">
        <v>800.29999999999995</v>
      </c>
      <c r="K1146" s="4">
        <v>15</v>
      </c>
      <c r="L1146" s="1" t="s">
        <v>4422</v>
      </c>
      <c r="M1146" s="1" t="s">
        <v>47</v>
      </c>
      <c r="N1146" s="1" t="s">
        <v>7296</v>
      </c>
      <c r="O1146" s="1" t="s">
        <v>108</v>
      </c>
      <c r="P1146" s="1" t="s">
        <v>7297</v>
      </c>
      <c r="Q1146" s="4">
        <v>0.96699999999999997</v>
      </c>
      <c r="R1146" s="4">
        <v>0.53300000000000003</v>
      </c>
      <c r="S1146" s="8">
        <v>3</v>
      </c>
      <c r="T1146" s="1" t="s">
        <v>50</v>
      </c>
      <c r="U1146" s="8">
        <v>15</v>
      </c>
      <c r="V1146" s="8">
        <v>15</v>
      </c>
      <c r="W1146" s="7">
        <v>1000</v>
      </c>
      <c r="X1146" s="5">
        <v>0</v>
      </c>
      <c r="Y1146" s="7">
        <v>53350000</v>
      </c>
      <c r="Z1146" s="1"/>
      <c r="AA1146" s="2">
        <f ca="1">DATE(2004,08,22)</f>
        <v>0</v>
      </c>
      <c r="AB1146" s="1"/>
      <c r="AC1146" s="3">
        <v>180</v>
      </c>
      <c r="AD1146" s="1"/>
      <c r="AE1146" s="1" t="s">
        <v>51</v>
      </c>
      <c r="AF1146" s="1" t="s">
        <v>51</v>
      </c>
      <c r="AG1146" s="1" t="s">
        <v>51</v>
      </c>
      <c r="AH1146" s="1"/>
      <c r="AI1146" s="1"/>
      <c r="AJ1146" s="3">
        <v>2</v>
      </c>
      <c r="AK1146" s="1" t="s">
        <v>89</v>
      </c>
      <c r="AL1146" s="3">
        <v>16</v>
      </c>
      <c r="AM1146" s="8">
        <v>15</v>
      </c>
      <c r="AN1146" s="1"/>
      <c r="AO1146" s="1" t="s">
        <v>7298</v>
      </c>
      <c r="AP1146" s="1" t="s">
        <v>7299</v>
      </c>
      <c r="AQ1146" s="1" t="s">
        <v>7300</v>
      </c>
      <c r="AR1146" s="1" t="s">
        <v>7301</v>
      </c>
    </row>
    <row r="1147">
      <c r="A1147" s="2">
        <f ca="1">DATE(2004,02,17)</f>
        <v>0</v>
      </c>
      <c r="B1147" s="2">
        <f ca="1">DATE(2004,03,03)</f>
        <v>0</v>
      </c>
      <c r="C1147" s="1" t="s">
        <v>7302</v>
      </c>
      <c r="D1147" s="3">
        <v>7389</v>
      </c>
      <c r="E1147" s="1" t="s">
        <v>744</v>
      </c>
      <c r="F1147" s="1" t="s">
        <v>7303</v>
      </c>
      <c r="G1147" s="1" t="s">
        <v>168</v>
      </c>
      <c r="H1147" s="4">
        <v>0.97999999999999998</v>
      </c>
      <c r="I1147" s="8">
        <v>7</v>
      </c>
      <c r="J1147" s="5">
        <v>86</v>
      </c>
      <c r="K1147" s="4">
        <v>14</v>
      </c>
      <c r="L1147" s="1" t="s">
        <v>651</v>
      </c>
      <c r="M1147" s="1" t="s">
        <v>47</v>
      </c>
      <c r="N1147" s="3">
        <v>535925101</v>
      </c>
      <c r="O1147" s="1" t="s">
        <v>48</v>
      </c>
      <c r="P1147" s="1" t="s">
        <v>7304</v>
      </c>
      <c r="Q1147" s="4">
        <v>1.3999999999999999</v>
      </c>
      <c r="R1147" s="4">
        <v>1.3999999999999999</v>
      </c>
      <c r="S1147" s="8">
        <v>4.2000000000000002</v>
      </c>
      <c r="T1147" s="1" t="s">
        <v>50</v>
      </c>
      <c r="U1147" s="8">
        <v>12</v>
      </c>
      <c r="V1147" s="8">
        <v>10</v>
      </c>
      <c r="W1147" s="7">
        <v>6060000</v>
      </c>
      <c r="X1147" s="5">
        <v>66.700000000000003</v>
      </c>
      <c r="Y1147" s="7">
        <v>5150000</v>
      </c>
      <c r="Z1147" s="7">
        <v>990000</v>
      </c>
      <c r="AA1147" s="2">
        <f ca="1">DATE(2004,08,30)</f>
        <v>0</v>
      </c>
      <c r="AB1147" s="1"/>
      <c r="AC1147" s="3">
        <v>180</v>
      </c>
      <c r="AD1147" s="1"/>
      <c r="AE1147" s="1" t="s">
        <v>47</v>
      </c>
      <c r="AF1147" s="1" t="s">
        <v>51</v>
      </c>
      <c r="AG1147" s="1" t="s">
        <v>47</v>
      </c>
      <c r="AH1147" s="1"/>
      <c r="AI1147" s="1"/>
      <c r="AJ1147" s="3">
        <v>1</v>
      </c>
      <c r="AK1147" s="1" t="s">
        <v>52</v>
      </c>
      <c r="AL1147" s="3">
        <v>4</v>
      </c>
      <c r="AM1147" s="8">
        <v>17.420000000000002</v>
      </c>
      <c r="AN1147" s="1"/>
      <c r="AO1147" s="1" t="s">
        <v>7305</v>
      </c>
      <c r="AP1147" s="1" t="s">
        <v>168</v>
      </c>
      <c r="AQ1147" s="1" t="s">
        <v>7306</v>
      </c>
      <c r="AR1147" s="1" t="s">
        <v>7307</v>
      </c>
    </row>
    <row r="1148">
      <c r="A1148" s="2">
        <f ca="1">DATE(2004,02,13)</f>
        <v>0</v>
      </c>
      <c r="B1148" s="2">
        <f ca="1">DATE(2004,03,05)</f>
        <v>0</v>
      </c>
      <c r="C1148" s="1" t="s">
        <v>7308</v>
      </c>
      <c r="D1148" s="3">
        <v>4812</v>
      </c>
      <c r="E1148" s="1" t="s">
        <v>845</v>
      </c>
      <c r="F1148" s="1" t="s">
        <v>7309</v>
      </c>
      <c r="G1148" s="1" t="s">
        <v>7310</v>
      </c>
      <c r="H1148" s="4">
        <v>1.089</v>
      </c>
      <c r="I1148" s="8">
        <v>7</v>
      </c>
      <c r="J1148" s="5">
        <v>87.5</v>
      </c>
      <c r="K1148" s="4">
        <v>15.552</v>
      </c>
      <c r="L1148" s="1" t="s">
        <v>651</v>
      </c>
      <c r="M1148" s="1" t="s">
        <v>47</v>
      </c>
      <c r="N1148" s="3">
        <v>889728200</v>
      </c>
      <c r="O1148" s="1" t="s">
        <v>48</v>
      </c>
      <c r="P1148" s="1" t="s">
        <v>7311</v>
      </c>
      <c r="Q1148" s="8">
        <v>1.3999999999999999</v>
      </c>
      <c r="R1148" s="8">
        <v>1.3999999999999999</v>
      </c>
      <c r="S1148" s="10">
        <v>4.2000999999999999</v>
      </c>
      <c r="T1148" s="1" t="s">
        <v>50</v>
      </c>
      <c r="U1148" s="1"/>
      <c r="V1148" s="1"/>
      <c r="W1148" s="1"/>
      <c r="X1148" s="1"/>
      <c r="Y1148" s="7">
        <v>5625000</v>
      </c>
      <c r="Z1148" s="1"/>
      <c r="AA1148" s="2">
        <f ca="1">DATE(2004,09,01)</f>
        <v>0</v>
      </c>
      <c r="AB1148" s="4">
        <v>76.900999999999996</v>
      </c>
      <c r="AC1148" s="3">
        <v>180</v>
      </c>
      <c r="AD1148" s="8">
        <v>37452500</v>
      </c>
      <c r="AE1148" s="1" t="s">
        <v>47</v>
      </c>
      <c r="AF1148" s="1" t="s">
        <v>51</v>
      </c>
      <c r="AG1148" s="1" t="s">
        <v>51</v>
      </c>
      <c r="AH1148" s="3">
        <v>8001</v>
      </c>
      <c r="AI1148" s="1" t="s">
        <v>7312</v>
      </c>
      <c r="AJ1148" s="3">
        <v>2</v>
      </c>
      <c r="AK1148" s="1" t="s">
        <v>89</v>
      </c>
      <c r="AL1148" s="3">
        <v>6</v>
      </c>
      <c r="AM1148" s="8">
        <v>13.039999999999999</v>
      </c>
      <c r="AN1148" s="1"/>
      <c r="AO1148" s="1" t="s">
        <v>7313</v>
      </c>
      <c r="AP1148" s="1" t="s">
        <v>7314</v>
      </c>
      <c r="AQ1148" s="1" t="s">
        <v>7315</v>
      </c>
      <c r="AR1148" s="1" t="s">
        <v>7316</v>
      </c>
    </row>
    <row r="1149">
      <c r="A1149" s="2">
        <f ca="1">DATE(2004,02,13)</f>
        <v>0</v>
      </c>
      <c r="B1149" s="2">
        <f ca="1">DATE(2004,03,05)</f>
        <v>0</v>
      </c>
      <c r="C1149" s="1" t="s">
        <v>7308</v>
      </c>
      <c r="D1149" s="3">
        <v>4812</v>
      </c>
      <c r="E1149" s="1" t="s">
        <v>845</v>
      </c>
      <c r="F1149" s="1" t="s">
        <v>7309</v>
      </c>
      <c r="G1149" s="1" t="s">
        <v>7310</v>
      </c>
      <c r="H1149" s="4">
        <v>1.089</v>
      </c>
      <c r="I1149" s="8">
        <v>7</v>
      </c>
      <c r="J1149" s="5">
        <v>87.5</v>
      </c>
      <c r="K1149" s="8">
        <v>15.550000000000001</v>
      </c>
      <c r="L1149" s="1" t="s">
        <v>651</v>
      </c>
      <c r="M1149" s="1" t="s">
        <v>47</v>
      </c>
      <c r="N1149" s="3">
        <v>889728200</v>
      </c>
      <c r="O1149" s="1" t="s">
        <v>48</v>
      </c>
      <c r="P1149" s="1" t="s">
        <v>7317</v>
      </c>
      <c r="Q1149" s="8">
        <v>1.3999999999999999</v>
      </c>
      <c r="R1149" s="8">
        <v>1.3999999999999999</v>
      </c>
      <c r="S1149" s="10">
        <v>4.2000999999999999</v>
      </c>
      <c r="T1149" s="1" t="s">
        <v>60</v>
      </c>
      <c r="U1149" s="1"/>
      <c r="V1149" s="1"/>
      <c r="W1149" s="1"/>
      <c r="X1149" s="1"/>
      <c r="Y1149" s="7">
        <v>5625000</v>
      </c>
      <c r="Z1149" s="1"/>
      <c r="AA1149" s="1"/>
      <c r="AB1149" s="1"/>
      <c r="AC1149" s="3">
        <v>180</v>
      </c>
      <c r="AD1149" s="8">
        <v>37452500</v>
      </c>
      <c r="AE1149" s="1" t="s">
        <v>47</v>
      </c>
      <c r="AF1149" s="1" t="s">
        <v>51</v>
      </c>
      <c r="AG1149" s="1" t="s">
        <v>51</v>
      </c>
      <c r="AH1149" s="3">
        <v>8001</v>
      </c>
      <c r="AI1149" s="1" t="s">
        <v>7312</v>
      </c>
      <c r="AJ1149" s="3">
        <v>2</v>
      </c>
      <c r="AK1149" s="1" t="s">
        <v>89</v>
      </c>
      <c r="AL1149" s="3">
        <v>3</v>
      </c>
      <c r="AM1149" s="1"/>
      <c r="AN1149" s="1"/>
      <c r="AO1149" s="1" t="s">
        <v>7318</v>
      </c>
      <c r="AP1149" s="1" t="s">
        <v>7314</v>
      </c>
      <c r="AQ1149" s="1" t="s">
        <v>7319</v>
      </c>
      <c r="AR1149" s="1" t="s">
        <v>7320</v>
      </c>
    </row>
    <row r="1150">
      <c r="A1150" s="2">
        <f ca="1">DATE(2004,02,11)</f>
        <v>0</v>
      </c>
      <c r="B1150" s="2">
        <f ca="1">DATE(2004,03,11)</f>
        <v>0</v>
      </c>
      <c r="C1150" s="1" t="s">
        <v>7321</v>
      </c>
      <c r="D1150" s="3">
        <v>3674</v>
      </c>
      <c r="E1150" s="1" t="s">
        <v>744</v>
      </c>
      <c r="F1150" s="1" t="s">
        <v>7322</v>
      </c>
      <c r="G1150" s="1" t="s">
        <v>7323</v>
      </c>
      <c r="H1150" s="4">
        <v>0.60199999999999998</v>
      </c>
      <c r="I1150" s="4">
        <v>3.4399999999999999</v>
      </c>
      <c r="J1150" s="5">
        <v>991.70000000000005</v>
      </c>
      <c r="K1150" s="4">
        <v>17.5</v>
      </c>
      <c r="L1150" s="1" t="s">
        <v>651</v>
      </c>
      <c r="M1150" s="1" t="s">
        <v>47</v>
      </c>
      <c r="N1150" s="1" t="s">
        <v>7324</v>
      </c>
      <c r="O1150" s="1" t="s">
        <v>108</v>
      </c>
      <c r="P1150" s="1" t="s">
        <v>7325</v>
      </c>
      <c r="Q1150" s="4">
        <v>0.68799999999999994</v>
      </c>
      <c r="R1150" s="4">
        <v>0.68799999999999994</v>
      </c>
      <c r="S1150" s="4">
        <v>2.0640000000000001</v>
      </c>
      <c r="T1150" s="1" t="s">
        <v>50</v>
      </c>
      <c r="U1150" s="1"/>
      <c r="V1150" s="1"/>
      <c r="W1150" s="1"/>
      <c r="X1150" s="1"/>
      <c r="Y1150" s="7">
        <v>56666660</v>
      </c>
      <c r="Z1150" s="1"/>
      <c r="AA1150" s="2">
        <f ca="1">DATE(2004,06,09)</f>
        <v>0</v>
      </c>
      <c r="AB1150" s="4">
        <v>71.719999999999999</v>
      </c>
      <c r="AC1150" s="3">
        <v>90</v>
      </c>
      <c r="AD1150" s="8">
        <v>261297163</v>
      </c>
      <c r="AE1150" s="1" t="s">
        <v>47</v>
      </c>
      <c r="AF1150" s="1" t="s">
        <v>51</v>
      </c>
      <c r="AG1150" s="1" t="s">
        <v>47</v>
      </c>
      <c r="AH1150" s="1"/>
      <c r="AI1150" s="1"/>
      <c r="AJ1150" s="3">
        <v>2</v>
      </c>
      <c r="AK1150" s="1" t="s">
        <v>89</v>
      </c>
      <c r="AL1150" s="3">
        <v>9</v>
      </c>
      <c r="AM1150" s="1"/>
      <c r="AN1150" s="1"/>
      <c r="AO1150" s="1" t="s">
        <v>7326</v>
      </c>
      <c r="AP1150" s="1" t="s">
        <v>7327</v>
      </c>
      <c r="AQ1150" s="1" t="s">
        <v>7328</v>
      </c>
      <c r="AR1150" s="1" t="s">
        <v>7329</v>
      </c>
    </row>
    <row r="1151">
      <c r="A1151" s="2">
        <f ca="1">DATE(2004,02,11)</f>
        <v>0</v>
      </c>
      <c r="B1151" s="2">
        <f ca="1">DATE(2004,03,11)</f>
        <v>0</v>
      </c>
      <c r="C1151" s="1" t="s">
        <v>7321</v>
      </c>
      <c r="D1151" s="3">
        <v>3674</v>
      </c>
      <c r="E1151" s="1" t="s">
        <v>744</v>
      </c>
      <c r="F1151" s="1" t="s">
        <v>7322</v>
      </c>
      <c r="G1151" s="1" t="s">
        <v>7323</v>
      </c>
      <c r="H1151" s="4">
        <v>0.60199999999999998</v>
      </c>
      <c r="I1151" s="4">
        <v>3.4399999999999999</v>
      </c>
      <c r="J1151" s="5">
        <v>721.20000000000005</v>
      </c>
      <c r="K1151" s="8">
        <v>17.5</v>
      </c>
      <c r="L1151" s="1" t="s">
        <v>651</v>
      </c>
      <c r="M1151" s="1" t="s">
        <v>47</v>
      </c>
      <c r="N1151" s="1" t="s">
        <v>7324</v>
      </c>
      <c r="O1151" s="1" t="s">
        <v>108</v>
      </c>
      <c r="P1151" s="1" t="s">
        <v>7330</v>
      </c>
      <c r="Q1151" s="4">
        <v>0.68799999999999994</v>
      </c>
      <c r="R1151" s="4">
        <v>0.68799999999999994</v>
      </c>
      <c r="S1151" s="4">
        <v>2.0640000000000001</v>
      </c>
      <c r="T1151" s="1" t="s">
        <v>60</v>
      </c>
      <c r="U1151" s="1"/>
      <c r="V1151" s="1"/>
      <c r="W1151" s="1"/>
      <c r="X1151" s="1"/>
      <c r="Y1151" s="7">
        <v>41212120</v>
      </c>
      <c r="Z1151" s="1"/>
      <c r="AA1151" s="1"/>
      <c r="AB1151" s="1"/>
      <c r="AC1151" s="3">
        <v>90</v>
      </c>
      <c r="AD1151" s="8">
        <v>261297163</v>
      </c>
      <c r="AE1151" s="1" t="s">
        <v>47</v>
      </c>
      <c r="AF1151" s="1" t="s">
        <v>51</v>
      </c>
      <c r="AG1151" s="1" t="s">
        <v>47</v>
      </c>
      <c r="AH1151" s="1"/>
      <c r="AI1151" s="1"/>
      <c r="AJ1151" s="3">
        <v>2</v>
      </c>
      <c r="AK1151" s="1" t="s">
        <v>89</v>
      </c>
      <c r="AL1151" s="3">
        <v>3</v>
      </c>
      <c r="AM1151" s="1"/>
      <c r="AN1151" s="1"/>
      <c r="AO1151" s="1" t="s">
        <v>7331</v>
      </c>
      <c r="AP1151" s="1" t="s">
        <v>7327</v>
      </c>
      <c r="AQ1151" s="1" t="s">
        <v>7332</v>
      </c>
      <c r="AR1151" s="1" t="s">
        <v>7333</v>
      </c>
    </row>
    <row r="1152">
      <c r="A1152" s="2">
        <f ca="1">DATE(2004,02,11)</f>
        <v>0</v>
      </c>
      <c r="B1152" s="2">
        <f ca="1">DATE(2004,03,11)</f>
        <v>0</v>
      </c>
      <c r="C1152" s="1" t="s">
        <v>7321</v>
      </c>
      <c r="D1152" s="3">
        <v>3674</v>
      </c>
      <c r="E1152" s="1" t="s">
        <v>744</v>
      </c>
      <c r="F1152" s="1" t="s">
        <v>7322</v>
      </c>
      <c r="G1152" s="1" t="s">
        <v>7323</v>
      </c>
      <c r="H1152" s="4">
        <v>0.01</v>
      </c>
      <c r="I1152" s="4">
        <v>3</v>
      </c>
      <c r="J1152" s="5">
        <v>88.900000000000006</v>
      </c>
      <c r="K1152" s="8">
        <v>2.6899999999999999</v>
      </c>
      <c r="L1152" s="1" t="s">
        <v>58</v>
      </c>
      <c r="M1152" s="1" t="s">
        <v>47</v>
      </c>
      <c r="N1152" s="1" t="s">
        <v>7324</v>
      </c>
      <c r="O1152" s="1" t="s">
        <v>108</v>
      </c>
      <c r="P1152" s="1" t="s">
        <v>7325</v>
      </c>
      <c r="Q1152" s="1" t="s">
        <v>145</v>
      </c>
      <c r="R1152" s="1" t="s">
        <v>145</v>
      </c>
      <c r="S1152" s="1"/>
      <c r="T1152" s="1" t="s">
        <v>60</v>
      </c>
      <c r="U1152" s="1"/>
      <c r="V1152" s="1"/>
      <c r="W1152" s="1"/>
      <c r="X1152" s="1"/>
      <c r="Y1152" s="7">
        <v>257576000</v>
      </c>
      <c r="Z1152" s="1"/>
      <c r="AA1152" s="1"/>
      <c r="AB1152" s="1"/>
      <c r="AC1152" s="3">
        <v>90</v>
      </c>
      <c r="AD1152" s="8">
        <v>261297163</v>
      </c>
      <c r="AE1152" s="1" t="s">
        <v>51</v>
      </c>
      <c r="AF1152" s="1" t="s">
        <v>51</v>
      </c>
      <c r="AG1152" s="1" t="s">
        <v>47</v>
      </c>
      <c r="AH1152" s="1"/>
      <c r="AI1152" s="1"/>
      <c r="AJ1152" s="3">
        <v>2</v>
      </c>
      <c r="AK1152" s="1" t="s">
        <v>89</v>
      </c>
      <c r="AL1152" s="3">
        <v>3</v>
      </c>
      <c r="AM1152" s="4">
        <v>0.318</v>
      </c>
      <c r="AN1152" s="4">
        <v>0.311</v>
      </c>
      <c r="AO1152" s="1" t="s">
        <v>7334</v>
      </c>
      <c r="AP1152" s="1" t="s">
        <v>7327</v>
      </c>
      <c r="AQ1152" s="1" t="s">
        <v>7332</v>
      </c>
      <c r="AR1152" s="1" t="s">
        <v>7333</v>
      </c>
    </row>
    <row r="1153">
      <c r="A1153" s="2">
        <f ca="1">DATE(2004,02,23)</f>
        <v>0</v>
      </c>
      <c r="B1153" s="2">
        <f ca="1">DATE(2004,03,16)</f>
        <v>0</v>
      </c>
      <c r="C1153" s="1" t="s">
        <v>7335</v>
      </c>
      <c r="D1153" s="3">
        <v>6726</v>
      </c>
      <c r="E1153" s="1" t="s">
        <v>43</v>
      </c>
      <c r="F1153" s="1" t="s">
        <v>7336</v>
      </c>
      <c r="G1153" s="1" t="s">
        <v>7222</v>
      </c>
      <c r="H1153" s="4">
        <v>0.59999999999999998</v>
      </c>
      <c r="I1153" s="4">
        <v>10</v>
      </c>
      <c r="J1153" s="5">
        <v>21</v>
      </c>
      <c r="K1153" s="4">
        <v>6</v>
      </c>
      <c r="L1153" s="1" t="s">
        <v>46</v>
      </c>
      <c r="M1153" s="1" t="s">
        <v>47</v>
      </c>
      <c r="N1153" s="3">
        <v>159569102</v>
      </c>
      <c r="O1153" s="1" t="s">
        <v>77</v>
      </c>
      <c r="P1153" s="1" t="s">
        <v>7337</v>
      </c>
      <c r="Q1153" s="1" t="s">
        <v>145</v>
      </c>
      <c r="R1153" s="1" t="s">
        <v>145</v>
      </c>
      <c r="S1153" s="1"/>
      <c r="T1153" s="1" t="s">
        <v>50</v>
      </c>
      <c r="U1153" s="8">
        <v>6</v>
      </c>
      <c r="V1153" s="8">
        <v>6</v>
      </c>
      <c r="W1153" s="7">
        <v>3500000</v>
      </c>
      <c r="X1153" s="5">
        <v>21</v>
      </c>
      <c r="Y1153" s="7">
        <v>3500000</v>
      </c>
      <c r="Z1153" s="1"/>
      <c r="AA1153" s="2">
        <f ca="1">DATE(2004,06,14)</f>
        <v>0</v>
      </c>
      <c r="AB1153" s="4">
        <v>17.856999999999999</v>
      </c>
      <c r="AC1153" s="3">
        <v>90</v>
      </c>
      <c r="AD1153" s="8">
        <v>875000</v>
      </c>
      <c r="AE1153" s="1" t="s">
        <v>51</v>
      </c>
      <c r="AF1153" s="1" t="s">
        <v>51</v>
      </c>
      <c r="AG1153" s="1" t="s">
        <v>51</v>
      </c>
      <c r="AH1153" s="1"/>
      <c r="AI1153" s="1"/>
      <c r="AJ1153" s="3">
        <v>1</v>
      </c>
      <c r="AK1153" s="1" t="s">
        <v>52</v>
      </c>
      <c r="AL1153" s="3">
        <v>1</v>
      </c>
      <c r="AM1153" s="8">
        <v>6.0499999999999998</v>
      </c>
      <c r="AN1153" s="1"/>
      <c r="AO1153" s="1" t="s">
        <v>7338</v>
      </c>
      <c r="AP1153" s="1" t="s">
        <v>7222</v>
      </c>
      <c r="AQ1153" s="1" t="s">
        <v>7222</v>
      </c>
      <c r="AR1153" s="1" t="s">
        <v>7339</v>
      </c>
    </row>
    <row r="1154">
      <c r="A1154" s="2">
        <f ca="1">DATE(2003,11,03)</f>
        <v>0</v>
      </c>
      <c r="B1154" s="2">
        <f ca="1">DATE(2004,03,16)</f>
        <v>0</v>
      </c>
      <c r="C1154" s="1" t="s">
        <v>7340</v>
      </c>
      <c r="D1154" s="3">
        <v>7389</v>
      </c>
      <c r="E1154" s="1" t="s">
        <v>43</v>
      </c>
      <c r="F1154" s="1" t="s">
        <v>7341</v>
      </c>
      <c r="G1154" s="1" t="s">
        <v>7342</v>
      </c>
      <c r="H1154" s="4">
        <v>1.26</v>
      </c>
      <c r="I1154" s="4">
        <v>7</v>
      </c>
      <c r="J1154" s="5">
        <v>79.599999999999994</v>
      </c>
      <c r="K1154" s="4">
        <v>18</v>
      </c>
      <c r="L1154" s="1" t="s">
        <v>46</v>
      </c>
      <c r="M1154" s="1" t="s">
        <v>47</v>
      </c>
      <c r="N1154" s="3">
        <v>872960109</v>
      </c>
      <c r="O1154" s="1" t="s">
        <v>108</v>
      </c>
      <c r="P1154" s="1" t="s">
        <v>7343</v>
      </c>
      <c r="Q1154" s="4">
        <v>1.3999999999999999</v>
      </c>
      <c r="R1154" s="4">
        <v>1.3999999999999999</v>
      </c>
      <c r="S1154" s="8">
        <v>4.2000000000000002</v>
      </c>
      <c r="T1154" s="1" t="s">
        <v>50</v>
      </c>
      <c r="U1154" s="1"/>
      <c r="V1154" s="1"/>
      <c r="W1154" s="1"/>
      <c r="X1154" s="5">
        <v>86.299999999999997</v>
      </c>
      <c r="Y1154" s="7">
        <v>4420000</v>
      </c>
      <c r="Z1154" s="1"/>
      <c r="AA1154" s="2">
        <f ca="1">DATE(2004,09,12)</f>
        <v>0</v>
      </c>
      <c r="AB1154" s="4">
        <v>83.427999999999997</v>
      </c>
      <c r="AC1154" s="3">
        <v>180</v>
      </c>
      <c r="AD1154" s="8">
        <v>22340540</v>
      </c>
      <c r="AE1154" s="1" t="s">
        <v>51</v>
      </c>
      <c r="AF1154" s="1" t="s">
        <v>51</v>
      </c>
      <c r="AG1154" s="1" t="s">
        <v>47</v>
      </c>
      <c r="AH1154" s="1"/>
      <c r="AI1154" s="1"/>
      <c r="AJ1154" s="3">
        <v>2</v>
      </c>
      <c r="AK1154" s="1" t="s">
        <v>89</v>
      </c>
      <c r="AL1154" s="3">
        <v>5</v>
      </c>
      <c r="AM1154" s="8">
        <v>18</v>
      </c>
      <c r="AN1154" s="1"/>
      <c r="AO1154" s="1" t="s">
        <v>7344</v>
      </c>
      <c r="AP1154" s="1" t="s">
        <v>7345</v>
      </c>
      <c r="AQ1154" s="1" t="s">
        <v>7346</v>
      </c>
      <c r="AR1154" s="1" t="s">
        <v>7347</v>
      </c>
    </row>
    <row r="1155">
      <c r="A1155" s="2">
        <f ca="1">DATE(2003,09,12)</f>
        <v>0</v>
      </c>
      <c r="B1155" s="2">
        <f ca="1">DATE(2004,03,16)</f>
        <v>0</v>
      </c>
      <c r="C1155" s="1" t="s">
        <v>7348</v>
      </c>
      <c r="D1155" s="3">
        <v>2834</v>
      </c>
      <c r="E1155" s="1" t="s">
        <v>43</v>
      </c>
      <c r="F1155" s="1" t="s">
        <v>7349</v>
      </c>
      <c r="G1155" s="1" t="s">
        <v>813</v>
      </c>
      <c r="H1155" s="4">
        <v>0.63</v>
      </c>
      <c r="I1155" s="4">
        <v>7</v>
      </c>
      <c r="J1155" s="5">
        <v>49.5</v>
      </c>
      <c r="K1155" s="4">
        <v>9</v>
      </c>
      <c r="L1155" s="1" t="s">
        <v>46</v>
      </c>
      <c r="M1155" s="1" t="s">
        <v>47</v>
      </c>
      <c r="N1155" s="1" t="s">
        <v>7350</v>
      </c>
      <c r="O1155" s="1" t="s">
        <v>48</v>
      </c>
      <c r="P1155" s="1" t="s">
        <v>7351</v>
      </c>
      <c r="Q1155" s="4">
        <v>1.333</v>
      </c>
      <c r="R1155" s="4">
        <v>1.444</v>
      </c>
      <c r="S1155" s="6">
        <v>4.2222200000000001</v>
      </c>
      <c r="T1155" s="1" t="s">
        <v>50</v>
      </c>
      <c r="U1155" s="1"/>
      <c r="V1155" s="1"/>
      <c r="W1155" s="1"/>
      <c r="X1155" s="5">
        <v>86.299999999999997</v>
      </c>
      <c r="Y1155" s="7">
        <v>5500000</v>
      </c>
      <c r="Z1155" s="1"/>
      <c r="AA1155" s="2">
        <f ca="1">DATE(2004,09,12)</f>
        <v>0</v>
      </c>
      <c r="AB1155" s="4">
        <v>37.625</v>
      </c>
      <c r="AC1155" s="3">
        <v>180</v>
      </c>
      <c r="AD1155" s="8">
        <v>9173340</v>
      </c>
      <c r="AE1155" s="1" t="s">
        <v>51</v>
      </c>
      <c r="AF1155" s="1" t="s">
        <v>51</v>
      </c>
      <c r="AG1155" s="1" t="s">
        <v>47</v>
      </c>
      <c r="AH1155" s="1"/>
      <c r="AI1155" s="1"/>
      <c r="AJ1155" s="3">
        <v>1</v>
      </c>
      <c r="AK1155" s="1" t="s">
        <v>89</v>
      </c>
      <c r="AL1155" s="3">
        <v>4</v>
      </c>
      <c r="AM1155" s="8">
        <v>9</v>
      </c>
      <c r="AN1155" s="1"/>
      <c r="AO1155" s="1" t="s">
        <v>7352</v>
      </c>
      <c r="AP1155" s="1" t="s">
        <v>5971</v>
      </c>
      <c r="AQ1155" s="1" t="s">
        <v>7353</v>
      </c>
      <c r="AR1155" s="1" t="s">
        <v>7354</v>
      </c>
    </row>
    <row r="1156">
      <c r="A1156" s="2">
        <f ca="1">DATE(2003,10,10)</f>
        <v>0</v>
      </c>
      <c r="B1156" s="2">
        <f ca="1">DATE(2004,03,16)</f>
        <v>0</v>
      </c>
      <c r="C1156" s="1" t="s">
        <v>7355</v>
      </c>
      <c r="D1156" s="3">
        <v>2836</v>
      </c>
      <c r="E1156" s="1" t="s">
        <v>43</v>
      </c>
      <c r="F1156" s="1" t="s">
        <v>7356</v>
      </c>
      <c r="G1156" s="1" t="s">
        <v>282</v>
      </c>
      <c r="H1156" s="4">
        <v>0.56000000000000005</v>
      </c>
      <c r="I1156" s="4">
        <v>7</v>
      </c>
      <c r="J1156" s="5">
        <v>33.600000000000001</v>
      </c>
      <c r="K1156" s="4">
        <v>8</v>
      </c>
      <c r="L1156" s="1" t="s">
        <v>46</v>
      </c>
      <c r="M1156" s="1" t="s">
        <v>47</v>
      </c>
      <c r="N1156" s="1" t="s">
        <v>7357</v>
      </c>
      <c r="O1156" s="1" t="s">
        <v>48</v>
      </c>
      <c r="P1156" s="1" t="s">
        <v>7358</v>
      </c>
      <c r="Q1156" s="4">
        <v>1.3999999999999999</v>
      </c>
      <c r="R1156" s="4">
        <v>1.3999999999999999</v>
      </c>
      <c r="S1156" s="8">
        <v>4.2000000000000002</v>
      </c>
      <c r="T1156" s="1" t="s">
        <v>50</v>
      </c>
      <c r="U1156" s="1"/>
      <c r="V1156" s="1"/>
      <c r="W1156" s="1"/>
      <c r="X1156" s="5">
        <v>75</v>
      </c>
      <c r="Y1156" s="7">
        <v>4200000</v>
      </c>
      <c r="Z1156" s="1"/>
      <c r="AA1156" s="1" t="s">
        <v>7359</v>
      </c>
      <c r="AB1156" s="1" t="s">
        <v>7360</v>
      </c>
      <c r="AC1156" s="1" t="s">
        <v>3966</v>
      </c>
      <c r="AD1156" s="1" t="s">
        <v>7361</v>
      </c>
      <c r="AE1156" s="1" t="s">
        <v>51</v>
      </c>
      <c r="AF1156" s="1" t="s">
        <v>51</v>
      </c>
      <c r="AG1156" s="1" t="s">
        <v>47</v>
      </c>
      <c r="AH1156" s="1"/>
      <c r="AI1156" s="1"/>
      <c r="AJ1156" s="3">
        <v>1</v>
      </c>
      <c r="AK1156" s="1" t="s">
        <v>89</v>
      </c>
      <c r="AL1156" s="3">
        <v>4</v>
      </c>
      <c r="AM1156" s="8">
        <v>7.3099999999999996</v>
      </c>
      <c r="AN1156" s="1"/>
      <c r="AO1156" s="1" t="s">
        <v>7362</v>
      </c>
      <c r="AP1156" s="1" t="s">
        <v>7363</v>
      </c>
      <c r="AQ1156" s="1" t="s">
        <v>7364</v>
      </c>
      <c r="AR1156" s="1" t="s">
        <v>7365</v>
      </c>
    </row>
    <row r="1157">
      <c r="A1157" s="2">
        <f ca="1">DATE(2003,12,04)</f>
        <v>0</v>
      </c>
      <c r="B1157" s="2">
        <f ca="1">DATE(2004,03,17)</f>
        <v>0</v>
      </c>
      <c r="C1157" s="1" t="s">
        <v>7366</v>
      </c>
      <c r="D1157" s="3">
        <v>6726</v>
      </c>
      <c r="E1157" s="1" t="s">
        <v>43</v>
      </c>
      <c r="F1157" s="1" t="s">
        <v>7367</v>
      </c>
      <c r="G1157" s="1" t="s">
        <v>7368</v>
      </c>
      <c r="H1157" s="4">
        <v>0.59999999999999998</v>
      </c>
      <c r="I1157" s="4">
        <v>10</v>
      </c>
      <c r="J1157" s="5">
        <v>24</v>
      </c>
      <c r="K1157" s="4">
        <v>6</v>
      </c>
      <c r="L1157" s="1" t="s">
        <v>46</v>
      </c>
      <c r="M1157" s="1" t="s">
        <v>47</v>
      </c>
      <c r="N1157" s="1" t="s">
        <v>7369</v>
      </c>
      <c r="O1157" s="1" t="s">
        <v>77</v>
      </c>
      <c r="P1157" s="1" t="s">
        <v>7370</v>
      </c>
      <c r="Q1157" s="4">
        <v>2</v>
      </c>
      <c r="R1157" s="4">
        <v>1</v>
      </c>
      <c r="S1157" s="8">
        <v>4</v>
      </c>
      <c r="T1157" s="1" t="s">
        <v>50</v>
      </c>
      <c r="U1157" s="8">
        <v>6</v>
      </c>
      <c r="V1157" s="8">
        <v>6</v>
      </c>
      <c r="W1157" s="7">
        <v>4000000</v>
      </c>
      <c r="X1157" s="5">
        <v>24</v>
      </c>
      <c r="Y1157" s="7">
        <v>4000000</v>
      </c>
      <c r="Z1157" s="1"/>
      <c r="AA1157" s="2">
        <f ca="1">DATE(2004,09,13)</f>
        <v>0</v>
      </c>
      <c r="AB1157" s="4">
        <v>20</v>
      </c>
      <c r="AC1157" s="3">
        <v>180</v>
      </c>
      <c r="AD1157" s="8">
        <v>1000000</v>
      </c>
      <c r="AE1157" s="1" t="s">
        <v>51</v>
      </c>
      <c r="AF1157" s="1" t="s">
        <v>51</v>
      </c>
      <c r="AG1157" s="1" t="s">
        <v>51</v>
      </c>
      <c r="AH1157" s="1"/>
      <c r="AI1157" s="1"/>
      <c r="AJ1157" s="3">
        <v>1</v>
      </c>
      <c r="AK1157" s="1" t="s">
        <v>52</v>
      </c>
      <c r="AL1157" s="3">
        <v>1</v>
      </c>
      <c r="AM1157" s="8">
        <v>6</v>
      </c>
      <c r="AN1157" s="1"/>
      <c r="AO1157" s="1" t="s">
        <v>7371</v>
      </c>
      <c r="AP1157" s="1" t="s">
        <v>7368</v>
      </c>
      <c r="AQ1157" s="1" t="s">
        <v>7368</v>
      </c>
      <c r="AR1157" s="1" t="s">
        <v>7372</v>
      </c>
    </row>
    <row r="1158">
      <c r="A1158" s="2">
        <f ca="1">DATE(2003,12,08)</f>
        <v>0</v>
      </c>
      <c r="B1158" s="2">
        <f ca="1">DATE(2004,03,17)</f>
        <v>0</v>
      </c>
      <c r="C1158" s="1" t="s">
        <v>7373</v>
      </c>
      <c r="D1158" s="3">
        <v>6798</v>
      </c>
      <c r="E1158" s="1" t="s">
        <v>43</v>
      </c>
      <c r="F1158" s="1" t="s">
        <v>7374</v>
      </c>
      <c r="G1158" s="1" t="s">
        <v>7375</v>
      </c>
      <c r="H1158" s="4">
        <v>0.91000000000000003</v>
      </c>
      <c r="I1158" s="4">
        <v>7</v>
      </c>
      <c r="J1158" s="5">
        <v>130</v>
      </c>
      <c r="K1158" s="4">
        <v>13</v>
      </c>
      <c r="L1158" s="1" t="s">
        <v>46</v>
      </c>
      <c r="M1158" s="1" t="s">
        <v>47</v>
      </c>
      <c r="N1158" s="3">
        <v>867708109</v>
      </c>
      <c r="O1158" s="1" t="s">
        <v>108</v>
      </c>
      <c r="P1158" s="1" t="s">
        <v>7376</v>
      </c>
      <c r="Q1158" s="4">
        <v>1.7689999999999999</v>
      </c>
      <c r="R1158" s="4">
        <v>1.692</v>
      </c>
      <c r="S1158" s="6">
        <v>3.5384600000000002</v>
      </c>
      <c r="T1158" s="1" t="s">
        <v>50</v>
      </c>
      <c r="U1158" s="8">
        <v>17</v>
      </c>
      <c r="V1158" s="8">
        <v>13</v>
      </c>
      <c r="W1158" s="1"/>
      <c r="X1158" s="5">
        <v>125</v>
      </c>
      <c r="Y1158" s="7">
        <v>10000000</v>
      </c>
      <c r="Z1158" s="1"/>
      <c r="AA1158" s="2">
        <f ca="1">DATE(2004,09,13)</f>
        <v>0</v>
      </c>
      <c r="AB1158" s="1"/>
      <c r="AC1158" s="3">
        <v>180</v>
      </c>
      <c r="AD1158" s="1"/>
      <c r="AE1158" s="1" t="s">
        <v>51</v>
      </c>
      <c r="AF1158" s="1" t="s">
        <v>51</v>
      </c>
      <c r="AG1158" s="1" t="s">
        <v>51</v>
      </c>
      <c r="AH1158" s="1"/>
      <c r="AI1158" s="1"/>
      <c r="AJ1158" s="3">
        <v>2</v>
      </c>
      <c r="AK1158" s="1" t="s">
        <v>89</v>
      </c>
      <c r="AL1158" s="3">
        <v>3</v>
      </c>
      <c r="AM1158" s="8">
        <v>12.9</v>
      </c>
      <c r="AN1158" s="1"/>
      <c r="AO1158" s="1" t="s">
        <v>7377</v>
      </c>
      <c r="AP1158" s="1" t="s">
        <v>7378</v>
      </c>
      <c r="AQ1158" s="1" t="s">
        <v>7379</v>
      </c>
      <c r="AR1158" s="1" t="s">
        <v>7380</v>
      </c>
    </row>
    <row r="1159">
      <c r="A1159" s="2">
        <f ca="1">DATE(2003,11,21)</f>
        <v>0</v>
      </c>
      <c r="B1159" s="2">
        <f ca="1">DATE(2004,03,18)</f>
        <v>0</v>
      </c>
      <c r="C1159" s="1" t="s">
        <v>7381</v>
      </c>
      <c r="D1159" s="3">
        <v>6798</v>
      </c>
      <c r="E1159" s="1" t="s">
        <v>43</v>
      </c>
      <c r="F1159" s="1" t="s">
        <v>7382</v>
      </c>
      <c r="G1159" s="1" t="s">
        <v>84</v>
      </c>
      <c r="H1159" s="4">
        <v>0.73499999999999999</v>
      </c>
      <c r="I1159" s="8">
        <v>7</v>
      </c>
      <c r="J1159" s="5">
        <v>210</v>
      </c>
      <c r="K1159" s="4">
        <v>10.5</v>
      </c>
      <c r="L1159" s="1" t="s">
        <v>46</v>
      </c>
      <c r="M1159" s="1" t="s">
        <v>47</v>
      </c>
      <c r="N1159" s="3">
        <v>140288101</v>
      </c>
      <c r="O1159" s="1" t="s">
        <v>108</v>
      </c>
      <c r="P1159" s="1" t="s">
        <v>7383</v>
      </c>
      <c r="Q1159" s="4">
        <v>1.4290000000000001</v>
      </c>
      <c r="R1159" s="4">
        <v>1.381</v>
      </c>
      <c r="S1159" s="6">
        <v>4.19048</v>
      </c>
      <c r="T1159" s="1" t="s">
        <v>50</v>
      </c>
      <c r="U1159" s="1"/>
      <c r="V1159" s="1"/>
      <c r="W1159" s="1"/>
      <c r="X1159" s="5">
        <v>230</v>
      </c>
      <c r="Y1159" s="7">
        <v>20000000</v>
      </c>
      <c r="Z1159" s="1"/>
      <c r="AA1159" s="2">
        <f ca="1">DATE(2004,09,14)</f>
        <v>0</v>
      </c>
      <c r="AB1159" s="4">
        <v>14.942</v>
      </c>
      <c r="AC1159" s="3">
        <v>180</v>
      </c>
      <c r="AD1159" s="8">
        <v>4107937</v>
      </c>
      <c r="AE1159" s="1" t="s">
        <v>51</v>
      </c>
      <c r="AF1159" s="1" t="s">
        <v>51</v>
      </c>
      <c r="AG1159" s="1" t="s">
        <v>47</v>
      </c>
      <c r="AH1159" s="1"/>
      <c r="AI1159" s="1"/>
      <c r="AJ1159" s="3">
        <v>1</v>
      </c>
      <c r="AK1159" s="1" t="s">
        <v>89</v>
      </c>
      <c r="AL1159" s="3">
        <v>3</v>
      </c>
      <c r="AM1159" s="8">
        <v>13.41</v>
      </c>
      <c r="AN1159" s="1"/>
      <c r="AO1159" s="1" t="s">
        <v>7384</v>
      </c>
      <c r="AP1159" s="1" t="s">
        <v>7385</v>
      </c>
      <c r="AQ1159" s="1" t="s">
        <v>7386</v>
      </c>
      <c r="AR1159" s="1" t="s">
        <v>7387</v>
      </c>
    </row>
    <row r="1160">
      <c r="A1160" s="2">
        <f ca="1">DATE(2004,01,16)</f>
        <v>0</v>
      </c>
      <c r="B1160" s="2">
        <f ca="1">DATE(2004,03,18)</f>
        <v>0</v>
      </c>
      <c r="C1160" s="1" t="s">
        <v>7388</v>
      </c>
      <c r="D1160" s="3">
        <v>6726</v>
      </c>
      <c r="E1160" s="1" t="s">
        <v>43</v>
      </c>
      <c r="F1160" s="1" t="s">
        <v>7389</v>
      </c>
      <c r="G1160" s="1" t="s">
        <v>2705</v>
      </c>
      <c r="H1160" s="4">
        <v>0.67500000000000004</v>
      </c>
      <c r="I1160" s="4">
        <v>4.5</v>
      </c>
      <c r="J1160" s="5">
        <v>315</v>
      </c>
      <c r="K1160" s="4">
        <v>15</v>
      </c>
      <c r="L1160" s="1" t="s">
        <v>46</v>
      </c>
      <c r="M1160" s="1" t="s">
        <v>47</v>
      </c>
      <c r="N1160" s="1" t="s">
        <v>7390</v>
      </c>
      <c r="O1160" s="1" t="s">
        <v>108</v>
      </c>
      <c r="P1160" s="1" t="s">
        <v>7391</v>
      </c>
      <c r="Q1160" s="4">
        <v>0.96699999999999997</v>
      </c>
      <c r="R1160" s="4">
        <v>0.53300000000000003</v>
      </c>
      <c r="S1160" s="8">
        <v>3</v>
      </c>
      <c r="T1160" s="1" t="s">
        <v>50</v>
      </c>
      <c r="U1160" s="8">
        <v>15</v>
      </c>
      <c r="V1160" s="8">
        <v>15</v>
      </c>
      <c r="W1160" s="7">
        <v>4600000</v>
      </c>
      <c r="X1160" s="5">
        <v>69</v>
      </c>
      <c r="Y1160" s="7">
        <v>21000000</v>
      </c>
      <c r="Z1160" s="1"/>
      <c r="AA1160" s="2">
        <f ca="1">DATE(2004,09,14)</f>
        <v>0</v>
      </c>
      <c r="AB1160" s="1"/>
      <c r="AC1160" s="3">
        <v>180</v>
      </c>
      <c r="AD1160" s="1"/>
      <c r="AE1160" s="1" t="s">
        <v>51</v>
      </c>
      <c r="AF1160" s="1" t="s">
        <v>51</v>
      </c>
      <c r="AG1160" s="1" t="s">
        <v>51</v>
      </c>
      <c r="AH1160" s="1"/>
      <c r="AI1160" s="1"/>
      <c r="AJ1160" s="3">
        <v>1</v>
      </c>
      <c r="AK1160" s="1" t="s">
        <v>52</v>
      </c>
      <c r="AL1160" s="3">
        <v>14</v>
      </c>
      <c r="AM1160" s="8">
        <v>15.75</v>
      </c>
      <c r="AN1160" s="1"/>
      <c r="AO1160" s="1" t="s">
        <v>7392</v>
      </c>
      <c r="AP1160" s="1" t="s">
        <v>2705</v>
      </c>
      <c r="AQ1160" s="1" t="s">
        <v>7393</v>
      </c>
      <c r="AR1160" s="1" t="s">
        <v>7394</v>
      </c>
    </row>
    <row r="1161">
      <c r="A1161" s="1"/>
      <c r="B1161" s="2">
        <f ca="1">DATE(2004,03,22)</f>
        <v>0</v>
      </c>
      <c r="C1161" s="1" t="s">
        <v>7395</v>
      </c>
      <c r="D1161" s="3">
        <v>6022</v>
      </c>
      <c r="E1161" s="1" t="s">
        <v>43</v>
      </c>
      <c r="F1161" s="1" t="s">
        <v>7396</v>
      </c>
      <c r="G1161" s="1" t="s">
        <v>84</v>
      </c>
      <c r="H1161" s="4">
        <v>1.085</v>
      </c>
      <c r="I1161" s="8">
        <v>7</v>
      </c>
      <c r="J1161" s="5">
        <v>83.700000000000003</v>
      </c>
      <c r="K1161" s="4">
        <v>15.5</v>
      </c>
      <c r="L1161" s="1" t="s">
        <v>46</v>
      </c>
      <c r="M1161" s="1" t="s">
        <v>47</v>
      </c>
      <c r="N1161" s="1" t="s">
        <v>7397</v>
      </c>
      <c r="O1161" s="1" t="s">
        <v>48</v>
      </c>
      <c r="P1161" s="1" t="s">
        <v>7398</v>
      </c>
      <c r="Q1161" s="4">
        <v>1.387</v>
      </c>
      <c r="R1161" s="4">
        <v>1.419</v>
      </c>
      <c r="S1161" s="6">
        <v>4.1935500000000001</v>
      </c>
      <c r="T1161" s="1" t="s">
        <v>50</v>
      </c>
      <c r="U1161" s="1"/>
      <c r="V1161" s="1"/>
      <c r="W1161" s="1"/>
      <c r="X1161" s="1"/>
      <c r="Y1161" s="7">
        <v>5400000</v>
      </c>
      <c r="Z1161" s="1"/>
      <c r="AA1161" s="1"/>
      <c r="AB1161" s="1"/>
      <c r="AC1161" s="1"/>
      <c r="AD1161" s="1"/>
      <c r="AE1161" s="1" t="s">
        <v>51</v>
      </c>
      <c r="AF1161" s="1" t="s">
        <v>51</v>
      </c>
      <c r="AG1161" s="1" t="s">
        <v>51</v>
      </c>
      <c r="AH1161" s="1"/>
      <c r="AI1161" s="1"/>
      <c r="AJ1161" s="3">
        <v>1</v>
      </c>
      <c r="AK1161" s="1" t="s">
        <v>52</v>
      </c>
      <c r="AL1161" s="3">
        <v>1</v>
      </c>
      <c r="AM1161" s="8">
        <v>19.469999999999999</v>
      </c>
      <c r="AN1161" s="1"/>
      <c r="AO1161" s="1" t="s">
        <v>84</v>
      </c>
      <c r="AP1161" s="1" t="s">
        <v>84</v>
      </c>
      <c r="AQ1161" s="1" t="s">
        <v>84</v>
      </c>
      <c r="AR1161" s="1" t="s">
        <v>7398</v>
      </c>
    </row>
    <row r="1162">
      <c r="A1162" s="2">
        <f ca="1">DATE(2004,02,17)</f>
        <v>0</v>
      </c>
      <c r="B1162" s="2">
        <f ca="1">DATE(2004,03,24)</f>
        <v>0</v>
      </c>
      <c r="C1162" s="1" t="s">
        <v>7399</v>
      </c>
      <c r="D1162" s="3">
        <v>3674</v>
      </c>
      <c r="E1162" s="1" t="s">
        <v>43</v>
      </c>
      <c r="F1162" s="1" t="s">
        <v>7400</v>
      </c>
      <c r="G1162" s="1" t="s">
        <v>168</v>
      </c>
      <c r="H1162" s="4">
        <v>0.48999999999999999</v>
      </c>
      <c r="I1162" s="8">
        <v>7</v>
      </c>
      <c r="J1162" s="5">
        <v>42</v>
      </c>
      <c r="K1162" s="4">
        <v>7</v>
      </c>
      <c r="L1162" s="1" t="s">
        <v>46</v>
      </c>
      <c r="M1162" s="1" t="s">
        <v>47</v>
      </c>
      <c r="N1162" s="1" t="s">
        <v>7401</v>
      </c>
      <c r="O1162" s="1" t="s">
        <v>48</v>
      </c>
      <c r="P1162" s="1" t="s">
        <v>7402</v>
      </c>
      <c r="Q1162" s="4">
        <v>1.3999999999999999</v>
      </c>
      <c r="R1162" s="4">
        <v>1.3999999999999999</v>
      </c>
      <c r="S1162" s="8">
        <v>4.2000000000000002</v>
      </c>
      <c r="T1162" s="1" t="s">
        <v>50</v>
      </c>
      <c r="U1162" s="1"/>
      <c r="V1162" s="1"/>
      <c r="W1162" s="1"/>
      <c r="X1162" s="5">
        <v>86.299999999999997</v>
      </c>
      <c r="Y1162" s="7">
        <v>6000000</v>
      </c>
      <c r="Z1162" s="1"/>
      <c r="AA1162" s="1" t="s">
        <v>7403</v>
      </c>
      <c r="AB1162" s="1" t="s">
        <v>7404</v>
      </c>
      <c r="AC1162" s="1" t="s">
        <v>7405</v>
      </c>
      <c r="AD1162" s="1" t="s">
        <v>7406</v>
      </c>
      <c r="AE1162" s="1" t="s">
        <v>51</v>
      </c>
      <c r="AF1162" s="1" t="s">
        <v>51</v>
      </c>
      <c r="AG1162" s="1" t="s">
        <v>47</v>
      </c>
      <c r="AH1162" s="1"/>
      <c r="AI1162" s="1"/>
      <c r="AJ1162" s="3">
        <v>1</v>
      </c>
      <c r="AK1162" s="1" t="s">
        <v>89</v>
      </c>
      <c r="AL1162" s="3">
        <v>4</v>
      </c>
      <c r="AM1162" s="8">
        <v>7.5</v>
      </c>
      <c r="AN1162" s="1"/>
      <c r="AO1162" s="1" t="s">
        <v>7407</v>
      </c>
      <c r="AP1162" s="1" t="s">
        <v>6644</v>
      </c>
      <c r="AQ1162" s="1" t="s">
        <v>7408</v>
      </c>
      <c r="AR1162" s="1" t="s">
        <v>7409</v>
      </c>
    </row>
    <row r="1163">
      <c r="A1163" s="2">
        <f ca="1">DATE(2004,01,23)</f>
        <v>0</v>
      </c>
      <c r="B1163" s="2">
        <f ca="1">DATE(2004,03,25)</f>
        <v>0</v>
      </c>
      <c r="C1163" s="1" t="s">
        <v>7410</v>
      </c>
      <c r="D1163" s="3">
        <v>6726</v>
      </c>
      <c r="E1163" s="1" t="s">
        <v>43</v>
      </c>
      <c r="F1163" s="1" t="s">
        <v>7411</v>
      </c>
      <c r="G1163" s="1" t="s">
        <v>45</v>
      </c>
      <c r="H1163" s="4">
        <v>0.67500000000000004</v>
      </c>
      <c r="I1163" s="4">
        <v>4.5</v>
      </c>
      <c r="J1163" s="5">
        <v>382.5</v>
      </c>
      <c r="K1163" s="4">
        <v>15</v>
      </c>
      <c r="L1163" s="1" t="s">
        <v>46</v>
      </c>
      <c r="M1163" s="1" t="s">
        <v>47</v>
      </c>
      <c r="N1163" s="1" t="s">
        <v>7412</v>
      </c>
      <c r="O1163" s="1" t="s">
        <v>108</v>
      </c>
      <c r="P1163" s="1" t="s">
        <v>7413</v>
      </c>
      <c r="Q1163" s="4">
        <v>0.96699999999999997</v>
      </c>
      <c r="R1163" s="4">
        <v>0.53300000000000003</v>
      </c>
      <c r="S1163" s="8">
        <v>3</v>
      </c>
      <c r="T1163" s="1" t="s">
        <v>50</v>
      </c>
      <c r="U1163" s="8">
        <v>15</v>
      </c>
      <c r="V1163" s="8">
        <v>15</v>
      </c>
      <c r="W1163" s="7">
        <v>100000</v>
      </c>
      <c r="X1163" s="5">
        <v>1.5</v>
      </c>
      <c r="Y1163" s="7">
        <v>25500000</v>
      </c>
      <c r="Z1163" s="1"/>
      <c r="AA1163" s="1"/>
      <c r="AB1163" s="1"/>
      <c r="AC1163" s="1"/>
      <c r="AD1163" s="1"/>
      <c r="AE1163" s="1" t="s">
        <v>51</v>
      </c>
      <c r="AF1163" s="1" t="s">
        <v>51</v>
      </c>
      <c r="AG1163" s="1" t="s">
        <v>51</v>
      </c>
      <c r="AH1163" s="1"/>
      <c r="AI1163" s="1"/>
      <c r="AJ1163" s="3">
        <v>1</v>
      </c>
      <c r="AK1163" s="1" t="s">
        <v>89</v>
      </c>
      <c r="AL1163" s="3">
        <v>15</v>
      </c>
      <c r="AM1163" s="8">
        <v>15</v>
      </c>
      <c r="AN1163" s="1"/>
      <c r="AO1163" s="1" t="s">
        <v>7414</v>
      </c>
      <c r="AP1163" s="1" t="s">
        <v>7050</v>
      </c>
      <c r="AQ1163" s="1" t="s">
        <v>7415</v>
      </c>
      <c r="AR1163" s="1" t="s">
        <v>7416</v>
      </c>
    </row>
    <row r="1164">
      <c r="A1164" s="2">
        <f ca="1">DATE(2004,01,07)</f>
        <v>0</v>
      </c>
      <c r="B1164" s="2">
        <f ca="1">DATE(2004,03,25)</f>
        <v>0</v>
      </c>
      <c r="C1164" s="1" t="s">
        <v>7417</v>
      </c>
      <c r="D1164" s="3">
        <v>6726</v>
      </c>
      <c r="E1164" s="1" t="s">
        <v>43</v>
      </c>
      <c r="F1164" s="1" t="s">
        <v>7418</v>
      </c>
      <c r="G1164" s="1" t="s">
        <v>6201</v>
      </c>
      <c r="H1164" s="4">
        <v>0.67500000000000004</v>
      </c>
      <c r="I1164" s="4">
        <v>4.5</v>
      </c>
      <c r="J1164" s="9">
        <v>2107.5</v>
      </c>
      <c r="K1164" s="4">
        <v>15</v>
      </c>
      <c r="L1164" s="1" t="s">
        <v>4422</v>
      </c>
      <c r="M1164" s="1" t="s">
        <v>47</v>
      </c>
      <c r="N1164" s="3">
        <v>128125101</v>
      </c>
      <c r="O1164" s="1" t="s">
        <v>108</v>
      </c>
      <c r="P1164" s="1" t="s">
        <v>7419</v>
      </c>
      <c r="Q1164" s="4">
        <v>0.93300000000000005</v>
      </c>
      <c r="R1164" s="4">
        <v>0.56699999999999995</v>
      </c>
      <c r="S1164" s="8">
        <v>3</v>
      </c>
      <c r="T1164" s="1" t="s">
        <v>50</v>
      </c>
      <c r="U1164" s="8">
        <v>15</v>
      </c>
      <c r="V1164" s="8">
        <v>15</v>
      </c>
      <c r="W1164" s="7">
        <v>4000000</v>
      </c>
      <c r="X1164" s="5">
        <v>60</v>
      </c>
      <c r="Y1164" s="7">
        <v>140500000</v>
      </c>
      <c r="Z1164" s="1"/>
      <c r="AA1164" s="2">
        <f ca="1">DATE(2004,09,21)</f>
        <v>0</v>
      </c>
      <c r="AB1164" s="1"/>
      <c r="AC1164" s="3">
        <v>180</v>
      </c>
      <c r="AD1164" s="1"/>
      <c r="AE1164" s="1" t="s">
        <v>51</v>
      </c>
      <c r="AF1164" s="1" t="s">
        <v>51</v>
      </c>
      <c r="AG1164" s="1" t="s">
        <v>51</v>
      </c>
      <c r="AH1164" s="1"/>
      <c r="AI1164" s="1"/>
      <c r="AJ1164" s="3">
        <v>1</v>
      </c>
      <c r="AK1164" s="1" t="s">
        <v>110</v>
      </c>
      <c r="AL1164" s="3">
        <v>16</v>
      </c>
      <c r="AM1164" s="8">
        <v>15</v>
      </c>
      <c r="AN1164" s="1"/>
      <c r="AO1164" s="1" t="s">
        <v>7420</v>
      </c>
      <c r="AP1164" s="1" t="s">
        <v>7421</v>
      </c>
      <c r="AQ1164" s="1" t="s">
        <v>7422</v>
      </c>
      <c r="AR1164" s="1" t="s">
        <v>7423</v>
      </c>
    </row>
    <row r="1165">
      <c r="A1165" s="2">
        <f ca="1">DATE(2004,01,09)</f>
        <v>0</v>
      </c>
      <c r="B1165" s="2">
        <f ca="1">DATE(2004,03,25)</f>
        <v>0</v>
      </c>
      <c r="C1165" s="1" t="s">
        <v>7424</v>
      </c>
      <c r="D1165" s="3">
        <v>6726</v>
      </c>
      <c r="E1165" s="1" t="s">
        <v>43</v>
      </c>
      <c r="F1165" s="1" t="s">
        <v>7425</v>
      </c>
      <c r="G1165" s="1" t="s">
        <v>45</v>
      </c>
      <c r="H1165" s="4">
        <v>0.90000000000000002</v>
      </c>
      <c r="I1165" s="4">
        <v>4.5</v>
      </c>
      <c r="J1165" s="5">
        <v>825</v>
      </c>
      <c r="K1165" s="4">
        <v>20</v>
      </c>
      <c r="L1165" s="1" t="s">
        <v>46</v>
      </c>
      <c r="M1165" s="1" t="s">
        <v>47</v>
      </c>
      <c r="N1165" s="1" t="s">
        <v>7426</v>
      </c>
      <c r="O1165" s="1" t="s">
        <v>108</v>
      </c>
      <c r="P1165" s="1" t="s">
        <v>7427</v>
      </c>
      <c r="Q1165" s="4">
        <v>1</v>
      </c>
      <c r="R1165" s="4">
        <v>0.5</v>
      </c>
      <c r="S1165" s="8">
        <v>3</v>
      </c>
      <c r="T1165" s="1" t="s">
        <v>50</v>
      </c>
      <c r="U1165" s="8">
        <v>20</v>
      </c>
      <c r="V1165" s="8">
        <v>20</v>
      </c>
      <c r="W1165" s="7">
        <v>50000</v>
      </c>
      <c r="X1165" s="5">
        <v>1</v>
      </c>
      <c r="Y1165" s="7">
        <v>41250000</v>
      </c>
      <c r="Z1165" s="1"/>
      <c r="AA1165" s="2">
        <f ca="1">DATE(2004,09,21)</f>
        <v>0</v>
      </c>
      <c r="AB1165" s="4">
        <v>0.012999999999999999</v>
      </c>
      <c r="AC1165" s="3">
        <v>180</v>
      </c>
      <c r="AD1165" s="8">
        <v>5250</v>
      </c>
      <c r="AE1165" s="1" t="s">
        <v>51</v>
      </c>
      <c r="AF1165" s="1" t="s">
        <v>51</v>
      </c>
      <c r="AG1165" s="1" t="s">
        <v>51</v>
      </c>
      <c r="AH1165" s="1"/>
      <c r="AI1165" s="1"/>
      <c r="AJ1165" s="3">
        <v>1</v>
      </c>
      <c r="AK1165" s="1" t="s">
        <v>52</v>
      </c>
      <c r="AL1165" s="3">
        <v>19</v>
      </c>
      <c r="AM1165" s="8">
        <v>20.010000000000002</v>
      </c>
      <c r="AN1165" s="1"/>
      <c r="AO1165" s="1" t="s">
        <v>7428</v>
      </c>
      <c r="AP1165" s="1" t="s">
        <v>45</v>
      </c>
      <c r="AQ1165" s="1" t="s">
        <v>7429</v>
      </c>
      <c r="AR1165" s="1" t="s">
        <v>7430</v>
      </c>
    </row>
    <row r="1166">
      <c r="A1166" s="2">
        <f ca="1">DATE(2003,09,19)</f>
        <v>0</v>
      </c>
      <c r="B1166" s="2">
        <f ca="1">DATE(2004,03,25)</f>
        <v>0</v>
      </c>
      <c r="C1166" s="1" t="s">
        <v>7431</v>
      </c>
      <c r="D1166" s="3">
        <v>4449</v>
      </c>
      <c r="E1166" s="1" t="s">
        <v>43</v>
      </c>
      <c r="F1166" s="1" t="s">
        <v>7432</v>
      </c>
      <c r="G1166" s="1" t="s">
        <v>160</v>
      </c>
      <c r="H1166" s="4">
        <v>0.91000000000000003</v>
      </c>
      <c r="I1166" s="4">
        <v>7</v>
      </c>
      <c r="J1166" s="5">
        <v>78</v>
      </c>
      <c r="K1166" s="4">
        <v>13</v>
      </c>
      <c r="L1166" s="1" t="s">
        <v>46</v>
      </c>
      <c r="M1166" s="1" t="s">
        <v>47</v>
      </c>
      <c r="N1166" s="3">
        <v>440543106</v>
      </c>
      <c r="O1166" s="1" t="s">
        <v>108</v>
      </c>
      <c r="P1166" s="1" t="s">
        <v>7433</v>
      </c>
      <c r="Q1166" s="4">
        <v>1.385</v>
      </c>
      <c r="R1166" s="4">
        <v>1.385</v>
      </c>
      <c r="S1166" s="6">
        <v>4.2307699999999997</v>
      </c>
      <c r="T1166" s="1" t="s">
        <v>50</v>
      </c>
      <c r="U1166" s="1"/>
      <c r="V1166" s="1"/>
      <c r="W1166" s="1"/>
      <c r="X1166" s="5">
        <v>86.299999999999997</v>
      </c>
      <c r="Y1166" s="7">
        <v>6000000</v>
      </c>
      <c r="Z1166" s="1"/>
      <c r="AA1166" s="2">
        <f ca="1">DATE(2004,09,21)</f>
        <v>0</v>
      </c>
      <c r="AB1166" s="4">
        <v>62.097999999999999</v>
      </c>
      <c r="AC1166" s="3">
        <v>180</v>
      </c>
      <c r="AD1166" s="8">
        <v>12825862</v>
      </c>
      <c r="AE1166" s="1" t="s">
        <v>51</v>
      </c>
      <c r="AF1166" s="1" t="s">
        <v>51</v>
      </c>
      <c r="AG1166" s="1" t="s">
        <v>47</v>
      </c>
      <c r="AH1166" s="1"/>
      <c r="AI1166" s="1"/>
      <c r="AJ1166" s="3">
        <v>1</v>
      </c>
      <c r="AK1166" s="1" t="s">
        <v>89</v>
      </c>
      <c r="AL1166" s="3">
        <v>4</v>
      </c>
      <c r="AM1166" s="8">
        <v>13.25</v>
      </c>
      <c r="AN1166" s="1"/>
      <c r="AO1166" s="1" t="s">
        <v>7434</v>
      </c>
      <c r="AP1166" s="1" t="s">
        <v>7435</v>
      </c>
      <c r="AQ1166" s="1" t="s">
        <v>7436</v>
      </c>
      <c r="AR1166" s="1" t="s">
        <v>7437</v>
      </c>
    </row>
    <row r="1167">
      <c r="A1167" s="2">
        <f ca="1">DATE(2004,01,26)</f>
        <v>0</v>
      </c>
      <c r="B1167" s="2">
        <f ca="1">DATE(2004,03,25)</f>
        <v>0</v>
      </c>
      <c r="C1167" s="1" t="s">
        <v>7438</v>
      </c>
      <c r="D1167" s="3">
        <v>6726</v>
      </c>
      <c r="E1167" s="1" t="s">
        <v>43</v>
      </c>
      <c r="F1167" s="1" t="s">
        <v>7439</v>
      </c>
      <c r="G1167" s="1" t="s">
        <v>45</v>
      </c>
      <c r="H1167" s="4">
        <v>0.90000000000000002</v>
      </c>
      <c r="I1167" s="4">
        <v>4.5</v>
      </c>
      <c r="J1167" s="5">
        <v>170</v>
      </c>
      <c r="K1167" s="4">
        <v>20</v>
      </c>
      <c r="L1167" s="1" t="s">
        <v>4422</v>
      </c>
      <c r="M1167" s="1" t="s">
        <v>47</v>
      </c>
      <c r="N1167" s="1" t="s">
        <v>7440</v>
      </c>
      <c r="O1167" s="1" t="s">
        <v>108</v>
      </c>
      <c r="P1167" s="1" t="s">
        <v>7441</v>
      </c>
      <c r="Q1167" s="4">
        <v>1</v>
      </c>
      <c r="R1167" s="4">
        <v>0.5</v>
      </c>
      <c r="S1167" s="8">
        <v>3</v>
      </c>
      <c r="T1167" s="1" t="s">
        <v>50</v>
      </c>
      <c r="U1167" s="8">
        <v>20</v>
      </c>
      <c r="V1167" s="8">
        <v>20</v>
      </c>
      <c r="W1167" s="7">
        <v>1000</v>
      </c>
      <c r="X1167" s="5">
        <v>0</v>
      </c>
      <c r="Y1167" s="7">
        <v>8500000</v>
      </c>
      <c r="Z1167" s="1"/>
      <c r="AA1167" s="2">
        <f ca="1">DATE(2004,09,21)</f>
        <v>0</v>
      </c>
      <c r="AB1167" s="1"/>
      <c r="AC1167" s="3">
        <v>180</v>
      </c>
      <c r="AD1167" s="1"/>
      <c r="AE1167" s="1" t="s">
        <v>51</v>
      </c>
      <c r="AF1167" s="1" t="s">
        <v>51</v>
      </c>
      <c r="AG1167" s="1" t="s">
        <v>51</v>
      </c>
      <c r="AH1167" s="1"/>
      <c r="AI1167" s="1"/>
      <c r="AJ1167" s="3">
        <v>1</v>
      </c>
      <c r="AK1167" s="1" t="s">
        <v>52</v>
      </c>
      <c r="AL1167" s="3">
        <v>5</v>
      </c>
      <c r="AM1167" s="8">
        <v>20</v>
      </c>
      <c r="AN1167" s="1"/>
      <c r="AO1167" s="1" t="s">
        <v>7442</v>
      </c>
      <c r="AP1167" s="1" t="s">
        <v>45</v>
      </c>
      <c r="AQ1167" s="1" t="s">
        <v>7443</v>
      </c>
      <c r="AR1167" s="1" t="s">
        <v>7444</v>
      </c>
    </row>
    <row r="1168">
      <c r="A1168" s="2">
        <f ca="1">DATE(2004,01,29)</f>
        <v>0</v>
      </c>
      <c r="B1168" s="2">
        <f ca="1">DATE(2004,03,25)</f>
        <v>0</v>
      </c>
      <c r="C1168" s="1" t="s">
        <v>7445</v>
      </c>
      <c r="D1168" s="3">
        <v>6726</v>
      </c>
      <c r="E1168" s="1" t="s">
        <v>43</v>
      </c>
      <c r="F1168" s="1" t="s">
        <v>7446</v>
      </c>
      <c r="G1168" s="1" t="s">
        <v>7447</v>
      </c>
      <c r="H1168" s="4">
        <v>0.90000000000000002</v>
      </c>
      <c r="I1168" s="4">
        <v>4.5</v>
      </c>
      <c r="J1168" s="5">
        <v>116</v>
      </c>
      <c r="K1168" s="4">
        <v>20</v>
      </c>
      <c r="L1168" s="1" t="s">
        <v>46</v>
      </c>
      <c r="M1168" s="1" t="s">
        <v>47</v>
      </c>
      <c r="N1168" s="1" t="s">
        <v>7448</v>
      </c>
      <c r="O1168" s="1" t="s">
        <v>87</v>
      </c>
      <c r="P1168" s="1" t="s">
        <v>7449</v>
      </c>
      <c r="Q1168" s="4">
        <v>1</v>
      </c>
      <c r="R1168" s="4">
        <v>0.5</v>
      </c>
      <c r="S1168" s="8">
        <v>3</v>
      </c>
      <c r="T1168" s="1" t="s">
        <v>50</v>
      </c>
      <c r="U1168" s="8">
        <v>15</v>
      </c>
      <c r="V1168" s="8">
        <v>15</v>
      </c>
      <c r="W1168" s="7">
        <v>3450000</v>
      </c>
      <c r="X1168" s="5">
        <v>51.799999999999997</v>
      </c>
      <c r="Y1168" s="7">
        <v>5800000</v>
      </c>
      <c r="Z1168" s="1"/>
      <c r="AA1168" s="1"/>
      <c r="AB1168" s="1"/>
      <c r="AC1168" s="1"/>
      <c r="AD1168" s="1"/>
      <c r="AE1168" s="1" t="s">
        <v>51</v>
      </c>
      <c r="AF1168" s="1" t="s">
        <v>51</v>
      </c>
      <c r="AG1168" s="1" t="s">
        <v>51</v>
      </c>
      <c r="AH1168" s="1"/>
      <c r="AI1168" s="1"/>
      <c r="AJ1168" s="3">
        <v>3</v>
      </c>
      <c r="AK1168" s="1" t="s">
        <v>110</v>
      </c>
      <c r="AL1168" s="3">
        <v>3</v>
      </c>
      <c r="AM1168" s="8">
        <v>20</v>
      </c>
      <c r="AN1168" s="1"/>
      <c r="AO1168" s="1" t="s">
        <v>7450</v>
      </c>
      <c r="AP1168" s="1" t="s">
        <v>7451</v>
      </c>
      <c r="AQ1168" s="1" t="s">
        <v>7452</v>
      </c>
      <c r="AR1168" s="1" t="s">
        <v>7453</v>
      </c>
    </row>
    <row r="1169">
      <c r="A1169" s="2">
        <f ca="1">DATE(2004,01,23)</f>
        <v>0</v>
      </c>
      <c r="B1169" s="2">
        <f ca="1">DATE(2004,03,25)</f>
        <v>0</v>
      </c>
      <c r="C1169" s="1" t="s">
        <v>7454</v>
      </c>
      <c r="D1169" s="3">
        <v>6726</v>
      </c>
      <c r="E1169" s="1" t="s">
        <v>43</v>
      </c>
      <c r="F1169" s="1" t="s">
        <v>7455</v>
      </c>
      <c r="G1169" s="1" t="s">
        <v>6201</v>
      </c>
      <c r="H1169" s="4">
        <v>0.67500000000000004</v>
      </c>
      <c r="I1169" s="4">
        <v>4.5</v>
      </c>
      <c r="J1169" s="5">
        <v>627</v>
      </c>
      <c r="K1169" s="4">
        <v>15</v>
      </c>
      <c r="L1169" s="1" t="s">
        <v>4422</v>
      </c>
      <c r="M1169" s="1" t="s">
        <v>47</v>
      </c>
      <c r="N1169" s="1" t="s">
        <v>7456</v>
      </c>
      <c r="O1169" s="1" t="s">
        <v>108</v>
      </c>
      <c r="P1169" s="1" t="s">
        <v>7457</v>
      </c>
      <c r="Q1169" s="4">
        <v>0.93300000000000005</v>
      </c>
      <c r="R1169" s="4">
        <v>0.56699999999999995</v>
      </c>
      <c r="S1169" s="8">
        <v>3</v>
      </c>
      <c r="T1169" s="1" t="s">
        <v>50</v>
      </c>
      <c r="U1169" s="8">
        <v>15</v>
      </c>
      <c r="V1169" s="8">
        <v>15</v>
      </c>
      <c r="W1169" s="7">
        <v>1000</v>
      </c>
      <c r="X1169" s="5">
        <v>0</v>
      </c>
      <c r="Y1169" s="7">
        <v>41800000</v>
      </c>
      <c r="Z1169" s="1"/>
      <c r="AA1169" s="2">
        <f ca="1">DATE(2004,09,21)</f>
        <v>0</v>
      </c>
      <c r="AB1169" s="1"/>
      <c r="AC1169" s="3">
        <v>180</v>
      </c>
      <c r="AD1169" s="1"/>
      <c r="AE1169" s="1" t="s">
        <v>51</v>
      </c>
      <c r="AF1169" s="1" t="s">
        <v>51</v>
      </c>
      <c r="AG1169" s="1" t="s">
        <v>51</v>
      </c>
      <c r="AH1169" s="1"/>
      <c r="AI1169" s="1"/>
      <c r="AJ1169" s="3">
        <v>1</v>
      </c>
      <c r="AK1169" s="1" t="s">
        <v>52</v>
      </c>
      <c r="AL1169" s="3">
        <v>15</v>
      </c>
      <c r="AM1169" s="8">
        <v>15.039999999999999</v>
      </c>
      <c r="AN1169" s="1"/>
      <c r="AO1169" s="1" t="s">
        <v>7458</v>
      </c>
      <c r="AP1169" s="1" t="s">
        <v>6201</v>
      </c>
      <c r="AQ1169" s="1" t="s">
        <v>7459</v>
      </c>
      <c r="AR1169" s="1" t="s">
        <v>7460</v>
      </c>
    </row>
    <row r="1170">
      <c r="A1170" s="2">
        <f ca="1">DATE(2003,11,14)</f>
        <v>0</v>
      </c>
      <c r="B1170" s="2">
        <f ca="1">DATE(2004,03,26)</f>
        <v>0</v>
      </c>
      <c r="C1170" s="1" t="s">
        <v>7461</v>
      </c>
      <c r="D1170" s="3">
        <v>2834</v>
      </c>
      <c r="E1170" s="1" t="s">
        <v>43</v>
      </c>
      <c r="F1170" s="1" t="s">
        <v>7462</v>
      </c>
      <c r="G1170" s="1" t="s">
        <v>75</v>
      </c>
      <c r="H1170" s="4">
        <v>0.48999999999999999</v>
      </c>
      <c r="I1170" s="8">
        <v>7</v>
      </c>
      <c r="J1170" s="5">
        <v>43.799999999999997</v>
      </c>
      <c r="K1170" s="4">
        <v>7</v>
      </c>
      <c r="L1170" s="1" t="s">
        <v>46</v>
      </c>
      <c r="M1170" s="1" t="s">
        <v>47</v>
      </c>
      <c r="N1170" s="1" t="s">
        <v>7463</v>
      </c>
      <c r="O1170" s="1" t="s">
        <v>48</v>
      </c>
      <c r="P1170" s="1" t="s">
        <v>7464</v>
      </c>
      <c r="Q1170" s="4">
        <v>1.286</v>
      </c>
      <c r="R1170" s="4">
        <v>1.4290000000000001</v>
      </c>
      <c r="S1170" s="6">
        <v>4.2857099999999999</v>
      </c>
      <c r="T1170" s="1" t="s">
        <v>50</v>
      </c>
      <c r="U1170" s="1"/>
      <c r="V1170" s="1"/>
      <c r="W1170" s="1"/>
      <c r="X1170" s="5">
        <v>86.299999999999997</v>
      </c>
      <c r="Y1170" s="7">
        <v>6250000</v>
      </c>
      <c r="Z1170" s="1"/>
      <c r="AA1170" s="2">
        <f ca="1">DATE(2004,09,22)</f>
        <v>0</v>
      </c>
      <c r="AB1170" s="4">
        <v>61.276000000000003</v>
      </c>
      <c r="AC1170" s="3">
        <v>180</v>
      </c>
      <c r="AD1170" s="8">
        <v>13714106</v>
      </c>
      <c r="AE1170" s="1" t="s">
        <v>51</v>
      </c>
      <c r="AF1170" s="1" t="s">
        <v>51</v>
      </c>
      <c r="AG1170" s="1" t="s">
        <v>47</v>
      </c>
      <c r="AH1170" s="1"/>
      <c r="AI1170" s="1"/>
      <c r="AJ1170" s="3">
        <v>1</v>
      </c>
      <c r="AK1170" s="1" t="s">
        <v>89</v>
      </c>
      <c r="AL1170" s="3">
        <v>4</v>
      </c>
      <c r="AM1170" s="8">
        <v>7.0599999999999996</v>
      </c>
      <c r="AN1170" s="1"/>
      <c r="AO1170" s="1" t="s">
        <v>7465</v>
      </c>
      <c r="AP1170" s="1" t="s">
        <v>7466</v>
      </c>
      <c r="AQ1170" s="1" t="s">
        <v>7467</v>
      </c>
      <c r="AR1170" s="1" t="s">
        <v>7468</v>
      </c>
    </row>
    <row r="1171">
      <c r="A1171" s="2">
        <f ca="1">DATE(2004,01,15)</f>
        <v>0</v>
      </c>
      <c r="B1171" s="2">
        <f ca="1">DATE(2004,03,30)</f>
        <v>0</v>
      </c>
      <c r="C1171" s="1" t="s">
        <v>7469</v>
      </c>
      <c r="D1171" s="3">
        <v>3845</v>
      </c>
      <c r="E1171" s="1" t="s">
        <v>43</v>
      </c>
      <c r="F1171" s="1" t="s">
        <v>7470</v>
      </c>
      <c r="G1171" s="1" t="s">
        <v>7471</v>
      </c>
      <c r="H1171" s="4">
        <v>0.97999999999999998</v>
      </c>
      <c r="I1171" s="8">
        <v>7</v>
      </c>
      <c r="J1171" s="5">
        <v>49.399999999999999</v>
      </c>
      <c r="K1171" s="4">
        <v>14</v>
      </c>
      <c r="L1171" s="1" t="s">
        <v>46</v>
      </c>
      <c r="M1171" s="1" t="s">
        <v>47</v>
      </c>
      <c r="N1171" s="3">
        <v>232109108</v>
      </c>
      <c r="O1171" s="1" t="s">
        <v>48</v>
      </c>
      <c r="P1171" s="1" t="s">
        <v>7472</v>
      </c>
      <c r="Q1171" s="4">
        <v>1.357</v>
      </c>
      <c r="R1171" s="4">
        <v>1.4290000000000001</v>
      </c>
      <c r="S1171" s="6">
        <v>4.2142900000000001</v>
      </c>
      <c r="T1171" s="1" t="s">
        <v>50</v>
      </c>
      <c r="U1171" s="1"/>
      <c r="V1171" s="1"/>
      <c r="W1171" s="1"/>
      <c r="X1171" s="5">
        <v>71.900000000000006</v>
      </c>
      <c r="Y1171" s="7">
        <v>3100000</v>
      </c>
      <c r="Z1171" s="7">
        <v>432000</v>
      </c>
      <c r="AA1171" s="1" t="s">
        <v>7473</v>
      </c>
      <c r="AB1171" s="1" t="s">
        <v>7474</v>
      </c>
      <c r="AC1171" s="1" t="s">
        <v>2068</v>
      </c>
      <c r="AD1171" s="1" t="s">
        <v>7475</v>
      </c>
      <c r="AE1171" s="1" t="s">
        <v>51</v>
      </c>
      <c r="AF1171" s="1" t="s">
        <v>51</v>
      </c>
      <c r="AG1171" s="1" t="s">
        <v>47</v>
      </c>
      <c r="AH1171" s="1"/>
      <c r="AI1171" s="1"/>
      <c r="AJ1171" s="3">
        <v>1</v>
      </c>
      <c r="AK1171" s="1" t="s">
        <v>52</v>
      </c>
      <c r="AL1171" s="3">
        <v>3</v>
      </c>
      <c r="AM1171" s="8">
        <v>14</v>
      </c>
      <c r="AN1171" s="1"/>
      <c r="AO1171" s="1" t="s">
        <v>7476</v>
      </c>
      <c r="AP1171" s="1" t="s">
        <v>7471</v>
      </c>
      <c r="AQ1171" s="1" t="s">
        <v>7477</v>
      </c>
      <c r="AR1171" s="1" t="s">
        <v>7478</v>
      </c>
    </row>
    <row r="1172">
      <c r="A1172" s="2">
        <f ca="1">DATE(2003,12,11)</f>
        <v>0</v>
      </c>
      <c r="B1172" s="2">
        <f ca="1">DATE(2004,03,30)</f>
        <v>0</v>
      </c>
      <c r="C1172" s="1" t="s">
        <v>7479</v>
      </c>
      <c r="D1172" s="3">
        <v>7389</v>
      </c>
      <c r="E1172" s="1" t="s">
        <v>43</v>
      </c>
      <c r="F1172" s="1" t="s">
        <v>7480</v>
      </c>
      <c r="G1172" s="1" t="s">
        <v>7481</v>
      </c>
      <c r="H1172" s="4">
        <v>0.32500000000000001</v>
      </c>
      <c r="I1172" s="4">
        <v>5</v>
      </c>
      <c r="J1172" s="5">
        <v>26</v>
      </c>
      <c r="K1172" s="4">
        <v>6.5</v>
      </c>
      <c r="L1172" s="1" t="s">
        <v>2698</v>
      </c>
      <c r="M1172" s="1" t="s">
        <v>47</v>
      </c>
      <c r="N1172" s="1" t="s">
        <v>7482</v>
      </c>
      <c r="O1172" s="1" t="s">
        <v>48</v>
      </c>
      <c r="P1172" s="1" t="s">
        <v>7483</v>
      </c>
      <c r="Q1172" s="1" t="s">
        <v>145</v>
      </c>
      <c r="R1172" s="1" t="s">
        <v>145</v>
      </c>
      <c r="S1172" s="8">
        <v>3</v>
      </c>
      <c r="T1172" s="1" t="s">
        <v>50</v>
      </c>
      <c r="U1172" s="1"/>
      <c r="V1172" s="1"/>
      <c r="W1172" s="1"/>
      <c r="X1172" s="5">
        <v>35</v>
      </c>
      <c r="Y1172" s="7">
        <v>4000000</v>
      </c>
      <c r="Z1172" s="1"/>
      <c r="AA1172" s="2">
        <f ca="1">DATE(2004,09,26)</f>
        <v>0</v>
      </c>
      <c r="AB1172" s="4">
        <v>34.151000000000003</v>
      </c>
      <c r="AC1172" s="3">
        <v>180</v>
      </c>
      <c r="AD1172" s="8">
        <v>8291563</v>
      </c>
      <c r="AE1172" s="1" t="s">
        <v>51</v>
      </c>
      <c r="AF1172" s="1" t="s">
        <v>51</v>
      </c>
      <c r="AG1172" s="1" t="s">
        <v>51</v>
      </c>
      <c r="AH1172" s="1"/>
      <c r="AI1172" s="1"/>
      <c r="AJ1172" s="3">
        <v>1</v>
      </c>
      <c r="AK1172" s="1" t="s">
        <v>52</v>
      </c>
      <c r="AL1172" s="3">
        <v>2</v>
      </c>
      <c r="AM1172" s="8">
        <v>8.8000000000000007</v>
      </c>
      <c r="AN1172" s="1"/>
      <c r="AO1172" s="1" t="s">
        <v>7484</v>
      </c>
      <c r="AP1172" s="1" t="s">
        <v>7481</v>
      </c>
      <c r="AQ1172" s="1" t="s">
        <v>7485</v>
      </c>
      <c r="AR1172" s="1" t="s">
        <v>7483</v>
      </c>
    </row>
    <row r="1173">
      <c r="A1173" s="2">
        <f ca="1">DATE(2003,12,23)</f>
        <v>0</v>
      </c>
      <c r="B1173" s="2">
        <f ca="1">DATE(2004,03,31)</f>
        <v>0</v>
      </c>
      <c r="C1173" s="1" t="s">
        <v>7486</v>
      </c>
      <c r="D1173" s="3">
        <v>2834</v>
      </c>
      <c r="E1173" s="1" t="s">
        <v>43</v>
      </c>
      <c r="F1173" s="1" t="s">
        <v>7487</v>
      </c>
      <c r="G1173" s="1" t="s">
        <v>7488</v>
      </c>
      <c r="H1173" s="4">
        <v>0.63</v>
      </c>
      <c r="I1173" s="4">
        <v>7</v>
      </c>
      <c r="J1173" s="5">
        <v>54</v>
      </c>
      <c r="K1173" s="4">
        <v>9</v>
      </c>
      <c r="L1173" s="1" t="s">
        <v>46</v>
      </c>
      <c r="M1173" s="1" t="s">
        <v>47</v>
      </c>
      <c r="N1173" s="3">
        <v>802817304</v>
      </c>
      <c r="O1173" s="1" t="s">
        <v>48</v>
      </c>
      <c r="P1173" s="1" t="s">
        <v>7489</v>
      </c>
      <c r="Q1173" s="4">
        <v>1.444</v>
      </c>
      <c r="R1173" s="4">
        <v>1.5560000000000001</v>
      </c>
      <c r="S1173" s="8">
        <v>4</v>
      </c>
      <c r="T1173" s="1" t="s">
        <v>50</v>
      </c>
      <c r="U1173" s="1"/>
      <c r="V1173" s="1"/>
      <c r="W1173" s="1"/>
      <c r="X1173" s="5">
        <v>85</v>
      </c>
      <c r="Y1173" s="7">
        <v>6000000</v>
      </c>
      <c r="Z1173" s="1"/>
      <c r="AA1173" s="2">
        <f ca="1">DATE(2004,09,27)</f>
        <v>0</v>
      </c>
      <c r="AB1173" s="4">
        <v>75.543000000000006</v>
      </c>
      <c r="AC1173" s="3">
        <v>180</v>
      </c>
      <c r="AD1173" s="8">
        <v>22074896</v>
      </c>
      <c r="AE1173" s="1" t="s">
        <v>51</v>
      </c>
      <c r="AF1173" s="1" t="s">
        <v>51</v>
      </c>
      <c r="AG1173" s="1" t="s">
        <v>47</v>
      </c>
      <c r="AH1173" s="1"/>
      <c r="AI1173" s="1"/>
      <c r="AJ1173" s="3">
        <v>2</v>
      </c>
      <c r="AK1173" s="1" t="s">
        <v>89</v>
      </c>
      <c r="AL1173" s="3">
        <v>4</v>
      </c>
      <c r="AM1173" s="8">
        <v>10.1</v>
      </c>
      <c r="AN1173" s="1"/>
      <c r="AO1173" s="1" t="s">
        <v>7490</v>
      </c>
      <c r="AP1173" s="1" t="s">
        <v>7491</v>
      </c>
      <c r="AQ1173" s="1" t="s">
        <v>7492</v>
      </c>
      <c r="AR1173" s="1" t="s">
        <v>7489</v>
      </c>
    </row>
    <row r="1174">
      <c r="A1174" s="2">
        <f ca="1">DATE(2004,02,06)</f>
        <v>0</v>
      </c>
      <c r="B1174" s="2">
        <f ca="1">DATE(2004,04,05)</f>
        <v>0</v>
      </c>
      <c r="C1174" s="1" t="s">
        <v>7493</v>
      </c>
      <c r="D1174" s="3">
        <v>6726</v>
      </c>
      <c r="E1174" s="1" t="s">
        <v>43</v>
      </c>
      <c r="F1174" s="1" t="s">
        <v>7494</v>
      </c>
      <c r="G1174" s="1" t="s">
        <v>7495</v>
      </c>
      <c r="H1174" s="4">
        <v>0.93799999999999994</v>
      </c>
      <c r="I1174" s="4">
        <v>6.25</v>
      </c>
      <c r="J1174" s="5">
        <v>930</v>
      </c>
      <c r="K1174" s="4">
        <v>15</v>
      </c>
      <c r="L1174" s="1" t="s">
        <v>46</v>
      </c>
      <c r="M1174" s="1" t="s">
        <v>47</v>
      </c>
      <c r="N1174" s="1" t="s">
        <v>7496</v>
      </c>
      <c r="O1174" s="1" t="s">
        <v>48</v>
      </c>
      <c r="P1174" s="1" t="s">
        <v>7497</v>
      </c>
      <c r="Q1174" s="4">
        <v>1.2669999999999999</v>
      </c>
      <c r="R1174" s="4">
        <v>1.25</v>
      </c>
      <c r="S1174" s="6">
        <v>3.73333</v>
      </c>
      <c r="T1174" s="1" t="s">
        <v>50</v>
      </c>
      <c r="U1174" s="1"/>
      <c r="V1174" s="1"/>
      <c r="W1174" s="1"/>
      <c r="X1174" s="5">
        <v>575</v>
      </c>
      <c r="Y1174" s="7">
        <v>62000000</v>
      </c>
      <c r="Z1174" s="1"/>
      <c r="AA1174" s="2">
        <f ca="1">DATE(2004,10,02)</f>
        <v>0</v>
      </c>
      <c r="AB1174" s="1"/>
      <c r="AC1174" s="3">
        <v>180</v>
      </c>
      <c r="AD1174" s="8">
        <v>100</v>
      </c>
      <c r="AE1174" s="1" t="s">
        <v>51</v>
      </c>
      <c r="AF1174" s="1" t="s">
        <v>51</v>
      </c>
      <c r="AG1174" s="1" t="s">
        <v>51</v>
      </c>
      <c r="AH1174" s="1"/>
      <c r="AI1174" s="1"/>
      <c r="AJ1174" s="3">
        <v>3</v>
      </c>
      <c r="AK1174" s="1" t="s">
        <v>110</v>
      </c>
      <c r="AL1174" s="3">
        <v>7</v>
      </c>
      <c r="AM1174" s="8">
        <v>15</v>
      </c>
      <c r="AN1174" s="1"/>
      <c r="AO1174" s="1" t="s">
        <v>7498</v>
      </c>
      <c r="AP1174" s="1" t="s">
        <v>7499</v>
      </c>
      <c r="AQ1174" s="1" t="s">
        <v>7500</v>
      </c>
      <c r="AR1174" s="1" t="s">
        <v>7501</v>
      </c>
    </row>
    <row r="1175">
      <c r="A1175" s="2">
        <f ca="1">DATE(2003,12,19)</f>
        <v>0</v>
      </c>
      <c r="B1175" s="2">
        <f ca="1">DATE(2004,04,05)</f>
        <v>0</v>
      </c>
      <c r="C1175" s="1" t="s">
        <v>7502</v>
      </c>
      <c r="D1175" s="3">
        <v>1311</v>
      </c>
      <c r="E1175" s="1" t="s">
        <v>166</v>
      </c>
      <c r="F1175" s="1" t="s">
        <v>7503</v>
      </c>
      <c r="G1175" s="1" t="s">
        <v>6899</v>
      </c>
      <c r="H1175" s="4">
        <v>0.44</v>
      </c>
      <c r="I1175" s="4">
        <v>8</v>
      </c>
      <c r="J1175" s="5">
        <v>9.1999999999999993</v>
      </c>
      <c r="K1175" s="4">
        <v>5.5</v>
      </c>
      <c r="L1175" s="1" t="s">
        <v>46</v>
      </c>
      <c r="M1175" s="1" t="s">
        <v>47</v>
      </c>
      <c r="N1175" s="3">
        <v>472310101</v>
      </c>
      <c r="O1175" s="1" t="s">
        <v>77</v>
      </c>
      <c r="P1175" s="1" t="s">
        <v>7504</v>
      </c>
      <c r="Q1175" s="4">
        <v>1.4550000000000001</v>
      </c>
      <c r="R1175" s="4">
        <v>1.4550000000000001</v>
      </c>
      <c r="S1175" s="6">
        <v>5.09091</v>
      </c>
      <c r="T1175" s="1" t="s">
        <v>50</v>
      </c>
      <c r="U1175" s="8">
        <v>5.5</v>
      </c>
      <c r="V1175" s="8">
        <v>5.5</v>
      </c>
      <c r="W1175" s="7">
        <v>1500000</v>
      </c>
      <c r="X1175" s="5">
        <v>8.3000000000000007</v>
      </c>
      <c r="Y1175" s="7">
        <v>1675000</v>
      </c>
      <c r="Z1175" s="1"/>
      <c r="AA1175" s="2">
        <f ca="1">DATE(2005,04,30)</f>
        <v>0</v>
      </c>
      <c r="AB1175" s="4">
        <v>80</v>
      </c>
      <c r="AC1175" s="3">
        <v>390</v>
      </c>
      <c r="AD1175" s="8">
        <v>7600000</v>
      </c>
      <c r="AE1175" s="1" t="s">
        <v>51</v>
      </c>
      <c r="AF1175" s="1" t="s">
        <v>51</v>
      </c>
      <c r="AG1175" s="1" t="s">
        <v>51</v>
      </c>
      <c r="AH1175" s="1"/>
      <c r="AI1175" s="1"/>
      <c r="AJ1175" s="3">
        <v>1</v>
      </c>
      <c r="AK1175" s="1" t="s">
        <v>52</v>
      </c>
      <c r="AL1175" s="3">
        <v>1</v>
      </c>
      <c r="AM1175" s="8">
        <v>11.199999999999999</v>
      </c>
      <c r="AN1175" s="1"/>
      <c r="AO1175" s="1" t="s">
        <v>6899</v>
      </c>
      <c r="AP1175" s="1" t="s">
        <v>6899</v>
      </c>
      <c r="AQ1175" s="1" t="s">
        <v>6899</v>
      </c>
      <c r="AR1175" s="1" t="s">
        <v>6903</v>
      </c>
    </row>
    <row r="1176">
      <c r="A1176" s="2">
        <f ca="1">DATE(2003,12,23)</f>
        <v>0</v>
      </c>
      <c r="B1176" s="2">
        <f ca="1">DATE(2004,04,05)</f>
        <v>0</v>
      </c>
      <c r="C1176" s="1" t="s">
        <v>7505</v>
      </c>
      <c r="D1176" s="3">
        <v>2836</v>
      </c>
      <c r="E1176" s="1" t="s">
        <v>43</v>
      </c>
      <c r="F1176" s="1" t="s">
        <v>7506</v>
      </c>
      <c r="G1176" s="1" t="s">
        <v>5704</v>
      </c>
      <c r="H1176" s="4">
        <v>0.48999999999999999</v>
      </c>
      <c r="I1176" s="8">
        <v>7</v>
      </c>
      <c r="J1176" s="5">
        <v>35</v>
      </c>
      <c r="K1176" s="4">
        <v>7</v>
      </c>
      <c r="L1176" s="1" t="s">
        <v>46</v>
      </c>
      <c r="M1176" s="1" t="s">
        <v>47</v>
      </c>
      <c r="N1176" s="1" t="s">
        <v>7507</v>
      </c>
      <c r="O1176" s="1" t="s">
        <v>48</v>
      </c>
      <c r="P1176" s="1" t="s">
        <v>7508</v>
      </c>
      <c r="Q1176" s="4">
        <v>1.4290000000000001</v>
      </c>
      <c r="R1176" s="4">
        <v>1.571</v>
      </c>
      <c r="S1176" s="8">
        <v>4</v>
      </c>
      <c r="T1176" s="1" t="s">
        <v>50</v>
      </c>
      <c r="U1176" s="1"/>
      <c r="V1176" s="1"/>
      <c r="W1176" s="1"/>
      <c r="X1176" s="5">
        <v>86.299999999999997</v>
      </c>
      <c r="Y1176" s="7">
        <v>5000000</v>
      </c>
      <c r="Z1176" s="1"/>
      <c r="AA1176" s="2">
        <f ca="1">DATE(2004,10,02)</f>
        <v>0</v>
      </c>
      <c r="AB1176" s="4">
        <v>71.522999999999996</v>
      </c>
      <c r="AC1176" s="3">
        <v>180</v>
      </c>
      <c r="AD1176" s="8">
        <v>14441537</v>
      </c>
      <c r="AE1176" s="1" t="s">
        <v>51</v>
      </c>
      <c r="AF1176" s="1" t="s">
        <v>51</v>
      </c>
      <c r="AG1176" s="1" t="s">
        <v>47</v>
      </c>
      <c r="AH1176" s="1"/>
      <c r="AI1176" s="1"/>
      <c r="AJ1176" s="3">
        <v>1</v>
      </c>
      <c r="AK1176" s="1" t="s">
        <v>89</v>
      </c>
      <c r="AL1176" s="3">
        <v>4</v>
      </c>
      <c r="AM1176" s="8">
        <v>9.9499999999999993</v>
      </c>
      <c r="AN1176" s="1"/>
      <c r="AO1176" s="1" t="s">
        <v>7509</v>
      </c>
      <c r="AP1176" s="1" t="s">
        <v>7510</v>
      </c>
      <c r="AQ1176" s="1" t="s">
        <v>7511</v>
      </c>
      <c r="AR1176" s="1" t="s">
        <v>7512</v>
      </c>
    </row>
    <row r="1177">
      <c r="A1177" s="2">
        <f ca="1">DATE(2004,02,05)</f>
        <v>0</v>
      </c>
      <c r="B1177" s="2">
        <f ca="1">DATE(2004,04,06)</f>
        <v>0</v>
      </c>
      <c r="C1177" s="1" t="s">
        <v>7513</v>
      </c>
      <c r="D1177" s="3">
        <v>6798</v>
      </c>
      <c r="E1177" s="1" t="s">
        <v>43</v>
      </c>
      <c r="F1177" s="1" t="s">
        <v>7514</v>
      </c>
      <c r="G1177" s="1" t="s">
        <v>3332</v>
      </c>
      <c r="H1177" s="4">
        <v>1.3999999999999999</v>
      </c>
      <c r="I1177" s="8">
        <v>7</v>
      </c>
      <c r="J1177" s="5">
        <v>135.5</v>
      </c>
      <c r="K1177" s="4">
        <v>20</v>
      </c>
      <c r="L1177" s="1" t="s">
        <v>46</v>
      </c>
      <c r="M1177" s="1" t="s">
        <v>47</v>
      </c>
      <c r="N1177" s="1" t="s">
        <v>7515</v>
      </c>
      <c r="O1177" s="1" t="s">
        <v>108</v>
      </c>
      <c r="P1177" s="1" t="s">
        <v>7516</v>
      </c>
      <c r="Q1177" s="4">
        <v>1.3999999999999999</v>
      </c>
      <c r="R1177" s="4">
        <v>1.3999999999999999</v>
      </c>
      <c r="S1177" s="8">
        <v>4.2000000000000002</v>
      </c>
      <c r="T1177" s="1" t="s">
        <v>50</v>
      </c>
      <c r="U1177" s="1"/>
      <c r="V1177" s="1"/>
      <c r="W1177" s="1"/>
      <c r="X1177" s="5">
        <v>150</v>
      </c>
      <c r="Y1177" s="7">
        <v>6250000</v>
      </c>
      <c r="Z1177" s="7">
        <v>522500</v>
      </c>
      <c r="AA1177" s="1" t="s">
        <v>7517</v>
      </c>
      <c r="AB1177" s="1" t="s">
        <v>2067</v>
      </c>
      <c r="AC1177" s="1" t="s">
        <v>7518</v>
      </c>
      <c r="AD1177" s="1" t="s">
        <v>2067</v>
      </c>
      <c r="AE1177" s="1" t="s">
        <v>51</v>
      </c>
      <c r="AF1177" s="1" t="s">
        <v>51</v>
      </c>
      <c r="AG1177" s="1" t="s">
        <v>51</v>
      </c>
      <c r="AH1177" s="1"/>
      <c r="AI1177" s="1"/>
      <c r="AJ1177" s="3">
        <v>1</v>
      </c>
      <c r="AK1177" s="1" t="s">
        <v>89</v>
      </c>
      <c r="AL1177" s="3">
        <v>3</v>
      </c>
      <c r="AM1177" s="8">
        <v>20.5</v>
      </c>
      <c r="AN1177" s="1"/>
      <c r="AO1177" s="1" t="s">
        <v>7519</v>
      </c>
      <c r="AP1177" s="1" t="s">
        <v>7520</v>
      </c>
      <c r="AQ1177" s="1" t="s">
        <v>7521</v>
      </c>
      <c r="AR1177" s="1" t="s">
        <v>7522</v>
      </c>
    </row>
    <row r="1178">
      <c r="A1178" s="2">
        <f ca="1">DATE(2004,02,10)</f>
        <v>0</v>
      </c>
      <c r="B1178" s="2">
        <f ca="1">DATE(2004,04,14)</f>
        <v>0</v>
      </c>
      <c r="C1178" s="1" t="s">
        <v>7523</v>
      </c>
      <c r="D1178" s="3">
        <v>2834</v>
      </c>
      <c r="E1178" s="1" t="s">
        <v>43</v>
      </c>
      <c r="F1178" s="1" t="s">
        <v>7524</v>
      </c>
      <c r="G1178" s="1" t="s">
        <v>789</v>
      </c>
      <c r="H1178" s="4">
        <v>0.83999999999999997</v>
      </c>
      <c r="I1178" s="8">
        <v>7</v>
      </c>
      <c r="J1178" s="5">
        <v>54</v>
      </c>
      <c r="K1178" s="4">
        <v>12</v>
      </c>
      <c r="L1178" s="1" t="s">
        <v>46</v>
      </c>
      <c r="M1178" s="1" t="s">
        <v>47</v>
      </c>
      <c r="N1178" s="3">
        <v>218352102</v>
      </c>
      <c r="O1178" s="1" t="s">
        <v>48</v>
      </c>
      <c r="P1178" s="1" t="s">
        <v>7525</v>
      </c>
      <c r="Q1178" s="4">
        <v>1.3999999999999999</v>
      </c>
      <c r="R1178" s="4">
        <v>1.3999999999999999</v>
      </c>
      <c r="S1178" s="8">
        <v>4.2000000000000002</v>
      </c>
      <c r="T1178" s="1" t="s">
        <v>50</v>
      </c>
      <c r="U1178" s="1"/>
      <c r="V1178" s="1"/>
      <c r="W1178" s="1"/>
      <c r="X1178" s="5">
        <v>80</v>
      </c>
      <c r="Y1178" s="7">
        <v>4500000</v>
      </c>
      <c r="Z1178" s="1"/>
      <c r="AA1178" s="2">
        <f ca="1">DATE(2004,10,11)</f>
        <v>0</v>
      </c>
      <c r="AB1178" s="4">
        <v>80.126000000000005</v>
      </c>
      <c r="AC1178" s="3">
        <v>180</v>
      </c>
      <c r="AD1178" s="8">
        <v>18142128</v>
      </c>
      <c r="AE1178" s="1" t="s">
        <v>51</v>
      </c>
      <c r="AF1178" s="1" t="s">
        <v>51</v>
      </c>
      <c r="AG1178" s="1" t="s">
        <v>47</v>
      </c>
      <c r="AH1178" s="1"/>
      <c r="AI1178" s="1"/>
      <c r="AJ1178" s="3">
        <v>1</v>
      </c>
      <c r="AK1178" s="1" t="s">
        <v>89</v>
      </c>
      <c r="AL1178" s="3">
        <v>3</v>
      </c>
      <c r="AM1178" s="8">
        <v>12</v>
      </c>
      <c r="AN1178" s="1"/>
      <c r="AO1178" s="1" t="s">
        <v>7526</v>
      </c>
      <c r="AP1178" s="1" t="s">
        <v>7527</v>
      </c>
      <c r="AQ1178" s="1" t="s">
        <v>7528</v>
      </c>
      <c r="AR1178" s="1" t="s">
        <v>7529</v>
      </c>
    </row>
    <row r="1179">
      <c r="A1179" s="2">
        <f ca="1">DATE(2003,12,05)</f>
        <v>0</v>
      </c>
      <c r="B1179" s="2">
        <f ca="1">DATE(2004,04,16)</f>
        <v>0</v>
      </c>
      <c r="C1179" s="1" t="s">
        <v>7530</v>
      </c>
      <c r="D1179" s="3">
        <v>3826</v>
      </c>
      <c r="E1179" s="1" t="s">
        <v>43</v>
      </c>
      <c r="F1179" s="1" t="s">
        <v>7531</v>
      </c>
      <c r="G1179" s="1" t="s">
        <v>5704</v>
      </c>
      <c r="H1179" s="4">
        <v>0.56000000000000005</v>
      </c>
      <c r="I1179" s="4">
        <v>7</v>
      </c>
      <c r="J1179" s="5">
        <v>48</v>
      </c>
      <c r="K1179" s="4">
        <v>8</v>
      </c>
      <c r="L1179" s="1" t="s">
        <v>46</v>
      </c>
      <c r="M1179" s="1" t="s">
        <v>47</v>
      </c>
      <c r="N1179" s="1" t="s">
        <v>7532</v>
      </c>
      <c r="O1179" s="1" t="s">
        <v>48</v>
      </c>
      <c r="P1179" s="1" t="s">
        <v>7533</v>
      </c>
      <c r="Q1179" s="4">
        <v>1.5</v>
      </c>
      <c r="R1179" s="4">
        <v>1.5</v>
      </c>
      <c r="S1179" s="8">
        <v>4</v>
      </c>
      <c r="T1179" s="1" t="s">
        <v>50</v>
      </c>
      <c r="U1179" s="1"/>
      <c r="V1179" s="1"/>
      <c r="W1179" s="1"/>
      <c r="X1179" s="5">
        <v>86.299999999999997</v>
      </c>
      <c r="Y1179" s="7">
        <v>6000000</v>
      </c>
      <c r="Z1179" s="1"/>
      <c r="AA1179" s="1" t="s">
        <v>7534</v>
      </c>
      <c r="AB1179" s="1" t="s">
        <v>7535</v>
      </c>
      <c r="AC1179" s="1" t="s">
        <v>2068</v>
      </c>
      <c r="AD1179" s="1" t="s">
        <v>7536</v>
      </c>
      <c r="AE1179" s="1" t="s">
        <v>51</v>
      </c>
      <c r="AF1179" s="1" t="s">
        <v>51</v>
      </c>
      <c r="AG1179" s="1" t="s">
        <v>47</v>
      </c>
      <c r="AH1179" s="1"/>
      <c r="AI1179" s="1"/>
      <c r="AJ1179" s="3">
        <v>1</v>
      </c>
      <c r="AK1179" s="1" t="s">
        <v>52</v>
      </c>
      <c r="AL1179" s="3">
        <v>4</v>
      </c>
      <c r="AM1179" s="8">
        <v>9.5</v>
      </c>
      <c r="AN1179" s="1"/>
      <c r="AO1179" s="1" t="s">
        <v>7537</v>
      </c>
      <c r="AP1179" s="1" t="s">
        <v>5704</v>
      </c>
      <c r="AQ1179" s="1" t="s">
        <v>7538</v>
      </c>
      <c r="AR1179" s="1" t="s">
        <v>7539</v>
      </c>
    </row>
    <row r="1180">
      <c r="A1180" s="2">
        <f ca="1">DATE(2004,02,05)</f>
        <v>0</v>
      </c>
      <c r="B1180" s="2">
        <f ca="1">DATE(2004,04,20)</f>
        <v>0</v>
      </c>
      <c r="C1180" s="1" t="s">
        <v>7540</v>
      </c>
      <c r="D1180" s="3">
        <v>5941</v>
      </c>
      <c r="E1180" s="1" t="s">
        <v>43</v>
      </c>
      <c r="F1180" s="1" t="s">
        <v>7541</v>
      </c>
      <c r="G1180" s="1" t="s">
        <v>7542</v>
      </c>
      <c r="H1180" s="4">
        <v>1.1200000000000001</v>
      </c>
      <c r="I1180" s="4">
        <v>7</v>
      </c>
      <c r="J1180" s="5">
        <v>91.599999999999994</v>
      </c>
      <c r="K1180" s="4">
        <v>16</v>
      </c>
      <c r="L1180" s="1" t="s">
        <v>46</v>
      </c>
      <c r="M1180" s="1" t="s">
        <v>47</v>
      </c>
      <c r="N1180" s="1" t="s">
        <v>7543</v>
      </c>
      <c r="O1180" s="1" t="s">
        <v>48</v>
      </c>
      <c r="P1180" s="1" t="s">
        <v>7544</v>
      </c>
      <c r="Q1180" s="4">
        <v>1.3999999999999999</v>
      </c>
      <c r="R1180" s="4">
        <v>1.3999999999999999</v>
      </c>
      <c r="S1180" s="8">
        <v>4.2000000000000002</v>
      </c>
      <c r="T1180" s="1" t="s">
        <v>50</v>
      </c>
      <c r="U1180" s="1"/>
      <c r="V1180" s="1"/>
      <c r="W1180" s="1"/>
      <c r="X1180" s="5">
        <v>86.299999999999997</v>
      </c>
      <c r="Y1180" s="7">
        <v>5725000</v>
      </c>
      <c r="Z1180" s="1"/>
      <c r="AA1180" s="2">
        <f ca="1">DATE(2004,10,17)</f>
        <v>0</v>
      </c>
      <c r="AB1180" s="4">
        <v>53.707000000000001</v>
      </c>
      <c r="AC1180" s="3">
        <v>180</v>
      </c>
      <c r="AD1180" s="8">
        <v>7638175</v>
      </c>
      <c r="AE1180" s="1" t="s">
        <v>51</v>
      </c>
      <c r="AF1180" s="1" t="s">
        <v>51</v>
      </c>
      <c r="AG1180" s="1" t="s">
        <v>51</v>
      </c>
      <c r="AH1180" s="1"/>
      <c r="AI1180" s="1"/>
      <c r="AJ1180" s="3">
        <v>2</v>
      </c>
      <c r="AK1180" s="1" t="s">
        <v>89</v>
      </c>
      <c r="AL1180" s="3">
        <v>3</v>
      </c>
      <c r="AM1180" s="8">
        <v>22.02</v>
      </c>
      <c r="AN1180" s="1"/>
      <c r="AO1180" s="1" t="s">
        <v>7545</v>
      </c>
      <c r="AP1180" s="1" t="s">
        <v>7546</v>
      </c>
      <c r="AQ1180" s="1" t="s">
        <v>7547</v>
      </c>
      <c r="AR1180" s="1" t="s">
        <v>7544</v>
      </c>
    </row>
    <row r="1181">
      <c r="A1181" s="2">
        <f ca="1">DATE(2003,12,18)</f>
        <v>0</v>
      </c>
      <c r="B1181" s="2">
        <f ca="1">DATE(2004,04,20)</f>
        <v>0</v>
      </c>
      <c r="C1181" s="1" t="s">
        <v>7548</v>
      </c>
      <c r="D1181" s="3">
        <v>6321</v>
      </c>
      <c r="E1181" s="1" t="s">
        <v>43</v>
      </c>
      <c r="F1181" s="1" t="s">
        <v>7549</v>
      </c>
      <c r="G1181" s="1" t="s">
        <v>84</v>
      </c>
      <c r="H1181" s="4">
        <v>0.73499999999999999</v>
      </c>
      <c r="I1181" s="8">
        <v>7</v>
      </c>
      <c r="J1181" s="5">
        <v>93.5</v>
      </c>
      <c r="K1181" s="4">
        <v>10.5</v>
      </c>
      <c r="L1181" s="1" t="s">
        <v>46</v>
      </c>
      <c r="M1181" s="1" t="s">
        <v>47</v>
      </c>
      <c r="N1181" s="1" t="s">
        <v>7550</v>
      </c>
      <c r="O1181" s="1" t="s">
        <v>48</v>
      </c>
      <c r="P1181" s="1" t="s">
        <v>7551</v>
      </c>
      <c r="Q1181" s="4">
        <v>1.381</v>
      </c>
      <c r="R1181" s="4">
        <v>1.4290000000000001</v>
      </c>
      <c r="S1181" s="6">
        <v>4.19048</v>
      </c>
      <c r="T1181" s="1" t="s">
        <v>50</v>
      </c>
      <c r="U1181" s="1"/>
      <c r="V1181" s="1"/>
      <c r="W1181" s="1"/>
      <c r="X1181" s="5">
        <v>107.5</v>
      </c>
      <c r="Y1181" s="7">
        <v>8000000</v>
      </c>
      <c r="Z1181" s="7">
        <v>900000</v>
      </c>
      <c r="AA1181" s="2">
        <f ca="1">DATE(2004,10,17)</f>
        <v>0</v>
      </c>
      <c r="AB1181" s="4">
        <v>31.295000000000002</v>
      </c>
      <c r="AC1181" s="3">
        <v>180</v>
      </c>
      <c r="AD1181" s="8">
        <v>4099995</v>
      </c>
      <c r="AE1181" s="1" t="s">
        <v>51</v>
      </c>
      <c r="AF1181" s="1" t="s">
        <v>51</v>
      </c>
      <c r="AG1181" s="1" t="s">
        <v>47</v>
      </c>
      <c r="AH1181" s="1"/>
      <c r="AI1181" s="1"/>
      <c r="AJ1181" s="3">
        <v>1</v>
      </c>
      <c r="AK1181" s="1" t="s">
        <v>52</v>
      </c>
      <c r="AL1181" s="3">
        <v>3</v>
      </c>
      <c r="AM1181" s="8">
        <v>10.5</v>
      </c>
      <c r="AN1181" s="1"/>
      <c r="AO1181" s="1" t="s">
        <v>7552</v>
      </c>
      <c r="AP1181" s="1" t="s">
        <v>84</v>
      </c>
      <c r="AQ1181" s="1" t="s">
        <v>7553</v>
      </c>
      <c r="AR1181" s="1" t="s">
        <v>7554</v>
      </c>
    </row>
    <row r="1182">
      <c r="A1182" s="2">
        <f ca="1">DATE(2004,02,10)</f>
        <v>0</v>
      </c>
      <c r="B1182" s="2">
        <f ca="1">DATE(2004,04,21)</f>
        <v>0</v>
      </c>
      <c r="C1182" s="1" t="s">
        <v>7555</v>
      </c>
      <c r="D1182" s="3">
        <v>3674</v>
      </c>
      <c r="E1182" s="1" t="s">
        <v>43</v>
      </c>
      <c r="F1182" s="1" t="s">
        <v>7556</v>
      </c>
      <c r="G1182" s="1" t="s">
        <v>796</v>
      </c>
      <c r="H1182" s="4">
        <v>0.83999999999999997</v>
      </c>
      <c r="I1182" s="8">
        <v>7</v>
      </c>
      <c r="J1182" s="5">
        <v>132</v>
      </c>
      <c r="K1182" s="4">
        <v>12</v>
      </c>
      <c r="L1182" s="1" t="s">
        <v>46</v>
      </c>
      <c r="M1182" s="1" t="s">
        <v>47</v>
      </c>
      <c r="N1182" s="1" t="s">
        <v>7557</v>
      </c>
      <c r="O1182" s="1" t="s">
        <v>48</v>
      </c>
      <c r="P1182" s="1" t="s">
        <v>7558</v>
      </c>
      <c r="Q1182" s="4">
        <v>1.333</v>
      </c>
      <c r="R1182" s="4">
        <v>1.083</v>
      </c>
      <c r="S1182" s="6">
        <v>4.5833300000000001</v>
      </c>
      <c r="T1182" s="1" t="s">
        <v>50</v>
      </c>
      <c r="U1182" s="1"/>
      <c r="V1182" s="1"/>
      <c r="W1182" s="1"/>
      <c r="X1182" s="5">
        <v>100</v>
      </c>
      <c r="Y1182" s="7">
        <v>7000000</v>
      </c>
      <c r="Z1182" s="7">
        <v>4000000</v>
      </c>
      <c r="AA1182" s="1" t="s">
        <v>7559</v>
      </c>
      <c r="AB1182" s="1" t="s">
        <v>7560</v>
      </c>
      <c r="AC1182" s="1" t="s">
        <v>7561</v>
      </c>
      <c r="AD1182" s="1" t="s">
        <v>7562</v>
      </c>
      <c r="AE1182" s="1" t="s">
        <v>51</v>
      </c>
      <c r="AF1182" s="1" t="s">
        <v>51</v>
      </c>
      <c r="AG1182" s="1" t="s">
        <v>47</v>
      </c>
      <c r="AH1182" s="1"/>
      <c r="AI1182" s="1"/>
      <c r="AJ1182" s="3">
        <v>1</v>
      </c>
      <c r="AK1182" s="1" t="s">
        <v>89</v>
      </c>
      <c r="AL1182" s="3">
        <v>4</v>
      </c>
      <c r="AM1182" s="8">
        <v>15.300000000000001</v>
      </c>
      <c r="AN1182" s="1"/>
      <c r="AO1182" s="1" t="s">
        <v>7563</v>
      </c>
      <c r="AP1182" s="1" t="s">
        <v>4289</v>
      </c>
      <c r="AQ1182" s="1" t="s">
        <v>7564</v>
      </c>
      <c r="AR1182" s="1" t="s">
        <v>7565</v>
      </c>
    </row>
    <row r="1183">
      <c r="A1183" s="2">
        <f ca="1">DATE(2003,12,23)</f>
        <v>0</v>
      </c>
      <c r="B1183" s="2">
        <f ca="1">DATE(2004,04,22)</f>
        <v>0</v>
      </c>
      <c r="C1183" s="1" t="s">
        <v>7566</v>
      </c>
      <c r="D1183" s="3">
        <v>6351</v>
      </c>
      <c r="E1183" s="1" t="s">
        <v>517</v>
      </c>
      <c r="F1183" s="1" t="s">
        <v>7567</v>
      </c>
      <c r="G1183" s="1" t="s">
        <v>7568</v>
      </c>
      <c r="H1183" s="4">
        <v>0.85499999999999998</v>
      </c>
      <c r="I1183" s="4">
        <v>4.75</v>
      </c>
      <c r="J1183" s="5">
        <v>882</v>
      </c>
      <c r="K1183" s="4">
        <v>18</v>
      </c>
      <c r="L1183" s="1" t="s">
        <v>46</v>
      </c>
      <c r="M1183" s="1" t="s">
        <v>47</v>
      </c>
      <c r="N1183" s="1" t="s">
        <v>7569</v>
      </c>
      <c r="O1183" s="1" t="s">
        <v>108</v>
      </c>
      <c r="P1183" s="1" t="s">
        <v>7570</v>
      </c>
      <c r="Q1183" s="4">
        <v>0.94999999999999996</v>
      </c>
      <c r="R1183" s="4">
        <v>0.94999999999999996</v>
      </c>
      <c r="S1183" s="8">
        <v>2.8500000000000001</v>
      </c>
      <c r="T1183" s="1" t="s">
        <v>50</v>
      </c>
      <c r="U1183" s="1"/>
      <c r="V1183" s="1"/>
      <c r="W1183" s="1"/>
      <c r="X1183" s="5">
        <v>100</v>
      </c>
      <c r="Y1183" s="1"/>
      <c r="Z1183" s="7">
        <v>49000000</v>
      </c>
      <c r="AA1183" s="2">
        <f ca="1">DATE(2004,10,19)</f>
        <v>0</v>
      </c>
      <c r="AB1183" s="4">
        <v>34.667000000000002</v>
      </c>
      <c r="AC1183" s="3">
        <v>180</v>
      </c>
      <c r="AD1183" s="8">
        <v>26000000</v>
      </c>
      <c r="AE1183" s="1" t="s">
        <v>51</v>
      </c>
      <c r="AF1183" s="1" t="s">
        <v>51</v>
      </c>
      <c r="AG1183" s="1" t="s">
        <v>51</v>
      </c>
      <c r="AH1183" s="1"/>
      <c r="AI1183" s="1"/>
      <c r="AJ1183" s="3">
        <v>2</v>
      </c>
      <c r="AK1183" s="1" t="s">
        <v>89</v>
      </c>
      <c r="AL1183" s="3">
        <v>10</v>
      </c>
      <c r="AM1183" s="8">
        <v>18</v>
      </c>
      <c r="AN1183" s="1"/>
      <c r="AO1183" s="1" t="s">
        <v>7571</v>
      </c>
      <c r="AP1183" s="1" t="s">
        <v>7572</v>
      </c>
      <c r="AQ1183" s="1" t="s">
        <v>7573</v>
      </c>
      <c r="AR1183" s="1" t="s">
        <v>7574</v>
      </c>
    </row>
    <row r="1184">
      <c r="A1184" s="2">
        <f ca="1">DATE(2004,02,09)</f>
        <v>0</v>
      </c>
      <c r="B1184" s="2">
        <f ca="1">DATE(2004,04,27)</f>
        <v>0</v>
      </c>
      <c r="C1184" s="1" t="s">
        <v>7575</v>
      </c>
      <c r="D1184" s="3">
        <v>6726</v>
      </c>
      <c r="E1184" s="1" t="s">
        <v>43</v>
      </c>
      <c r="F1184" s="1" t="s">
        <v>7576</v>
      </c>
      <c r="G1184" s="1" t="s">
        <v>45</v>
      </c>
      <c r="H1184" s="4">
        <v>0.90000000000000002</v>
      </c>
      <c r="I1184" s="4">
        <v>4.5</v>
      </c>
      <c r="J1184" s="5">
        <v>242</v>
      </c>
      <c r="K1184" s="4">
        <v>20</v>
      </c>
      <c r="L1184" s="1" t="s">
        <v>46</v>
      </c>
      <c r="M1184" s="1" t="s">
        <v>47</v>
      </c>
      <c r="N1184" s="1" t="s">
        <v>7577</v>
      </c>
      <c r="O1184" s="1" t="s">
        <v>108</v>
      </c>
      <c r="P1184" s="1" t="s">
        <v>7578</v>
      </c>
      <c r="Q1184" s="4">
        <v>1</v>
      </c>
      <c r="R1184" s="4">
        <v>0.5</v>
      </c>
      <c r="S1184" s="8">
        <v>3</v>
      </c>
      <c r="T1184" s="1" t="s">
        <v>50</v>
      </c>
      <c r="U1184" s="8">
        <v>20</v>
      </c>
      <c r="V1184" s="8">
        <v>20</v>
      </c>
      <c r="W1184" s="7">
        <v>50000</v>
      </c>
      <c r="X1184" s="5">
        <v>1</v>
      </c>
      <c r="Y1184" s="7">
        <v>12100000</v>
      </c>
      <c r="Z1184" s="1"/>
      <c r="AA1184" s="1"/>
      <c r="AB1184" s="1"/>
      <c r="AC1184" s="1"/>
      <c r="AD1184" s="1"/>
      <c r="AE1184" s="1" t="s">
        <v>51</v>
      </c>
      <c r="AF1184" s="1" t="s">
        <v>51</v>
      </c>
      <c r="AG1184" s="1" t="s">
        <v>51</v>
      </c>
      <c r="AH1184" s="1"/>
      <c r="AI1184" s="1"/>
      <c r="AJ1184" s="3">
        <v>1</v>
      </c>
      <c r="AK1184" s="1" t="s">
        <v>52</v>
      </c>
      <c r="AL1184" s="3">
        <v>8</v>
      </c>
      <c r="AM1184" s="8">
        <v>20</v>
      </c>
      <c r="AN1184" s="1"/>
      <c r="AO1184" s="1" t="s">
        <v>7579</v>
      </c>
      <c r="AP1184" s="1" t="s">
        <v>45</v>
      </c>
      <c r="AQ1184" s="1" t="s">
        <v>7580</v>
      </c>
      <c r="AR1184" s="1" t="s">
        <v>7581</v>
      </c>
    </row>
    <row r="1185">
      <c r="A1185" s="2">
        <f ca="1">DATE(2004,03,01)</f>
        <v>0</v>
      </c>
      <c r="B1185" s="2">
        <f ca="1">DATE(2004,04,27)</f>
        <v>0</v>
      </c>
      <c r="C1185" s="1" t="s">
        <v>7582</v>
      </c>
      <c r="D1185" s="3">
        <v>6726</v>
      </c>
      <c r="E1185" s="1" t="s">
        <v>43</v>
      </c>
      <c r="F1185" s="1" t="s">
        <v>7583</v>
      </c>
      <c r="G1185" s="1" t="s">
        <v>7584</v>
      </c>
      <c r="H1185" s="4">
        <v>0.90000000000000002</v>
      </c>
      <c r="I1185" s="4">
        <v>4.5</v>
      </c>
      <c r="J1185" s="5">
        <v>290</v>
      </c>
      <c r="K1185" s="4">
        <v>20</v>
      </c>
      <c r="L1185" s="1" t="s">
        <v>4422</v>
      </c>
      <c r="M1185" s="1" t="s">
        <v>47</v>
      </c>
      <c r="N1185" s="1" t="s">
        <v>7585</v>
      </c>
      <c r="O1185" s="1" t="s">
        <v>108</v>
      </c>
      <c r="P1185" s="1" t="s">
        <v>7586</v>
      </c>
      <c r="Q1185" s="4">
        <v>1</v>
      </c>
      <c r="R1185" s="4">
        <v>0.5</v>
      </c>
      <c r="S1185" s="8">
        <v>3</v>
      </c>
      <c r="T1185" s="1" t="s">
        <v>50</v>
      </c>
      <c r="U1185" s="8">
        <v>20</v>
      </c>
      <c r="V1185" s="8">
        <v>20</v>
      </c>
      <c r="W1185" s="7">
        <v>50000</v>
      </c>
      <c r="X1185" s="5">
        <v>1</v>
      </c>
      <c r="Y1185" s="7">
        <v>14500000</v>
      </c>
      <c r="Z1185" s="1"/>
      <c r="AA1185" s="2">
        <f ca="1">DATE(2004,10,24)</f>
        <v>0</v>
      </c>
      <c r="AB1185" s="1"/>
      <c r="AC1185" s="3">
        <v>180</v>
      </c>
      <c r="AD1185" s="1"/>
      <c r="AE1185" s="1" t="s">
        <v>51</v>
      </c>
      <c r="AF1185" s="1" t="s">
        <v>51</v>
      </c>
      <c r="AG1185" s="1" t="s">
        <v>51</v>
      </c>
      <c r="AH1185" s="1"/>
      <c r="AI1185" s="1"/>
      <c r="AJ1185" s="3">
        <v>3</v>
      </c>
      <c r="AK1185" s="1" t="s">
        <v>110</v>
      </c>
      <c r="AL1185" s="3">
        <v>10</v>
      </c>
      <c r="AM1185" s="8">
        <v>20</v>
      </c>
      <c r="AN1185" s="1"/>
      <c r="AO1185" s="1" t="s">
        <v>7587</v>
      </c>
      <c r="AP1185" s="1" t="s">
        <v>7588</v>
      </c>
      <c r="AQ1185" s="1" t="s">
        <v>7589</v>
      </c>
      <c r="AR1185" s="1" t="s">
        <v>7590</v>
      </c>
    </row>
    <row r="1186">
      <c r="A1186" s="2">
        <f ca="1">DATE(2004,02,09)</f>
        <v>0</v>
      </c>
      <c r="B1186" s="2">
        <f ca="1">DATE(2004,04,27)</f>
        <v>0</v>
      </c>
      <c r="C1186" s="1" t="s">
        <v>7591</v>
      </c>
      <c r="D1186" s="3">
        <v>6726</v>
      </c>
      <c r="E1186" s="1" t="s">
        <v>43</v>
      </c>
      <c r="F1186" s="1" t="s">
        <v>7592</v>
      </c>
      <c r="G1186" s="1" t="s">
        <v>6201</v>
      </c>
      <c r="H1186" s="4">
        <v>0.90000000000000002</v>
      </c>
      <c r="I1186" s="4">
        <v>4.5</v>
      </c>
      <c r="J1186" s="5">
        <v>230</v>
      </c>
      <c r="K1186" s="4">
        <v>20</v>
      </c>
      <c r="L1186" s="1" t="s">
        <v>46</v>
      </c>
      <c r="M1186" s="1" t="s">
        <v>47</v>
      </c>
      <c r="N1186" s="1" t="s">
        <v>7593</v>
      </c>
      <c r="O1186" s="1" t="s">
        <v>87</v>
      </c>
      <c r="P1186" s="1" t="s">
        <v>7594</v>
      </c>
      <c r="Q1186" s="4">
        <v>0.55000000000000004</v>
      </c>
      <c r="R1186" s="4">
        <v>0.94999999999999996</v>
      </c>
      <c r="S1186" s="8">
        <v>3</v>
      </c>
      <c r="T1186" s="1" t="s">
        <v>50</v>
      </c>
      <c r="U1186" s="8">
        <v>20</v>
      </c>
      <c r="V1186" s="8">
        <v>20</v>
      </c>
      <c r="W1186" s="7">
        <v>1500000</v>
      </c>
      <c r="X1186" s="5">
        <v>30</v>
      </c>
      <c r="Y1186" s="7">
        <v>11500000</v>
      </c>
      <c r="Z1186" s="1"/>
      <c r="AA1186" s="2">
        <f ca="1">DATE(2004,10,24)</f>
        <v>0</v>
      </c>
      <c r="AB1186" s="1"/>
      <c r="AC1186" s="3">
        <v>180</v>
      </c>
      <c r="AD1186" s="1"/>
      <c r="AE1186" s="1" t="s">
        <v>51</v>
      </c>
      <c r="AF1186" s="1" t="s">
        <v>51</v>
      </c>
      <c r="AG1186" s="1" t="s">
        <v>51</v>
      </c>
      <c r="AH1186" s="1"/>
      <c r="AI1186" s="1"/>
      <c r="AJ1186" s="3">
        <v>1</v>
      </c>
      <c r="AK1186" s="1" t="s">
        <v>52</v>
      </c>
      <c r="AL1186" s="3">
        <v>10</v>
      </c>
      <c r="AM1186" s="8">
        <v>20</v>
      </c>
      <c r="AN1186" s="1"/>
      <c r="AO1186" s="1" t="s">
        <v>7595</v>
      </c>
      <c r="AP1186" s="1" t="s">
        <v>6201</v>
      </c>
      <c r="AQ1186" s="1" t="s">
        <v>7596</v>
      </c>
      <c r="AR1186" s="1" t="s">
        <v>7597</v>
      </c>
    </row>
    <row r="1187">
      <c r="A1187" s="2">
        <f ca="1">DATE(2004,02,25)</f>
        <v>0</v>
      </c>
      <c r="B1187" s="2">
        <f ca="1">DATE(2004,04,27)</f>
        <v>0</v>
      </c>
      <c r="C1187" s="1" t="s">
        <v>7598</v>
      </c>
      <c r="D1187" s="3">
        <v>6726</v>
      </c>
      <c r="E1187" s="1" t="s">
        <v>43</v>
      </c>
      <c r="F1187" s="1" t="s">
        <v>7599</v>
      </c>
      <c r="G1187" s="1" t="s">
        <v>4145</v>
      </c>
      <c r="H1187" s="4">
        <v>0.90000000000000002</v>
      </c>
      <c r="I1187" s="4">
        <v>4.5</v>
      </c>
      <c r="J1187" s="5">
        <v>120</v>
      </c>
      <c r="K1187" s="4">
        <v>20</v>
      </c>
      <c r="L1187" s="1" t="s">
        <v>4422</v>
      </c>
      <c r="M1187" s="1" t="s">
        <v>47</v>
      </c>
      <c r="N1187" s="1" t="s">
        <v>7600</v>
      </c>
      <c r="O1187" s="1" t="s">
        <v>87</v>
      </c>
      <c r="P1187" s="1" t="s">
        <v>7601</v>
      </c>
      <c r="Q1187" s="1" t="s">
        <v>145</v>
      </c>
      <c r="R1187" s="1" t="s">
        <v>145</v>
      </c>
      <c r="S1187" s="8">
        <v>3</v>
      </c>
      <c r="T1187" s="1" t="s">
        <v>50</v>
      </c>
      <c r="U1187" s="8">
        <v>20</v>
      </c>
      <c r="V1187" s="8">
        <v>20</v>
      </c>
      <c r="W1187" s="7">
        <v>1000</v>
      </c>
      <c r="X1187" s="5">
        <v>0</v>
      </c>
      <c r="Y1187" s="7">
        <v>6000000</v>
      </c>
      <c r="Z1187" s="1"/>
      <c r="AA1187" s="2">
        <f ca="1">DATE(2004,10,24)</f>
        <v>0</v>
      </c>
      <c r="AB1187" s="1"/>
      <c r="AC1187" s="3">
        <v>180</v>
      </c>
      <c r="AD1187" s="1"/>
      <c r="AE1187" s="1" t="s">
        <v>51</v>
      </c>
      <c r="AF1187" s="1" t="s">
        <v>51</v>
      </c>
      <c r="AG1187" s="1" t="s">
        <v>51</v>
      </c>
      <c r="AH1187" s="1"/>
      <c r="AI1187" s="1"/>
      <c r="AJ1187" s="3">
        <v>1</v>
      </c>
      <c r="AK1187" s="1" t="s">
        <v>52</v>
      </c>
      <c r="AL1187" s="3">
        <v>13</v>
      </c>
      <c r="AM1187" s="8">
        <v>20.149999999999999</v>
      </c>
      <c r="AN1187" s="1"/>
      <c r="AO1187" s="1" t="s">
        <v>7602</v>
      </c>
      <c r="AP1187" s="1" t="s">
        <v>4145</v>
      </c>
      <c r="AQ1187" s="1" t="s">
        <v>7603</v>
      </c>
      <c r="AR1187" s="1" t="s">
        <v>7604</v>
      </c>
    </row>
    <row r="1188">
      <c r="A1188" s="2">
        <f ca="1">DATE(2004,02,12)</f>
        <v>0</v>
      </c>
      <c r="B1188" s="2">
        <f ca="1">DATE(2004,04,27)</f>
        <v>0</v>
      </c>
      <c r="C1188" s="1" t="s">
        <v>7605</v>
      </c>
      <c r="D1188" s="3">
        <v>6726</v>
      </c>
      <c r="E1188" s="1" t="s">
        <v>43</v>
      </c>
      <c r="F1188" s="1" t="s">
        <v>7606</v>
      </c>
      <c r="G1188" s="1" t="s">
        <v>6201</v>
      </c>
      <c r="H1188" s="4">
        <v>0.90000000000000002</v>
      </c>
      <c r="I1188" s="4">
        <v>4.5</v>
      </c>
      <c r="J1188" s="5">
        <v>192</v>
      </c>
      <c r="K1188" s="4">
        <v>20</v>
      </c>
      <c r="L1188" s="1" t="s">
        <v>46</v>
      </c>
      <c r="M1188" s="1" t="s">
        <v>47</v>
      </c>
      <c r="N1188" s="1" t="s">
        <v>7607</v>
      </c>
      <c r="O1188" s="1" t="s">
        <v>108</v>
      </c>
      <c r="P1188" s="1" t="s">
        <v>7608</v>
      </c>
      <c r="Q1188" s="1" t="s">
        <v>145</v>
      </c>
      <c r="R1188" s="1" t="s">
        <v>145</v>
      </c>
      <c r="S1188" s="8">
        <v>3</v>
      </c>
      <c r="T1188" s="1" t="s">
        <v>50</v>
      </c>
      <c r="U1188" s="8">
        <v>20</v>
      </c>
      <c r="V1188" s="8">
        <v>20</v>
      </c>
      <c r="W1188" s="7">
        <v>100000</v>
      </c>
      <c r="X1188" s="5">
        <v>2</v>
      </c>
      <c r="Y1188" s="7">
        <v>9600000</v>
      </c>
      <c r="Z1188" s="1"/>
      <c r="AA1188" s="2">
        <f ca="1">DATE(2004,10,24)</f>
        <v>0</v>
      </c>
      <c r="AB1188" s="1"/>
      <c r="AC1188" s="3">
        <v>180</v>
      </c>
      <c r="AD1188" s="1"/>
      <c r="AE1188" s="1" t="s">
        <v>51</v>
      </c>
      <c r="AF1188" s="1" t="s">
        <v>51</v>
      </c>
      <c r="AG1188" s="1" t="s">
        <v>51</v>
      </c>
      <c r="AH1188" s="1"/>
      <c r="AI1188" s="1"/>
      <c r="AJ1188" s="3">
        <v>1</v>
      </c>
      <c r="AK1188" s="1" t="s">
        <v>52</v>
      </c>
      <c r="AL1188" s="3">
        <v>12</v>
      </c>
      <c r="AM1188" s="8">
        <v>20</v>
      </c>
      <c r="AN1188" s="1"/>
      <c r="AO1188" s="1" t="s">
        <v>7609</v>
      </c>
      <c r="AP1188" s="1" t="s">
        <v>6201</v>
      </c>
      <c r="AQ1188" s="1" t="s">
        <v>7610</v>
      </c>
      <c r="AR1188" s="1" t="s">
        <v>7611</v>
      </c>
    </row>
    <row r="1189">
      <c r="A1189" s="2">
        <f ca="1">DATE(2004,01,30)</f>
        <v>0</v>
      </c>
      <c r="B1189" s="2">
        <f ca="1">DATE(2004,04,27)</f>
        <v>0</v>
      </c>
      <c r="C1189" s="1" t="s">
        <v>7612</v>
      </c>
      <c r="D1189" s="3">
        <v>6726</v>
      </c>
      <c r="E1189" s="1" t="s">
        <v>43</v>
      </c>
      <c r="F1189" s="1" t="s">
        <v>7613</v>
      </c>
      <c r="G1189" s="1" t="s">
        <v>7614</v>
      </c>
      <c r="H1189" s="4">
        <v>0.90000000000000002</v>
      </c>
      <c r="I1189" s="4">
        <v>4.5</v>
      </c>
      <c r="J1189" s="5">
        <v>49.600000000000001</v>
      </c>
      <c r="K1189" s="4">
        <v>20</v>
      </c>
      <c r="L1189" s="1" t="s">
        <v>46</v>
      </c>
      <c r="M1189" s="1" t="s">
        <v>47</v>
      </c>
      <c r="N1189" s="1" t="s">
        <v>7615</v>
      </c>
      <c r="O1189" s="1" t="s">
        <v>87</v>
      </c>
      <c r="P1189" s="1" t="s">
        <v>7616</v>
      </c>
      <c r="Q1189" s="1" t="s">
        <v>145</v>
      </c>
      <c r="R1189" s="1" t="s">
        <v>145</v>
      </c>
      <c r="S1189" s="8">
        <v>3</v>
      </c>
      <c r="T1189" s="1" t="s">
        <v>50</v>
      </c>
      <c r="U1189" s="8">
        <v>20</v>
      </c>
      <c r="V1189" s="8">
        <v>20</v>
      </c>
      <c r="W1189" s="7">
        <v>5750000</v>
      </c>
      <c r="X1189" s="5">
        <v>115</v>
      </c>
      <c r="Y1189" s="7">
        <v>2480000</v>
      </c>
      <c r="Z1189" s="1"/>
      <c r="AA1189" s="2">
        <f ca="1">DATE(2004,07,26)</f>
        <v>0</v>
      </c>
      <c r="AB1189" s="1"/>
      <c r="AC1189" s="3">
        <v>90</v>
      </c>
      <c r="AD1189" s="1"/>
      <c r="AE1189" s="1" t="s">
        <v>51</v>
      </c>
      <c r="AF1189" s="1" t="s">
        <v>51</v>
      </c>
      <c r="AG1189" s="1" t="s">
        <v>51</v>
      </c>
      <c r="AH1189" s="1"/>
      <c r="AI1189" s="1"/>
      <c r="AJ1189" s="3">
        <v>2</v>
      </c>
      <c r="AK1189" s="1" t="s">
        <v>89</v>
      </c>
      <c r="AL1189" s="3">
        <v>13</v>
      </c>
      <c r="AM1189" s="8">
        <v>19.949999999999999</v>
      </c>
      <c r="AN1189" s="1"/>
      <c r="AO1189" s="1" t="s">
        <v>7617</v>
      </c>
      <c r="AP1189" s="1" t="s">
        <v>7618</v>
      </c>
      <c r="AQ1189" s="1" t="s">
        <v>7619</v>
      </c>
      <c r="AR1189" s="1" t="s">
        <v>7620</v>
      </c>
    </row>
    <row r="1190">
      <c r="A1190" s="2">
        <f ca="1">DATE(2004,02,13)</f>
        <v>0</v>
      </c>
      <c r="B1190" s="2">
        <f ca="1">DATE(2004,04,27)</f>
        <v>0</v>
      </c>
      <c r="C1190" s="1" t="s">
        <v>7621</v>
      </c>
      <c r="D1190" s="3">
        <v>6726</v>
      </c>
      <c r="E1190" s="1" t="s">
        <v>43</v>
      </c>
      <c r="F1190" s="1" t="s">
        <v>7622</v>
      </c>
      <c r="G1190" s="1" t="s">
        <v>45</v>
      </c>
      <c r="H1190" s="4">
        <v>0.67500000000000004</v>
      </c>
      <c r="I1190" s="4">
        <v>4.5</v>
      </c>
      <c r="J1190" s="5">
        <v>225</v>
      </c>
      <c r="K1190" s="4">
        <v>15</v>
      </c>
      <c r="L1190" s="1" t="s">
        <v>4422</v>
      </c>
      <c r="M1190" s="1" t="s">
        <v>47</v>
      </c>
      <c r="N1190" s="1" t="s">
        <v>7623</v>
      </c>
      <c r="O1190" s="1" t="s">
        <v>108</v>
      </c>
      <c r="P1190" s="1" t="s">
        <v>7624</v>
      </c>
      <c r="Q1190" s="4">
        <v>0.96699999999999997</v>
      </c>
      <c r="R1190" s="4">
        <v>0.53300000000000003</v>
      </c>
      <c r="S1190" s="8">
        <v>3</v>
      </c>
      <c r="T1190" s="1" t="s">
        <v>50</v>
      </c>
      <c r="U1190" s="8">
        <v>20</v>
      </c>
      <c r="V1190" s="8">
        <v>20</v>
      </c>
      <c r="W1190" s="7">
        <v>50000</v>
      </c>
      <c r="X1190" s="5">
        <v>1</v>
      </c>
      <c r="Y1190" s="7">
        <v>15000000</v>
      </c>
      <c r="Z1190" s="1"/>
      <c r="AA1190" s="2">
        <f ca="1">DATE(2004,10,24)</f>
        <v>0</v>
      </c>
      <c r="AB1190" s="1"/>
      <c r="AC1190" s="3">
        <v>180</v>
      </c>
      <c r="AD1190" s="1"/>
      <c r="AE1190" s="1" t="s">
        <v>51</v>
      </c>
      <c r="AF1190" s="1" t="s">
        <v>51</v>
      </c>
      <c r="AG1190" s="1" t="s">
        <v>51</v>
      </c>
      <c r="AH1190" s="1"/>
      <c r="AI1190" s="1"/>
      <c r="AJ1190" s="3">
        <v>1</v>
      </c>
      <c r="AK1190" s="1" t="s">
        <v>52</v>
      </c>
      <c r="AL1190" s="3">
        <v>16</v>
      </c>
      <c r="AM1190" s="8">
        <v>15</v>
      </c>
      <c r="AN1190" s="1"/>
      <c r="AO1190" s="1" t="s">
        <v>7625</v>
      </c>
      <c r="AP1190" s="1" t="s">
        <v>45</v>
      </c>
      <c r="AQ1190" s="1" t="s">
        <v>7626</v>
      </c>
      <c r="AR1190" s="1" t="s">
        <v>7627</v>
      </c>
    </row>
    <row r="1191">
      <c r="A1191" s="2">
        <f ca="1">DATE(2004,02,06)</f>
        <v>0</v>
      </c>
      <c r="B1191" s="2">
        <f ca="1">DATE(2004,04,28)</f>
        <v>0</v>
      </c>
      <c r="C1191" s="1" t="s">
        <v>7628</v>
      </c>
      <c r="D1191" s="3">
        <v>2834</v>
      </c>
      <c r="E1191" s="1" t="s">
        <v>43</v>
      </c>
      <c r="F1191" s="1" t="s">
        <v>7629</v>
      </c>
      <c r="G1191" s="1" t="s">
        <v>796</v>
      </c>
      <c r="H1191" s="4">
        <v>1.05</v>
      </c>
      <c r="I1191" s="4">
        <v>7</v>
      </c>
      <c r="J1191" s="5">
        <v>75</v>
      </c>
      <c r="K1191" s="4">
        <v>15</v>
      </c>
      <c r="L1191" s="1" t="s">
        <v>46</v>
      </c>
      <c r="M1191" s="1" t="s">
        <v>47</v>
      </c>
      <c r="N1191" s="1" t="s">
        <v>7630</v>
      </c>
      <c r="O1191" s="1" t="s">
        <v>48</v>
      </c>
      <c r="P1191" s="1" t="s">
        <v>7631</v>
      </c>
      <c r="Q1191" s="4">
        <v>1.413</v>
      </c>
      <c r="R1191" s="4">
        <v>1.0529999999999999</v>
      </c>
      <c r="S1191" s="6">
        <v>4.5333300000000003</v>
      </c>
      <c r="T1191" s="1" t="s">
        <v>50</v>
      </c>
      <c r="U1191" s="1"/>
      <c r="V1191" s="1"/>
      <c r="W1191" s="1"/>
      <c r="X1191" s="5">
        <v>86.299999999999997</v>
      </c>
      <c r="Y1191" s="7">
        <v>5000000</v>
      </c>
      <c r="Z1191" s="1"/>
      <c r="AA1191" s="2">
        <f ca="1">DATE(2004,10,25)</f>
        <v>0</v>
      </c>
      <c r="AB1191" s="4">
        <v>58.189999999999998</v>
      </c>
      <c r="AC1191" s="3">
        <v>180</v>
      </c>
      <c r="AD1191" s="8">
        <v>12680833</v>
      </c>
      <c r="AE1191" s="1" t="s">
        <v>51</v>
      </c>
      <c r="AF1191" s="1" t="s">
        <v>51</v>
      </c>
      <c r="AG1191" s="1" t="s">
        <v>47</v>
      </c>
      <c r="AH1191" s="1"/>
      <c r="AI1191" s="1"/>
      <c r="AJ1191" s="3">
        <v>1</v>
      </c>
      <c r="AK1191" s="1" t="s">
        <v>89</v>
      </c>
      <c r="AL1191" s="3">
        <v>3</v>
      </c>
      <c r="AM1191" s="8">
        <v>14.6</v>
      </c>
      <c r="AN1191" s="1"/>
      <c r="AO1191" s="1" t="s">
        <v>7632</v>
      </c>
      <c r="AP1191" s="1" t="s">
        <v>7633</v>
      </c>
      <c r="AQ1191" s="1" t="s">
        <v>7634</v>
      </c>
      <c r="AR1191" s="1" t="s">
        <v>7635</v>
      </c>
    </row>
    <row r="1192">
      <c r="A1192" s="2">
        <f ca="1">DATE(2004,01,27)</f>
        <v>0</v>
      </c>
      <c r="B1192" s="2">
        <f ca="1">DATE(2004,04,29)</f>
        <v>0</v>
      </c>
      <c r="C1192" s="1" t="s">
        <v>7636</v>
      </c>
      <c r="D1192" s="3">
        <v>2834</v>
      </c>
      <c r="E1192" s="1" t="s">
        <v>43</v>
      </c>
      <c r="F1192" s="1" t="s">
        <v>7637</v>
      </c>
      <c r="G1192" s="1" t="s">
        <v>160</v>
      </c>
      <c r="H1192" s="4">
        <v>0.91000000000000003</v>
      </c>
      <c r="I1192" s="4">
        <v>7</v>
      </c>
      <c r="J1192" s="5">
        <v>89.700000000000003</v>
      </c>
      <c r="K1192" s="4">
        <v>13</v>
      </c>
      <c r="L1192" s="1" t="s">
        <v>46</v>
      </c>
      <c r="M1192" s="1" t="s">
        <v>47</v>
      </c>
      <c r="N1192" s="1" t="s">
        <v>7638</v>
      </c>
      <c r="O1192" s="1" t="s">
        <v>48</v>
      </c>
      <c r="P1192" s="1" t="s">
        <v>7639</v>
      </c>
      <c r="Q1192" s="4">
        <v>1.3999999999999999</v>
      </c>
      <c r="R1192" s="4">
        <v>1.3999999999999999</v>
      </c>
      <c r="S1192" s="8">
        <v>4.2000000000000002</v>
      </c>
      <c r="T1192" s="1" t="s">
        <v>50</v>
      </c>
      <c r="U1192" s="1"/>
      <c r="V1192" s="1"/>
      <c r="W1192" s="1"/>
      <c r="X1192" s="5">
        <v>86.299999999999997</v>
      </c>
      <c r="Y1192" s="7">
        <v>6900000</v>
      </c>
      <c r="Z1192" s="1"/>
      <c r="AA1192" s="2">
        <f ca="1">DATE(2004,10,26)</f>
        <v>0</v>
      </c>
      <c r="AB1192" s="4">
        <v>70.045000000000002</v>
      </c>
      <c r="AC1192" s="3">
        <v>180</v>
      </c>
      <c r="AD1192" s="8">
        <v>19528836</v>
      </c>
      <c r="AE1192" s="1" t="s">
        <v>51</v>
      </c>
      <c r="AF1192" s="1" t="s">
        <v>51</v>
      </c>
      <c r="AG1192" s="1" t="s">
        <v>47</v>
      </c>
      <c r="AH1192" s="1"/>
      <c r="AI1192" s="1"/>
      <c r="AJ1192" s="3">
        <v>1</v>
      </c>
      <c r="AK1192" s="1" t="s">
        <v>52</v>
      </c>
      <c r="AL1192" s="3">
        <v>4</v>
      </c>
      <c r="AM1192" s="8">
        <v>16.260000000000002</v>
      </c>
      <c r="AN1192" s="1"/>
      <c r="AO1192" s="1" t="s">
        <v>7640</v>
      </c>
      <c r="AP1192" s="1" t="s">
        <v>160</v>
      </c>
      <c r="AQ1192" s="1" t="s">
        <v>7641</v>
      </c>
      <c r="AR1192" s="1" t="s">
        <v>7642</v>
      </c>
    </row>
    <row r="1193">
      <c r="A1193" s="2">
        <f ca="1">DATE(2003,12,16)</f>
        <v>0</v>
      </c>
      <c r="B1193" s="2">
        <f ca="1">DATE(2004,04,29)</f>
        <v>0</v>
      </c>
      <c r="C1193" s="1" t="s">
        <v>7643</v>
      </c>
      <c r="D1193" s="3">
        <v>6141</v>
      </c>
      <c r="E1193" s="1" t="s">
        <v>43</v>
      </c>
      <c r="F1193" s="1" t="s">
        <v>7644</v>
      </c>
      <c r="G1193" s="1" t="s">
        <v>5110</v>
      </c>
      <c r="H1193" s="4">
        <v>1.19</v>
      </c>
      <c r="I1193" s="8">
        <v>7</v>
      </c>
      <c r="J1193" s="5">
        <v>106.3</v>
      </c>
      <c r="K1193" s="4">
        <v>17</v>
      </c>
      <c r="L1193" s="1" t="s">
        <v>46</v>
      </c>
      <c r="M1193" s="1" t="s">
        <v>47</v>
      </c>
      <c r="N1193" s="3">
        <v>460981301</v>
      </c>
      <c r="O1193" s="1" t="s">
        <v>48</v>
      </c>
      <c r="P1193" s="1" t="s">
        <v>7645</v>
      </c>
      <c r="Q1193" s="4">
        <v>1.4119999999999999</v>
      </c>
      <c r="R1193" s="4">
        <v>1.4119999999999999</v>
      </c>
      <c r="S1193" s="6">
        <v>4.1764700000000001</v>
      </c>
      <c r="T1193" s="1" t="s">
        <v>50</v>
      </c>
      <c r="U1193" s="1"/>
      <c r="V1193" s="1"/>
      <c r="W1193" s="1"/>
      <c r="X1193" s="5">
        <v>115</v>
      </c>
      <c r="Y1193" s="7">
        <v>3000000</v>
      </c>
      <c r="Z1193" s="7">
        <v>3250000</v>
      </c>
      <c r="AA1193" s="2">
        <f ca="1">DATE(2004,10,26)</f>
        <v>0</v>
      </c>
      <c r="AB1193" s="4">
        <v>61.725000000000001</v>
      </c>
      <c r="AC1193" s="3">
        <v>180</v>
      </c>
      <c r="AD1193" s="8">
        <v>10464080</v>
      </c>
      <c r="AE1193" s="1" t="s">
        <v>51</v>
      </c>
      <c r="AF1193" s="1" t="s">
        <v>51</v>
      </c>
      <c r="AG1193" s="1" t="s">
        <v>51</v>
      </c>
      <c r="AH1193" s="1"/>
      <c r="AI1193" s="1"/>
      <c r="AJ1193" s="3">
        <v>1</v>
      </c>
      <c r="AK1193" s="1" t="s">
        <v>89</v>
      </c>
      <c r="AL1193" s="3">
        <v>4</v>
      </c>
      <c r="AM1193" s="8">
        <v>24.699999999999999</v>
      </c>
      <c r="AN1193" s="1"/>
      <c r="AO1193" s="1" t="s">
        <v>7646</v>
      </c>
      <c r="AP1193" s="1" t="s">
        <v>7647</v>
      </c>
      <c r="AQ1193" s="1" t="s">
        <v>7648</v>
      </c>
      <c r="AR1193" s="1" t="s">
        <v>7649</v>
      </c>
    </row>
    <row r="1194">
      <c r="A1194" s="2">
        <f ca="1">DATE(2004,03,11)</f>
        <v>0</v>
      </c>
      <c r="B1194" s="2">
        <f ca="1">DATE(2004,05,05)</f>
        <v>0</v>
      </c>
      <c r="C1194" s="1" t="s">
        <v>7650</v>
      </c>
      <c r="D1194" s="3">
        <v>6211</v>
      </c>
      <c r="E1194" s="1" t="s">
        <v>43</v>
      </c>
      <c r="F1194" s="1" t="s">
        <v>7651</v>
      </c>
      <c r="G1194" s="1" t="s">
        <v>160</v>
      </c>
      <c r="H1194" s="4">
        <v>1.2250000000000001</v>
      </c>
      <c r="I1194" s="4">
        <v>7</v>
      </c>
      <c r="J1194" s="5">
        <v>87.5</v>
      </c>
      <c r="K1194" s="4">
        <v>17.5</v>
      </c>
      <c r="L1194" s="1" t="s">
        <v>46</v>
      </c>
      <c r="M1194" s="1" t="s">
        <v>47</v>
      </c>
      <c r="N1194" s="3">
        <v>395259104</v>
      </c>
      <c r="O1194" s="1" t="s">
        <v>108</v>
      </c>
      <c r="P1194" s="1" t="s">
        <v>7652</v>
      </c>
      <c r="Q1194" s="4">
        <v>1.4290000000000001</v>
      </c>
      <c r="R1194" s="4">
        <v>1.4290000000000001</v>
      </c>
      <c r="S1194" s="6">
        <v>4.1429099999999996</v>
      </c>
      <c r="T1194" s="1" t="s">
        <v>50</v>
      </c>
      <c r="U1194" s="1"/>
      <c r="V1194" s="1"/>
      <c r="W1194" s="1"/>
      <c r="X1194" s="5">
        <v>86.299999999999997</v>
      </c>
      <c r="Y1194" s="7">
        <v>5000000</v>
      </c>
      <c r="Z1194" s="1"/>
      <c r="AA1194" s="2">
        <f ca="1">DATE(2004,11,21)</f>
        <v>0</v>
      </c>
      <c r="AB1194" s="4">
        <v>81.301000000000002</v>
      </c>
      <c r="AC1194" s="3">
        <v>200</v>
      </c>
      <c r="AD1194" s="8">
        <v>25000000</v>
      </c>
      <c r="AE1194" s="1" t="s">
        <v>51</v>
      </c>
      <c r="AF1194" s="1" t="s">
        <v>51</v>
      </c>
      <c r="AG1194" s="1" t="s">
        <v>51</v>
      </c>
      <c r="AH1194" s="1"/>
      <c r="AI1194" s="1"/>
      <c r="AJ1194" s="3">
        <v>1</v>
      </c>
      <c r="AK1194" s="1" t="s">
        <v>110</v>
      </c>
      <c r="AL1194" s="3">
        <v>5</v>
      </c>
      <c r="AM1194" s="8">
        <v>20.5</v>
      </c>
      <c r="AN1194" s="1"/>
      <c r="AO1194" s="1" t="s">
        <v>7653</v>
      </c>
      <c r="AP1194" s="1" t="s">
        <v>7654</v>
      </c>
      <c r="AQ1194" s="1" t="s">
        <v>7655</v>
      </c>
      <c r="AR1194" s="1" t="s">
        <v>7652</v>
      </c>
    </row>
    <row r="1195">
      <c r="A1195" s="2">
        <f ca="1">DATE(2004,02,05)</f>
        <v>0</v>
      </c>
      <c r="B1195" s="2">
        <f ca="1">DATE(2004,05,05)</f>
        <v>0</v>
      </c>
      <c r="C1195" s="1" t="s">
        <v>7656</v>
      </c>
      <c r="D1195" s="3">
        <v>6798</v>
      </c>
      <c r="E1195" s="1" t="s">
        <v>43</v>
      </c>
      <c r="F1195" s="1" t="s">
        <v>7657</v>
      </c>
      <c r="G1195" s="1" t="s">
        <v>813</v>
      </c>
      <c r="H1195" s="4">
        <v>0.56000000000000005</v>
      </c>
      <c r="I1195" s="4">
        <v>7</v>
      </c>
      <c r="J1195" s="5">
        <v>64</v>
      </c>
      <c r="K1195" s="4">
        <v>8</v>
      </c>
      <c r="L1195" s="1" t="s">
        <v>46</v>
      </c>
      <c r="M1195" s="1" t="s">
        <v>47</v>
      </c>
      <c r="N1195" s="1" t="s">
        <v>7658</v>
      </c>
      <c r="O1195" s="1" t="s">
        <v>48</v>
      </c>
      <c r="P1195" s="1" t="s">
        <v>7659</v>
      </c>
      <c r="Q1195" s="4">
        <v>1.375</v>
      </c>
      <c r="R1195" s="4">
        <v>1.375</v>
      </c>
      <c r="S1195" s="8">
        <v>4.25</v>
      </c>
      <c r="T1195" s="1" t="s">
        <v>50</v>
      </c>
      <c r="U1195" s="8">
        <v>10</v>
      </c>
      <c r="V1195" s="8">
        <v>8</v>
      </c>
      <c r="W1195" s="7">
        <v>8000000</v>
      </c>
      <c r="X1195" s="5">
        <v>72</v>
      </c>
      <c r="Y1195" s="7">
        <v>8000000</v>
      </c>
      <c r="Z1195" s="1"/>
      <c r="AA1195" s="1" t="s">
        <v>7660</v>
      </c>
      <c r="AB1195" s="1" t="s">
        <v>7661</v>
      </c>
      <c r="AC1195" s="1" t="s">
        <v>7662</v>
      </c>
      <c r="AD1195" s="1" t="s">
        <v>7663</v>
      </c>
      <c r="AE1195" s="1" t="s">
        <v>51</v>
      </c>
      <c r="AF1195" s="1" t="s">
        <v>51</v>
      </c>
      <c r="AG1195" s="1" t="s">
        <v>51</v>
      </c>
      <c r="AH1195" s="1"/>
      <c r="AI1195" s="1"/>
      <c r="AJ1195" s="3">
        <v>1</v>
      </c>
      <c r="AK1195" s="1" t="s">
        <v>52</v>
      </c>
      <c r="AL1195" s="3">
        <v>3</v>
      </c>
      <c r="AM1195" s="8">
        <v>8</v>
      </c>
      <c r="AN1195" s="1"/>
      <c r="AO1195" s="1" t="s">
        <v>7664</v>
      </c>
      <c r="AP1195" s="1" t="s">
        <v>813</v>
      </c>
      <c r="AQ1195" s="1" t="s">
        <v>7665</v>
      </c>
      <c r="AR1195" s="1" t="s">
        <v>7666</v>
      </c>
    </row>
    <row r="1196">
      <c r="A1196" s="2">
        <f ca="1">DATE(2004,01,30)</f>
        <v>0</v>
      </c>
      <c r="B1196" s="2">
        <f ca="1">DATE(2004,05,06)</f>
        <v>0</v>
      </c>
      <c r="C1196" s="1" t="s">
        <v>7667</v>
      </c>
      <c r="D1196" s="3">
        <v>1799</v>
      </c>
      <c r="E1196" s="1" t="s">
        <v>43</v>
      </c>
      <c r="F1196" s="1" t="s">
        <v>7668</v>
      </c>
      <c r="G1196" s="1" t="s">
        <v>813</v>
      </c>
      <c r="H1196" s="4">
        <v>0.84499999999999997</v>
      </c>
      <c r="I1196" s="4">
        <v>6.5</v>
      </c>
      <c r="J1196" s="5">
        <v>111.8</v>
      </c>
      <c r="K1196" s="4">
        <v>13</v>
      </c>
      <c r="L1196" s="1" t="s">
        <v>46</v>
      </c>
      <c r="M1196" s="1" t="s">
        <v>47</v>
      </c>
      <c r="N1196" s="1" t="s">
        <v>7669</v>
      </c>
      <c r="O1196" s="1" t="s">
        <v>108</v>
      </c>
      <c r="P1196" s="1" t="s">
        <v>7670</v>
      </c>
      <c r="Q1196" s="4">
        <v>1.077</v>
      </c>
      <c r="R1196" s="4">
        <v>1.5229999999999999</v>
      </c>
      <c r="S1196" s="8">
        <v>3.8999999999999999</v>
      </c>
      <c r="T1196" s="1" t="s">
        <v>50</v>
      </c>
      <c r="U1196" s="1"/>
      <c r="V1196" s="1"/>
      <c r="W1196" s="1"/>
      <c r="X1196" s="5">
        <v>287.5</v>
      </c>
      <c r="Y1196" s="7">
        <v>8500000</v>
      </c>
      <c r="Z1196" s="7">
        <v>100000</v>
      </c>
      <c r="AA1196" s="2">
        <f ca="1">DATE(2004,11,02)</f>
        <v>0</v>
      </c>
      <c r="AB1196" s="4">
        <v>78.043000000000006</v>
      </c>
      <c r="AC1196" s="3">
        <v>180</v>
      </c>
      <c r="AD1196" s="8">
        <v>30567163</v>
      </c>
      <c r="AE1196" s="1" t="s">
        <v>51</v>
      </c>
      <c r="AF1196" s="1" t="s">
        <v>51</v>
      </c>
      <c r="AG1196" s="1" t="s">
        <v>51</v>
      </c>
      <c r="AH1196" s="1"/>
      <c r="AI1196" s="1"/>
      <c r="AJ1196" s="3">
        <v>1</v>
      </c>
      <c r="AK1196" s="1" t="s">
        <v>89</v>
      </c>
      <c r="AL1196" s="3">
        <v>6</v>
      </c>
      <c r="AM1196" s="8">
        <v>12.65</v>
      </c>
      <c r="AN1196" s="1"/>
      <c r="AO1196" s="1" t="s">
        <v>7671</v>
      </c>
      <c r="AP1196" s="1" t="s">
        <v>3886</v>
      </c>
      <c r="AQ1196" s="1" t="s">
        <v>7672</v>
      </c>
      <c r="AR1196" s="1" t="s">
        <v>7673</v>
      </c>
    </row>
    <row r="1197">
      <c r="A1197" s="2">
        <f ca="1">DATE(2004,02,10)</f>
        <v>0</v>
      </c>
      <c r="B1197" s="2">
        <f ca="1">DATE(2004,05,10)</f>
        <v>0</v>
      </c>
      <c r="C1197" s="1" t="s">
        <v>7674</v>
      </c>
      <c r="D1197" s="3">
        <v>1311</v>
      </c>
      <c r="E1197" s="1" t="s">
        <v>43</v>
      </c>
      <c r="F1197" s="1" t="s">
        <v>7675</v>
      </c>
      <c r="G1197" s="1" t="s">
        <v>84</v>
      </c>
      <c r="H1197" s="4">
        <v>1.085</v>
      </c>
      <c r="I1197" s="8">
        <v>7</v>
      </c>
      <c r="J1197" s="5">
        <v>35.700000000000003</v>
      </c>
      <c r="K1197" s="4">
        <v>15.5</v>
      </c>
      <c r="L1197" s="1" t="s">
        <v>46</v>
      </c>
      <c r="M1197" s="1" t="s">
        <v>47</v>
      </c>
      <c r="N1197" s="1" t="s">
        <v>7676</v>
      </c>
      <c r="O1197" s="1" t="s">
        <v>48</v>
      </c>
      <c r="P1197" s="1" t="s">
        <v>7677</v>
      </c>
      <c r="Q1197" s="4">
        <v>1.387</v>
      </c>
      <c r="R1197" s="4">
        <v>1.419</v>
      </c>
      <c r="S1197" s="6">
        <v>4.1935500000000001</v>
      </c>
      <c r="T1197" s="1" t="s">
        <v>50</v>
      </c>
      <c r="U1197" s="8">
        <v>16</v>
      </c>
      <c r="V1197" s="8">
        <v>14</v>
      </c>
      <c r="W1197" s="7">
        <v>2300000</v>
      </c>
      <c r="X1197" s="5">
        <v>34.5</v>
      </c>
      <c r="Y1197" s="7">
        <v>2300000</v>
      </c>
      <c r="Z1197" s="1"/>
      <c r="AA1197" s="2">
        <f ca="1">DATE(2004,11,06)</f>
        <v>0</v>
      </c>
      <c r="AB1197" s="4">
        <v>80.162000000000006</v>
      </c>
      <c r="AC1197" s="3">
        <v>180</v>
      </c>
      <c r="AD1197" s="8">
        <v>10688333</v>
      </c>
      <c r="AE1197" s="1" t="s">
        <v>51</v>
      </c>
      <c r="AF1197" s="1" t="s">
        <v>51</v>
      </c>
      <c r="AG1197" s="1" t="s">
        <v>51</v>
      </c>
      <c r="AH1197" s="1"/>
      <c r="AI1197" s="1"/>
      <c r="AJ1197" s="3">
        <v>1</v>
      </c>
      <c r="AK1197" s="1" t="s">
        <v>89</v>
      </c>
      <c r="AL1197" s="3">
        <v>2</v>
      </c>
      <c r="AM1197" s="8">
        <v>18.140000000000001</v>
      </c>
      <c r="AN1197" s="1"/>
      <c r="AO1197" s="1" t="s">
        <v>7678</v>
      </c>
      <c r="AP1197" s="1" t="s">
        <v>91</v>
      </c>
      <c r="AQ1197" s="1" t="s">
        <v>92</v>
      </c>
      <c r="AR1197" s="1" t="s">
        <v>93</v>
      </c>
    </row>
    <row r="1198">
      <c r="A1198" s="2">
        <f ca="1">DATE(2004,03,05)</f>
        <v>0</v>
      </c>
      <c r="B1198" s="2">
        <f ca="1">DATE(2004,05,12)</f>
        <v>0</v>
      </c>
      <c r="C1198" s="1" t="s">
        <v>7679</v>
      </c>
      <c r="D1198" s="3">
        <v>3841</v>
      </c>
      <c r="E1198" s="1" t="s">
        <v>43</v>
      </c>
      <c r="F1198" s="1" t="s">
        <v>7680</v>
      </c>
      <c r="G1198" s="1" t="s">
        <v>307</v>
      </c>
      <c r="H1198" s="4">
        <v>0.77000000000000002</v>
      </c>
      <c r="I1198" s="4">
        <v>7</v>
      </c>
      <c r="J1198" s="5">
        <v>71.5</v>
      </c>
      <c r="K1198" s="4">
        <v>11</v>
      </c>
      <c r="L1198" s="1" t="s">
        <v>46</v>
      </c>
      <c r="M1198" s="1" t="s">
        <v>47</v>
      </c>
      <c r="N1198" s="3">
        <v>670704105</v>
      </c>
      <c r="O1198" s="1" t="s">
        <v>48</v>
      </c>
      <c r="P1198" s="1" t="s">
        <v>7681</v>
      </c>
      <c r="Q1198" s="4">
        <v>1.3999999999999999</v>
      </c>
      <c r="R1198" s="4">
        <v>1.3999999999999999</v>
      </c>
      <c r="S1198" s="8">
        <v>4.2000000000000002</v>
      </c>
      <c r="T1198" s="1" t="s">
        <v>50</v>
      </c>
      <c r="U1198" s="1"/>
      <c r="V1198" s="1"/>
      <c r="W1198" s="1"/>
      <c r="X1198" s="5">
        <v>92</v>
      </c>
      <c r="Y1198" s="7">
        <v>6500000</v>
      </c>
      <c r="Z1198" s="1"/>
      <c r="AA1198" s="2">
        <f ca="1">DATE(2004,11,08)</f>
        <v>0</v>
      </c>
      <c r="AB1198" s="4">
        <v>63.146000000000001</v>
      </c>
      <c r="AC1198" s="3">
        <v>180</v>
      </c>
      <c r="AD1198" s="8">
        <v>14981906</v>
      </c>
      <c r="AE1198" s="1" t="s">
        <v>51</v>
      </c>
      <c r="AF1198" s="1" t="s">
        <v>51</v>
      </c>
      <c r="AG1198" s="1" t="s">
        <v>47</v>
      </c>
      <c r="AH1198" s="1"/>
      <c r="AI1198" s="1"/>
      <c r="AJ1198" s="3">
        <v>2</v>
      </c>
      <c r="AK1198" s="1" t="s">
        <v>89</v>
      </c>
      <c r="AL1198" s="3">
        <v>4</v>
      </c>
      <c r="AM1198" s="8">
        <v>11.4</v>
      </c>
      <c r="AN1198" s="1"/>
      <c r="AO1198" s="1" t="s">
        <v>7682</v>
      </c>
      <c r="AP1198" s="1" t="s">
        <v>332</v>
      </c>
      <c r="AQ1198" s="1" t="s">
        <v>7683</v>
      </c>
      <c r="AR1198" s="1" t="s">
        <v>7681</v>
      </c>
    </row>
    <row r="1199">
      <c r="A1199" s="2">
        <f ca="1">DATE(2004,04,02)</f>
        <v>0</v>
      </c>
      <c r="B1199" s="2">
        <f ca="1">DATE(2004,05,12)</f>
        <v>0</v>
      </c>
      <c r="C1199" s="1" t="s">
        <v>7684</v>
      </c>
      <c r="D1199" s="3">
        <v>7375</v>
      </c>
      <c r="E1199" s="1" t="s">
        <v>744</v>
      </c>
      <c r="F1199" s="1" t="s">
        <v>7685</v>
      </c>
      <c r="G1199" s="1" t="s">
        <v>160</v>
      </c>
      <c r="H1199" s="4">
        <v>0.71499999999999997</v>
      </c>
      <c r="I1199" s="4">
        <v>6.5</v>
      </c>
      <c r="J1199" s="5">
        <v>91.400000000000006</v>
      </c>
      <c r="K1199" s="4">
        <v>11</v>
      </c>
      <c r="L1199" s="1" t="s">
        <v>651</v>
      </c>
      <c r="M1199" s="1" t="s">
        <v>47</v>
      </c>
      <c r="N1199" s="1" t="s">
        <v>7686</v>
      </c>
      <c r="O1199" s="1" t="s">
        <v>48</v>
      </c>
      <c r="P1199" s="1" t="s">
        <v>7687</v>
      </c>
      <c r="Q1199" s="1" t="s">
        <v>145</v>
      </c>
      <c r="R1199" s="1" t="s">
        <v>145</v>
      </c>
      <c r="S1199" s="8">
        <v>3.8999999999999999</v>
      </c>
      <c r="T1199" s="1" t="s">
        <v>50</v>
      </c>
      <c r="U1199" s="1"/>
      <c r="V1199" s="1"/>
      <c r="W1199" s="1"/>
      <c r="X1199" s="1"/>
      <c r="Y1199" s="7">
        <v>4101063</v>
      </c>
      <c r="Z1199" s="7">
        <v>4211630</v>
      </c>
      <c r="AA1199" s="2">
        <f ca="1">DATE(2004,11,08)</f>
        <v>0</v>
      </c>
      <c r="AB1199" s="1"/>
      <c r="AC1199" s="3">
        <v>180</v>
      </c>
      <c r="AD1199" s="1"/>
      <c r="AE1199" s="1" t="s">
        <v>47</v>
      </c>
      <c r="AF1199" s="1" t="s">
        <v>51</v>
      </c>
      <c r="AG1199" s="1" t="s">
        <v>47</v>
      </c>
      <c r="AH1199" s="1"/>
      <c r="AI1199" s="1"/>
      <c r="AJ1199" s="3">
        <v>1</v>
      </c>
      <c r="AK1199" s="1" t="s">
        <v>52</v>
      </c>
      <c r="AL1199" s="3">
        <v>6</v>
      </c>
      <c r="AM1199" s="8">
        <v>11.970000000000001</v>
      </c>
      <c r="AN1199" s="1"/>
      <c r="AO1199" s="1" t="s">
        <v>7688</v>
      </c>
      <c r="AP1199" s="1" t="s">
        <v>160</v>
      </c>
      <c r="AQ1199" s="1" t="s">
        <v>7689</v>
      </c>
      <c r="AR1199" s="1" t="s">
        <v>7690</v>
      </c>
    </row>
    <row r="1200">
      <c r="A1200" s="2">
        <f ca="1">DATE(2004,04,02)</f>
        <v>0</v>
      </c>
      <c r="B1200" s="2">
        <f ca="1">DATE(2004,05,12)</f>
        <v>0</v>
      </c>
      <c r="C1200" s="1" t="s">
        <v>7684</v>
      </c>
      <c r="D1200" s="3">
        <v>7375</v>
      </c>
      <c r="E1200" s="1" t="s">
        <v>744</v>
      </c>
      <c r="F1200" s="1" t="s">
        <v>7685</v>
      </c>
      <c r="G1200" s="1" t="s">
        <v>160</v>
      </c>
      <c r="H1200" s="4">
        <v>0.71499999999999997</v>
      </c>
      <c r="I1200" s="4">
        <v>6.5</v>
      </c>
      <c r="J1200" s="5">
        <v>30.5</v>
      </c>
      <c r="K1200" s="8">
        <v>11</v>
      </c>
      <c r="L1200" s="1" t="s">
        <v>651</v>
      </c>
      <c r="M1200" s="1" t="s">
        <v>47</v>
      </c>
      <c r="N1200" s="1" t="s">
        <v>7686</v>
      </c>
      <c r="O1200" s="1" t="s">
        <v>48</v>
      </c>
      <c r="P1200" s="1" t="s">
        <v>7687</v>
      </c>
      <c r="Q1200" s="1" t="s">
        <v>145</v>
      </c>
      <c r="R1200" s="1" t="s">
        <v>145</v>
      </c>
      <c r="S1200" s="8">
        <v>3.8999999999999999</v>
      </c>
      <c r="T1200" s="1" t="s">
        <v>60</v>
      </c>
      <c r="U1200" s="1"/>
      <c r="V1200" s="1"/>
      <c r="W1200" s="1"/>
      <c r="X1200" s="1"/>
      <c r="Y1200" s="7">
        <v>2770897</v>
      </c>
      <c r="Z1200" s="1"/>
      <c r="AA1200" s="1"/>
      <c r="AB1200" s="1"/>
      <c r="AC1200" s="3">
        <v>180</v>
      </c>
      <c r="AD1200" s="1"/>
      <c r="AE1200" s="1" t="s">
        <v>47</v>
      </c>
      <c r="AF1200" s="1" t="s">
        <v>51</v>
      </c>
      <c r="AG1200" s="1" t="s">
        <v>47</v>
      </c>
      <c r="AH1200" s="1"/>
      <c r="AI1200" s="1"/>
      <c r="AJ1200" s="3">
        <v>1</v>
      </c>
      <c r="AK1200" s="1" t="s">
        <v>52</v>
      </c>
      <c r="AL1200" s="3">
        <v>6</v>
      </c>
      <c r="AM1200" s="1"/>
      <c r="AN1200" s="1"/>
      <c r="AO1200" s="1" t="s">
        <v>7688</v>
      </c>
      <c r="AP1200" s="1" t="s">
        <v>160</v>
      </c>
      <c r="AQ1200" s="1" t="s">
        <v>7689</v>
      </c>
      <c r="AR1200" s="1" t="s">
        <v>7690</v>
      </c>
    </row>
    <row r="1201">
      <c r="A1201" s="2">
        <f ca="1">DATE(2004,04,02)</f>
        <v>0</v>
      </c>
      <c r="B1201" s="2">
        <f ca="1">DATE(2004,05,12)</f>
        <v>0</v>
      </c>
      <c r="C1201" s="1" t="s">
        <v>7684</v>
      </c>
      <c r="D1201" s="3">
        <v>7375</v>
      </c>
      <c r="E1201" s="1" t="s">
        <v>744</v>
      </c>
      <c r="F1201" s="1" t="s">
        <v>7685</v>
      </c>
      <c r="G1201" s="1" t="s">
        <v>160</v>
      </c>
      <c r="H1201" s="4">
        <v>0.71499999999999997</v>
      </c>
      <c r="I1201" s="4">
        <v>6.5</v>
      </c>
      <c r="J1201" s="5">
        <v>30.5</v>
      </c>
      <c r="K1201" s="8">
        <v>11</v>
      </c>
      <c r="L1201" s="1" t="s">
        <v>651</v>
      </c>
      <c r="M1201" s="1" t="s">
        <v>47</v>
      </c>
      <c r="N1201" s="1" t="s">
        <v>7686</v>
      </c>
      <c r="O1201" s="1" t="s">
        <v>48</v>
      </c>
      <c r="P1201" s="1" t="s">
        <v>7687</v>
      </c>
      <c r="Q1201" s="1" t="s">
        <v>145</v>
      </c>
      <c r="R1201" s="1" t="s">
        <v>145</v>
      </c>
      <c r="S1201" s="8">
        <v>3.8999999999999999</v>
      </c>
      <c r="T1201" s="1" t="s">
        <v>60</v>
      </c>
      <c r="U1201" s="1"/>
      <c r="V1201" s="1"/>
      <c r="W1201" s="1"/>
      <c r="X1201" s="1"/>
      <c r="Y1201" s="7">
        <v>2770897</v>
      </c>
      <c r="Z1201" s="1"/>
      <c r="AA1201" s="1"/>
      <c r="AB1201" s="1"/>
      <c r="AC1201" s="3">
        <v>180</v>
      </c>
      <c r="AD1201" s="1"/>
      <c r="AE1201" s="1" t="s">
        <v>47</v>
      </c>
      <c r="AF1201" s="1" t="s">
        <v>51</v>
      </c>
      <c r="AG1201" s="1" t="s">
        <v>47</v>
      </c>
      <c r="AH1201" s="1"/>
      <c r="AI1201" s="1"/>
      <c r="AJ1201" s="3">
        <v>1</v>
      </c>
      <c r="AK1201" s="1" t="s">
        <v>52</v>
      </c>
      <c r="AL1201" s="3">
        <v>6</v>
      </c>
      <c r="AM1201" s="1"/>
      <c r="AN1201" s="1"/>
      <c r="AO1201" s="1" t="s">
        <v>7688</v>
      </c>
      <c r="AP1201" s="1" t="s">
        <v>160</v>
      </c>
      <c r="AQ1201" s="1" t="s">
        <v>7689</v>
      </c>
      <c r="AR1201" s="1" t="s">
        <v>7690</v>
      </c>
    </row>
    <row r="1202">
      <c r="A1202" s="2">
        <f ca="1">DATE(2004,03,12)</f>
        <v>0</v>
      </c>
      <c r="B1202" s="2">
        <f ca="1">DATE(2004,05,12)</f>
        <v>0</v>
      </c>
      <c r="C1202" s="1" t="s">
        <v>7691</v>
      </c>
      <c r="D1202" s="3">
        <v>6726</v>
      </c>
      <c r="E1202" s="1" t="s">
        <v>43</v>
      </c>
      <c r="F1202" s="1" t="s">
        <v>7692</v>
      </c>
      <c r="G1202" s="1" t="s">
        <v>7222</v>
      </c>
      <c r="H1202" s="4">
        <v>0.54000000000000004</v>
      </c>
      <c r="I1202" s="4">
        <v>9</v>
      </c>
      <c r="J1202" s="5">
        <v>33</v>
      </c>
      <c r="K1202" s="4">
        <v>6</v>
      </c>
      <c r="L1202" s="1" t="s">
        <v>46</v>
      </c>
      <c r="M1202" s="1" t="s">
        <v>47</v>
      </c>
      <c r="N1202" s="3">
        <v>894727205</v>
      </c>
      <c r="O1202" s="1" t="s">
        <v>77</v>
      </c>
      <c r="P1202" s="1" t="s">
        <v>7693</v>
      </c>
      <c r="Q1202" s="1" t="s">
        <v>145</v>
      </c>
      <c r="R1202" s="1" t="s">
        <v>145</v>
      </c>
      <c r="S1202" s="8">
        <v>5</v>
      </c>
      <c r="T1202" s="1" t="s">
        <v>50</v>
      </c>
      <c r="U1202" s="8">
        <v>6</v>
      </c>
      <c r="V1202" s="8">
        <v>6</v>
      </c>
      <c r="W1202" s="7">
        <v>3500000</v>
      </c>
      <c r="X1202" s="5">
        <v>21</v>
      </c>
      <c r="Y1202" s="7">
        <v>5500000</v>
      </c>
      <c r="Z1202" s="1"/>
      <c r="AA1202" s="1"/>
      <c r="AB1202" s="4">
        <v>20</v>
      </c>
      <c r="AC1202" s="1"/>
      <c r="AD1202" s="8">
        <v>1375000</v>
      </c>
      <c r="AE1202" s="1" t="s">
        <v>51</v>
      </c>
      <c r="AF1202" s="1" t="s">
        <v>51</v>
      </c>
      <c r="AG1202" s="1" t="s">
        <v>51</v>
      </c>
      <c r="AH1202" s="1"/>
      <c r="AI1202" s="1"/>
      <c r="AJ1202" s="3">
        <v>1</v>
      </c>
      <c r="AK1202" s="1" t="s">
        <v>52</v>
      </c>
      <c r="AL1202" s="3">
        <v>1</v>
      </c>
      <c r="AM1202" s="8">
        <v>6.2000000000000002</v>
      </c>
      <c r="AN1202" s="1"/>
      <c r="AO1202" s="1" t="s">
        <v>7694</v>
      </c>
      <c r="AP1202" s="1" t="s">
        <v>7222</v>
      </c>
      <c r="AQ1202" s="1" t="s">
        <v>7222</v>
      </c>
      <c r="AR1202" s="1" t="s">
        <v>7339</v>
      </c>
    </row>
    <row r="1203">
      <c r="A1203" s="2">
        <f ca="1">DATE(2004,02,23)</f>
        <v>0</v>
      </c>
      <c r="B1203" s="2">
        <f ca="1">DATE(2004,05,19)</f>
        <v>0</v>
      </c>
      <c r="C1203" s="1" t="s">
        <v>7695</v>
      </c>
      <c r="D1203" s="3">
        <v>3841</v>
      </c>
      <c r="E1203" s="1" t="s">
        <v>43</v>
      </c>
      <c r="F1203" s="1" t="s">
        <v>7696</v>
      </c>
      <c r="G1203" s="1" t="s">
        <v>7697</v>
      </c>
      <c r="H1203" s="4">
        <v>1.05</v>
      </c>
      <c r="I1203" s="4">
        <v>7</v>
      </c>
      <c r="J1203" s="5">
        <v>63.799999999999997</v>
      </c>
      <c r="K1203" s="4">
        <v>15</v>
      </c>
      <c r="L1203" s="1" t="s">
        <v>46</v>
      </c>
      <c r="M1203" s="1" t="s">
        <v>47</v>
      </c>
      <c r="N1203" s="1" t="s">
        <v>7698</v>
      </c>
      <c r="O1203" s="1" t="s">
        <v>48</v>
      </c>
      <c r="P1203" s="1" t="s">
        <v>7699</v>
      </c>
      <c r="Q1203" s="4">
        <v>1.3999999999999999</v>
      </c>
      <c r="R1203" s="4">
        <v>1.3999999999999999</v>
      </c>
      <c r="S1203" s="8">
        <v>4.2000000000000002</v>
      </c>
      <c r="T1203" s="1" t="s">
        <v>50</v>
      </c>
      <c r="U1203" s="1"/>
      <c r="V1203" s="1"/>
      <c r="W1203" s="1"/>
      <c r="X1203" s="5">
        <v>69</v>
      </c>
      <c r="Y1203" s="7">
        <v>4250000</v>
      </c>
      <c r="Z1203" s="1"/>
      <c r="AA1203" s="2">
        <f ca="1">DATE(2004,11,15)</f>
        <v>0</v>
      </c>
      <c r="AB1203" s="4">
        <v>73.034000000000006</v>
      </c>
      <c r="AC1203" s="3">
        <v>180</v>
      </c>
      <c r="AD1203" s="8">
        <v>14000000</v>
      </c>
      <c r="AE1203" s="1" t="s">
        <v>51</v>
      </c>
      <c r="AF1203" s="1" t="s">
        <v>51</v>
      </c>
      <c r="AG1203" s="1" t="s">
        <v>47</v>
      </c>
      <c r="AH1203" s="1"/>
      <c r="AI1203" s="1"/>
      <c r="AJ1203" s="3">
        <v>2</v>
      </c>
      <c r="AK1203" s="1" t="s">
        <v>89</v>
      </c>
      <c r="AL1203" s="3">
        <v>3</v>
      </c>
      <c r="AM1203" s="8">
        <v>18</v>
      </c>
      <c r="AN1203" s="1"/>
      <c r="AO1203" s="1" t="s">
        <v>7700</v>
      </c>
      <c r="AP1203" s="1" t="s">
        <v>7701</v>
      </c>
      <c r="AQ1203" s="1" t="s">
        <v>7702</v>
      </c>
      <c r="AR1203" s="1" t="s">
        <v>7703</v>
      </c>
    </row>
    <row r="1204">
      <c r="A1204" s="2">
        <f ca="1">DATE(2004,03,11)</f>
        <v>0</v>
      </c>
      <c r="B1204" s="2">
        <f ca="1">DATE(2004,05,19)</f>
        <v>0</v>
      </c>
      <c r="C1204" s="1" t="s">
        <v>7704</v>
      </c>
      <c r="D1204" s="3">
        <v>7375</v>
      </c>
      <c r="E1204" s="1" t="s">
        <v>43</v>
      </c>
      <c r="F1204" s="1" t="s">
        <v>7705</v>
      </c>
      <c r="G1204" s="1" t="s">
        <v>45</v>
      </c>
      <c r="H1204" s="4">
        <v>1.4350000000000001</v>
      </c>
      <c r="I1204" s="4">
        <v>7</v>
      </c>
      <c r="J1204" s="5">
        <v>76.700000000000003</v>
      </c>
      <c r="K1204" s="4">
        <v>20.5</v>
      </c>
      <c r="L1204" s="1" t="s">
        <v>46</v>
      </c>
      <c r="M1204" s="1" t="s">
        <v>47</v>
      </c>
      <c r="N1204" s="1" t="s">
        <v>7706</v>
      </c>
      <c r="O1204" s="1" t="s">
        <v>48</v>
      </c>
      <c r="P1204" s="1" t="s">
        <v>7707</v>
      </c>
      <c r="Q1204" s="4">
        <v>1.415</v>
      </c>
      <c r="R1204" s="4">
        <v>1.3899999999999999</v>
      </c>
      <c r="S1204" s="6">
        <v>4.1951200000000002</v>
      </c>
      <c r="T1204" s="1" t="s">
        <v>50</v>
      </c>
      <c r="U1204" s="1"/>
      <c r="V1204" s="1"/>
      <c r="W1204" s="1"/>
      <c r="X1204" s="5">
        <v>75</v>
      </c>
      <c r="Y1204" s="7">
        <v>2000000</v>
      </c>
      <c r="Z1204" s="7">
        <v>1740000</v>
      </c>
      <c r="AA1204" s="2">
        <f ca="1">DATE(2004,11,15)</f>
        <v>0</v>
      </c>
      <c r="AB1204" s="4">
        <v>77.094999999999999</v>
      </c>
      <c r="AC1204" s="3">
        <v>180</v>
      </c>
      <c r="AD1204" s="8">
        <v>13601239</v>
      </c>
      <c r="AE1204" s="1" t="s">
        <v>51</v>
      </c>
      <c r="AF1204" s="1" t="s">
        <v>51</v>
      </c>
      <c r="AG1204" s="1" t="s">
        <v>47</v>
      </c>
      <c r="AH1204" s="1"/>
      <c r="AI1204" s="1"/>
      <c r="AJ1204" s="3">
        <v>1</v>
      </c>
      <c r="AK1204" s="1" t="s">
        <v>89</v>
      </c>
      <c r="AL1204" s="3">
        <v>3</v>
      </c>
      <c r="AM1204" s="8">
        <v>28.399999999999999</v>
      </c>
      <c r="AN1204" s="1"/>
      <c r="AO1204" s="1" t="s">
        <v>7708</v>
      </c>
      <c r="AP1204" s="1" t="s">
        <v>7709</v>
      </c>
      <c r="AQ1204" s="1" t="s">
        <v>7710</v>
      </c>
      <c r="AR1204" s="1" t="s">
        <v>7711</v>
      </c>
    </row>
    <row r="1205">
      <c r="A1205" s="2">
        <f ca="1">DATE(2004,01,20)</f>
        <v>0</v>
      </c>
      <c r="B1205" s="2">
        <f ca="1">DATE(2004,05,24)</f>
        <v>0</v>
      </c>
      <c r="C1205" s="1" t="s">
        <v>7712</v>
      </c>
      <c r="D1205" s="3">
        <v>6311</v>
      </c>
      <c r="E1205" s="1" t="s">
        <v>43</v>
      </c>
      <c r="F1205" s="1"/>
      <c r="G1205" s="1" t="s">
        <v>4160</v>
      </c>
      <c r="H1205" s="4">
        <v>0.68300000000000005</v>
      </c>
      <c r="I1205" s="4">
        <v>3.5</v>
      </c>
      <c r="J1205" s="9">
        <v>2827.5</v>
      </c>
      <c r="K1205" s="4">
        <v>19.5</v>
      </c>
      <c r="L1205" s="1" t="s">
        <v>152</v>
      </c>
      <c r="M1205" s="1" t="s">
        <v>47</v>
      </c>
      <c r="N1205" s="1" t="s">
        <v>7713</v>
      </c>
      <c r="O1205" s="1"/>
      <c r="P1205" s="1" t="s">
        <v>7714</v>
      </c>
      <c r="Q1205" s="4">
        <v>0.67900000000000005</v>
      </c>
      <c r="R1205" s="4">
        <v>0.56399999999999995</v>
      </c>
      <c r="S1205" s="6">
        <v>2.2564099999999998</v>
      </c>
      <c r="T1205" s="1" t="s">
        <v>50</v>
      </c>
      <c r="U1205" s="1"/>
      <c r="V1205" s="1"/>
      <c r="W1205" s="1"/>
      <c r="X1205" s="5">
        <v>500</v>
      </c>
      <c r="Y1205" s="1"/>
      <c r="Z1205" s="7">
        <v>145000000</v>
      </c>
      <c r="AA1205" s="2">
        <f ca="1">DATE(2004,11,20)</f>
        <v>0</v>
      </c>
      <c r="AB1205" s="1"/>
      <c r="AC1205" s="3">
        <v>180</v>
      </c>
      <c r="AD1205" s="1"/>
      <c r="AE1205" s="1" t="s">
        <v>51</v>
      </c>
      <c r="AF1205" s="1" t="s">
        <v>51</v>
      </c>
      <c r="AG1205" s="1" t="s">
        <v>51</v>
      </c>
      <c r="AH1205" s="1" t="s">
        <v>7715</v>
      </c>
      <c r="AI1205" s="1" t="s">
        <v>7715</v>
      </c>
      <c r="AJ1205" s="3">
        <v>2</v>
      </c>
      <c r="AK1205" s="1" t="s">
        <v>89</v>
      </c>
      <c r="AL1205" s="3">
        <v>21</v>
      </c>
      <c r="AM1205" s="8">
        <v>19.5</v>
      </c>
      <c r="AN1205" s="1"/>
      <c r="AO1205" s="1" t="s">
        <v>7716</v>
      </c>
      <c r="AP1205" s="1" t="s">
        <v>4164</v>
      </c>
      <c r="AQ1205" s="1" t="s">
        <v>7717</v>
      </c>
      <c r="AR1205" s="1" t="s">
        <v>7718</v>
      </c>
    </row>
    <row r="1206">
      <c r="A1206" s="2">
        <f ca="1">DATE(2004,03,26)</f>
        <v>0</v>
      </c>
      <c r="B1206" s="2">
        <f ca="1">DATE(2004,05,25)</f>
        <v>0</v>
      </c>
      <c r="C1206" s="1" t="s">
        <v>7719</v>
      </c>
      <c r="D1206" s="3">
        <v>6726</v>
      </c>
      <c r="E1206" s="1" t="s">
        <v>43</v>
      </c>
      <c r="F1206" s="1" t="s">
        <v>7720</v>
      </c>
      <c r="G1206" s="1" t="s">
        <v>45</v>
      </c>
      <c r="H1206" s="4">
        <v>0.90000000000000002</v>
      </c>
      <c r="I1206" s="4">
        <v>4.5</v>
      </c>
      <c r="J1206" s="5">
        <v>460</v>
      </c>
      <c r="K1206" s="4">
        <v>20</v>
      </c>
      <c r="L1206" s="1" t="s">
        <v>4422</v>
      </c>
      <c r="M1206" s="1" t="s">
        <v>47</v>
      </c>
      <c r="N1206" s="3">
        <v>337334108</v>
      </c>
      <c r="O1206" s="1" t="s">
        <v>108</v>
      </c>
      <c r="P1206" s="1" t="s">
        <v>7721</v>
      </c>
      <c r="Q1206" s="4">
        <v>1</v>
      </c>
      <c r="R1206" s="4">
        <v>0.5</v>
      </c>
      <c r="S1206" s="8">
        <v>3</v>
      </c>
      <c r="T1206" s="1" t="s">
        <v>50</v>
      </c>
      <c r="U1206" s="8">
        <v>20</v>
      </c>
      <c r="V1206" s="8">
        <v>20</v>
      </c>
      <c r="W1206" s="7">
        <v>1000</v>
      </c>
      <c r="X1206" s="5">
        <v>0</v>
      </c>
      <c r="Y1206" s="7">
        <v>23000000</v>
      </c>
      <c r="Z1206" s="1"/>
      <c r="AA1206" s="2">
        <f ca="1">DATE(2004,11,21)</f>
        <v>0</v>
      </c>
      <c r="AB1206" s="1"/>
      <c r="AC1206" s="3">
        <v>180</v>
      </c>
      <c r="AD1206" s="1"/>
      <c r="AE1206" s="1" t="s">
        <v>51</v>
      </c>
      <c r="AF1206" s="1" t="s">
        <v>51</v>
      </c>
      <c r="AG1206" s="1" t="s">
        <v>51</v>
      </c>
      <c r="AH1206" s="1"/>
      <c r="AI1206" s="1"/>
      <c r="AJ1206" s="3">
        <v>1</v>
      </c>
      <c r="AK1206" s="1" t="s">
        <v>52</v>
      </c>
      <c r="AL1206" s="3">
        <v>12</v>
      </c>
      <c r="AM1206" s="8">
        <v>20.010000000000002</v>
      </c>
      <c r="AN1206" s="1"/>
      <c r="AO1206" s="1" t="s">
        <v>7722</v>
      </c>
      <c r="AP1206" s="1" t="s">
        <v>45</v>
      </c>
      <c r="AQ1206" s="1" t="s">
        <v>7723</v>
      </c>
      <c r="AR1206" s="1" t="s">
        <v>7724</v>
      </c>
    </row>
    <row r="1207">
      <c r="A1207" s="2">
        <f ca="1">DATE(2004,03,15)</f>
        <v>0</v>
      </c>
      <c r="B1207" s="2">
        <f ca="1">DATE(2004,05,25)</f>
        <v>0</v>
      </c>
      <c r="C1207" s="1" t="s">
        <v>7725</v>
      </c>
      <c r="D1207" s="3">
        <v>6726</v>
      </c>
      <c r="E1207" s="1" t="s">
        <v>43</v>
      </c>
      <c r="F1207" s="1" t="s">
        <v>7726</v>
      </c>
      <c r="G1207" s="1" t="s">
        <v>45</v>
      </c>
      <c r="H1207" s="4">
        <v>0.90000000000000002</v>
      </c>
      <c r="I1207" s="4">
        <v>4.5</v>
      </c>
      <c r="J1207" s="5">
        <v>58</v>
      </c>
      <c r="K1207" s="4">
        <v>20</v>
      </c>
      <c r="L1207" s="1" t="s">
        <v>4422</v>
      </c>
      <c r="M1207" s="1" t="s">
        <v>47</v>
      </c>
      <c r="N1207" s="1" t="s">
        <v>7727</v>
      </c>
      <c r="O1207" s="1" t="s">
        <v>87</v>
      </c>
      <c r="P1207" s="1" t="s">
        <v>7728</v>
      </c>
      <c r="Q1207" s="4">
        <v>1</v>
      </c>
      <c r="R1207" s="4">
        <v>0.5</v>
      </c>
      <c r="S1207" s="8">
        <v>3</v>
      </c>
      <c r="T1207" s="1" t="s">
        <v>50</v>
      </c>
      <c r="U1207" s="8">
        <v>20</v>
      </c>
      <c r="V1207" s="8">
        <v>20</v>
      </c>
      <c r="W1207" s="7">
        <v>100000</v>
      </c>
      <c r="X1207" s="5">
        <v>2</v>
      </c>
      <c r="Y1207" s="7">
        <v>2900000</v>
      </c>
      <c r="Z1207" s="1"/>
      <c r="AA1207" s="2">
        <f ca="1">DATE(2004,11,21)</f>
        <v>0</v>
      </c>
      <c r="AB1207" s="1"/>
      <c r="AC1207" s="3">
        <v>180</v>
      </c>
      <c r="AD1207" s="1"/>
      <c r="AE1207" s="1" t="s">
        <v>51</v>
      </c>
      <c r="AF1207" s="1" t="s">
        <v>51</v>
      </c>
      <c r="AG1207" s="1" t="s">
        <v>51</v>
      </c>
      <c r="AH1207" s="1"/>
      <c r="AI1207" s="1"/>
      <c r="AJ1207" s="3">
        <v>1</v>
      </c>
      <c r="AK1207" s="1" t="s">
        <v>110</v>
      </c>
      <c r="AL1207" s="3">
        <v>16</v>
      </c>
      <c r="AM1207" s="8">
        <v>20.010000000000002</v>
      </c>
      <c r="AN1207" s="1"/>
      <c r="AO1207" s="1" t="s">
        <v>7729</v>
      </c>
      <c r="AP1207" s="1" t="s">
        <v>7730</v>
      </c>
      <c r="AQ1207" s="1" t="s">
        <v>7731</v>
      </c>
      <c r="AR1207" s="1" t="s">
        <v>7732</v>
      </c>
    </row>
    <row r="1208">
      <c r="A1208" s="2">
        <f ca="1">DATE(2004,03,05)</f>
        <v>0</v>
      </c>
      <c r="B1208" s="2">
        <f ca="1">DATE(2004,05,25)</f>
        <v>0</v>
      </c>
      <c r="C1208" s="1" t="s">
        <v>7733</v>
      </c>
      <c r="D1208" s="3">
        <v>6726</v>
      </c>
      <c r="E1208" s="1" t="s">
        <v>43</v>
      </c>
      <c r="F1208" s="1" t="s">
        <v>7734</v>
      </c>
      <c r="G1208" s="1" t="s">
        <v>6201</v>
      </c>
      <c r="H1208" s="4">
        <v>0.67500000000000004</v>
      </c>
      <c r="I1208" s="4">
        <v>4.5</v>
      </c>
      <c r="J1208" s="5">
        <v>87.799999999999997</v>
      </c>
      <c r="K1208" s="4">
        <v>15</v>
      </c>
      <c r="L1208" s="1" t="s">
        <v>4422</v>
      </c>
      <c r="M1208" s="1" t="s">
        <v>47</v>
      </c>
      <c r="N1208" s="3">
        <v>783834104</v>
      </c>
      <c r="O1208" s="1" t="s">
        <v>87</v>
      </c>
      <c r="P1208" s="1" t="s">
        <v>7735</v>
      </c>
      <c r="Q1208" s="4">
        <v>0.93300000000000005</v>
      </c>
      <c r="R1208" s="4">
        <v>0.56699999999999995</v>
      </c>
      <c r="S1208" s="8">
        <v>3</v>
      </c>
      <c r="T1208" s="1" t="s">
        <v>50</v>
      </c>
      <c r="U1208" s="8">
        <v>15</v>
      </c>
      <c r="V1208" s="8">
        <v>15</v>
      </c>
      <c r="W1208" s="7">
        <v>100000</v>
      </c>
      <c r="X1208" s="5">
        <v>1.5</v>
      </c>
      <c r="Y1208" s="7">
        <v>5850000</v>
      </c>
      <c r="Z1208" s="1"/>
      <c r="AA1208" s="2">
        <f ca="1">DATE(2004,11,21)</f>
        <v>0</v>
      </c>
      <c r="AB1208" s="1"/>
      <c r="AC1208" s="3">
        <v>180</v>
      </c>
      <c r="AD1208" s="1"/>
      <c r="AE1208" s="1" t="s">
        <v>51</v>
      </c>
      <c r="AF1208" s="1" t="s">
        <v>51</v>
      </c>
      <c r="AG1208" s="1" t="s">
        <v>51</v>
      </c>
      <c r="AH1208" s="1"/>
      <c r="AI1208" s="1"/>
      <c r="AJ1208" s="3">
        <v>1</v>
      </c>
      <c r="AK1208" s="1" t="s">
        <v>52</v>
      </c>
      <c r="AL1208" s="3">
        <v>13</v>
      </c>
      <c r="AM1208" s="8">
        <v>15.02</v>
      </c>
      <c r="AN1208" s="1"/>
      <c r="AO1208" s="1" t="s">
        <v>7736</v>
      </c>
      <c r="AP1208" s="1" t="s">
        <v>6201</v>
      </c>
      <c r="AQ1208" s="1" t="s">
        <v>7737</v>
      </c>
      <c r="AR1208" s="1" t="s">
        <v>7738</v>
      </c>
    </row>
    <row r="1209">
      <c r="A1209" s="2">
        <f ca="1">DATE(2004,03,18)</f>
        <v>0</v>
      </c>
      <c r="B1209" s="2">
        <f ca="1">DATE(2004,05,25)</f>
        <v>0</v>
      </c>
      <c r="C1209" s="1" t="s">
        <v>7739</v>
      </c>
      <c r="D1209" s="3">
        <v>6726</v>
      </c>
      <c r="E1209" s="1" t="s">
        <v>43</v>
      </c>
      <c r="F1209" s="1" t="s">
        <v>7740</v>
      </c>
      <c r="G1209" s="1" t="s">
        <v>6201</v>
      </c>
      <c r="H1209" s="4">
        <v>0.90000000000000002</v>
      </c>
      <c r="I1209" s="4">
        <v>4.5</v>
      </c>
      <c r="J1209" s="5">
        <v>192</v>
      </c>
      <c r="K1209" s="4">
        <v>20</v>
      </c>
      <c r="L1209" s="1" t="s">
        <v>46</v>
      </c>
      <c r="M1209" s="1" t="s">
        <v>47</v>
      </c>
      <c r="N1209" s="1" t="s">
        <v>7741</v>
      </c>
      <c r="O1209" s="1" t="s">
        <v>108</v>
      </c>
      <c r="P1209" s="1" t="s">
        <v>7742</v>
      </c>
      <c r="Q1209" s="4">
        <v>0.94999999999999996</v>
      </c>
      <c r="R1209" s="4">
        <v>0.55000000000000004</v>
      </c>
      <c r="S1209" s="8">
        <v>3</v>
      </c>
      <c r="T1209" s="1" t="s">
        <v>50</v>
      </c>
      <c r="U1209" s="8">
        <v>20</v>
      </c>
      <c r="V1209" s="8">
        <v>20</v>
      </c>
      <c r="W1209" s="7">
        <v>50000</v>
      </c>
      <c r="X1209" s="5">
        <v>1</v>
      </c>
      <c r="Y1209" s="7">
        <v>9600000</v>
      </c>
      <c r="Z1209" s="1"/>
      <c r="AA1209" s="2">
        <f ca="1">DATE(2004,11,21)</f>
        <v>0</v>
      </c>
      <c r="AB1209" s="1"/>
      <c r="AC1209" s="3">
        <v>180</v>
      </c>
      <c r="AD1209" s="1"/>
      <c r="AE1209" s="1" t="s">
        <v>51</v>
      </c>
      <c r="AF1209" s="1" t="s">
        <v>51</v>
      </c>
      <c r="AG1209" s="1" t="s">
        <v>51</v>
      </c>
      <c r="AH1209" s="1"/>
      <c r="AI1209" s="1"/>
      <c r="AJ1209" s="3">
        <v>1</v>
      </c>
      <c r="AK1209" s="1" t="s">
        <v>89</v>
      </c>
      <c r="AL1209" s="3">
        <v>11</v>
      </c>
      <c r="AM1209" s="8">
        <v>20</v>
      </c>
      <c r="AN1209" s="1"/>
      <c r="AO1209" s="1" t="s">
        <v>7743</v>
      </c>
      <c r="AP1209" s="1" t="s">
        <v>7744</v>
      </c>
      <c r="AQ1209" s="1" t="s">
        <v>7745</v>
      </c>
      <c r="AR1209" s="1" t="s">
        <v>7746</v>
      </c>
    </row>
    <row r="1210">
      <c r="A1210" s="2">
        <f ca="1">DATE(2004,02,27)</f>
        <v>0</v>
      </c>
      <c r="B1210" s="2">
        <f ca="1">DATE(2004,05,26)</f>
        <v>0</v>
      </c>
      <c r="C1210" s="1" t="s">
        <v>7747</v>
      </c>
      <c r="D1210" s="3">
        <v>2834</v>
      </c>
      <c r="E1210" s="1" t="s">
        <v>43</v>
      </c>
      <c r="F1210" s="1" t="s">
        <v>7748</v>
      </c>
      <c r="G1210" s="1" t="s">
        <v>1297</v>
      </c>
      <c r="H1210" s="4">
        <v>0.48999999999999999</v>
      </c>
      <c r="I1210" s="8">
        <v>7</v>
      </c>
      <c r="J1210" s="5">
        <v>35</v>
      </c>
      <c r="K1210" s="4">
        <v>7</v>
      </c>
      <c r="L1210" s="1" t="s">
        <v>46</v>
      </c>
      <c r="M1210" s="1" t="s">
        <v>47</v>
      </c>
      <c r="N1210" s="1" t="s">
        <v>7749</v>
      </c>
      <c r="O1210" s="1" t="s">
        <v>48</v>
      </c>
      <c r="P1210" s="1" t="s">
        <v>7750</v>
      </c>
      <c r="Q1210" s="4">
        <v>1.3999999999999999</v>
      </c>
      <c r="R1210" s="4">
        <v>1.3999999999999999</v>
      </c>
      <c r="S1210" s="8">
        <v>4.2000000000000002</v>
      </c>
      <c r="T1210" s="1" t="s">
        <v>50</v>
      </c>
      <c r="U1210" s="1"/>
      <c r="V1210" s="1"/>
      <c r="W1210" s="1"/>
      <c r="X1210" s="5">
        <v>86.299999999999997</v>
      </c>
      <c r="Y1210" s="7">
        <v>5000000</v>
      </c>
      <c r="Z1210" s="1"/>
      <c r="AA1210" s="2">
        <f ca="1">DATE(2004,11,22)</f>
        <v>0</v>
      </c>
      <c r="AB1210" s="4">
        <v>68.481999999999999</v>
      </c>
      <c r="AC1210" s="3">
        <v>180</v>
      </c>
      <c r="AD1210" s="8">
        <v>11536321</v>
      </c>
      <c r="AE1210" s="1" t="s">
        <v>51</v>
      </c>
      <c r="AF1210" s="1" t="s">
        <v>51</v>
      </c>
      <c r="AG1210" s="1" t="s">
        <v>47</v>
      </c>
      <c r="AH1210" s="1"/>
      <c r="AI1210" s="1"/>
      <c r="AJ1210" s="3">
        <v>1</v>
      </c>
      <c r="AK1210" s="1" t="s">
        <v>89</v>
      </c>
      <c r="AL1210" s="3">
        <v>4</v>
      </c>
      <c r="AM1210" s="8">
        <v>6.7000000000000002</v>
      </c>
      <c r="AN1210" s="1"/>
      <c r="AO1210" s="1" t="s">
        <v>7751</v>
      </c>
      <c r="AP1210" s="1" t="s">
        <v>7752</v>
      </c>
      <c r="AQ1210" s="1" t="s">
        <v>7753</v>
      </c>
      <c r="AR1210" s="1" t="s">
        <v>7750</v>
      </c>
    </row>
    <row r="1211">
      <c r="A1211" s="2">
        <f ca="1">DATE(2004,03,05)</f>
        <v>0</v>
      </c>
      <c r="B1211" s="2">
        <f ca="1">DATE(2004,05,26)</f>
        <v>0</v>
      </c>
      <c r="C1211" s="1" t="s">
        <v>7754</v>
      </c>
      <c r="D1211" s="3">
        <v>3841</v>
      </c>
      <c r="E1211" s="1" t="s">
        <v>43</v>
      </c>
      <c r="F1211" s="1" t="s">
        <v>7755</v>
      </c>
      <c r="G1211" s="1" t="s">
        <v>5747</v>
      </c>
      <c r="H1211" s="4">
        <v>0.77000000000000002</v>
      </c>
      <c r="I1211" s="4">
        <v>7</v>
      </c>
      <c r="J1211" s="5">
        <v>21.5</v>
      </c>
      <c r="K1211" s="4">
        <v>11</v>
      </c>
      <c r="L1211" s="1" t="s">
        <v>46</v>
      </c>
      <c r="M1211" s="1" t="s">
        <v>47</v>
      </c>
      <c r="N1211" s="1" t="s">
        <v>7756</v>
      </c>
      <c r="O1211" s="1" t="s">
        <v>48</v>
      </c>
      <c r="P1211" s="1" t="s">
        <v>7757</v>
      </c>
      <c r="Q1211" s="1" t="s">
        <v>145</v>
      </c>
      <c r="R1211" s="1" t="s">
        <v>145</v>
      </c>
      <c r="S1211" s="1"/>
      <c r="T1211" s="1" t="s">
        <v>50</v>
      </c>
      <c r="U1211" s="1"/>
      <c r="V1211" s="1"/>
      <c r="W1211" s="1"/>
      <c r="X1211" s="5">
        <v>30.600000000000001</v>
      </c>
      <c r="Y1211" s="7">
        <v>1950000</v>
      </c>
      <c r="Z1211" s="1"/>
      <c r="AA1211" s="1" t="s">
        <v>7758</v>
      </c>
      <c r="AB1211" s="1" t="s">
        <v>5265</v>
      </c>
      <c r="AC1211" s="1" t="s">
        <v>7759</v>
      </c>
      <c r="AD1211" s="1" t="s">
        <v>5265</v>
      </c>
      <c r="AE1211" s="1" t="s">
        <v>51</v>
      </c>
      <c r="AF1211" s="1" t="s">
        <v>51</v>
      </c>
      <c r="AG1211" s="1" t="s">
        <v>51</v>
      </c>
      <c r="AH1211" s="1"/>
      <c r="AI1211" s="1"/>
      <c r="AJ1211" s="3">
        <v>1</v>
      </c>
      <c r="AK1211" s="1" t="s">
        <v>52</v>
      </c>
      <c r="AL1211" s="3">
        <v>2</v>
      </c>
      <c r="AM1211" s="8">
        <v>12.5</v>
      </c>
      <c r="AN1211" s="1"/>
      <c r="AO1211" s="1" t="s">
        <v>7760</v>
      </c>
      <c r="AP1211" s="1" t="s">
        <v>5747</v>
      </c>
      <c r="AQ1211" s="1" t="s">
        <v>7761</v>
      </c>
      <c r="AR1211" s="1" t="s">
        <v>7757</v>
      </c>
    </row>
    <row r="1212">
      <c r="A1212" s="2">
        <f ca="1">DATE(2004,03,19)</f>
        <v>0</v>
      </c>
      <c r="B1212" s="2">
        <f ca="1">DATE(2004,05,26)</f>
        <v>0</v>
      </c>
      <c r="C1212" s="1" t="s">
        <v>7762</v>
      </c>
      <c r="D1212" s="3">
        <v>2834</v>
      </c>
      <c r="E1212" s="1" t="s">
        <v>43</v>
      </c>
      <c r="F1212" s="1" t="s">
        <v>7763</v>
      </c>
      <c r="G1212" s="1" t="s">
        <v>75</v>
      </c>
      <c r="H1212" s="4">
        <v>0.48999999999999999</v>
      </c>
      <c r="I1212" s="8">
        <v>7</v>
      </c>
      <c r="J1212" s="5">
        <v>42</v>
      </c>
      <c r="K1212" s="4">
        <v>7</v>
      </c>
      <c r="L1212" s="1" t="s">
        <v>46</v>
      </c>
      <c r="M1212" s="1" t="s">
        <v>47</v>
      </c>
      <c r="N1212" s="1" t="s">
        <v>7764</v>
      </c>
      <c r="O1212" s="1" t="s">
        <v>48</v>
      </c>
      <c r="P1212" s="1" t="s">
        <v>7765</v>
      </c>
      <c r="Q1212" s="4">
        <v>1.3999999999999999</v>
      </c>
      <c r="R1212" s="4">
        <v>1.3999999999999999</v>
      </c>
      <c r="S1212" s="8">
        <v>4.2000000000000002</v>
      </c>
      <c r="T1212" s="1" t="s">
        <v>50</v>
      </c>
      <c r="U1212" s="1"/>
      <c r="V1212" s="1"/>
      <c r="W1212" s="1"/>
      <c r="X1212" s="5">
        <v>103.5</v>
      </c>
      <c r="Y1212" s="7">
        <v>6000000</v>
      </c>
      <c r="Z1212" s="1"/>
      <c r="AA1212" s="2">
        <f ca="1">DATE(2004,11,22)</f>
        <v>0</v>
      </c>
      <c r="AB1212" s="4">
        <v>74.703999999999994</v>
      </c>
      <c r="AC1212" s="3">
        <v>180</v>
      </c>
      <c r="AD1212" s="8">
        <v>17859436</v>
      </c>
      <c r="AE1212" s="1" t="s">
        <v>51</v>
      </c>
      <c r="AF1212" s="1" t="s">
        <v>51</v>
      </c>
      <c r="AG1212" s="1" t="s">
        <v>47</v>
      </c>
      <c r="AH1212" s="1"/>
      <c r="AI1212" s="1"/>
      <c r="AJ1212" s="3">
        <v>1</v>
      </c>
      <c r="AK1212" s="1" t="s">
        <v>52</v>
      </c>
      <c r="AL1212" s="3">
        <v>4</v>
      </c>
      <c r="AM1212" s="8">
        <v>7.0999999999999996</v>
      </c>
      <c r="AN1212" s="1"/>
      <c r="AO1212" s="1" t="s">
        <v>7766</v>
      </c>
      <c r="AP1212" s="1" t="s">
        <v>75</v>
      </c>
      <c r="AQ1212" s="1" t="s">
        <v>7767</v>
      </c>
      <c r="AR1212" s="1" t="s">
        <v>7768</v>
      </c>
    </row>
    <row r="1213">
      <c r="A1213" s="2">
        <f ca="1">DATE(2002,03,11)</f>
        <v>0</v>
      </c>
      <c r="B1213" s="2">
        <f ca="1">DATE(2004,05,26)</f>
        <v>0</v>
      </c>
      <c r="C1213" s="1" t="s">
        <v>7769</v>
      </c>
      <c r="D1213" s="3">
        <v>4512</v>
      </c>
      <c r="E1213" s="1" t="s">
        <v>43</v>
      </c>
      <c r="F1213" s="1" t="s">
        <v>7770</v>
      </c>
      <c r="G1213" s="1" t="s">
        <v>45</v>
      </c>
      <c r="H1213" s="4">
        <v>0.91000000000000003</v>
      </c>
      <c r="I1213" s="4">
        <v>7</v>
      </c>
      <c r="J1213" s="5">
        <v>65</v>
      </c>
      <c r="K1213" s="4">
        <v>13</v>
      </c>
      <c r="L1213" s="1" t="s">
        <v>46</v>
      </c>
      <c r="M1213" s="1" t="s">
        <v>47</v>
      </c>
      <c r="N1213" s="3">
        <v>760276105</v>
      </c>
      <c r="O1213" s="1" t="s">
        <v>48</v>
      </c>
      <c r="P1213" s="1" t="s">
        <v>7771</v>
      </c>
      <c r="Q1213" s="4">
        <v>1.462</v>
      </c>
      <c r="R1213" s="4">
        <v>1.385</v>
      </c>
      <c r="S1213" s="6">
        <v>4.1538500000000003</v>
      </c>
      <c r="T1213" s="1" t="s">
        <v>50</v>
      </c>
      <c r="U1213" s="1"/>
      <c r="V1213" s="1"/>
      <c r="W1213" s="1"/>
      <c r="X1213" s="5">
        <v>85</v>
      </c>
      <c r="Y1213" s="7">
        <v>5000000</v>
      </c>
      <c r="Z1213" s="1"/>
      <c r="AA1213" s="1" t="s">
        <v>7758</v>
      </c>
      <c r="AB1213" s="1" t="s">
        <v>7772</v>
      </c>
      <c r="AC1213" s="1" t="s">
        <v>7759</v>
      </c>
      <c r="AD1213" s="1" t="s">
        <v>7773</v>
      </c>
      <c r="AE1213" s="1" t="s">
        <v>51</v>
      </c>
      <c r="AF1213" s="1" t="s">
        <v>51</v>
      </c>
      <c r="AG1213" s="1" t="s">
        <v>51</v>
      </c>
      <c r="AH1213" s="1"/>
      <c r="AI1213" s="1"/>
      <c r="AJ1213" s="3">
        <v>1</v>
      </c>
      <c r="AK1213" s="1" t="s">
        <v>89</v>
      </c>
      <c r="AL1213" s="3">
        <v>3</v>
      </c>
      <c r="AM1213" s="8">
        <v>13.77</v>
      </c>
      <c r="AN1213" s="1"/>
      <c r="AO1213" s="1" t="s">
        <v>7774</v>
      </c>
      <c r="AP1213" s="1" t="s">
        <v>7775</v>
      </c>
      <c r="AQ1213" s="1" t="s">
        <v>7776</v>
      </c>
      <c r="AR1213" s="1" t="s">
        <v>7777</v>
      </c>
    </row>
    <row r="1214">
      <c r="A1214" s="2">
        <f ca="1">DATE(2004,02,27)</f>
        <v>0</v>
      </c>
      <c r="B1214" s="2">
        <f ca="1">DATE(2004,05,27)</f>
        <v>0</v>
      </c>
      <c r="C1214" s="1" t="s">
        <v>7778</v>
      </c>
      <c r="D1214" s="3">
        <v>2836</v>
      </c>
      <c r="E1214" s="1" t="s">
        <v>43</v>
      </c>
      <c r="F1214" s="1" t="s">
        <v>7779</v>
      </c>
      <c r="G1214" s="1" t="s">
        <v>1297</v>
      </c>
      <c r="H1214" s="4">
        <v>0.41999999999999998</v>
      </c>
      <c r="I1214" s="8">
        <v>7</v>
      </c>
      <c r="J1214" s="5">
        <v>30</v>
      </c>
      <c r="K1214" s="4">
        <v>6</v>
      </c>
      <c r="L1214" s="1" t="s">
        <v>46</v>
      </c>
      <c r="M1214" s="1" t="s">
        <v>47</v>
      </c>
      <c r="N1214" s="1" t="s">
        <v>7780</v>
      </c>
      <c r="O1214" s="1" t="s">
        <v>48</v>
      </c>
      <c r="P1214" s="1" t="s">
        <v>7781</v>
      </c>
      <c r="Q1214" s="4">
        <v>1.3999999999999999</v>
      </c>
      <c r="R1214" s="4">
        <v>1.3999999999999999</v>
      </c>
      <c r="S1214" s="8">
        <v>4.2000000000000002</v>
      </c>
      <c r="T1214" s="1" t="s">
        <v>50</v>
      </c>
      <c r="U1214" s="1"/>
      <c r="V1214" s="1"/>
      <c r="W1214" s="1"/>
      <c r="X1214" s="1"/>
      <c r="Y1214" s="7">
        <v>5000000</v>
      </c>
      <c r="Z1214" s="1"/>
      <c r="AA1214" s="2">
        <f ca="1">DATE(2004,11,23)</f>
        <v>0</v>
      </c>
      <c r="AB1214" s="4">
        <v>66.599000000000004</v>
      </c>
      <c r="AC1214" s="3">
        <v>180</v>
      </c>
      <c r="AD1214" s="8">
        <v>13341985</v>
      </c>
      <c r="AE1214" s="1" t="s">
        <v>51</v>
      </c>
      <c r="AF1214" s="1" t="s">
        <v>51</v>
      </c>
      <c r="AG1214" s="1" t="s">
        <v>47</v>
      </c>
      <c r="AH1214" s="1"/>
      <c r="AI1214" s="1"/>
      <c r="AJ1214" s="3">
        <v>1</v>
      </c>
      <c r="AK1214" s="1" t="s">
        <v>52</v>
      </c>
      <c r="AL1214" s="3">
        <v>4</v>
      </c>
      <c r="AM1214" s="8">
        <v>6.0099999999999998</v>
      </c>
      <c r="AN1214" s="1"/>
      <c r="AO1214" s="1" t="s">
        <v>7782</v>
      </c>
      <c r="AP1214" s="1" t="s">
        <v>1297</v>
      </c>
      <c r="AQ1214" s="1" t="s">
        <v>7783</v>
      </c>
      <c r="AR1214" s="1" t="s">
        <v>7781</v>
      </c>
    </row>
    <row r="1215">
      <c r="A1215" s="2">
        <f ca="1">DATE(2004,02,10)</f>
        <v>0</v>
      </c>
      <c r="B1215" s="2">
        <f ca="1">DATE(2004,05,27)</f>
        <v>0</v>
      </c>
      <c r="C1215" s="1" t="s">
        <v>7784</v>
      </c>
      <c r="D1215" s="3">
        <v>7521</v>
      </c>
      <c r="E1215" s="1" t="s">
        <v>43</v>
      </c>
      <c r="F1215" s="1" t="s">
        <v>7785</v>
      </c>
      <c r="G1215" s="1" t="s">
        <v>2938</v>
      </c>
      <c r="H1215" s="4">
        <v>0.80500000000000005</v>
      </c>
      <c r="I1215" s="4">
        <v>7</v>
      </c>
      <c r="J1215" s="5">
        <v>51.799999999999997</v>
      </c>
      <c r="K1215" s="4">
        <v>11.5</v>
      </c>
      <c r="L1215" s="1" t="s">
        <v>46</v>
      </c>
      <c r="M1215" s="1" t="s">
        <v>47</v>
      </c>
      <c r="N1215" s="3">
        <v>853790103</v>
      </c>
      <c r="O1215" s="1" t="s">
        <v>48</v>
      </c>
      <c r="P1215" s="1" t="s">
        <v>7786</v>
      </c>
      <c r="Q1215" s="4">
        <v>1.413</v>
      </c>
      <c r="R1215" s="4">
        <v>1.413</v>
      </c>
      <c r="S1215" s="6">
        <v>4.1739100000000002</v>
      </c>
      <c r="T1215" s="1" t="s">
        <v>50</v>
      </c>
      <c r="U1215" s="1"/>
      <c r="V1215" s="1"/>
      <c r="W1215" s="1"/>
      <c r="X1215" s="5">
        <v>70</v>
      </c>
      <c r="Y1215" s="7">
        <v>4500000</v>
      </c>
      <c r="Z1215" s="1"/>
      <c r="AA1215" s="2">
        <f ca="1">DATE(2004,11,23)</f>
        <v>0</v>
      </c>
      <c r="AB1215" s="1"/>
      <c r="AC1215" s="3">
        <v>180</v>
      </c>
      <c r="AD1215" s="1"/>
      <c r="AE1215" s="1" t="s">
        <v>51</v>
      </c>
      <c r="AF1215" s="1" t="s">
        <v>51</v>
      </c>
      <c r="AG1215" s="1" t="s">
        <v>51</v>
      </c>
      <c r="AH1215" s="1"/>
      <c r="AI1215" s="1"/>
      <c r="AJ1215" s="3">
        <v>1</v>
      </c>
      <c r="AK1215" s="1" t="s">
        <v>89</v>
      </c>
      <c r="AL1215" s="3">
        <v>2</v>
      </c>
      <c r="AM1215" s="8">
        <v>12.5</v>
      </c>
      <c r="AN1215" s="1"/>
      <c r="AO1215" s="1" t="s">
        <v>7787</v>
      </c>
      <c r="AP1215" s="1" t="s">
        <v>7788</v>
      </c>
      <c r="AQ1215" s="1" t="s">
        <v>7789</v>
      </c>
      <c r="AR1215" s="1" t="s">
        <v>7790</v>
      </c>
    </row>
    <row r="1216">
      <c r="A1216" s="2">
        <f ca="1">DATE(2004,02,13)</f>
        <v>0</v>
      </c>
      <c r="B1216" s="2">
        <f ca="1">DATE(2004,06,02)</f>
        <v>0</v>
      </c>
      <c r="C1216" s="1" t="s">
        <v>7791</v>
      </c>
      <c r="D1216" s="3">
        <v>4812</v>
      </c>
      <c r="E1216" s="1" t="s">
        <v>43</v>
      </c>
      <c r="F1216" s="1" t="s">
        <v>7792</v>
      </c>
      <c r="G1216" s="1" t="s">
        <v>7793</v>
      </c>
      <c r="H1216" s="4">
        <v>1.26</v>
      </c>
      <c r="I1216" s="4">
        <v>7</v>
      </c>
      <c r="J1216" s="5">
        <v>126</v>
      </c>
      <c r="K1216" s="4">
        <v>18</v>
      </c>
      <c r="L1216" s="1" t="s">
        <v>46</v>
      </c>
      <c r="M1216" s="1" t="s">
        <v>47</v>
      </c>
      <c r="N1216" s="1" t="s">
        <v>7794</v>
      </c>
      <c r="O1216" s="1" t="s">
        <v>108</v>
      </c>
      <c r="P1216" s="1" t="s">
        <v>7795</v>
      </c>
      <c r="Q1216" s="4">
        <v>1.3999999999999999</v>
      </c>
      <c r="R1216" s="4">
        <v>1.05</v>
      </c>
      <c r="S1216" s="8">
        <v>4.5499999999999998</v>
      </c>
      <c r="T1216" s="1" t="s">
        <v>50</v>
      </c>
      <c r="U1216" s="1"/>
      <c r="V1216" s="1"/>
      <c r="W1216" s="1"/>
      <c r="X1216" s="5">
        <v>200</v>
      </c>
      <c r="Y1216" s="7">
        <v>7000000</v>
      </c>
      <c r="Z1216" s="1"/>
      <c r="AA1216" s="2">
        <f ca="1">DATE(2004,09,30)</f>
        <v>0</v>
      </c>
      <c r="AB1216" s="4">
        <v>78.507999999999996</v>
      </c>
      <c r="AC1216" s="3">
        <v>120</v>
      </c>
      <c r="AD1216" s="8">
        <v>39178524</v>
      </c>
      <c r="AE1216" s="1" t="s">
        <v>51</v>
      </c>
      <c r="AF1216" s="1" t="s">
        <v>51</v>
      </c>
      <c r="AG1216" s="1" t="s">
        <v>51</v>
      </c>
      <c r="AH1216" s="1"/>
      <c r="AI1216" s="1"/>
      <c r="AJ1216" s="3">
        <v>2</v>
      </c>
      <c r="AK1216" s="1" t="s">
        <v>110</v>
      </c>
      <c r="AL1216" s="3">
        <v>4</v>
      </c>
      <c r="AM1216" s="8">
        <v>20.149999999999999</v>
      </c>
      <c r="AN1216" s="1"/>
      <c r="AO1216" s="1" t="s">
        <v>7796</v>
      </c>
      <c r="AP1216" s="1" t="s">
        <v>7797</v>
      </c>
      <c r="AQ1216" s="1" t="s">
        <v>7798</v>
      </c>
      <c r="AR1216" s="1" t="s">
        <v>7799</v>
      </c>
    </row>
    <row r="1217">
      <c r="A1217" s="2">
        <f ca="1">DATE(2004,03,03)</f>
        <v>0</v>
      </c>
      <c r="B1217" s="2">
        <f ca="1">DATE(2004,06,03)</f>
        <v>0</v>
      </c>
      <c r="C1217" s="1" t="s">
        <v>7800</v>
      </c>
      <c r="D1217" s="3">
        <v>2836</v>
      </c>
      <c r="E1217" s="1" t="s">
        <v>43</v>
      </c>
      <c r="F1217" s="1" t="s">
        <v>7801</v>
      </c>
      <c r="G1217" s="1" t="s">
        <v>7802</v>
      </c>
      <c r="H1217" s="4">
        <v>0.48999999999999999</v>
      </c>
      <c r="I1217" s="8">
        <v>7</v>
      </c>
      <c r="J1217" s="5">
        <v>35</v>
      </c>
      <c r="K1217" s="4">
        <v>7</v>
      </c>
      <c r="L1217" s="1" t="s">
        <v>46</v>
      </c>
      <c r="M1217" s="1" t="s">
        <v>47</v>
      </c>
      <c r="N1217" s="1" t="s">
        <v>7803</v>
      </c>
      <c r="O1217" s="1" t="s">
        <v>48</v>
      </c>
      <c r="P1217" s="1" t="s">
        <v>7804</v>
      </c>
      <c r="Q1217" s="4">
        <v>1.3999999999999999</v>
      </c>
      <c r="R1217" s="4">
        <v>1.3999999999999999</v>
      </c>
      <c r="S1217" s="8">
        <v>4.2000000000000002</v>
      </c>
      <c r="T1217" s="1" t="s">
        <v>50</v>
      </c>
      <c r="U1217" s="1"/>
      <c r="V1217" s="1"/>
      <c r="W1217" s="1"/>
      <c r="X1217" s="5">
        <v>86.299999999999997</v>
      </c>
      <c r="Y1217" s="7">
        <v>5000000</v>
      </c>
      <c r="Z1217" s="1"/>
      <c r="AA1217" s="2">
        <f ca="1">DATE(2004,11,30)</f>
        <v>0</v>
      </c>
      <c r="AB1217" s="4">
        <v>71.421000000000006</v>
      </c>
      <c r="AC1217" s="3">
        <v>180</v>
      </c>
      <c r="AD1217" s="8">
        <v>12495610</v>
      </c>
      <c r="AE1217" s="1" t="s">
        <v>51</v>
      </c>
      <c r="AF1217" s="1" t="s">
        <v>51</v>
      </c>
      <c r="AG1217" s="1" t="s">
        <v>47</v>
      </c>
      <c r="AH1217" s="1"/>
      <c r="AI1217" s="1"/>
      <c r="AJ1217" s="3">
        <v>2</v>
      </c>
      <c r="AK1217" s="1" t="s">
        <v>89</v>
      </c>
      <c r="AL1217" s="3">
        <v>3</v>
      </c>
      <c r="AM1217" s="8">
        <v>7.2199999999999998</v>
      </c>
      <c r="AN1217" s="1"/>
      <c r="AO1217" s="1" t="s">
        <v>7805</v>
      </c>
      <c r="AP1217" s="1" t="s">
        <v>7806</v>
      </c>
      <c r="AQ1217" s="1" t="s">
        <v>7807</v>
      </c>
      <c r="AR1217" s="1" t="s">
        <v>7808</v>
      </c>
    </row>
    <row r="1218">
      <c r="A1218" s="2">
        <f ca="1">DATE(2004,02,17)</f>
        <v>0</v>
      </c>
      <c r="B1218" s="2">
        <f ca="1">DATE(2004,06,09)</f>
        <v>0</v>
      </c>
      <c r="C1218" s="1" t="s">
        <v>7809</v>
      </c>
      <c r="D1218" s="3">
        <v>6531</v>
      </c>
      <c r="E1218" s="1" t="s">
        <v>43</v>
      </c>
      <c r="F1218" s="1" t="s">
        <v>7810</v>
      </c>
      <c r="G1218" s="1" t="s">
        <v>7811</v>
      </c>
      <c r="H1218" s="4">
        <v>1.1399999999999999</v>
      </c>
      <c r="I1218" s="4">
        <v>6</v>
      </c>
      <c r="J1218" s="5">
        <v>456</v>
      </c>
      <c r="K1218" s="4">
        <v>19</v>
      </c>
      <c r="L1218" s="1" t="s">
        <v>152</v>
      </c>
      <c r="M1218" s="1" t="s">
        <v>47</v>
      </c>
      <c r="N1218" s="1" t="s">
        <v>7812</v>
      </c>
      <c r="O1218" s="1" t="s">
        <v>108</v>
      </c>
      <c r="P1218" s="1" t="s">
        <v>7813</v>
      </c>
      <c r="Q1218" s="4">
        <v>1.2</v>
      </c>
      <c r="R1218" s="4">
        <v>1.2</v>
      </c>
      <c r="S1218" s="8">
        <v>3.6000000000000001</v>
      </c>
      <c r="T1218" s="1" t="s">
        <v>50</v>
      </c>
      <c r="U1218" s="1"/>
      <c r="V1218" s="1"/>
      <c r="W1218" s="1"/>
      <c r="X1218" s="5">
        <v>150</v>
      </c>
      <c r="Y1218" s="7">
        <v>7726764</v>
      </c>
      <c r="Z1218" s="7">
        <v>16273236</v>
      </c>
      <c r="AA1218" s="2">
        <f ca="1">DATE(2004,12,06)</f>
        <v>0</v>
      </c>
      <c r="AB1218" s="4">
        <v>63.011000000000003</v>
      </c>
      <c r="AC1218" s="3">
        <v>180</v>
      </c>
      <c r="AD1218" s="8">
        <v>43234027</v>
      </c>
      <c r="AE1218" s="1" t="s">
        <v>51</v>
      </c>
      <c r="AF1218" s="1" t="s">
        <v>51</v>
      </c>
      <c r="AG1218" s="1" t="s">
        <v>51</v>
      </c>
      <c r="AH1218" s="1"/>
      <c r="AI1218" s="1"/>
      <c r="AJ1218" s="3">
        <v>2</v>
      </c>
      <c r="AK1218" s="1" t="s">
        <v>89</v>
      </c>
      <c r="AL1218" s="3">
        <v>7</v>
      </c>
      <c r="AM1218" s="8">
        <v>18.350000000000001</v>
      </c>
      <c r="AN1218" s="1"/>
      <c r="AO1218" s="1" t="s">
        <v>7814</v>
      </c>
      <c r="AP1218" s="1" t="s">
        <v>6909</v>
      </c>
      <c r="AQ1218" s="1" t="s">
        <v>7815</v>
      </c>
      <c r="AR1218" s="1" t="s">
        <v>7816</v>
      </c>
    </row>
    <row r="1219">
      <c r="A1219" s="2">
        <f ca="1">DATE(2004,03,19)</f>
        <v>0</v>
      </c>
      <c r="B1219" s="2">
        <f ca="1">DATE(2004,06,09)</f>
        <v>0</v>
      </c>
      <c r="C1219" s="1" t="s">
        <v>7817</v>
      </c>
      <c r="D1219" s="3">
        <v>3845</v>
      </c>
      <c r="E1219" s="1" t="s">
        <v>43</v>
      </c>
      <c r="F1219" s="1" t="s">
        <v>7818</v>
      </c>
      <c r="G1219" s="1" t="s">
        <v>5645</v>
      </c>
      <c r="H1219" s="4">
        <v>0.83999999999999997</v>
      </c>
      <c r="I1219" s="8">
        <v>7</v>
      </c>
      <c r="J1219" s="5">
        <v>66</v>
      </c>
      <c r="K1219" s="4">
        <v>12</v>
      </c>
      <c r="L1219" s="1" t="s">
        <v>46</v>
      </c>
      <c r="M1219" s="1" t="s">
        <v>47</v>
      </c>
      <c r="N1219" s="3">
        <v>253827109</v>
      </c>
      <c r="O1219" s="1" t="s">
        <v>48</v>
      </c>
      <c r="P1219" s="1" t="s">
        <v>7819</v>
      </c>
      <c r="Q1219" s="4">
        <v>1.417</v>
      </c>
      <c r="R1219" s="4">
        <v>1.417</v>
      </c>
      <c r="S1219" s="6">
        <v>4.1666699999999999</v>
      </c>
      <c r="T1219" s="1" t="s">
        <v>50</v>
      </c>
      <c r="U1219" s="1"/>
      <c r="V1219" s="1"/>
      <c r="W1219" s="1"/>
      <c r="X1219" s="5">
        <v>86.299999999999997</v>
      </c>
      <c r="Y1219" s="7">
        <v>5500000</v>
      </c>
      <c r="Z1219" s="1"/>
      <c r="AA1219" s="1" t="s">
        <v>7820</v>
      </c>
      <c r="AB1219" s="1" t="s">
        <v>7821</v>
      </c>
      <c r="AC1219" s="1" t="s">
        <v>3966</v>
      </c>
      <c r="AD1219" s="1" t="s">
        <v>7822</v>
      </c>
      <c r="AE1219" s="1" t="s">
        <v>51</v>
      </c>
      <c r="AF1219" s="1" t="s">
        <v>51</v>
      </c>
      <c r="AG1219" s="1" t="s">
        <v>47</v>
      </c>
      <c r="AH1219" s="1"/>
      <c r="AI1219" s="1"/>
      <c r="AJ1219" s="3">
        <v>2</v>
      </c>
      <c r="AK1219" s="1" t="s">
        <v>89</v>
      </c>
      <c r="AL1219" s="3">
        <v>4</v>
      </c>
      <c r="AM1219" s="8">
        <v>11.77</v>
      </c>
      <c r="AN1219" s="1"/>
      <c r="AO1219" s="1" t="s">
        <v>7823</v>
      </c>
      <c r="AP1219" s="1" t="s">
        <v>3866</v>
      </c>
      <c r="AQ1219" s="1" t="s">
        <v>7824</v>
      </c>
      <c r="AR1219" s="1" t="s">
        <v>7825</v>
      </c>
    </row>
    <row r="1220">
      <c r="A1220" s="2">
        <f ca="1">DATE(2004,05,24)</f>
        <v>0</v>
      </c>
      <c r="B1220" s="2">
        <f ca="1">DATE(2004,06,09)</f>
        <v>0</v>
      </c>
      <c r="C1220" s="1" t="s">
        <v>7826</v>
      </c>
      <c r="D1220" s="3">
        <v>3669</v>
      </c>
      <c r="E1220" s="1" t="s">
        <v>934</v>
      </c>
      <c r="F1220" s="1" t="s">
        <v>7827</v>
      </c>
      <c r="G1220" s="1" t="s">
        <v>6201</v>
      </c>
      <c r="H1220" s="4">
        <v>0.80500000000000005</v>
      </c>
      <c r="I1220" s="4">
        <v>7</v>
      </c>
      <c r="J1220" s="5">
        <v>69</v>
      </c>
      <c r="K1220" s="4">
        <v>11.5</v>
      </c>
      <c r="L1220" s="1" t="s">
        <v>1057</v>
      </c>
      <c r="M1220" s="1" t="s">
        <v>47</v>
      </c>
      <c r="N1220" s="1" t="s">
        <v>7828</v>
      </c>
      <c r="O1220" s="1" t="s">
        <v>48</v>
      </c>
      <c r="P1220" s="1" t="s">
        <v>7829</v>
      </c>
      <c r="Q1220" s="4">
        <v>1.3999999999999999</v>
      </c>
      <c r="R1220" s="4">
        <v>1.3999999999999999</v>
      </c>
      <c r="S1220" s="8">
        <v>4.2000000000000002</v>
      </c>
      <c r="T1220" s="1" t="s">
        <v>50</v>
      </c>
      <c r="U1220" s="8">
        <v>13</v>
      </c>
      <c r="V1220" s="8">
        <v>11</v>
      </c>
      <c r="W1220" s="7">
        <v>6000000</v>
      </c>
      <c r="X1220" s="5">
        <v>72</v>
      </c>
      <c r="Y1220" s="7">
        <v>5100000</v>
      </c>
      <c r="Z1220" s="7">
        <v>900000</v>
      </c>
      <c r="AA1220" s="2">
        <f ca="1">DATE(2004,12,06)</f>
        <v>0</v>
      </c>
      <c r="AB1220" s="4">
        <v>37.545999999999999</v>
      </c>
      <c r="AC1220" s="3">
        <v>180</v>
      </c>
      <c r="AD1220" s="8">
        <v>6990665</v>
      </c>
      <c r="AE1220" s="1" t="s">
        <v>51</v>
      </c>
      <c r="AF1220" s="1" t="s">
        <v>51</v>
      </c>
      <c r="AG1220" s="1" t="s">
        <v>47</v>
      </c>
      <c r="AH1220" s="1"/>
      <c r="AI1220" s="1"/>
      <c r="AJ1220" s="3">
        <v>1</v>
      </c>
      <c r="AK1220" s="1" t="s">
        <v>89</v>
      </c>
      <c r="AL1220" s="3">
        <v>7</v>
      </c>
      <c r="AM1220" s="8">
        <v>12.039999999999999</v>
      </c>
      <c r="AN1220" s="1"/>
      <c r="AO1220" s="1" t="s">
        <v>7830</v>
      </c>
      <c r="AP1220" s="1" t="s">
        <v>7831</v>
      </c>
      <c r="AQ1220" s="1" t="s">
        <v>7832</v>
      </c>
      <c r="AR1220" s="1" t="s">
        <v>7833</v>
      </c>
    </row>
    <row r="1221">
      <c r="A1221" s="2">
        <f ca="1">DATE(2004,03,24)</f>
        <v>0</v>
      </c>
      <c r="B1221" s="2">
        <f ca="1">DATE(2004,06,15)</f>
        <v>0</v>
      </c>
      <c r="C1221" s="1" t="s">
        <v>7834</v>
      </c>
      <c r="D1221" s="3">
        <v>3674</v>
      </c>
      <c r="E1221" s="1" t="s">
        <v>43</v>
      </c>
      <c r="F1221" s="1" t="s">
        <v>7835</v>
      </c>
      <c r="G1221" s="1" t="s">
        <v>160</v>
      </c>
      <c r="H1221" s="4">
        <v>0.97999999999999998</v>
      </c>
      <c r="I1221" s="8">
        <v>7</v>
      </c>
      <c r="J1221" s="5">
        <v>84</v>
      </c>
      <c r="K1221" s="4">
        <v>14</v>
      </c>
      <c r="L1221" s="1" t="s">
        <v>46</v>
      </c>
      <c r="M1221" s="1" t="s">
        <v>47</v>
      </c>
      <c r="N1221" s="1" t="s">
        <v>7836</v>
      </c>
      <c r="O1221" s="1" t="s">
        <v>48</v>
      </c>
      <c r="P1221" s="1" t="s">
        <v>7837</v>
      </c>
      <c r="Q1221" s="4">
        <v>1.3999999999999999</v>
      </c>
      <c r="R1221" s="4">
        <v>1.3999999999999999</v>
      </c>
      <c r="S1221" s="8">
        <v>4.2000000000000002</v>
      </c>
      <c r="T1221" s="1" t="s">
        <v>50</v>
      </c>
      <c r="U1221" s="1"/>
      <c r="V1221" s="1"/>
      <c r="W1221" s="1"/>
      <c r="X1221" s="5">
        <v>80</v>
      </c>
      <c r="Y1221" s="7">
        <v>6000000</v>
      </c>
      <c r="Z1221" s="1"/>
      <c r="AA1221" s="2">
        <f ca="1">DATE(2004,12,12)</f>
        <v>0</v>
      </c>
      <c r="AB1221" s="4">
        <v>76.790999999999997</v>
      </c>
      <c r="AC1221" s="3">
        <v>180</v>
      </c>
      <c r="AD1221" s="8">
        <v>21052270</v>
      </c>
      <c r="AE1221" s="1" t="s">
        <v>51</v>
      </c>
      <c r="AF1221" s="1" t="s">
        <v>51</v>
      </c>
      <c r="AG1221" s="1" t="s">
        <v>47</v>
      </c>
      <c r="AH1221" s="1"/>
      <c r="AI1221" s="1"/>
      <c r="AJ1221" s="3">
        <v>1</v>
      </c>
      <c r="AK1221" s="1" t="s">
        <v>89</v>
      </c>
      <c r="AL1221" s="3">
        <v>4</v>
      </c>
      <c r="AM1221" s="8">
        <v>13.1</v>
      </c>
      <c r="AN1221" s="1"/>
      <c r="AO1221" s="1" t="s">
        <v>7838</v>
      </c>
      <c r="AP1221" s="1" t="s">
        <v>4884</v>
      </c>
      <c r="AQ1221" s="1" t="s">
        <v>7839</v>
      </c>
      <c r="AR1221" s="1" t="s">
        <v>7840</v>
      </c>
    </row>
    <row r="1222">
      <c r="A1222" s="2">
        <f ca="1">DATE(2004,02,03)</f>
        <v>0</v>
      </c>
      <c r="B1222" s="2">
        <f ca="1">DATE(2004,06,15)</f>
        <v>0</v>
      </c>
      <c r="C1222" s="1" t="s">
        <v>7841</v>
      </c>
      <c r="D1222" s="3">
        <v>2836</v>
      </c>
      <c r="E1222" s="1" t="s">
        <v>43</v>
      </c>
      <c r="F1222" s="1" t="s">
        <v>7842</v>
      </c>
      <c r="G1222" s="1" t="s">
        <v>75</v>
      </c>
      <c r="H1222" s="4">
        <v>0.48999999999999999</v>
      </c>
      <c r="I1222" s="8">
        <v>7</v>
      </c>
      <c r="J1222" s="5">
        <v>35</v>
      </c>
      <c r="K1222" s="4">
        <v>7</v>
      </c>
      <c r="L1222" s="1" t="s">
        <v>46</v>
      </c>
      <c r="M1222" s="1" t="s">
        <v>47</v>
      </c>
      <c r="N1222" s="1" t="s">
        <v>7843</v>
      </c>
      <c r="O1222" s="1" t="s">
        <v>48</v>
      </c>
      <c r="P1222" s="1" t="s">
        <v>7844</v>
      </c>
      <c r="Q1222" s="1" t="s">
        <v>145</v>
      </c>
      <c r="R1222" s="1" t="s">
        <v>145</v>
      </c>
      <c r="S1222" s="8">
        <v>4</v>
      </c>
      <c r="T1222" s="1" t="s">
        <v>50</v>
      </c>
      <c r="U1222" s="1"/>
      <c r="V1222" s="1"/>
      <c r="W1222" s="1"/>
      <c r="X1222" s="5">
        <v>86.299999999999997</v>
      </c>
      <c r="Y1222" s="7">
        <v>5000000</v>
      </c>
      <c r="Z1222" s="1"/>
      <c r="AA1222" s="1" t="s">
        <v>7845</v>
      </c>
      <c r="AB1222" s="1" t="s">
        <v>7846</v>
      </c>
      <c r="AC1222" s="1" t="s">
        <v>4379</v>
      </c>
      <c r="AD1222" s="1" t="s">
        <v>7847</v>
      </c>
      <c r="AE1222" s="1" t="s">
        <v>51</v>
      </c>
      <c r="AF1222" s="1" t="s">
        <v>51</v>
      </c>
      <c r="AG1222" s="1" t="s">
        <v>47</v>
      </c>
      <c r="AH1222" s="1"/>
      <c r="AI1222" s="1"/>
      <c r="AJ1222" s="3">
        <v>1</v>
      </c>
      <c r="AK1222" s="1" t="s">
        <v>89</v>
      </c>
      <c r="AL1222" s="3">
        <v>4</v>
      </c>
      <c r="AM1222" s="8">
        <v>6.6600000000000001</v>
      </c>
      <c r="AN1222" s="1"/>
      <c r="AO1222" s="1" t="s">
        <v>7848</v>
      </c>
      <c r="AP1222" s="1" t="s">
        <v>7849</v>
      </c>
      <c r="AQ1222" s="1" t="s">
        <v>7850</v>
      </c>
      <c r="AR1222" s="1" t="s">
        <v>7851</v>
      </c>
    </row>
    <row r="1223">
      <c r="A1223" s="2">
        <f ca="1">DATE(2004,03,11)</f>
        <v>0</v>
      </c>
      <c r="B1223" s="2">
        <f ca="1">DATE(2004,06,16)</f>
        <v>0</v>
      </c>
      <c r="C1223" s="1" t="s">
        <v>7852</v>
      </c>
      <c r="D1223" s="3">
        <v>5012</v>
      </c>
      <c r="E1223" s="1" t="s">
        <v>43</v>
      </c>
      <c r="F1223" s="1" t="s">
        <v>7853</v>
      </c>
      <c r="G1223" s="1" t="s">
        <v>6509</v>
      </c>
      <c r="H1223" s="4">
        <v>1.6799999999999999</v>
      </c>
      <c r="I1223" s="8">
        <v>7</v>
      </c>
      <c r="J1223" s="5">
        <v>150</v>
      </c>
      <c r="K1223" s="4">
        <v>24</v>
      </c>
      <c r="L1223" s="1" t="s">
        <v>46</v>
      </c>
      <c r="M1223" s="1" t="s">
        <v>47</v>
      </c>
      <c r="N1223" s="1" t="s">
        <v>7854</v>
      </c>
      <c r="O1223" s="1" t="s">
        <v>108</v>
      </c>
      <c r="P1223" s="1" t="s">
        <v>7855</v>
      </c>
      <c r="Q1223" s="4">
        <v>1.417</v>
      </c>
      <c r="R1223" s="4">
        <v>1.417</v>
      </c>
      <c r="S1223" s="6">
        <v>4.1666699999999999</v>
      </c>
      <c r="T1223" s="1" t="s">
        <v>50</v>
      </c>
      <c r="U1223" s="1"/>
      <c r="V1223" s="1"/>
      <c r="W1223" s="1"/>
      <c r="X1223" s="5">
        <v>150</v>
      </c>
      <c r="Y1223" s="7">
        <v>6250000</v>
      </c>
      <c r="Z1223" s="1"/>
      <c r="AA1223" s="2">
        <f ca="1">DATE(2004,12,13)</f>
        <v>0</v>
      </c>
      <c r="AB1223" s="4">
        <v>93.411000000000001</v>
      </c>
      <c r="AC1223" s="3">
        <v>180</v>
      </c>
      <c r="AD1223" s="8">
        <v>88600000</v>
      </c>
      <c r="AE1223" s="1" t="s">
        <v>51</v>
      </c>
      <c r="AF1223" s="1" t="s">
        <v>51</v>
      </c>
      <c r="AG1223" s="1" t="s">
        <v>51</v>
      </c>
      <c r="AH1223" s="1"/>
      <c r="AI1223" s="1"/>
      <c r="AJ1223" s="3">
        <v>2</v>
      </c>
      <c r="AK1223" s="1" t="s">
        <v>89</v>
      </c>
      <c r="AL1223" s="3">
        <v>9</v>
      </c>
      <c r="AM1223" s="8">
        <v>25.469999999999999</v>
      </c>
      <c r="AN1223" s="1"/>
      <c r="AO1223" s="1" t="s">
        <v>7856</v>
      </c>
      <c r="AP1223" s="1" t="s">
        <v>6504</v>
      </c>
      <c r="AQ1223" s="1" t="s">
        <v>7857</v>
      </c>
      <c r="AR1223" s="1" t="s">
        <v>7858</v>
      </c>
    </row>
    <row r="1224">
      <c r="A1224" s="2">
        <f ca="1">DATE(2004,01,30)</f>
        <v>0</v>
      </c>
      <c r="B1224" s="2">
        <f ca="1">DATE(2004,06,16)</f>
        <v>0</v>
      </c>
      <c r="C1224" s="1" t="s">
        <v>7859</v>
      </c>
      <c r="D1224" s="3">
        <v>5065</v>
      </c>
      <c r="E1224" s="1" t="s">
        <v>43</v>
      </c>
      <c r="F1224" s="1" t="s">
        <v>7860</v>
      </c>
      <c r="G1224" s="1" t="s">
        <v>6899</v>
      </c>
      <c r="H1224" s="4">
        <v>0.47999999999999998</v>
      </c>
      <c r="I1224" s="4">
        <v>8</v>
      </c>
      <c r="J1224" s="5">
        <v>12</v>
      </c>
      <c r="K1224" s="4">
        <v>6</v>
      </c>
      <c r="L1224" s="1" t="s">
        <v>46</v>
      </c>
      <c r="M1224" s="1" t="s">
        <v>47</v>
      </c>
      <c r="N1224" s="3">
        <v>456784107</v>
      </c>
      <c r="O1224" s="1" t="s">
        <v>48</v>
      </c>
      <c r="P1224" s="1" t="s">
        <v>7861</v>
      </c>
      <c r="Q1224" s="4">
        <v>1.667</v>
      </c>
      <c r="R1224" s="4">
        <v>1.667</v>
      </c>
      <c r="S1224" s="6">
        <v>4.6666699999999999</v>
      </c>
      <c r="T1224" s="1" t="s">
        <v>50</v>
      </c>
      <c r="U1224" s="1"/>
      <c r="V1224" s="1"/>
      <c r="W1224" s="7">
        <v>2000000</v>
      </c>
      <c r="X1224" s="1"/>
      <c r="Y1224" s="7">
        <v>2000000</v>
      </c>
      <c r="Z1224" s="1"/>
      <c r="AA1224" s="2">
        <f ca="1">DATE(2004,09,14)</f>
        <v>0</v>
      </c>
      <c r="AB1224" s="4">
        <v>61.396999999999998</v>
      </c>
      <c r="AC1224" s="3">
        <v>90</v>
      </c>
      <c r="AD1224" s="8">
        <v>3200000</v>
      </c>
      <c r="AE1224" s="1" t="s">
        <v>51</v>
      </c>
      <c r="AF1224" s="1" t="s">
        <v>51</v>
      </c>
      <c r="AG1224" s="1" t="s">
        <v>51</v>
      </c>
      <c r="AH1224" s="1"/>
      <c r="AI1224" s="1"/>
      <c r="AJ1224" s="3">
        <v>1</v>
      </c>
      <c r="AK1224" s="1" t="s">
        <v>52</v>
      </c>
      <c r="AL1224" s="3">
        <v>3</v>
      </c>
      <c r="AM1224" s="8">
        <v>5.8499999999999996</v>
      </c>
      <c r="AN1224" s="1"/>
      <c r="AO1224" s="1" t="s">
        <v>7862</v>
      </c>
      <c r="AP1224" s="1" t="s">
        <v>6899</v>
      </c>
      <c r="AQ1224" s="1" t="s">
        <v>7863</v>
      </c>
      <c r="AR1224" s="1" t="s">
        <v>7864</v>
      </c>
    </row>
    <row r="1225">
      <c r="A1225" s="2">
        <f ca="1">DATE(2004,03,05)</f>
        <v>0</v>
      </c>
      <c r="B1225" s="2">
        <f ca="1">DATE(2004,06,17)</f>
        <v>0</v>
      </c>
      <c r="C1225" s="1" t="s">
        <v>7865</v>
      </c>
      <c r="D1225" s="3">
        <v>7372</v>
      </c>
      <c r="E1225" s="1" t="s">
        <v>43</v>
      </c>
      <c r="F1225" s="1" t="s">
        <v>7866</v>
      </c>
      <c r="G1225" s="1" t="s">
        <v>168</v>
      </c>
      <c r="H1225" s="4">
        <v>0.97999999999999998</v>
      </c>
      <c r="I1225" s="8">
        <v>7</v>
      </c>
      <c r="J1225" s="5">
        <v>77</v>
      </c>
      <c r="K1225" s="4">
        <v>14</v>
      </c>
      <c r="L1225" s="1" t="s">
        <v>46</v>
      </c>
      <c r="M1225" s="1" t="s">
        <v>47</v>
      </c>
      <c r="N1225" s="1" t="s">
        <v>7867</v>
      </c>
      <c r="O1225" s="1" t="s">
        <v>48</v>
      </c>
      <c r="P1225" s="1" t="s">
        <v>7868</v>
      </c>
      <c r="Q1225" s="4">
        <v>1.3999999999999999</v>
      </c>
      <c r="R1225" s="4">
        <v>1.3999999999999999</v>
      </c>
      <c r="S1225" s="8">
        <v>4.2000000000000002</v>
      </c>
      <c r="T1225" s="1" t="s">
        <v>50</v>
      </c>
      <c r="U1225" s="1"/>
      <c r="V1225" s="1"/>
      <c r="W1225" s="1"/>
      <c r="X1225" s="5">
        <v>75</v>
      </c>
      <c r="Y1225" s="7">
        <v>3650000</v>
      </c>
      <c r="Z1225" s="7">
        <v>1850000</v>
      </c>
      <c r="AA1225" s="2">
        <f ca="1">DATE(2004,12,14)</f>
        <v>0</v>
      </c>
      <c r="AB1225" s="4">
        <v>76.403999999999996</v>
      </c>
      <c r="AC1225" s="3">
        <v>180</v>
      </c>
      <c r="AD1225" s="8">
        <v>19230045</v>
      </c>
      <c r="AE1225" s="1" t="s">
        <v>51</v>
      </c>
      <c r="AF1225" s="1" t="s">
        <v>51</v>
      </c>
      <c r="AG1225" s="1" t="s">
        <v>47</v>
      </c>
      <c r="AH1225" s="1"/>
      <c r="AI1225" s="1"/>
      <c r="AJ1225" s="3">
        <v>1</v>
      </c>
      <c r="AK1225" s="1" t="s">
        <v>52</v>
      </c>
      <c r="AL1225" s="3">
        <v>4</v>
      </c>
      <c r="AM1225" s="8">
        <v>20.010000000000002</v>
      </c>
      <c r="AN1225" s="1"/>
      <c r="AO1225" s="1" t="s">
        <v>7869</v>
      </c>
      <c r="AP1225" s="1" t="s">
        <v>168</v>
      </c>
      <c r="AQ1225" s="1" t="s">
        <v>7870</v>
      </c>
      <c r="AR1225" s="1" t="s">
        <v>7871</v>
      </c>
    </row>
    <row r="1226">
      <c r="A1226" s="2">
        <f ca="1">DATE(2001,11,13)</f>
        <v>0</v>
      </c>
      <c r="B1226" s="2">
        <f ca="1">DATE(2004,06,18)</f>
        <v>0</v>
      </c>
      <c r="C1226" s="1" t="s">
        <v>7872</v>
      </c>
      <c r="D1226" s="3">
        <v>6311</v>
      </c>
      <c r="E1226" s="1" t="s">
        <v>744</v>
      </c>
      <c r="F1226" s="1"/>
      <c r="G1226" s="1" t="s">
        <v>7873</v>
      </c>
      <c r="H1226" s="4">
        <v>0.92700000000000005</v>
      </c>
      <c r="I1226" s="4">
        <v>3.5</v>
      </c>
      <c r="J1226" s="9">
        <v>1562.7000000000001</v>
      </c>
      <c r="K1226" s="8">
        <v>26.489999999999998</v>
      </c>
      <c r="L1226" s="1" t="s">
        <v>651</v>
      </c>
      <c r="M1226" s="1" t="s">
        <v>47</v>
      </c>
      <c r="N1226" s="1" t="s">
        <v>7874</v>
      </c>
      <c r="O1226" s="1"/>
      <c r="P1226" s="1" t="s">
        <v>7875</v>
      </c>
      <c r="Q1226" s="8">
        <v>0.69999999999999996</v>
      </c>
      <c r="R1226" s="8">
        <v>0.69999999999999996</v>
      </c>
      <c r="S1226" s="6">
        <v>2.09999</v>
      </c>
      <c r="T1226" s="1" t="s">
        <v>60</v>
      </c>
      <c r="U1226" s="1"/>
      <c r="V1226" s="1"/>
      <c r="W1226" s="1"/>
      <c r="X1226" s="1"/>
      <c r="Y1226" s="7">
        <v>58985400</v>
      </c>
      <c r="Z1226" s="1"/>
      <c r="AA1226" s="1"/>
      <c r="AB1226" s="1"/>
      <c r="AC1226" s="1"/>
      <c r="AD1226" s="1"/>
      <c r="AE1226" s="1" t="s">
        <v>47</v>
      </c>
      <c r="AF1226" s="1" t="s">
        <v>51</v>
      </c>
      <c r="AG1226" s="1" t="s">
        <v>47</v>
      </c>
      <c r="AH1226" s="1"/>
      <c r="AI1226" s="1"/>
      <c r="AJ1226" s="3">
        <v>4</v>
      </c>
      <c r="AK1226" s="1" t="s">
        <v>1209</v>
      </c>
      <c r="AL1226" s="3">
        <v>9</v>
      </c>
      <c r="AM1226" s="1"/>
      <c r="AN1226" s="1"/>
      <c r="AO1226" s="1" t="s">
        <v>7876</v>
      </c>
      <c r="AP1226" s="1" t="s">
        <v>7877</v>
      </c>
      <c r="AQ1226" s="1" t="s">
        <v>7878</v>
      </c>
      <c r="AR1226" s="1" t="s">
        <v>7879</v>
      </c>
    </row>
    <row r="1227">
      <c r="A1227" s="2">
        <f ca="1">DATE(2004,04,19)</f>
        <v>0</v>
      </c>
      <c r="B1227" s="2">
        <f ca="1">DATE(2004,06,18)</f>
        <v>0</v>
      </c>
      <c r="C1227" s="1" t="s">
        <v>7880</v>
      </c>
      <c r="D1227" s="3">
        <v>3841</v>
      </c>
      <c r="E1227" s="1" t="s">
        <v>43</v>
      </c>
      <c r="F1227" s="1" t="s">
        <v>7881</v>
      </c>
      <c r="G1227" s="1" t="s">
        <v>7882</v>
      </c>
      <c r="H1227" s="4">
        <v>0.91000000000000003</v>
      </c>
      <c r="I1227" s="4">
        <v>7</v>
      </c>
      <c r="J1227" s="5">
        <v>71.5</v>
      </c>
      <c r="K1227" s="4">
        <v>13</v>
      </c>
      <c r="L1227" s="1" t="s">
        <v>46</v>
      </c>
      <c r="M1227" s="1" t="s">
        <v>47</v>
      </c>
      <c r="N1227" s="3">
        <v>750323206</v>
      </c>
      <c r="O1227" s="1" t="s">
        <v>48</v>
      </c>
      <c r="P1227" s="1" t="s">
        <v>7883</v>
      </c>
      <c r="Q1227" s="4">
        <v>1.385</v>
      </c>
      <c r="R1227" s="4">
        <v>1.462</v>
      </c>
      <c r="S1227" s="6">
        <v>4.1538500000000003</v>
      </c>
      <c r="T1227" s="1" t="s">
        <v>50</v>
      </c>
      <c r="U1227" s="1"/>
      <c r="V1227" s="1"/>
      <c r="W1227" s="1"/>
      <c r="X1227" s="5">
        <v>86.299999999999997</v>
      </c>
      <c r="Y1227" s="7">
        <v>4000000</v>
      </c>
      <c r="Z1227" s="7">
        <v>1500000</v>
      </c>
      <c r="AA1227" s="1" t="s">
        <v>7884</v>
      </c>
      <c r="AB1227" s="1" t="s">
        <v>7885</v>
      </c>
      <c r="AC1227" s="1" t="s">
        <v>5784</v>
      </c>
      <c r="AD1227" s="1" t="s">
        <v>7886</v>
      </c>
      <c r="AE1227" s="1" t="s">
        <v>51</v>
      </c>
      <c r="AF1227" s="1" t="s">
        <v>51</v>
      </c>
      <c r="AG1227" s="1" t="s">
        <v>51</v>
      </c>
      <c r="AH1227" s="1"/>
      <c r="AI1227" s="1"/>
      <c r="AJ1227" s="3">
        <v>2</v>
      </c>
      <c r="AK1227" s="1" t="s">
        <v>89</v>
      </c>
      <c r="AL1227" s="3">
        <v>4</v>
      </c>
      <c r="AM1227" s="8">
        <v>14.050000000000001</v>
      </c>
      <c r="AN1227" s="1"/>
      <c r="AO1227" s="1" t="s">
        <v>7887</v>
      </c>
      <c r="AP1227" s="1" t="s">
        <v>7888</v>
      </c>
      <c r="AQ1227" s="1" t="s">
        <v>7889</v>
      </c>
      <c r="AR1227" s="1" t="s">
        <v>7890</v>
      </c>
    </row>
    <row r="1228">
      <c r="A1228" s="2">
        <f ca="1">DATE(2004,03,15)</f>
        <v>0</v>
      </c>
      <c r="B1228" s="2">
        <f ca="1">DATE(2004,06,21)</f>
        <v>0</v>
      </c>
      <c r="C1228" s="1" t="s">
        <v>7891</v>
      </c>
      <c r="D1228" s="3">
        <v>7291</v>
      </c>
      <c r="E1228" s="1" t="s">
        <v>43</v>
      </c>
      <c r="F1228" s="1" t="s">
        <v>7892</v>
      </c>
      <c r="G1228" s="1" t="s">
        <v>7893</v>
      </c>
      <c r="H1228" s="4">
        <v>0.93500000000000005</v>
      </c>
      <c r="I1228" s="4">
        <v>5.5</v>
      </c>
      <c r="J1228" s="5">
        <v>637.5</v>
      </c>
      <c r="K1228" s="4">
        <v>17</v>
      </c>
      <c r="L1228" s="1" t="s">
        <v>46</v>
      </c>
      <c r="M1228" s="1" t="s">
        <v>47</v>
      </c>
      <c r="N1228" s="3">
        <v>468202106</v>
      </c>
      <c r="O1228" s="1" t="s">
        <v>108</v>
      </c>
      <c r="P1228" s="1" t="s">
        <v>7894</v>
      </c>
      <c r="Q1228" s="4">
        <v>1.1000000000000001</v>
      </c>
      <c r="R1228" s="4">
        <v>1.1000000000000001</v>
      </c>
      <c r="S1228" s="8">
        <v>3.2999999999999998</v>
      </c>
      <c r="T1228" s="1" t="s">
        <v>50</v>
      </c>
      <c r="U1228" s="1"/>
      <c r="V1228" s="1"/>
      <c r="W1228" s="1"/>
      <c r="X1228" s="5">
        <v>100</v>
      </c>
      <c r="Y1228" s="1"/>
      <c r="Z1228" s="7">
        <v>37500000</v>
      </c>
      <c r="AA1228" s="2">
        <f ca="1">DATE(2004,12,18)</f>
        <v>0</v>
      </c>
      <c r="AB1228" s="4">
        <v>0.27400000000000002</v>
      </c>
      <c r="AC1228" s="3">
        <v>180</v>
      </c>
      <c r="AD1228" s="8">
        <v>103000</v>
      </c>
      <c r="AE1228" s="1" t="s">
        <v>51</v>
      </c>
      <c r="AF1228" s="1" t="s">
        <v>51</v>
      </c>
      <c r="AG1228" s="1" t="s">
        <v>47</v>
      </c>
      <c r="AH1228" s="1"/>
      <c r="AI1228" s="1"/>
      <c r="AJ1228" s="3">
        <v>2</v>
      </c>
      <c r="AK1228" s="1" t="s">
        <v>89</v>
      </c>
      <c r="AL1228" s="3">
        <v>9</v>
      </c>
      <c r="AM1228" s="8">
        <v>17.25</v>
      </c>
      <c r="AN1228" s="1"/>
      <c r="AO1228" s="1" t="s">
        <v>7895</v>
      </c>
      <c r="AP1228" s="1" t="s">
        <v>4528</v>
      </c>
      <c r="AQ1228" s="1" t="s">
        <v>7896</v>
      </c>
      <c r="AR1228" s="1" t="s">
        <v>7897</v>
      </c>
    </row>
    <row r="1229">
      <c r="A1229" s="2">
        <f ca="1">DATE(2004,03,11)</f>
        <v>0</v>
      </c>
      <c r="B1229" s="2">
        <f ca="1">DATE(2004,06,21)</f>
        <v>0</v>
      </c>
      <c r="C1229" s="1" t="s">
        <v>7898</v>
      </c>
      <c r="D1229" s="3">
        <v>2836</v>
      </c>
      <c r="E1229" s="1" t="s">
        <v>43</v>
      </c>
      <c r="F1229" s="1" t="s">
        <v>7899</v>
      </c>
      <c r="G1229" s="1" t="s">
        <v>7900</v>
      </c>
      <c r="H1229" s="4">
        <v>0.45500000000000002</v>
      </c>
      <c r="I1229" s="4">
        <v>7</v>
      </c>
      <c r="J1229" s="5">
        <v>34.799999999999997</v>
      </c>
      <c r="K1229" s="4">
        <v>6.5</v>
      </c>
      <c r="L1229" s="1" t="s">
        <v>46</v>
      </c>
      <c r="M1229" s="1" t="s">
        <v>47</v>
      </c>
      <c r="N1229" s="1" t="s">
        <v>7901</v>
      </c>
      <c r="O1229" s="1" t="s">
        <v>48</v>
      </c>
      <c r="P1229" s="1" t="s">
        <v>7902</v>
      </c>
      <c r="Q1229" s="4">
        <v>1.3999999999999999</v>
      </c>
      <c r="R1229" s="4">
        <v>1.3999999999999999</v>
      </c>
      <c r="S1229" s="8">
        <v>4.2000000000000002</v>
      </c>
      <c r="T1229" s="1" t="s">
        <v>50</v>
      </c>
      <c r="U1229" s="1"/>
      <c r="V1229" s="1"/>
      <c r="W1229" s="1"/>
      <c r="X1229" s="5">
        <v>86.299999999999997</v>
      </c>
      <c r="Y1229" s="7">
        <v>5350000</v>
      </c>
      <c r="Z1229" s="1"/>
      <c r="AA1229" s="2">
        <f ca="1">DATE(2004,12,18)</f>
        <v>0</v>
      </c>
      <c r="AB1229" s="4">
        <v>75.745000000000005</v>
      </c>
      <c r="AC1229" s="3">
        <v>180</v>
      </c>
      <c r="AD1229" s="8">
        <v>19213183</v>
      </c>
      <c r="AE1229" s="1" t="s">
        <v>51</v>
      </c>
      <c r="AF1229" s="1" t="s">
        <v>51</v>
      </c>
      <c r="AG1229" s="1" t="s">
        <v>47</v>
      </c>
      <c r="AH1229" s="1"/>
      <c r="AI1229" s="1"/>
      <c r="AJ1229" s="3">
        <v>2</v>
      </c>
      <c r="AK1229" s="1" t="s">
        <v>89</v>
      </c>
      <c r="AL1229" s="3">
        <v>4</v>
      </c>
      <c r="AM1229" s="8">
        <v>7.8099999999999996</v>
      </c>
      <c r="AN1229" s="1"/>
      <c r="AO1229" s="1" t="s">
        <v>7903</v>
      </c>
      <c r="AP1229" s="1" t="s">
        <v>7904</v>
      </c>
      <c r="AQ1229" s="1" t="s">
        <v>7905</v>
      </c>
      <c r="AR1229" s="1" t="s">
        <v>7906</v>
      </c>
    </row>
    <row r="1230">
      <c r="A1230" s="2">
        <f ca="1">DATE(2004,03,29)</f>
        <v>0</v>
      </c>
      <c r="B1230" s="2">
        <f ca="1">DATE(2004,06,21)</f>
        <v>0</v>
      </c>
      <c r="C1230" s="1" t="s">
        <v>7907</v>
      </c>
      <c r="D1230" s="3">
        <v>8731</v>
      </c>
      <c r="E1230" s="1" t="s">
        <v>43</v>
      </c>
      <c r="F1230" s="1" t="s">
        <v>7908</v>
      </c>
      <c r="G1230" s="1" t="s">
        <v>6201</v>
      </c>
      <c r="H1230" s="4">
        <v>0.41999999999999998</v>
      </c>
      <c r="I1230" s="8">
        <v>7</v>
      </c>
      <c r="J1230" s="5">
        <v>36</v>
      </c>
      <c r="K1230" s="4">
        <v>6</v>
      </c>
      <c r="L1230" s="1" t="s">
        <v>46</v>
      </c>
      <c r="M1230" s="1" t="s">
        <v>47</v>
      </c>
      <c r="N1230" s="1" t="s">
        <v>7909</v>
      </c>
      <c r="O1230" s="1" t="s">
        <v>48</v>
      </c>
      <c r="P1230" s="1" t="s">
        <v>7910</v>
      </c>
      <c r="Q1230" s="4">
        <v>1.3999999999999999</v>
      </c>
      <c r="R1230" s="4">
        <v>1.3999999999999999</v>
      </c>
      <c r="S1230" s="8">
        <v>4.2000000000000002</v>
      </c>
      <c r="T1230" s="1" t="s">
        <v>50</v>
      </c>
      <c r="U1230" s="1"/>
      <c r="V1230" s="1"/>
      <c r="W1230" s="1"/>
      <c r="X1230" s="5">
        <v>97.799999999999997</v>
      </c>
      <c r="Y1230" s="7">
        <v>6000000</v>
      </c>
      <c r="Z1230" s="1"/>
      <c r="AA1230" s="2">
        <f ca="1">DATE(2004,12,18)</f>
        <v>0</v>
      </c>
      <c r="AB1230" s="4">
        <v>73.305000000000007</v>
      </c>
      <c r="AC1230" s="3">
        <v>180</v>
      </c>
      <c r="AD1230" s="8">
        <v>18420031</v>
      </c>
      <c r="AE1230" s="1" t="s">
        <v>51</v>
      </c>
      <c r="AF1230" s="1" t="s">
        <v>51</v>
      </c>
      <c r="AG1230" s="1" t="s">
        <v>47</v>
      </c>
      <c r="AH1230" s="1"/>
      <c r="AI1230" s="1"/>
      <c r="AJ1230" s="3">
        <v>1</v>
      </c>
      <c r="AK1230" s="1" t="s">
        <v>89</v>
      </c>
      <c r="AL1230" s="3">
        <v>4</v>
      </c>
      <c r="AM1230" s="8">
        <v>6.75</v>
      </c>
      <c r="AN1230" s="1"/>
      <c r="AO1230" s="1" t="s">
        <v>7911</v>
      </c>
      <c r="AP1230" s="1" t="s">
        <v>7831</v>
      </c>
      <c r="AQ1230" s="1" t="s">
        <v>7912</v>
      </c>
      <c r="AR1230" s="1" t="s">
        <v>7913</v>
      </c>
    </row>
    <row r="1231">
      <c r="A1231" s="2">
        <f ca="1">DATE(2004,04,09)</f>
        <v>0</v>
      </c>
      <c r="B1231" s="2">
        <f ca="1">DATE(2004,06,22)</f>
        <v>0</v>
      </c>
      <c r="C1231" s="1" t="s">
        <v>7914</v>
      </c>
      <c r="D1231" s="3">
        <v>3646</v>
      </c>
      <c r="E1231" s="1" t="s">
        <v>43</v>
      </c>
      <c r="F1231" s="1" t="s">
        <v>7915</v>
      </c>
      <c r="G1231" s="1" t="s">
        <v>1056</v>
      </c>
      <c r="H1231" s="4">
        <v>0.69999999999999996</v>
      </c>
      <c r="I1231" s="8">
        <v>7</v>
      </c>
      <c r="J1231" s="5">
        <v>40</v>
      </c>
      <c r="K1231" s="4">
        <v>10</v>
      </c>
      <c r="L1231" s="1" t="s">
        <v>46</v>
      </c>
      <c r="M1231" s="1" t="s">
        <v>47</v>
      </c>
      <c r="N1231" s="1" t="s">
        <v>7916</v>
      </c>
      <c r="O1231" s="1" t="s">
        <v>48</v>
      </c>
      <c r="P1231" s="1" t="s">
        <v>7917</v>
      </c>
      <c r="Q1231" s="4">
        <v>1.3999999999999999</v>
      </c>
      <c r="R1231" s="4">
        <v>1.3999999999999999</v>
      </c>
      <c r="S1231" s="8">
        <v>4.2000000000000002</v>
      </c>
      <c r="T1231" s="1" t="s">
        <v>50</v>
      </c>
      <c r="U1231" s="1"/>
      <c r="V1231" s="1"/>
      <c r="W1231" s="1"/>
      <c r="X1231" s="5">
        <v>51.799999999999997</v>
      </c>
      <c r="Y1231" s="7">
        <v>4000000</v>
      </c>
      <c r="Z1231" s="1"/>
      <c r="AA1231" s="2">
        <f ca="1">DATE(2004,12,19)</f>
        <v>0</v>
      </c>
      <c r="AB1231" s="4">
        <v>67.884</v>
      </c>
      <c r="AC1231" s="3">
        <v>180</v>
      </c>
      <c r="AD1231" s="8">
        <v>12137887</v>
      </c>
      <c r="AE1231" s="1" t="s">
        <v>51</v>
      </c>
      <c r="AF1231" s="1" t="s">
        <v>51</v>
      </c>
      <c r="AG1231" s="1" t="s">
        <v>47</v>
      </c>
      <c r="AH1231" s="1"/>
      <c r="AI1231" s="1"/>
      <c r="AJ1231" s="3">
        <v>1</v>
      </c>
      <c r="AK1231" s="1" t="s">
        <v>89</v>
      </c>
      <c r="AL1231" s="3">
        <v>4</v>
      </c>
      <c r="AM1231" s="8">
        <v>9.9499999999999993</v>
      </c>
      <c r="AN1231" s="1"/>
      <c r="AO1231" s="1" t="s">
        <v>7918</v>
      </c>
      <c r="AP1231" s="1" t="s">
        <v>7919</v>
      </c>
      <c r="AQ1231" s="1" t="s">
        <v>7920</v>
      </c>
      <c r="AR1231" s="1" t="s">
        <v>7921</v>
      </c>
    </row>
    <row r="1232">
      <c r="A1232" s="2">
        <f ca="1">DATE(2003,12,18)</f>
        <v>0</v>
      </c>
      <c r="B1232" s="2">
        <f ca="1">DATE(2004,06,22)</f>
        <v>0</v>
      </c>
      <c r="C1232" s="1" t="s">
        <v>7922</v>
      </c>
      <c r="D1232" s="3">
        <v>7372</v>
      </c>
      <c r="E1232" s="1" t="s">
        <v>43</v>
      </c>
      <c r="F1232" s="1" t="s">
        <v>7923</v>
      </c>
      <c r="G1232" s="1" t="s">
        <v>796</v>
      </c>
      <c r="H1232" s="4">
        <v>0.77000000000000002</v>
      </c>
      <c r="I1232" s="4">
        <v>7</v>
      </c>
      <c r="J1232" s="5">
        <v>110</v>
      </c>
      <c r="K1232" s="4">
        <v>11</v>
      </c>
      <c r="L1232" s="1" t="s">
        <v>46</v>
      </c>
      <c r="M1232" s="1" t="s">
        <v>47</v>
      </c>
      <c r="N1232" s="1" t="s">
        <v>7924</v>
      </c>
      <c r="O1232" s="1" t="s">
        <v>108</v>
      </c>
      <c r="P1232" s="1" t="s">
        <v>7925</v>
      </c>
      <c r="Q1232" s="4">
        <v>1.3640000000000001</v>
      </c>
      <c r="R1232" s="4">
        <v>1.091</v>
      </c>
      <c r="S1232" s="6">
        <v>4.5454499999999998</v>
      </c>
      <c r="T1232" s="1" t="s">
        <v>50</v>
      </c>
      <c r="U1232" s="1"/>
      <c r="V1232" s="1"/>
      <c r="W1232" s="1"/>
      <c r="X1232" s="5">
        <v>115</v>
      </c>
      <c r="Y1232" s="7">
        <v>10000000</v>
      </c>
      <c r="Z1232" s="1"/>
      <c r="AA1232" s="2">
        <f ca="1">DATE(2004,12,19)</f>
        <v>0</v>
      </c>
      <c r="AB1232" s="4">
        <v>88.808999999999998</v>
      </c>
      <c r="AC1232" s="3">
        <v>180</v>
      </c>
      <c r="AD1232" s="8">
        <v>91256880</v>
      </c>
      <c r="AE1232" s="1" t="s">
        <v>51</v>
      </c>
      <c r="AF1232" s="1" t="s">
        <v>51</v>
      </c>
      <c r="AG1232" s="1" t="s">
        <v>47</v>
      </c>
      <c r="AH1232" s="1"/>
      <c r="AI1232" s="1"/>
      <c r="AJ1232" s="3">
        <v>1</v>
      </c>
      <c r="AK1232" s="1" t="s">
        <v>52</v>
      </c>
      <c r="AL1232" s="3">
        <v>5</v>
      </c>
      <c r="AM1232" s="8">
        <v>17.199999999999999</v>
      </c>
      <c r="AN1232" s="1"/>
      <c r="AO1232" s="1" t="s">
        <v>7926</v>
      </c>
      <c r="AP1232" s="1" t="s">
        <v>796</v>
      </c>
      <c r="AQ1232" s="1" t="s">
        <v>7927</v>
      </c>
      <c r="AR1232" s="1" t="s">
        <v>7928</v>
      </c>
    </row>
    <row r="1233">
      <c r="A1233" s="2">
        <f ca="1">DATE(2004,03,09)</f>
        <v>0</v>
      </c>
      <c r="B1233" s="2">
        <f ca="1">DATE(2004,06,22)</f>
        <v>0</v>
      </c>
      <c r="C1233" s="1" t="s">
        <v>7929</v>
      </c>
      <c r="D1233" s="3">
        <v>4953</v>
      </c>
      <c r="E1233" s="1" t="s">
        <v>43</v>
      </c>
      <c r="F1233" s="1" t="s">
        <v>7930</v>
      </c>
      <c r="G1233" s="1" t="s">
        <v>84</v>
      </c>
      <c r="H1233" s="4">
        <v>0.66500000000000004</v>
      </c>
      <c r="I1233" s="4">
        <v>7</v>
      </c>
      <c r="J1233" s="5">
        <v>85.5</v>
      </c>
      <c r="K1233" s="4">
        <v>9.5</v>
      </c>
      <c r="L1233" s="1" t="s">
        <v>46</v>
      </c>
      <c r="M1233" s="1" t="s">
        <v>47</v>
      </c>
      <c r="N1233" s="1" t="s">
        <v>7931</v>
      </c>
      <c r="O1233" s="1" t="s">
        <v>48</v>
      </c>
      <c r="P1233" s="1" t="s">
        <v>7932</v>
      </c>
      <c r="Q1233" s="4">
        <v>1.3680000000000001</v>
      </c>
      <c r="R1233" s="4">
        <v>1.421</v>
      </c>
      <c r="S1233" s="6">
        <v>4.2105300000000003</v>
      </c>
      <c r="T1233" s="1" t="s">
        <v>50</v>
      </c>
      <c r="U1233" s="1"/>
      <c r="V1233" s="1"/>
      <c r="W1233" s="1"/>
      <c r="X1233" s="5">
        <v>97.799999999999997</v>
      </c>
      <c r="Y1233" s="7">
        <v>6587947</v>
      </c>
      <c r="Z1233" s="7">
        <v>2412053</v>
      </c>
      <c r="AA1233" s="2">
        <f ca="1">DATE(2004,12,19)</f>
        <v>0</v>
      </c>
      <c r="AB1233" s="1"/>
      <c r="AC1233" s="3">
        <v>180</v>
      </c>
      <c r="AD1233" s="1"/>
      <c r="AE1233" s="1" t="s">
        <v>51</v>
      </c>
      <c r="AF1233" s="1" t="s">
        <v>51</v>
      </c>
      <c r="AG1233" s="1" t="s">
        <v>51</v>
      </c>
      <c r="AH1233" s="1"/>
      <c r="AI1233" s="1"/>
      <c r="AJ1233" s="3">
        <v>1</v>
      </c>
      <c r="AK1233" s="1" t="s">
        <v>52</v>
      </c>
      <c r="AL1233" s="3">
        <v>2</v>
      </c>
      <c r="AM1233" s="8">
        <v>8.5899999999999999</v>
      </c>
      <c r="AN1233" s="1"/>
      <c r="AO1233" s="1" t="s">
        <v>7933</v>
      </c>
      <c r="AP1233" s="1" t="s">
        <v>84</v>
      </c>
      <c r="AQ1233" s="1" t="s">
        <v>3317</v>
      </c>
      <c r="AR1233" s="1" t="s">
        <v>3318</v>
      </c>
    </row>
    <row r="1234">
      <c r="A1234" s="2">
        <f ca="1">DATE(2004,06,01)</f>
        <v>0</v>
      </c>
      <c r="B1234" s="2">
        <f ca="1">DATE(2004,06,23)</f>
        <v>0</v>
      </c>
      <c r="C1234" s="1" t="s">
        <v>7934</v>
      </c>
      <c r="D1234" s="3">
        <v>4512</v>
      </c>
      <c r="E1234" s="1" t="s">
        <v>1445</v>
      </c>
      <c r="F1234" s="1" t="s">
        <v>7935</v>
      </c>
      <c r="G1234" s="1" t="s">
        <v>796</v>
      </c>
      <c r="H1234" s="4">
        <v>0.84999999999999998</v>
      </c>
      <c r="I1234" s="4">
        <v>5</v>
      </c>
      <c r="J1234" s="5">
        <v>202.30000000000001</v>
      </c>
      <c r="K1234" s="4">
        <v>17</v>
      </c>
      <c r="L1234" s="1" t="s">
        <v>651</v>
      </c>
      <c r="M1234" s="1" t="s">
        <v>47</v>
      </c>
      <c r="N1234" s="1" t="s">
        <v>7936</v>
      </c>
      <c r="O1234" s="1" t="s">
        <v>108</v>
      </c>
      <c r="P1234" s="1" t="s">
        <v>7937</v>
      </c>
      <c r="Q1234" s="4">
        <v>1</v>
      </c>
      <c r="R1234" s="4">
        <v>0.76500000000000001</v>
      </c>
      <c r="S1234" s="6">
        <v>3.23529</v>
      </c>
      <c r="T1234" s="1" t="s">
        <v>50</v>
      </c>
      <c r="U1234" s="1"/>
      <c r="V1234" s="1"/>
      <c r="W1234" s="1"/>
      <c r="X1234" s="5">
        <v>305</v>
      </c>
      <c r="Y1234" s="7">
        <v>6750000</v>
      </c>
      <c r="Z1234" s="7">
        <v>5148000</v>
      </c>
      <c r="AA1234" s="1" t="s">
        <v>7938</v>
      </c>
      <c r="AB1234" s="1" t="s">
        <v>5265</v>
      </c>
      <c r="AC1234" s="1" t="s">
        <v>7759</v>
      </c>
      <c r="AD1234" s="1" t="s">
        <v>5265</v>
      </c>
      <c r="AE1234" s="1" t="s">
        <v>47</v>
      </c>
      <c r="AF1234" s="1" t="s">
        <v>51</v>
      </c>
      <c r="AG1234" s="1" t="s">
        <v>51</v>
      </c>
      <c r="AH1234" s="1" t="s">
        <v>7939</v>
      </c>
      <c r="AI1234" s="1" t="s">
        <v>7939</v>
      </c>
      <c r="AJ1234" s="3">
        <v>1</v>
      </c>
      <c r="AK1234" s="1" t="s">
        <v>52</v>
      </c>
      <c r="AL1234" s="3">
        <v>5</v>
      </c>
      <c r="AM1234" s="8">
        <v>18.219999999999999</v>
      </c>
      <c r="AN1234" s="1"/>
      <c r="AO1234" s="1" t="s">
        <v>7940</v>
      </c>
      <c r="AP1234" s="1" t="s">
        <v>796</v>
      </c>
      <c r="AQ1234" s="1" t="s">
        <v>7941</v>
      </c>
      <c r="AR1234" s="1" t="s">
        <v>7942</v>
      </c>
    </row>
    <row r="1235">
      <c r="A1235" s="2">
        <f ca="1">DATE(2004,02,13)</f>
        <v>0</v>
      </c>
      <c r="B1235" s="2">
        <f ca="1">DATE(2004,06,23)</f>
        <v>0</v>
      </c>
      <c r="C1235" s="1" t="s">
        <v>7943</v>
      </c>
      <c r="D1235" s="3">
        <v>6798</v>
      </c>
      <c r="E1235" s="1" t="s">
        <v>43</v>
      </c>
      <c r="F1235" s="1" t="s">
        <v>7944</v>
      </c>
      <c r="G1235" s="1" t="s">
        <v>160</v>
      </c>
      <c r="H1235" s="4">
        <v>0.97999999999999998</v>
      </c>
      <c r="I1235" s="8">
        <v>7</v>
      </c>
      <c r="J1235" s="5">
        <v>246.40000000000001</v>
      </c>
      <c r="K1235" s="4">
        <v>14</v>
      </c>
      <c r="L1235" s="1" t="s">
        <v>46</v>
      </c>
      <c r="M1235" s="1" t="s">
        <v>47</v>
      </c>
      <c r="N1235" s="1" t="s">
        <v>7945</v>
      </c>
      <c r="O1235" s="1" t="s">
        <v>108</v>
      </c>
      <c r="P1235" s="1" t="s">
        <v>7946</v>
      </c>
      <c r="Q1235" s="4">
        <v>1.3999999999999999</v>
      </c>
      <c r="R1235" s="4">
        <v>1.3999999999999999</v>
      </c>
      <c r="S1235" s="8">
        <v>4.2000000000000002</v>
      </c>
      <c r="T1235" s="1" t="s">
        <v>50</v>
      </c>
      <c r="U1235" s="1"/>
      <c r="V1235" s="1"/>
      <c r="W1235" s="1"/>
      <c r="X1235" s="5">
        <v>325</v>
      </c>
      <c r="Y1235" s="7">
        <v>17600000</v>
      </c>
      <c r="Z1235" s="1"/>
      <c r="AA1235" s="2">
        <f ca="1">DATE(2004,12,20)</f>
        <v>0</v>
      </c>
      <c r="AB1235" s="4">
        <v>29.951000000000001</v>
      </c>
      <c r="AC1235" s="3">
        <v>180</v>
      </c>
      <c r="AD1235" s="8">
        <v>8654100</v>
      </c>
      <c r="AE1235" s="1" t="s">
        <v>51</v>
      </c>
      <c r="AF1235" s="1" t="s">
        <v>51</v>
      </c>
      <c r="AG1235" s="1" t="s">
        <v>51</v>
      </c>
      <c r="AH1235" s="1"/>
      <c r="AI1235" s="1"/>
      <c r="AJ1235" s="3">
        <v>1</v>
      </c>
      <c r="AK1235" s="1" t="s">
        <v>89</v>
      </c>
      <c r="AL1235" s="3">
        <v>6</v>
      </c>
      <c r="AM1235" s="8">
        <v>14.35</v>
      </c>
      <c r="AN1235" s="1"/>
      <c r="AO1235" s="1" t="s">
        <v>7947</v>
      </c>
      <c r="AP1235" s="1" t="s">
        <v>7948</v>
      </c>
      <c r="AQ1235" s="1" t="s">
        <v>7949</v>
      </c>
      <c r="AR1235" s="1" t="s">
        <v>7950</v>
      </c>
    </row>
    <row r="1236">
      <c r="A1236" s="2">
        <f ca="1">DATE(2004,06,02)</f>
        <v>0</v>
      </c>
      <c r="B1236" s="2">
        <f ca="1">DATE(2004,06,23)</f>
        <v>0</v>
      </c>
      <c r="C1236" s="1" t="s">
        <v>7951</v>
      </c>
      <c r="D1236" s="3">
        <v>3572</v>
      </c>
      <c r="E1236" s="1" t="s">
        <v>1956</v>
      </c>
      <c r="F1236" s="1" t="s">
        <v>7952</v>
      </c>
      <c r="G1236" s="1" t="s">
        <v>168</v>
      </c>
      <c r="H1236" s="4">
        <v>0.94499999999999995</v>
      </c>
      <c r="I1236" s="8">
        <v>6.75</v>
      </c>
      <c r="J1236" s="5">
        <v>97.400000000000006</v>
      </c>
      <c r="K1236" s="4">
        <v>14</v>
      </c>
      <c r="L1236" s="1" t="s">
        <v>46</v>
      </c>
      <c r="M1236" s="1" t="s">
        <v>47</v>
      </c>
      <c r="N1236" s="1" t="s">
        <v>7953</v>
      </c>
      <c r="O1236" s="1" t="s">
        <v>48</v>
      </c>
      <c r="P1236" s="1" t="s">
        <v>7954</v>
      </c>
      <c r="Q1236" s="4">
        <v>1.3500000000000001</v>
      </c>
      <c r="R1236" s="4">
        <v>1.3500000000000001</v>
      </c>
      <c r="S1236" s="8">
        <v>4.0499999999999998</v>
      </c>
      <c r="T1236" s="1" t="s">
        <v>50</v>
      </c>
      <c r="U1236" s="8">
        <v>17</v>
      </c>
      <c r="V1236" s="8">
        <v>15</v>
      </c>
      <c r="W1236" s="7">
        <v>6956522</v>
      </c>
      <c r="X1236" s="5">
        <v>111.3</v>
      </c>
      <c r="Y1236" s="7">
        <v>4000000</v>
      </c>
      <c r="Z1236" s="7">
        <v>2956522</v>
      </c>
      <c r="AA1236" s="2">
        <f ca="1">DATE(2004,12,20)</f>
        <v>0</v>
      </c>
      <c r="AB1236" s="4">
        <v>64.492999999999995</v>
      </c>
      <c r="AC1236" s="3">
        <v>180</v>
      </c>
      <c r="AD1236" s="8">
        <v>18163372</v>
      </c>
      <c r="AE1236" s="1" t="s">
        <v>51</v>
      </c>
      <c r="AF1236" s="1" t="s">
        <v>51</v>
      </c>
      <c r="AG1236" s="1" t="s">
        <v>51</v>
      </c>
      <c r="AH1236" s="1"/>
      <c r="AI1236" s="1"/>
      <c r="AJ1236" s="3">
        <v>1</v>
      </c>
      <c r="AK1236" s="1" t="s">
        <v>89</v>
      </c>
      <c r="AL1236" s="3">
        <v>4</v>
      </c>
      <c r="AM1236" s="8">
        <v>13.949999999999999</v>
      </c>
      <c r="AN1236" s="1"/>
      <c r="AO1236" s="1" t="s">
        <v>7955</v>
      </c>
      <c r="AP1236" s="1" t="s">
        <v>7956</v>
      </c>
      <c r="AQ1236" s="1" t="s">
        <v>7957</v>
      </c>
      <c r="AR1236" s="1" t="s">
        <v>7958</v>
      </c>
    </row>
    <row r="1237">
      <c r="A1237" s="2">
        <f ca="1">DATE(2004,04,23)</f>
        <v>0</v>
      </c>
      <c r="B1237" s="2">
        <f ca="1">DATE(2004,06,24)</f>
        <v>0</v>
      </c>
      <c r="C1237" s="1" t="s">
        <v>7959</v>
      </c>
      <c r="D1237" s="3">
        <v>6726</v>
      </c>
      <c r="E1237" s="1" t="s">
        <v>43</v>
      </c>
      <c r="F1237" s="1" t="s">
        <v>7960</v>
      </c>
      <c r="G1237" s="1" t="s">
        <v>7222</v>
      </c>
      <c r="H1237" s="4">
        <v>0.54000000000000004</v>
      </c>
      <c r="I1237" s="4">
        <v>9</v>
      </c>
      <c r="J1237" s="5">
        <v>36</v>
      </c>
      <c r="K1237" s="4">
        <v>6</v>
      </c>
      <c r="L1237" s="1" t="s">
        <v>46</v>
      </c>
      <c r="M1237" s="1" t="s">
        <v>47</v>
      </c>
      <c r="N1237" s="1" t="s">
        <v>7961</v>
      </c>
      <c r="O1237" s="1" t="s">
        <v>77</v>
      </c>
      <c r="P1237" s="1" t="s">
        <v>7962</v>
      </c>
      <c r="Q1237" s="1" t="s">
        <v>145</v>
      </c>
      <c r="R1237" s="1" t="s">
        <v>145</v>
      </c>
      <c r="S1237" s="8">
        <v>4</v>
      </c>
      <c r="T1237" s="1" t="s">
        <v>50</v>
      </c>
      <c r="U1237" s="8">
        <v>6</v>
      </c>
      <c r="V1237" s="8">
        <v>6</v>
      </c>
      <c r="W1237" s="7">
        <v>5000000</v>
      </c>
      <c r="X1237" s="5">
        <v>30</v>
      </c>
      <c r="Y1237" s="7">
        <v>6000000</v>
      </c>
      <c r="Z1237" s="1"/>
      <c r="AA1237" s="2">
        <f ca="1">DATE(2004,12,21)</f>
        <v>0</v>
      </c>
      <c r="AB1237" s="4">
        <v>20</v>
      </c>
      <c r="AC1237" s="3">
        <v>180</v>
      </c>
      <c r="AD1237" s="8">
        <v>1500000</v>
      </c>
      <c r="AE1237" s="1" t="s">
        <v>51</v>
      </c>
      <c r="AF1237" s="1" t="s">
        <v>51</v>
      </c>
      <c r="AG1237" s="1" t="s">
        <v>51</v>
      </c>
      <c r="AH1237" s="1"/>
      <c r="AI1237" s="1"/>
      <c r="AJ1237" s="3">
        <v>1</v>
      </c>
      <c r="AK1237" s="1" t="s">
        <v>52</v>
      </c>
      <c r="AL1237" s="3">
        <v>1</v>
      </c>
      <c r="AM1237" s="8">
        <v>6</v>
      </c>
      <c r="AN1237" s="1"/>
      <c r="AO1237" s="1" t="s">
        <v>7963</v>
      </c>
      <c r="AP1237" s="1" t="s">
        <v>7222</v>
      </c>
      <c r="AQ1237" s="1" t="s">
        <v>7222</v>
      </c>
      <c r="AR1237" s="1" t="s">
        <v>7339</v>
      </c>
    </row>
    <row r="1238">
      <c r="A1238" s="2">
        <f ca="1">DATE(2004,03,23)</f>
        <v>0</v>
      </c>
      <c r="B1238" s="2">
        <f ca="1">DATE(2004,06,24)</f>
        <v>0</v>
      </c>
      <c r="C1238" s="1" t="s">
        <v>7964</v>
      </c>
      <c r="D1238" s="3">
        <v>5941</v>
      </c>
      <c r="E1238" s="1" t="s">
        <v>43</v>
      </c>
      <c r="F1238" s="1" t="s">
        <v>7965</v>
      </c>
      <c r="G1238" s="1" t="s">
        <v>6640</v>
      </c>
      <c r="H1238" s="4">
        <v>1.3500000000000001</v>
      </c>
      <c r="I1238" s="4">
        <v>6.75</v>
      </c>
      <c r="J1238" s="5">
        <v>156.30000000000001</v>
      </c>
      <c r="K1238" s="4">
        <v>20</v>
      </c>
      <c r="L1238" s="1" t="s">
        <v>46</v>
      </c>
      <c r="M1238" s="1" t="s">
        <v>47</v>
      </c>
      <c r="N1238" s="3">
        <v>126804301</v>
      </c>
      <c r="O1238" s="1" t="s">
        <v>108</v>
      </c>
      <c r="P1238" s="1" t="s">
        <v>7966</v>
      </c>
      <c r="Q1238" s="4">
        <v>1.3500000000000001</v>
      </c>
      <c r="R1238" s="4">
        <v>1.3500000000000001</v>
      </c>
      <c r="S1238" s="8">
        <v>4.0499999999999998</v>
      </c>
      <c r="T1238" s="1" t="s">
        <v>50</v>
      </c>
      <c r="U1238" s="1"/>
      <c r="V1238" s="1"/>
      <c r="W1238" s="1"/>
      <c r="X1238" s="5">
        <v>230</v>
      </c>
      <c r="Y1238" s="7">
        <v>6250000</v>
      </c>
      <c r="Z1238" s="7">
        <v>1562500</v>
      </c>
      <c r="AA1238" s="1" t="s">
        <v>7967</v>
      </c>
      <c r="AB1238" s="1" t="s">
        <v>7968</v>
      </c>
      <c r="AC1238" s="1" t="s">
        <v>7969</v>
      </c>
      <c r="AD1238" s="1" t="s">
        <v>7970</v>
      </c>
      <c r="AE1238" s="1" t="s">
        <v>51</v>
      </c>
      <c r="AF1238" s="1" t="s">
        <v>51</v>
      </c>
      <c r="AG1238" s="1" t="s">
        <v>47</v>
      </c>
      <c r="AH1238" s="1"/>
      <c r="AI1238" s="1"/>
      <c r="AJ1238" s="3">
        <v>2</v>
      </c>
      <c r="AK1238" s="1" t="s">
        <v>89</v>
      </c>
      <c r="AL1238" s="3">
        <v>5</v>
      </c>
      <c r="AM1238" s="8">
        <v>26</v>
      </c>
      <c r="AN1238" s="1"/>
      <c r="AO1238" s="1" t="s">
        <v>7971</v>
      </c>
      <c r="AP1238" s="1" t="s">
        <v>6644</v>
      </c>
      <c r="AQ1238" s="1" t="s">
        <v>7972</v>
      </c>
      <c r="AR1238" s="1" t="s">
        <v>7973</v>
      </c>
    </row>
    <row r="1239">
      <c r="A1239" s="1"/>
      <c r="B1239" s="2">
        <f ca="1">DATE(2004,06,24)</f>
        <v>0</v>
      </c>
      <c r="C1239" s="1" t="s">
        <v>7974</v>
      </c>
      <c r="D1239" s="3">
        <v>6726</v>
      </c>
      <c r="E1239" s="1" t="s">
        <v>43</v>
      </c>
      <c r="F1239" s="1" t="s">
        <v>7975</v>
      </c>
      <c r="G1239" s="1" t="s">
        <v>7976</v>
      </c>
      <c r="H1239" s="4">
        <v>0.90000000000000002</v>
      </c>
      <c r="I1239" s="4">
        <v>4.5</v>
      </c>
      <c r="J1239" s="5">
        <v>680</v>
      </c>
      <c r="K1239" s="4">
        <v>20</v>
      </c>
      <c r="L1239" s="1" t="s">
        <v>4422</v>
      </c>
      <c r="M1239" s="1" t="s">
        <v>47</v>
      </c>
      <c r="N1239" s="3">
        <v>278279104</v>
      </c>
      <c r="O1239" s="1" t="s">
        <v>108</v>
      </c>
      <c r="P1239" s="1" t="s">
        <v>7977</v>
      </c>
      <c r="Q1239" s="4">
        <v>1</v>
      </c>
      <c r="R1239" s="4">
        <v>0.5</v>
      </c>
      <c r="S1239" s="8">
        <v>3</v>
      </c>
      <c r="T1239" s="1" t="s">
        <v>50</v>
      </c>
      <c r="U1239" s="8">
        <v>20</v>
      </c>
      <c r="V1239" s="8">
        <v>20</v>
      </c>
      <c r="W1239" s="7">
        <v>50000</v>
      </c>
      <c r="X1239" s="5">
        <v>1</v>
      </c>
      <c r="Y1239" s="7">
        <v>34000000</v>
      </c>
      <c r="Z1239" s="1"/>
      <c r="AA1239" s="2">
        <f ca="1">DATE(2004,12,21)</f>
        <v>0</v>
      </c>
      <c r="AB1239" s="1"/>
      <c r="AC1239" s="3">
        <v>180</v>
      </c>
      <c r="AD1239" s="1"/>
      <c r="AE1239" s="1" t="s">
        <v>51</v>
      </c>
      <c r="AF1239" s="1" t="s">
        <v>51</v>
      </c>
      <c r="AG1239" s="1" t="s">
        <v>51</v>
      </c>
      <c r="AH1239" s="1"/>
      <c r="AI1239" s="1"/>
      <c r="AJ1239" s="3">
        <v>4</v>
      </c>
      <c r="AK1239" s="1" t="s">
        <v>1209</v>
      </c>
      <c r="AL1239" s="3">
        <v>10</v>
      </c>
      <c r="AM1239" s="8">
        <v>20</v>
      </c>
      <c r="AN1239" s="1"/>
      <c r="AO1239" s="1" t="s">
        <v>7978</v>
      </c>
      <c r="AP1239" s="1" t="s">
        <v>7979</v>
      </c>
      <c r="AQ1239" s="1" t="s">
        <v>7980</v>
      </c>
      <c r="AR1239" s="1" t="s">
        <v>7981</v>
      </c>
    </row>
    <row r="1240">
      <c r="A1240" s="2">
        <f ca="1">DATE(2004,04,01)</f>
        <v>0</v>
      </c>
      <c r="B1240" s="2">
        <f ca="1">DATE(2004,06,24)</f>
        <v>0</v>
      </c>
      <c r="C1240" s="1" t="s">
        <v>7982</v>
      </c>
      <c r="D1240" s="3">
        <v>6726</v>
      </c>
      <c r="E1240" s="1" t="s">
        <v>43</v>
      </c>
      <c r="F1240" s="1" t="s">
        <v>7983</v>
      </c>
      <c r="G1240" s="1" t="s">
        <v>4145</v>
      </c>
      <c r="H1240" s="4">
        <v>0.90000000000000002</v>
      </c>
      <c r="I1240" s="4">
        <v>4.5</v>
      </c>
      <c r="J1240" s="5">
        <v>128</v>
      </c>
      <c r="K1240" s="4">
        <v>20</v>
      </c>
      <c r="L1240" s="1" t="s">
        <v>46</v>
      </c>
      <c r="M1240" s="1" t="s">
        <v>47</v>
      </c>
      <c r="N1240" s="3">
        <v>292697109</v>
      </c>
      <c r="O1240" s="1" t="s">
        <v>3689</v>
      </c>
      <c r="P1240" s="1" t="s">
        <v>7984</v>
      </c>
      <c r="Q1240" s="1" t="s">
        <v>145</v>
      </c>
      <c r="R1240" s="1" t="s">
        <v>145</v>
      </c>
      <c r="S1240" s="1"/>
      <c r="T1240" s="1" t="s">
        <v>50</v>
      </c>
      <c r="U1240" s="8">
        <v>20</v>
      </c>
      <c r="V1240" s="8">
        <v>20</v>
      </c>
      <c r="W1240" s="7">
        <v>1000</v>
      </c>
      <c r="X1240" s="5">
        <v>0</v>
      </c>
      <c r="Y1240" s="7">
        <v>6400000</v>
      </c>
      <c r="Z1240" s="1"/>
      <c r="AA1240" s="1"/>
      <c r="AB1240" s="1"/>
      <c r="AC1240" s="1"/>
      <c r="AD1240" s="1"/>
      <c r="AE1240" s="1" t="s">
        <v>51</v>
      </c>
      <c r="AF1240" s="1" t="s">
        <v>51</v>
      </c>
      <c r="AG1240" s="1" t="s">
        <v>51</v>
      </c>
      <c r="AH1240" s="1"/>
      <c r="AI1240" s="1"/>
      <c r="AJ1240" s="3">
        <v>1</v>
      </c>
      <c r="AK1240" s="1" t="s">
        <v>52</v>
      </c>
      <c r="AL1240" s="3">
        <v>14</v>
      </c>
      <c r="AM1240" s="8">
        <v>19.420000000000002</v>
      </c>
      <c r="AN1240" s="1"/>
      <c r="AO1240" s="1" t="s">
        <v>7985</v>
      </c>
      <c r="AP1240" s="1" t="s">
        <v>4145</v>
      </c>
      <c r="AQ1240" s="1" t="s">
        <v>7986</v>
      </c>
      <c r="AR1240" s="1" t="s">
        <v>7987</v>
      </c>
    </row>
    <row r="1241">
      <c r="A1241" s="2">
        <f ca="1">DATE(2003,12,09)</f>
        <v>0</v>
      </c>
      <c r="B1241" s="2">
        <f ca="1">DATE(2004,06,24)</f>
        <v>0</v>
      </c>
      <c r="C1241" s="1" t="s">
        <v>7988</v>
      </c>
      <c r="D1241" s="3">
        <v>7372</v>
      </c>
      <c r="E1241" s="1" t="s">
        <v>43</v>
      </c>
      <c r="F1241" s="1" t="s">
        <v>7989</v>
      </c>
      <c r="G1241" s="1" t="s">
        <v>400</v>
      </c>
      <c r="H1241" s="4">
        <v>0.69999999999999996</v>
      </c>
      <c r="I1241" s="8">
        <v>7</v>
      </c>
      <c r="J1241" s="5">
        <v>50</v>
      </c>
      <c r="K1241" s="4">
        <v>10</v>
      </c>
      <c r="L1241" s="1" t="s">
        <v>46</v>
      </c>
      <c r="M1241" s="1" t="s">
        <v>47</v>
      </c>
      <c r="N1241" s="1" t="s">
        <v>7990</v>
      </c>
      <c r="O1241" s="1" t="s">
        <v>77</v>
      </c>
      <c r="P1241" s="1" t="s">
        <v>7991</v>
      </c>
      <c r="Q1241" s="4">
        <v>1.3999999999999999</v>
      </c>
      <c r="R1241" s="4">
        <v>1.3999999999999999</v>
      </c>
      <c r="S1241" s="8">
        <v>4.2000000000000002</v>
      </c>
      <c r="T1241" s="1" t="s">
        <v>50</v>
      </c>
      <c r="U1241" s="1"/>
      <c r="V1241" s="1"/>
      <c r="W1241" s="1"/>
      <c r="X1241" s="5">
        <v>70</v>
      </c>
      <c r="Y1241" s="7">
        <v>5000000</v>
      </c>
      <c r="Z1241" s="1"/>
      <c r="AA1241" s="2">
        <f ca="1">DATE(2004,12,21)</f>
        <v>0</v>
      </c>
      <c r="AB1241" s="4">
        <v>79.013999999999996</v>
      </c>
      <c r="AC1241" s="3">
        <v>180</v>
      </c>
      <c r="AD1241" s="8">
        <v>19876378</v>
      </c>
      <c r="AE1241" s="1" t="s">
        <v>51</v>
      </c>
      <c r="AF1241" s="1" t="s">
        <v>51</v>
      </c>
      <c r="AG1241" s="1" t="s">
        <v>47</v>
      </c>
      <c r="AH1241" s="1"/>
      <c r="AI1241" s="1"/>
      <c r="AJ1241" s="3">
        <v>1</v>
      </c>
      <c r="AK1241" s="1" t="s">
        <v>89</v>
      </c>
      <c r="AL1241" s="3">
        <v>5</v>
      </c>
      <c r="AM1241" s="8">
        <v>10.15</v>
      </c>
      <c r="AN1241" s="1"/>
      <c r="AO1241" s="1" t="s">
        <v>7992</v>
      </c>
      <c r="AP1241" s="1" t="s">
        <v>7993</v>
      </c>
      <c r="AQ1241" s="1" t="s">
        <v>7994</v>
      </c>
      <c r="AR1241" s="1" t="s">
        <v>7995</v>
      </c>
    </row>
    <row r="1242">
      <c r="A1242" s="2">
        <f ca="1">DATE(2003,12,31)</f>
        <v>0</v>
      </c>
      <c r="B1242" s="2">
        <f ca="1">DATE(2004,06,24)</f>
        <v>0</v>
      </c>
      <c r="C1242" s="1" t="s">
        <v>7996</v>
      </c>
      <c r="D1242" s="3">
        <v>6798</v>
      </c>
      <c r="E1242" s="1" t="s">
        <v>43</v>
      </c>
      <c r="F1242" s="1" t="s">
        <v>7997</v>
      </c>
      <c r="G1242" s="1" t="s">
        <v>84</v>
      </c>
      <c r="H1242" s="4">
        <v>0.63</v>
      </c>
      <c r="I1242" s="4">
        <v>7</v>
      </c>
      <c r="J1242" s="5">
        <v>135</v>
      </c>
      <c r="K1242" s="4">
        <v>9</v>
      </c>
      <c r="L1242" s="1" t="s">
        <v>46</v>
      </c>
      <c r="M1242" s="1" t="s">
        <v>47</v>
      </c>
      <c r="N1242" s="3">
        <v>649604105</v>
      </c>
      <c r="O1242" s="1" t="s">
        <v>108</v>
      </c>
      <c r="P1242" s="1" t="s">
        <v>7998</v>
      </c>
      <c r="Q1242" s="4">
        <v>1.333</v>
      </c>
      <c r="R1242" s="4">
        <v>1.444</v>
      </c>
      <c r="S1242" s="6">
        <v>4.2222200000000001</v>
      </c>
      <c r="T1242" s="1" t="s">
        <v>50</v>
      </c>
      <c r="U1242" s="1"/>
      <c r="V1242" s="1"/>
      <c r="W1242" s="1"/>
      <c r="X1242" s="5">
        <v>172.5</v>
      </c>
      <c r="Y1242" s="7">
        <v>15000000</v>
      </c>
      <c r="Z1242" s="1"/>
      <c r="AA1242" s="2">
        <f ca="1">DATE(2004,12,21)</f>
        <v>0</v>
      </c>
      <c r="AB1242" s="4">
        <v>17.411000000000001</v>
      </c>
      <c r="AC1242" s="3">
        <v>180</v>
      </c>
      <c r="AD1242" s="8">
        <v>3162125</v>
      </c>
      <c r="AE1242" s="1" t="s">
        <v>51</v>
      </c>
      <c r="AF1242" s="1" t="s">
        <v>51</v>
      </c>
      <c r="AG1242" s="1" t="s">
        <v>51</v>
      </c>
      <c r="AH1242" s="1"/>
      <c r="AI1242" s="1"/>
      <c r="AJ1242" s="3">
        <v>1</v>
      </c>
      <c r="AK1242" s="1" t="s">
        <v>52</v>
      </c>
      <c r="AL1242" s="3">
        <v>3</v>
      </c>
      <c r="AM1242" s="8">
        <v>8.9399999999999995</v>
      </c>
      <c r="AN1242" s="1"/>
      <c r="AO1242" s="1" t="s">
        <v>7999</v>
      </c>
      <c r="AP1242" s="1" t="s">
        <v>84</v>
      </c>
      <c r="AQ1242" s="1" t="s">
        <v>8000</v>
      </c>
      <c r="AR1242" s="1" t="s">
        <v>8001</v>
      </c>
    </row>
    <row r="1243">
      <c r="A1243" s="2">
        <f ca="1">DATE(2004,04,15)</f>
        <v>0</v>
      </c>
      <c r="B1243" s="2">
        <f ca="1">DATE(2004,06,25)</f>
        <v>0</v>
      </c>
      <c r="C1243" s="1" t="s">
        <v>8002</v>
      </c>
      <c r="D1243" s="3">
        <v>3672</v>
      </c>
      <c r="E1243" s="1" t="s">
        <v>43</v>
      </c>
      <c r="F1243" s="1" t="s">
        <v>8003</v>
      </c>
      <c r="G1243" s="1" t="s">
        <v>342</v>
      </c>
      <c r="H1243" s="4">
        <v>0.69999999999999996</v>
      </c>
      <c r="I1243" s="8">
        <v>7</v>
      </c>
      <c r="J1243" s="5">
        <v>55.700000000000003</v>
      </c>
      <c r="K1243" s="4">
        <v>10</v>
      </c>
      <c r="L1243" s="1" t="s">
        <v>46</v>
      </c>
      <c r="M1243" s="1" t="s">
        <v>47</v>
      </c>
      <c r="N1243" s="1" t="s">
        <v>8004</v>
      </c>
      <c r="O1243" s="1" t="s">
        <v>48</v>
      </c>
      <c r="P1243" s="1" t="s">
        <v>8005</v>
      </c>
      <c r="Q1243" s="4">
        <v>1.3999999999999999</v>
      </c>
      <c r="R1243" s="4">
        <v>1.6000000000000001</v>
      </c>
      <c r="S1243" s="8">
        <v>4</v>
      </c>
      <c r="T1243" s="1" t="s">
        <v>50</v>
      </c>
      <c r="U1243" s="1"/>
      <c r="V1243" s="1"/>
      <c r="W1243" s="1"/>
      <c r="X1243" s="5">
        <v>70</v>
      </c>
      <c r="Y1243" s="7">
        <v>5000000</v>
      </c>
      <c r="Z1243" s="7">
        <v>566508</v>
      </c>
      <c r="AA1243" s="2">
        <f ca="1">DATE(2004,12,22)</f>
        <v>0</v>
      </c>
      <c r="AB1243" s="4">
        <v>81.143000000000001</v>
      </c>
      <c r="AC1243" s="3">
        <v>180</v>
      </c>
      <c r="AD1243" s="8">
        <v>18872217</v>
      </c>
      <c r="AE1243" s="1" t="s">
        <v>51</v>
      </c>
      <c r="AF1243" s="1" t="s">
        <v>51</v>
      </c>
      <c r="AG1243" s="1" t="s">
        <v>51</v>
      </c>
      <c r="AH1243" s="1"/>
      <c r="AI1243" s="1"/>
      <c r="AJ1243" s="3">
        <v>1</v>
      </c>
      <c r="AK1243" s="1" t="s">
        <v>52</v>
      </c>
      <c r="AL1243" s="3">
        <v>3</v>
      </c>
      <c r="AM1243" s="8">
        <v>10.039999999999999</v>
      </c>
      <c r="AN1243" s="1"/>
      <c r="AO1243" s="1" t="s">
        <v>8006</v>
      </c>
      <c r="AP1243" s="1" t="s">
        <v>342</v>
      </c>
      <c r="AQ1243" s="1" t="s">
        <v>8007</v>
      </c>
      <c r="AR1243" s="1" t="s">
        <v>8005</v>
      </c>
    </row>
    <row r="1244">
      <c r="A1244" s="1"/>
      <c r="B1244" s="2">
        <f ca="1">DATE(2004,06,28)</f>
        <v>0</v>
      </c>
      <c r="C1244" s="1" t="s">
        <v>8008</v>
      </c>
      <c r="D1244" s="3">
        <v>1521</v>
      </c>
      <c r="E1244" s="1" t="s">
        <v>3013</v>
      </c>
      <c r="F1244" s="1" t="s">
        <v>8009</v>
      </c>
      <c r="G1244" s="1" t="s">
        <v>8010</v>
      </c>
      <c r="H1244" s="4">
        <v>0.67200000000000004</v>
      </c>
      <c r="I1244" s="4">
        <v>4.25</v>
      </c>
      <c r="J1244" s="5">
        <v>116.90000000000001</v>
      </c>
      <c r="K1244" s="4">
        <v>15.800000000000001</v>
      </c>
      <c r="L1244" s="1" t="s">
        <v>651</v>
      </c>
      <c r="M1244" s="1" t="s">
        <v>47</v>
      </c>
      <c r="N1244" s="1" t="s">
        <v>8011</v>
      </c>
      <c r="O1244" s="1" t="s">
        <v>108</v>
      </c>
      <c r="P1244" s="1" t="s">
        <v>8012</v>
      </c>
      <c r="Q1244" s="4">
        <v>0.88600000000000001</v>
      </c>
      <c r="R1244" s="4">
        <v>0.81399999999999995</v>
      </c>
      <c r="S1244" s="8">
        <v>2.5499999999999998</v>
      </c>
      <c r="T1244" s="1" t="s">
        <v>50</v>
      </c>
      <c r="U1244" s="1"/>
      <c r="V1244" s="1"/>
      <c r="W1244" s="1"/>
      <c r="X1244" s="1"/>
      <c r="Y1244" s="7">
        <v>5858123</v>
      </c>
      <c r="Z1244" s="7">
        <v>1537830</v>
      </c>
      <c r="AA1244" s="1" t="s">
        <v>8013</v>
      </c>
      <c r="AB1244" s="1" t="s">
        <v>8014</v>
      </c>
      <c r="AC1244" s="1" t="s">
        <v>7759</v>
      </c>
      <c r="AD1244" s="1" t="s">
        <v>8015</v>
      </c>
      <c r="AE1244" s="1" t="s">
        <v>47</v>
      </c>
      <c r="AF1244" s="1" t="s">
        <v>51</v>
      </c>
      <c r="AG1244" s="1" t="s">
        <v>47</v>
      </c>
      <c r="AH1244" s="1"/>
      <c r="AI1244" s="1"/>
      <c r="AJ1244" s="3">
        <v>2</v>
      </c>
      <c r="AK1244" s="1" t="s">
        <v>89</v>
      </c>
      <c r="AL1244" s="3">
        <v>2</v>
      </c>
      <c r="AM1244" s="8">
        <v>17.600000000000001</v>
      </c>
      <c r="AN1244" s="1"/>
      <c r="AO1244" s="1" t="s">
        <v>8016</v>
      </c>
      <c r="AP1244" s="1" t="s">
        <v>8017</v>
      </c>
      <c r="AQ1244" s="1" t="s">
        <v>8018</v>
      </c>
      <c r="AR1244" s="1" t="s">
        <v>8019</v>
      </c>
    </row>
    <row r="1245">
      <c r="A1245" s="2">
        <f ca="1">DATE(2004,03,24)</f>
        <v>0</v>
      </c>
      <c r="B1245" s="2">
        <f ca="1">DATE(2004,06,29)</f>
        <v>0</v>
      </c>
      <c r="C1245" s="1" t="s">
        <v>8020</v>
      </c>
      <c r="D1245" s="3">
        <v>2519</v>
      </c>
      <c r="E1245" s="1" t="s">
        <v>43</v>
      </c>
      <c r="F1245" s="1" t="s">
        <v>8021</v>
      </c>
      <c r="G1245" s="1" t="s">
        <v>1056</v>
      </c>
      <c r="H1245" s="4">
        <v>0.83999999999999997</v>
      </c>
      <c r="I1245" s="8">
        <v>7</v>
      </c>
      <c r="J1245" s="5">
        <v>49.200000000000003</v>
      </c>
      <c r="K1245" s="4">
        <v>12</v>
      </c>
      <c r="L1245" s="1" t="s">
        <v>46</v>
      </c>
      <c r="M1245" s="1" t="s">
        <v>47</v>
      </c>
      <c r="N1245" s="3">
        <v>250557105</v>
      </c>
      <c r="O1245" s="1" t="s">
        <v>48</v>
      </c>
      <c r="P1245" s="1" t="s">
        <v>8022</v>
      </c>
      <c r="Q1245" s="4">
        <v>1.3999999999999999</v>
      </c>
      <c r="R1245" s="4">
        <v>1.3999999999999999</v>
      </c>
      <c r="S1245" s="8">
        <v>4.2000000000000002</v>
      </c>
      <c r="T1245" s="1" t="s">
        <v>50</v>
      </c>
      <c r="U1245" s="1"/>
      <c r="V1245" s="1"/>
      <c r="W1245" s="1"/>
      <c r="X1245" s="5">
        <v>57.5</v>
      </c>
      <c r="Y1245" s="7">
        <v>3000000</v>
      </c>
      <c r="Z1245" s="7">
        <v>1100000</v>
      </c>
      <c r="AA1245" s="2">
        <f ca="1">DATE(2004,12,26)</f>
        <v>0</v>
      </c>
      <c r="AB1245" s="4">
        <v>66.317999999999998</v>
      </c>
      <c r="AC1245" s="3">
        <v>180</v>
      </c>
      <c r="AD1245" s="8">
        <v>8518442</v>
      </c>
      <c r="AE1245" s="1" t="s">
        <v>51</v>
      </c>
      <c r="AF1245" s="1" t="s">
        <v>51</v>
      </c>
      <c r="AG1245" s="1" t="s">
        <v>47</v>
      </c>
      <c r="AH1245" s="1"/>
      <c r="AI1245" s="1"/>
      <c r="AJ1245" s="3">
        <v>1</v>
      </c>
      <c r="AK1245" s="1" t="s">
        <v>52</v>
      </c>
      <c r="AL1245" s="3">
        <v>3</v>
      </c>
      <c r="AM1245" s="8">
        <v>16.43</v>
      </c>
      <c r="AN1245" s="1"/>
      <c r="AO1245" s="1" t="s">
        <v>8023</v>
      </c>
      <c r="AP1245" s="1" t="s">
        <v>1056</v>
      </c>
      <c r="AQ1245" s="1" t="s">
        <v>8024</v>
      </c>
      <c r="AR1245" s="1" t="s">
        <v>8025</v>
      </c>
    </row>
    <row r="1246">
      <c r="A1246" s="2">
        <f ca="1">DATE(2004,06,09)</f>
        <v>0</v>
      </c>
      <c r="B1246" s="2">
        <f ca="1">DATE(2004,06,29)</f>
        <v>0</v>
      </c>
      <c r="C1246" s="1" t="s">
        <v>8026</v>
      </c>
      <c r="D1246" s="3">
        <v>2834</v>
      </c>
      <c r="E1246" s="1" t="s">
        <v>921</v>
      </c>
      <c r="F1246" s="1" t="s">
        <v>8027</v>
      </c>
      <c r="G1246" s="1" t="s">
        <v>1725</v>
      </c>
      <c r="H1246" s="4">
        <v>0.94599999999999995</v>
      </c>
      <c r="I1246" s="4">
        <v>6.5</v>
      </c>
      <c r="J1246" s="5">
        <v>70.200000000000003</v>
      </c>
      <c r="K1246" s="4">
        <v>14.550000000000001</v>
      </c>
      <c r="L1246" s="1" t="s">
        <v>651</v>
      </c>
      <c r="M1246" s="1" t="s">
        <v>47</v>
      </c>
      <c r="N1246" s="1" t="s">
        <v>8028</v>
      </c>
      <c r="O1246" s="1" t="s">
        <v>8029</v>
      </c>
      <c r="P1246" s="1" t="s">
        <v>8030</v>
      </c>
      <c r="Q1246" s="1" t="s">
        <v>145</v>
      </c>
      <c r="R1246" s="1" t="s">
        <v>145</v>
      </c>
      <c r="S1246" s="6">
        <v>2.5979399999999999</v>
      </c>
      <c r="T1246" s="1" t="s">
        <v>50</v>
      </c>
      <c r="U1246" s="1"/>
      <c r="V1246" s="1"/>
      <c r="W1246" s="7">
        <v>7460000</v>
      </c>
      <c r="X1246" s="1"/>
      <c r="Y1246" s="7">
        <v>4527279</v>
      </c>
      <c r="Z1246" s="7">
        <v>300000</v>
      </c>
      <c r="AA1246" s="2">
        <f ca="1">DATE(2004,11,26)</f>
        <v>0</v>
      </c>
      <c r="AB1246" s="1"/>
      <c r="AC1246" s="3">
        <v>150</v>
      </c>
      <c r="AD1246" s="1"/>
      <c r="AE1246" s="1" t="s">
        <v>47</v>
      </c>
      <c r="AF1246" s="1" t="s">
        <v>51</v>
      </c>
      <c r="AG1246" s="1" t="s">
        <v>51</v>
      </c>
      <c r="AH1246" s="1"/>
      <c r="AI1246" s="1"/>
      <c r="AJ1246" s="3">
        <v>1</v>
      </c>
      <c r="AK1246" s="1" t="s">
        <v>89</v>
      </c>
      <c r="AL1246" s="3">
        <v>4</v>
      </c>
      <c r="AM1246" s="8">
        <v>13.58</v>
      </c>
      <c r="AN1246" s="1"/>
      <c r="AO1246" s="1" t="s">
        <v>8031</v>
      </c>
      <c r="AP1246" s="1" t="s">
        <v>8032</v>
      </c>
      <c r="AQ1246" s="1" t="s">
        <v>8033</v>
      </c>
      <c r="AR1246" s="1" t="s">
        <v>8034</v>
      </c>
    </row>
    <row r="1247">
      <c r="A1247" s="2">
        <f ca="1">DATE(2004,03,19)</f>
        <v>0</v>
      </c>
      <c r="B1247" s="2">
        <f ca="1">DATE(2004,06,30)</f>
        <v>0</v>
      </c>
      <c r="C1247" s="1" t="s">
        <v>8035</v>
      </c>
      <c r="D1247" s="3">
        <v>7991</v>
      </c>
      <c r="E1247" s="1" t="s">
        <v>43</v>
      </c>
      <c r="F1247" s="1" t="s">
        <v>8036</v>
      </c>
      <c r="G1247" s="1" t="s">
        <v>6483</v>
      </c>
      <c r="H1247" s="4">
        <v>1.2949999999999999</v>
      </c>
      <c r="I1247" s="8">
        <v>7</v>
      </c>
      <c r="J1247" s="5">
        <v>183.19999999999999</v>
      </c>
      <c r="K1247" s="4">
        <v>18.5</v>
      </c>
      <c r="L1247" s="1" t="s">
        <v>46</v>
      </c>
      <c r="M1247" s="1" t="s">
        <v>47</v>
      </c>
      <c r="N1247" s="1" t="s">
        <v>8037</v>
      </c>
      <c r="O1247" s="1" t="s">
        <v>108</v>
      </c>
      <c r="P1247" s="1" t="s">
        <v>8038</v>
      </c>
      <c r="Q1247" s="4">
        <v>1.3999999999999999</v>
      </c>
      <c r="R1247" s="4">
        <v>1.3999999999999999</v>
      </c>
      <c r="S1247" s="8">
        <v>4.2000000000000002</v>
      </c>
      <c r="T1247" s="1" t="s">
        <v>50</v>
      </c>
      <c r="U1247" s="1"/>
      <c r="V1247" s="1"/>
      <c r="W1247" s="1"/>
      <c r="X1247" s="5">
        <v>200</v>
      </c>
      <c r="Y1247" s="7">
        <v>4383577</v>
      </c>
      <c r="Z1247" s="7">
        <v>5516423</v>
      </c>
      <c r="AA1247" s="1" t="s">
        <v>8039</v>
      </c>
      <c r="AB1247" s="1" t="s">
        <v>8040</v>
      </c>
      <c r="AC1247" s="1" t="s">
        <v>2068</v>
      </c>
      <c r="AD1247" s="1" t="s">
        <v>8041</v>
      </c>
      <c r="AE1247" s="1" t="s">
        <v>51</v>
      </c>
      <c r="AF1247" s="1" t="s">
        <v>51</v>
      </c>
      <c r="AG1247" s="1" t="s">
        <v>47</v>
      </c>
      <c r="AH1247" s="1"/>
      <c r="AI1247" s="1"/>
      <c r="AJ1247" s="3">
        <v>2</v>
      </c>
      <c r="AK1247" s="1" t="s">
        <v>89</v>
      </c>
      <c r="AL1247" s="3">
        <v>6</v>
      </c>
      <c r="AM1247" s="8">
        <v>21</v>
      </c>
      <c r="AN1247" s="1"/>
      <c r="AO1247" s="1" t="s">
        <v>8042</v>
      </c>
      <c r="AP1247" s="1" t="s">
        <v>6487</v>
      </c>
      <c r="AQ1247" s="1" t="s">
        <v>8043</v>
      </c>
      <c r="AR1247" s="1" t="s">
        <v>8044</v>
      </c>
    </row>
    <row r="1248">
      <c r="A1248" s="2">
        <f ca="1">DATE(2004,02,13)</f>
        <v>0</v>
      </c>
      <c r="B1248" s="2">
        <f ca="1">DATE(2004,06,30)</f>
        <v>0</v>
      </c>
      <c r="C1248" s="1" t="s">
        <v>8045</v>
      </c>
      <c r="D1248" s="3">
        <v>6324</v>
      </c>
      <c r="E1248" s="1" t="s">
        <v>43</v>
      </c>
      <c r="F1248" s="1" t="s">
        <v>8046</v>
      </c>
      <c r="G1248" s="1" t="s">
        <v>796</v>
      </c>
      <c r="H1248" s="4">
        <v>1.19</v>
      </c>
      <c r="I1248" s="8">
        <v>7</v>
      </c>
      <c r="J1248" s="5">
        <v>124.7</v>
      </c>
      <c r="K1248" s="4">
        <v>17</v>
      </c>
      <c r="L1248" s="1" t="s">
        <v>46</v>
      </c>
      <c r="M1248" s="1" t="s">
        <v>47</v>
      </c>
      <c r="N1248" s="1" t="s">
        <v>8047</v>
      </c>
      <c r="O1248" s="1" t="s">
        <v>108</v>
      </c>
      <c r="P1248" s="1" t="s">
        <v>8048</v>
      </c>
      <c r="Q1248" s="4">
        <v>1.353</v>
      </c>
      <c r="R1248" s="4">
        <v>1.1180000000000001</v>
      </c>
      <c r="S1248" s="6">
        <v>4.5294100000000004</v>
      </c>
      <c r="T1248" s="1" t="s">
        <v>50</v>
      </c>
      <c r="U1248" s="1"/>
      <c r="V1248" s="1"/>
      <c r="W1248" s="1"/>
      <c r="X1248" s="5">
        <v>100</v>
      </c>
      <c r="Y1248" s="7">
        <v>7333333</v>
      </c>
      <c r="Z1248" s="1"/>
      <c r="AA1248" s="2">
        <f ca="1">DATE(2004,12,27)</f>
        <v>0</v>
      </c>
      <c r="AB1248" s="4">
        <v>74.582999999999998</v>
      </c>
      <c r="AC1248" s="3">
        <v>180</v>
      </c>
      <c r="AD1248" s="8">
        <v>27647238</v>
      </c>
      <c r="AE1248" s="1" t="s">
        <v>51</v>
      </c>
      <c r="AF1248" s="1" t="s">
        <v>51</v>
      </c>
      <c r="AG1248" s="1" t="s">
        <v>51</v>
      </c>
      <c r="AH1248" s="1"/>
      <c r="AI1248" s="1"/>
      <c r="AJ1248" s="3">
        <v>1</v>
      </c>
      <c r="AK1248" s="1" t="s">
        <v>52</v>
      </c>
      <c r="AL1248" s="3">
        <v>4</v>
      </c>
      <c r="AM1248" s="8">
        <v>19.530000000000001</v>
      </c>
      <c r="AN1248" s="1"/>
      <c r="AO1248" s="1" t="s">
        <v>8049</v>
      </c>
      <c r="AP1248" s="1" t="s">
        <v>796</v>
      </c>
      <c r="AQ1248" s="1" t="s">
        <v>8050</v>
      </c>
      <c r="AR1248" s="1" t="s">
        <v>8051</v>
      </c>
    </row>
    <row r="1249">
      <c r="A1249" s="2">
        <f ca="1">DATE(2004,03,15)</f>
        <v>0</v>
      </c>
      <c r="B1249" s="2">
        <f ca="1">DATE(2004,07,07)</f>
        <v>0</v>
      </c>
      <c r="C1249" s="1" t="s">
        <v>8052</v>
      </c>
      <c r="D1249" s="3">
        <v>4613</v>
      </c>
      <c r="E1249" s="1" t="s">
        <v>43</v>
      </c>
      <c r="F1249" s="1" t="s">
        <v>8053</v>
      </c>
      <c r="G1249" s="1" t="s">
        <v>160</v>
      </c>
      <c r="H1249" s="4">
        <v>1.47</v>
      </c>
      <c r="I1249" s="4">
        <v>6.6070000000000002</v>
      </c>
      <c r="J1249" s="5">
        <v>135.69999999999999</v>
      </c>
      <c r="K1249" s="4">
        <v>22.25</v>
      </c>
      <c r="L1249" s="1" t="s">
        <v>85</v>
      </c>
      <c r="M1249" s="1" t="s">
        <v>47</v>
      </c>
      <c r="N1249" s="3">
        <v>435763107</v>
      </c>
      <c r="O1249" s="1" t="s">
        <v>108</v>
      </c>
      <c r="P1249" s="1" t="s">
        <v>8054</v>
      </c>
      <c r="Q1249" s="4">
        <v>1.3260000000000001</v>
      </c>
      <c r="R1249" s="4">
        <v>1.3260000000000001</v>
      </c>
      <c r="S1249" s="6">
        <v>3.95506</v>
      </c>
      <c r="T1249" s="1" t="s">
        <v>50</v>
      </c>
      <c r="U1249" s="1"/>
      <c r="V1249" s="1"/>
      <c r="W1249" s="7">
        <v>6000000</v>
      </c>
      <c r="X1249" s="1"/>
      <c r="Y1249" s="7">
        <v>6100000</v>
      </c>
      <c r="Z1249" s="1"/>
      <c r="AA1249" s="2">
        <f ca="1">DATE(2005,01,03)</f>
        <v>0</v>
      </c>
      <c r="AB1249" s="4">
        <v>11.392</v>
      </c>
      <c r="AC1249" s="3">
        <v>180</v>
      </c>
      <c r="AD1249" s="8">
        <v>900000</v>
      </c>
      <c r="AE1249" s="1" t="s">
        <v>51</v>
      </c>
      <c r="AF1249" s="1" t="s">
        <v>51</v>
      </c>
      <c r="AG1249" s="1" t="s">
        <v>51</v>
      </c>
      <c r="AH1249" s="1"/>
      <c r="AI1249" s="1"/>
      <c r="AJ1249" s="3">
        <v>1</v>
      </c>
      <c r="AK1249" s="1" t="s">
        <v>52</v>
      </c>
      <c r="AL1249" s="3">
        <v>5</v>
      </c>
      <c r="AM1249" s="8">
        <v>24.550000000000001</v>
      </c>
      <c r="AN1249" s="1"/>
      <c r="AO1249" s="1" t="s">
        <v>8055</v>
      </c>
      <c r="AP1249" s="1" t="s">
        <v>160</v>
      </c>
      <c r="AQ1249" s="1" t="s">
        <v>8056</v>
      </c>
      <c r="AR1249" s="1" t="s">
        <v>8054</v>
      </c>
    </row>
    <row r="1250">
      <c r="A1250" s="2">
        <f ca="1">DATE(2004,06,04)</f>
        <v>0</v>
      </c>
      <c r="B1250" s="2">
        <f ca="1">DATE(2004,07,08)</f>
        <v>0</v>
      </c>
      <c r="C1250" s="1" t="s">
        <v>8057</v>
      </c>
      <c r="D1250" s="3">
        <v>4812</v>
      </c>
      <c r="E1250" s="1" t="s">
        <v>744</v>
      </c>
      <c r="F1250" s="1" t="s">
        <v>8058</v>
      </c>
      <c r="G1250" s="1" t="s">
        <v>5704</v>
      </c>
      <c r="H1250" s="4">
        <v>0.69999999999999996</v>
      </c>
      <c r="I1250" s="8">
        <v>7</v>
      </c>
      <c r="J1250" s="5">
        <v>100</v>
      </c>
      <c r="K1250" s="4">
        <v>10</v>
      </c>
      <c r="L1250" s="1" t="s">
        <v>651</v>
      </c>
      <c r="M1250" s="1" t="s">
        <v>47</v>
      </c>
      <c r="N1250" s="1" t="s">
        <v>8059</v>
      </c>
      <c r="O1250" s="1" t="s">
        <v>48</v>
      </c>
      <c r="P1250" s="1" t="s">
        <v>8060</v>
      </c>
      <c r="Q1250" s="4">
        <v>1.5</v>
      </c>
      <c r="R1250" s="4">
        <v>1.5</v>
      </c>
      <c r="S1250" s="8">
        <v>4</v>
      </c>
      <c r="T1250" s="1" t="s">
        <v>50</v>
      </c>
      <c r="U1250" s="1"/>
      <c r="V1250" s="1"/>
      <c r="W1250" s="1"/>
      <c r="X1250" s="5">
        <v>100</v>
      </c>
      <c r="Y1250" s="7">
        <v>8800000</v>
      </c>
      <c r="Z1250" s="7">
        <v>1200000</v>
      </c>
      <c r="AA1250" s="2">
        <f ca="1">DATE(2005,01,04)</f>
        <v>0</v>
      </c>
      <c r="AB1250" s="4">
        <v>2832.1170000000002</v>
      </c>
      <c r="AC1250" s="3">
        <v>180</v>
      </c>
      <c r="AD1250" s="8">
        <v>970000000</v>
      </c>
      <c r="AE1250" s="1" t="s">
        <v>47</v>
      </c>
      <c r="AF1250" s="1" t="s">
        <v>51</v>
      </c>
      <c r="AG1250" s="1" t="s">
        <v>47</v>
      </c>
      <c r="AH1250" s="1"/>
      <c r="AI1250" s="1"/>
      <c r="AJ1250" s="3">
        <v>1</v>
      </c>
      <c r="AK1250" s="1" t="s">
        <v>52</v>
      </c>
      <c r="AL1250" s="3">
        <v>3</v>
      </c>
      <c r="AM1250" s="8">
        <v>10.1</v>
      </c>
      <c r="AN1250" s="1"/>
      <c r="AO1250" s="1" t="s">
        <v>8061</v>
      </c>
      <c r="AP1250" s="1" t="s">
        <v>5704</v>
      </c>
      <c r="AQ1250" s="1" t="s">
        <v>8062</v>
      </c>
      <c r="AR1250" s="1" t="s">
        <v>8060</v>
      </c>
    </row>
    <row r="1251">
      <c r="A1251" s="2">
        <f ca="1">DATE(2004,04,16)</f>
        <v>0</v>
      </c>
      <c r="B1251" s="2">
        <f ca="1">DATE(2004,07,08)</f>
        <v>0</v>
      </c>
      <c r="C1251" s="1" t="s">
        <v>8063</v>
      </c>
      <c r="D1251" s="3">
        <v>3674</v>
      </c>
      <c r="E1251" s="1" t="s">
        <v>43</v>
      </c>
      <c r="F1251" s="1" t="s">
        <v>8064</v>
      </c>
      <c r="G1251" s="1" t="s">
        <v>45</v>
      </c>
      <c r="H1251" s="4">
        <v>0.83999999999999997</v>
      </c>
      <c r="I1251" s="8">
        <v>7</v>
      </c>
      <c r="J1251" s="5">
        <v>69.299999999999997</v>
      </c>
      <c r="K1251" s="4">
        <v>12</v>
      </c>
      <c r="L1251" s="1" t="s">
        <v>46</v>
      </c>
      <c r="M1251" s="1" t="s">
        <v>47</v>
      </c>
      <c r="N1251" s="1" t="s">
        <v>8065</v>
      </c>
      <c r="O1251" s="1" t="s">
        <v>48</v>
      </c>
      <c r="P1251" s="1" t="s">
        <v>8066</v>
      </c>
      <c r="Q1251" s="4">
        <v>1.417</v>
      </c>
      <c r="R1251" s="4">
        <v>1.417</v>
      </c>
      <c r="S1251" s="6">
        <v>4.1666699999999999</v>
      </c>
      <c r="T1251" s="1" t="s">
        <v>50</v>
      </c>
      <c r="U1251" s="1"/>
      <c r="V1251" s="1"/>
      <c r="W1251" s="1"/>
      <c r="X1251" s="5">
        <v>86.299999999999997</v>
      </c>
      <c r="Y1251" s="7">
        <v>3736876</v>
      </c>
      <c r="Z1251" s="7">
        <v>2038124</v>
      </c>
      <c r="AA1251" s="2">
        <f ca="1">DATE(2005,01,04)</f>
        <v>0</v>
      </c>
      <c r="AB1251" s="4">
        <v>70.241</v>
      </c>
      <c r="AC1251" s="3">
        <v>180</v>
      </c>
      <c r="AD1251" s="8">
        <v>13259995</v>
      </c>
      <c r="AE1251" s="1" t="s">
        <v>51</v>
      </c>
      <c r="AF1251" s="1" t="s">
        <v>51</v>
      </c>
      <c r="AG1251" s="1" t="s">
        <v>47</v>
      </c>
      <c r="AH1251" s="1"/>
      <c r="AI1251" s="1"/>
      <c r="AJ1251" s="3">
        <v>1</v>
      </c>
      <c r="AK1251" s="1" t="s">
        <v>89</v>
      </c>
      <c r="AL1251" s="3">
        <v>4</v>
      </c>
      <c r="AM1251" s="8">
        <v>11.51</v>
      </c>
      <c r="AN1251" s="1"/>
      <c r="AO1251" s="1" t="s">
        <v>8067</v>
      </c>
      <c r="AP1251" s="1" t="s">
        <v>3428</v>
      </c>
      <c r="AQ1251" s="1" t="s">
        <v>8068</v>
      </c>
      <c r="AR1251" s="1" t="s">
        <v>8069</v>
      </c>
    </row>
    <row r="1252">
      <c r="A1252" s="2">
        <f ca="1">DATE(2004,03,22)</f>
        <v>0</v>
      </c>
      <c r="B1252" s="2">
        <f ca="1">DATE(2004,07,09)</f>
        <v>0</v>
      </c>
      <c r="C1252" s="1" t="s">
        <v>8070</v>
      </c>
      <c r="D1252" s="3">
        <v>6331</v>
      </c>
      <c r="E1252" s="1" t="s">
        <v>43</v>
      </c>
      <c r="F1252" s="1" t="s">
        <v>8071</v>
      </c>
      <c r="G1252" s="1" t="s">
        <v>7471</v>
      </c>
      <c r="H1252" s="4">
        <v>0.97999999999999998</v>
      </c>
      <c r="I1252" s="8">
        <v>7</v>
      </c>
      <c r="J1252" s="5">
        <v>114.40000000000001</v>
      </c>
      <c r="K1252" s="4">
        <v>14</v>
      </c>
      <c r="L1252" s="1" t="s">
        <v>46</v>
      </c>
      <c r="M1252" s="1" t="s">
        <v>47</v>
      </c>
      <c r="N1252" s="1" t="s">
        <v>8072</v>
      </c>
      <c r="O1252" s="1" t="s">
        <v>77</v>
      </c>
      <c r="P1252" s="1" t="s">
        <v>8073</v>
      </c>
      <c r="Q1252" s="4">
        <v>1.357</v>
      </c>
      <c r="R1252" s="4">
        <v>1.4290000000000001</v>
      </c>
      <c r="S1252" s="6">
        <v>4.2142900000000001</v>
      </c>
      <c r="T1252" s="1" t="s">
        <v>50</v>
      </c>
      <c r="U1252" s="1"/>
      <c r="V1252" s="1"/>
      <c r="W1252" s="1"/>
      <c r="X1252" s="5">
        <v>258.80000000000001</v>
      </c>
      <c r="Y1252" s="7">
        <v>4420000</v>
      </c>
      <c r="Z1252" s="7">
        <v>3750000</v>
      </c>
      <c r="AA1252" s="2">
        <f ca="1">DATE(2005,01,05)</f>
        <v>0</v>
      </c>
      <c r="AB1252" s="4">
        <v>48.134999999999998</v>
      </c>
      <c r="AC1252" s="3">
        <v>180</v>
      </c>
      <c r="AD1252" s="8">
        <v>7745854</v>
      </c>
      <c r="AE1252" s="1" t="s">
        <v>51</v>
      </c>
      <c r="AF1252" s="1" t="s">
        <v>51</v>
      </c>
      <c r="AG1252" s="1" t="s">
        <v>51</v>
      </c>
      <c r="AH1252" s="1"/>
      <c r="AI1252" s="1"/>
      <c r="AJ1252" s="3">
        <v>1</v>
      </c>
      <c r="AK1252" s="1" t="s">
        <v>52</v>
      </c>
      <c r="AL1252" s="3">
        <v>4</v>
      </c>
      <c r="AM1252" s="8">
        <v>14.02</v>
      </c>
      <c r="AN1252" s="1"/>
      <c r="AO1252" s="1" t="s">
        <v>8074</v>
      </c>
      <c r="AP1252" s="1" t="s">
        <v>7471</v>
      </c>
      <c r="AQ1252" s="1" t="s">
        <v>8075</v>
      </c>
      <c r="AR1252" s="1" t="s">
        <v>8076</v>
      </c>
    </row>
    <row r="1253">
      <c r="A1253" s="2">
        <f ca="1">DATE(2004,04,13)</f>
        <v>0</v>
      </c>
      <c r="B1253" s="2">
        <f ca="1">DATE(2004,07,12)</f>
        <v>0</v>
      </c>
      <c r="C1253" s="1" t="s">
        <v>8077</v>
      </c>
      <c r="D1253" s="3">
        <v>5812</v>
      </c>
      <c r="E1253" s="1" t="s">
        <v>43</v>
      </c>
      <c r="F1253" s="1" t="s">
        <v>8078</v>
      </c>
      <c r="G1253" s="1" t="s">
        <v>8079</v>
      </c>
      <c r="H1253" s="4">
        <v>0.95899999999999996</v>
      </c>
      <c r="I1253" s="8">
        <v>6.8499999999999996</v>
      </c>
      <c r="J1253" s="5">
        <v>339.10000000000002</v>
      </c>
      <c r="K1253" s="4">
        <v>14</v>
      </c>
      <c r="L1253" s="1" t="s">
        <v>46</v>
      </c>
      <c r="M1253" s="1" t="s">
        <v>47</v>
      </c>
      <c r="N1253" s="1" t="s">
        <v>8080</v>
      </c>
      <c r="O1253" s="1" t="s">
        <v>108</v>
      </c>
      <c r="P1253" s="1" t="s">
        <v>8081</v>
      </c>
      <c r="Q1253" s="4">
        <v>1.3640000000000001</v>
      </c>
      <c r="R1253" s="4">
        <v>1.3640000000000001</v>
      </c>
      <c r="S1253" s="6">
        <v>4.1214300000000001</v>
      </c>
      <c r="T1253" s="1" t="s">
        <v>50</v>
      </c>
      <c r="U1253" s="8">
        <v>17</v>
      </c>
      <c r="V1253" s="8">
        <v>15</v>
      </c>
      <c r="W1253" s="7">
        <v>24062500</v>
      </c>
      <c r="X1253" s="5">
        <v>385</v>
      </c>
      <c r="Y1253" s="7">
        <v>9375000</v>
      </c>
      <c r="Z1253" s="7">
        <v>14846929</v>
      </c>
      <c r="AA1253" s="2">
        <f ca="1">DATE(2005,01,08)</f>
        <v>0</v>
      </c>
      <c r="AB1253" s="4">
        <v>64.718999999999994</v>
      </c>
      <c r="AC1253" s="3">
        <v>180</v>
      </c>
      <c r="AD1253" s="8">
        <v>44431697</v>
      </c>
      <c r="AE1253" s="1" t="s">
        <v>51</v>
      </c>
      <c r="AF1253" s="1" t="s">
        <v>51</v>
      </c>
      <c r="AG1253" s="1" t="s">
        <v>51</v>
      </c>
      <c r="AH1253" s="1"/>
      <c r="AI1253" s="1"/>
      <c r="AJ1253" s="3">
        <v>2</v>
      </c>
      <c r="AK1253" s="1" t="s">
        <v>89</v>
      </c>
      <c r="AL1253" s="3">
        <v>5</v>
      </c>
      <c r="AM1253" s="8">
        <v>13.5</v>
      </c>
      <c r="AN1253" s="1"/>
      <c r="AO1253" s="1" t="s">
        <v>8082</v>
      </c>
      <c r="AP1253" s="1" t="s">
        <v>8083</v>
      </c>
      <c r="AQ1253" s="1" t="s">
        <v>8084</v>
      </c>
      <c r="AR1253" s="1" t="s">
        <v>8085</v>
      </c>
    </row>
    <row r="1254">
      <c r="A1254" s="2">
        <f ca="1">DATE(2004,03,19)</f>
        <v>0</v>
      </c>
      <c r="B1254" s="2">
        <f ca="1">DATE(2004,07,13)</f>
        <v>0</v>
      </c>
      <c r="C1254" s="1" t="s">
        <v>8086</v>
      </c>
      <c r="D1254" s="3">
        <v>6798</v>
      </c>
      <c r="E1254" s="1" t="s">
        <v>43</v>
      </c>
      <c r="F1254" s="1" t="s">
        <v>8087</v>
      </c>
      <c r="G1254" s="1" t="s">
        <v>400</v>
      </c>
      <c r="H1254" s="4">
        <v>0.47999999999999998</v>
      </c>
      <c r="I1254" s="4">
        <v>6.4000000000000004</v>
      </c>
      <c r="J1254" s="5">
        <v>256.89999999999998</v>
      </c>
      <c r="K1254" s="4">
        <v>7.5</v>
      </c>
      <c r="L1254" s="1" t="s">
        <v>46</v>
      </c>
      <c r="M1254" s="1" t="s">
        <v>47</v>
      </c>
      <c r="N1254" s="1" t="s">
        <v>8088</v>
      </c>
      <c r="O1254" s="1" t="s">
        <v>108</v>
      </c>
      <c r="P1254" s="1" t="s">
        <v>8089</v>
      </c>
      <c r="Q1254" s="4">
        <v>1.28</v>
      </c>
      <c r="R1254" s="4">
        <v>1.28</v>
      </c>
      <c r="S1254" s="8">
        <v>3.8399999999999999</v>
      </c>
      <c r="T1254" s="1" t="s">
        <v>50</v>
      </c>
      <c r="U1254" s="1"/>
      <c r="V1254" s="1"/>
      <c r="W1254" s="1"/>
      <c r="X1254" s="5">
        <v>575</v>
      </c>
      <c r="Y1254" s="7">
        <v>34250000</v>
      </c>
      <c r="Z1254" s="1"/>
      <c r="AA1254" s="2">
        <f ca="1">DATE(2005,01,09)</f>
        <v>0</v>
      </c>
      <c r="AB1254" s="4">
        <v>24.178000000000001</v>
      </c>
      <c r="AC1254" s="3">
        <v>180</v>
      </c>
      <c r="AD1254" s="8">
        <v>11001107</v>
      </c>
      <c r="AE1254" s="1" t="s">
        <v>51</v>
      </c>
      <c r="AF1254" s="1" t="s">
        <v>51</v>
      </c>
      <c r="AG1254" s="1" t="s">
        <v>51</v>
      </c>
      <c r="AH1254" s="1"/>
      <c r="AI1254" s="1"/>
      <c r="AJ1254" s="3">
        <v>1</v>
      </c>
      <c r="AK1254" s="1" t="s">
        <v>89</v>
      </c>
      <c r="AL1254" s="3">
        <v>7</v>
      </c>
      <c r="AM1254" s="8">
        <v>8.1500000000000004</v>
      </c>
      <c r="AN1254" s="1"/>
      <c r="AO1254" s="1" t="s">
        <v>8090</v>
      </c>
      <c r="AP1254" s="1" t="s">
        <v>8091</v>
      </c>
      <c r="AQ1254" s="1" t="s">
        <v>8092</v>
      </c>
      <c r="AR1254" s="1" t="s">
        <v>8093</v>
      </c>
    </row>
    <row r="1255">
      <c r="A1255" s="2">
        <f ca="1">DATE(2004,03,15)</f>
        <v>0</v>
      </c>
      <c r="B1255" s="2">
        <f ca="1">DATE(2004,07,14)</f>
        <v>0</v>
      </c>
      <c r="C1255" s="1" t="s">
        <v>8094</v>
      </c>
      <c r="D1255" s="3">
        <v>7372</v>
      </c>
      <c r="E1255" s="1" t="s">
        <v>43</v>
      </c>
      <c r="F1255" s="1" t="s">
        <v>8095</v>
      </c>
      <c r="G1255" s="1" t="s">
        <v>789</v>
      </c>
      <c r="H1255" s="4">
        <v>0.52500000000000002</v>
      </c>
      <c r="I1255" s="4">
        <v>7</v>
      </c>
      <c r="J1255" s="5">
        <v>39.399999999999999</v>
      </c>
      <c r="K1255" s="4">
        <v>7.5</v>
      </c>
      <c r="L1255" s="1" t="s">
        <v>46</v>
      </c>
      <c r="M1255" s="1" t="s">
        <v>47</v>
      </c>
      <c r="N1255" s="1" t="s">
        <v>8096</v>
      </c>
      <c r="O1255" s="1" t="s">
        <v>48</v>
      </c>
      <c r="P1255" s="1" t="s">
        <v>8097</v>
      </c>
      <c r="Q1255" s="4">
        <v>1.3999999999999999</v>
      </c>
      <c r="R1255" s="4">
        <v>1.3999999999999999</v>
      </c>
      <c r="S1255" s="8">
        <v>4.2000000000000002</v>
      </c>
      <c r="T1255" s="1" t="s">
        <v>50</v>
      </c>
      <c r="U1255" s="1"/>
      <c r="V1255" s="1"/>
      <c r="W1255" s="1"/>
      <c r="X1255" s="5">
        <v>86.299999999999997</v>
      </c>
      <c r="Y1255" s="7">
        <v>5250000</v>
      </c>
      <c r="Z1255" s="1"/>
      <c r="AA1255" s="2">
        <f ca="1">DATE(2005,01,10)</f>
        <v>0</v>
      </c>
      <c r="AB1255" s="4">
        <v>81.253</v>
      </c>
      <c r="AC1255" s="3">
        <v>180</v>
      </c>
      <c r="AD1255" s="8">
        <v>25762896</v>
      </c>
      <c r="AE1255" s="1" t="s">
        <v>51</v>
      </c>
      <c r="AF1255" s="1" t="s">
        <v>51</v>
      </c>
      <c r="AG1255" s="1" t="s">
        <v>47</v>
      </c>
      <c r="AH1255" s="1"/>
      <c r="AI1255" s="1"/>
      <c r="AJ1255" s="3">
        <v>1</v>
      </c>
      <c r="AK1255" s="1" t="s">
        <v>52</v>
      </c>
      <c r="AL1255" s="3">
        <v>3</v>
      </c>
      <c r="AM1255" s="8">
        <v>9.3499999999999996</v>
      </c>
      <c r="AN1255" s="1"/>
      <c r="AO1255" s="1" t="s">
        <v>8098</v>
      </c>
      <c r="AP1255" s="1" t="s">
        <v>789</v>
      </c>
      <c r="AQ1255" s="1" t="s">
        <v>8099</v>
      </c>
      <c r="AR1255" s="1" t="s">
        <v>8100</v>
      </c>
    </row>
    <row r="1256">
      <c r="A1256" s="2">
        <f ca="1">DATE(2004,04,14)</f>
        <v>0</v>
      </c>
      <c r="B1256" s="2">
        <f ca="1">DATE(2004,07,15)</f>
        <v>0</v>
      </c>
      <c r="C1256" s="1" t="s">
        <v>8101</v>
      </c>
      <c r="D1256" s="3">
        <v>6141</v>
      </c>
      <c r="E1256" s="1" t="s">
        <v>43</v>
      </c>
      <c r="F1256" s="1" t="s">
        <v>8102</v>
      </c>
      <c r="G1256" s="1" t="s">
        <v>8103</v>
      </c>
      <c r="H1256" s="4">
        <v>1.1200000000000001</v>
      </c>
      <c r="I1256" s="4">
        <v>7</v>
      </c>
      <c r="J1256" s="5">
        <v>150</v>
      </c>
      <c r="K1256" s="4">
        <v>16</v>
      </c>
      <c r="L1256" s="1" t="s">
        <v>46</v>
      </c>
      <c r="M1256" s="1" t="s">
        <v>47</v>
      </c>
      <c r="N1256" s="1" t="s">
        <v>8104</v>
      </c>
      <c r="O1256" s="1" t="s">
        <v>48</v>
      </c>
      <c r="P1256" s="1" t="s">
        <v>8105</v>
      </c>
      <c r="Q1256" s="4">
        <v>1.4379999999999999</v>
      </c>
      <c r="R1256" s="4">
        <v>1.375</v>
      </c>
      <c r="S1256" s="10">
        <v>4.1875</v>
      </c>
      <c r="T1256" s="1" t="s">
        <v>50</v>
      </c>
      <c r="U1256" s="1"/>
      <c r="V1256" s="1"/>
      <c r="W1256" s="1"/>
      <c r="X1256" s="5">
        <v>172.5</v>
      </c>
      <c r="Y1256" s="7">
        <v>9375000</v>
      </c>
      <c r="Z1256" s="1"/>
      <c r="AA1256" s="2">
        <f ca="1">DATE(2005,01,11)</f>
        <v>0</v>
      </c>
      <c r="AB1256" s="4">
        <v>73.905000000000001</v>
      </c>
      <c r="AC1256" s="3">
        <v>180</v>
      </c>
      <c r="AD1256" s="8">
        <v>22501622</v>
      </c>
      <c r="AE1256" s="1" t="s">
        <v>51</v>
      </c>
      <c r="AF1256" s="1" t="s">
        <v>51</v>
      </c>
      <c r="AG1256" s="1" t="s">
        <v>51</v>
      </c>
      <c r="AH1256" s="1"/>
      <c r="AI1256" s="1"/>
      <c r="AJ1256" s="3">
        <v>2</v>
      </c>
      <c r="AK1256" s="1" t="s">
        <v>89</v>
      </c>
      <c r="AL1256" s="3">
        <v>6</v>
      </c>
      <c r="AM1256" s="8">
        <v>15.640000000000001</v>
      </c>
      <c r="AN1256" s="1"/>
      <c r="AO1256" s="1" t="s">
        <v>8106</v>
      </c>
      <c r="AP1256" s="1" t="s">
        <v>8107</v>
      </c>
      <c r="AQ1256" s="1" t="s">
        <v>8108</v>
      </c>
      <c r="AR1256" s="1" t="s">
        <v>8109</v>
      </c>
    </row>
    <row r="1257">
      <c r="A1257" s="2">
        <f ca="1">DATE(2004,04,12)</f>
        <v>0</v>
      </c>
      <c r="B1257" s="2">
        <f ca="1">DATE(2004,07,15)</f>
        <v>0</v>
      </c>
      <c r="C1257" s="1" t="s">
        <v>8110</v>
      </c>
      <c r="D1257" s="3">
        <v>8742</v>
      </c>
      <c r="E1257" s="1" t="s">
        <v>43</v>
      </c>
      <c r="F1257" s="1" t="s">
        <v>8111</v>
      </c>
      <c r="G1257" s="1" t="s">
        <v>813</v>
      </c>
      <c r="H1257" s="4">
        <v>0.91000000000000003</v>
      </c>
      <c r="I1257" s="4">
        <v>7</v>
      </c>
      <c r="J1257" s="5">
        <v>65</v>
      </c>
      <c r="K1257" s="4">
        <v>13</v>
      </c>
      <c r="L1257" s="1" t="s">
        <v>46</v>
      </c>
      <c r="M1257" s="1" t="s">
        <v>47</v>
      </c>
      <c r="N1257" s="3">
        <v>395150105</v>
      </c>
      <c r="O1257" s="1" t="s">
        <v>48</v>
      </c>
      <c r="P1257" s="1" t="s">
        <v>8112</v>
      </c>
      <c r="Q1257" s="4">
        <v>1.3999999999999999</v>
      </c>
      <c r="R1257" s="4">
        <v>1.3999999999999999</v>
      </c>
      <c r="S1257" s="8">
        <v>4.2000000000000002</v>
      </c>
      <c r="T1257" s="1" t="s">
        <v>50</v>
      </c>
      <c r="U1257" s="1"/>
      <c r="V1257" s="1"/>
      <c r="W1257" s="1"/>
      <c r="X1257" s="5">
        <v>75</v>
      </c>
      <c r="Y1257" s="7">
        <v>4000000</v>
      </c>
      <c r="Z1257" s="7">
        <v>1000000</v>
      </c>
      <c r="AA1257" s="1" t="s">
        <v>8113</v>
      </c>
      <c r="AB1257" s="1" t="s">
        <v>8114</v>
      </c>
      <c r="AC1257" s="1" t="s">
        <v>2068</v>
      </c>
      <c r="AD1257" s="1" t="s">
        <v>8115</v>
      </c>
      <c r="AE1257" s="1" t="s">
        <v>51</v>
      </c>
      <c r="AF1257" s="1" t="s">
        <v>51</v>
      </c>
      <c r="AG1257" s="1" t="s">
        <v>51</v>
      </c>
      <c r="AH1257" s="1"/>
      <c r="AI1257" s="1"/>
      <c r="AJ1257" s="3">
        <v>1</v>
      </c>
      <c r="AK1257" s="1" t="s">
        <v>52</v>
      </c>
      <c r="AL1257" s="3">
        <v>3</v>
      </c>
      <c r="AM1257" s="8">
        <v>18.699999999999999</v>
      </c>
      <c r="AN1257" s="1"/>
      <c r="AO1257" s="1" t="s">
        <v>8116</v>
      </c>
      <c r="AP1257" s="1" t="s">
        <v>813</v>
      </c>
      <c r="AQ1257" s="1" t="s">
        <v>8117</v>
      </c>
      <c r="AR1257" s="1" t="s">
        <v>8118</v>
      </c>
    </row>
    <row r="1258">
      <c r="A1258" s="2">
        <f ca="1">DATE(2004,05,07)</f>
        <v>0</v>
      </c>
      <c r="B1258" s="2">
        <f ca="1">DATE(2004,07,15)</f>
        <v>0</v>
      </c>
      <c r="C1258" s="1" t="s">
        <v>8119</v>
      </c>
      <c r="D1258" s="3">
        <v>6099</v>
      </c>
      <c r="E1258" s="1" t="s">
        <v>43</v>
      </c>
      <c r="F1258" s="1" t="s">
        <v>8120</v>
      </c>
      <c r="G1258" s="1" t="s">
        <v>5479</v>
      </c>
      <c r="H1258" s="4">
        <v>0.97999999999999998</v>
      </c>
      <c r="I1258" s="8">
        <v>7</v>
      </c>
      <c r="J1258" s="5">
        <v>70</v>
      </c>
      <c r="K1258" s="4">
        <v>14</v>
      </c>
      <c r="L1258" s="1" t="s">
        <v>46</v>
      </c>
      <c r="M1258" s="1" t="s">
        <v>47</v>
      </c>
      <c r="N1258" s="1" t="s">
        <v>8121</v>
      </c>
      <c r="O1258" s="1" t="s">
        <v>48</v>
      </c>
      <c r="P1258" s="1" t="s">
        <v>8122</v>
      </c>
      <c r="Q1258" s="4">
        <v>1.357</v>
      </c>
      <c r="R1258" s="4">
        <v>1.4290000000000001</v>
      </c>
      <c r="S1258" s="6">
        <v>4.2142900000000001</v>
      </c>
      <c r="T1258" s="1" t="s">
        <v>50</v>
      </c>
      <c r="U1258" s="1"/>
      <c r="V1258" s="1"/>
      <c r="W1258" s="1"/>
      <c r="X1258" s="5">
        <v>86.299999999999997</v>
      </c>
      <c r="Y1258" s="7">
        <v>5000000</v>
      </c>
      <c r="Z1258" s="1"/>
      <c r="AA1258" s="2">
        <f ca="1">DATE(2005,01,11)</f>
        <v>0</v>
      </c>
      <c r="AB1258" s="4">
        <v>75.454999999999998</v>
      </c>
      <c r="AC1258" s="3">
        <v>180</v>
      </c>
      <c r="AD1258" s="8">
        <v>15371000</v>
      </c>
      <c r="AE1258" s="1" t="s">
        <v>51</v>
      </c>
      <c r="AF1258" s="1" t="s">
        <v>51</v>
      </c>
      <c r="AG1258" s="1" t="s">
        <v>47</v>
      </c>
      <c r="AH1258" s="1"/>
      <c r="AI1258" s="1"/>
      <c r="AJ1258" s="3">
        <v>1</v>
      </c>
      <c r="AK1258" s="1" t="s">
        <v>52</v>
      </c>
      <c r="AL1258" s="3">
        <v>2</v>
      </c>
      <c r="AM1258" s="8">
        <v>15.199999999999999</v>
      </c>
      <c r="AN1258" s="1"/>
      <c r="AO1258" s="1" t="s">
        <v>8123</v>
      </c>
      <c r="AP1258" s="1" t="s">
        <v>5479</v>
      </c>
      <c r="AQ1258" s="1" t="s">
        <v>8124</v>
      </c>
      <c r="AR1258" s="1" t="s">
        <v>8125</v>
      </c>
    </row>
    <row r="1259">
      <c r="A1259" s="2">
        <f ca="1">DATE(2003,12,17)</f>
        <v>0</v>
      </c>
      <c r="B1259" s="2">
        <f ca="1">DATE(2004,07,16)</f>
        <v>0</v>
      </c>
      <c r="C1259" s="1" t="s">
        <v>8126</v>
      </c>
      <c r="D1259" s="3">
        <v>3674</v>
      </c>
      <c r="E1259" s="1" t="s">
        <v>43</v>
      </c>
      <c r="F1259" s="1"/>
      <c r="G1259" s="1" t="s">
        <v>8127</v>
      </c>
      <c r="H1259" s="4">
        <v>0.55300000000000005</v>
      </c>
      <c r="I1259" s="4">
        <v>4.25</v>
      </c>
      <c r="J1259" s="9">
        <v>1581.0999999999999</v>
      </c>
      <c r="K1259" s="4">
        <v>13</v>
      </c>
      <c r="L1259" s="1" t="s">
        <v>152</v>
      </c>
      <c r="M1259" s="1" t="s">
        <v>47</v>
      </c>
      <c r="N1259" s="1" t="s">
        <v>8128</v>
      </c>
      <c r="O1259" s="1"/>
      <c r="P1259" s="1" t="s">
        <v>8129</v>
      </c>
      <c r="Q1259" s="4">
        <v>0.85399999999999998</v>
      </c>
      <c r="R1259" s="4">
        <v>0.74199999999999999</v>
      </c>
      <c r="S1259" s="6">
        <v>2.6538499999999998</v>
      </c>
      <c r="T1259" s="1" t="s">
        <v>50</v>
      </c>
      <c r="U1259" s="1"/>
      <c r="V1259" s="1"/>
      <c r="W1259" s="1"/>
      <c r="X1259" s="9">
        <v>2000</v>
      </c>
      <c r="Y1259" s="7">
        <v>121621622</v>
      </c>
      <c r="Z1259" s="1"/>
      <c r="AA1259" s="2">
        <f ca="1">DATE(2005,01,12)</f>
        <v>0</v>
      </c>
      <c r="AB1259" s="4">
        <v>68.162999999999997</v>
      </c>
      <c r="AC1259" s="3">
        <v>180</v>
      </c>
      <c r="AD1259" s="8">
        <v>278378378</v>
      </c>
      <c r="AE1259" s="1" t="s">
        <v>51</v>
      </c>
      <c r="AF1259" s="1" t="s">
        <v>51</v>
      </c>
      <c r="AG1259" s="1" t="s">
        <v>51</v>
      </c>
      <c r="AH1259" s="1" t="s">
        <v>8130</v>
      </c>
      <c r="AI1259" s="1" t="s">
        <v>8131</v>
      </c>
      <c r="AJ1259" s="3">
        <v>3</v>
      </c>
      <c r="AK1259" s="1" t="s">
        <v>8132</v>
      </c>
      <c r="AL1259" s="3">
        <v>16</v>
      </c>
      <c r="AM1259" s="8">
        <v>14.02</v>
      </c>
      <c r="AN1259" s="1"/>
      <c r="AO1259" s="1" t="s">
        <v>8133</v>
      </c>
      <c r="AP1259" s="1" t="s">
        <v>8134</v>
      </c>
      <c r="AQ1259" s="1" t="s">
        <v>8135</v>
      </c>
      <c r="AR1259" s="1" t="s">
        <v>8136</v>
      </c>
    </row>
    <row r="1260">
      <c r="A1260" s="2">
        <f ca="1">DATE(2004,04,02)</f>
        <v>0</v>
      </c>
      <c r="B1260" s="2">
        <f ca="1">DATE(2004,07,16)</f>
        <v>0</v>
      </c>
      <c r="C1260" s="1" t="s">
        <v>8137</v>
      </c>
      <c r="D1260" s="3">
        <v>2836</v>
      </c>
      <c r="E1260" s="1" t="s">
        <v>43</v>
      </c>
      <c r="F1260" s="1" t="s">
        <v>8138</v>
      </c>
      <c r="G1260" s="1" t="s">
        <v>789</v>
      </c>
      <c r="H1260" s="4">
        <v>0.48999999999999999</v>
      </c>
      <c r="I1260" s="8">
        <v>7</v>
      </c>
      <c r="J1260" s="5">
        <v>29.399999999999999</v>
      </c>
      <c r="K1260" s="4">
        <v>7</v>
      </c>
      <c r="L1260" s="1" t="s">
        <v>46</v>
      </c>
      <c r="M1260" s="1" t="s">
        <v>47</v>
      </c>
      <c r="N1260" s="1" t="s">
        <v>8139</v>
      </c>
      <c r="O1260" s="1" t="s">
        <v>48</v>
      </c>
      <c r="P1260" s="1" t="s">
        <v>8140</v>
      </c>
      <c r="Q1260" s="4">
        <v>1.3999999999999999</v>
      </c>
      <c r="R1260" s="4">
        <v>1.3999999999999999</v>
      </c>
      <c r="S1260" s="8">
        <v>4.2000000000000002</v>
      </c>
      <c r="T1260" s="1" t="s">
        <v>50</v>
      </c>
      <c r="U1260" s="1"/>
      <c r="V1260" s="1"/>
      <c r="W1260" s="1"/>
      <c r="X1260" s="5">
        <v>51.799999999999997</v>
      </c>
      <c r="Y1260" s="7">
        <v>4200000</v>
      </c>
      <c r="Z1260" s="1"/>
      <c r="AA1260" s="2">
        <f ca="1">DATE(2005,01,12)</f>
        <v>0</v>
      </c>
      <c r="AB1260" s="4">
        <v>71.384</v>
      </c>
      <c r="AC1260" s="3">
        <v>180</v>
      </c>
      <c r="AD1260" s="8">
        <v>10477278</v>
      </c>
      <c r="AE1260" s="1" t="s">
        <v>51</v>
      </c>
      <c r="AF1260" s="1" t="s">
        <v>51</v>
      </c>
      <c r="AG1260" s="1" t="s">
        <v>47</v>
      </c>
      <c r="AH1260" s="1"/>
      <c r="AI1260" s="1"/>
      <c r="AJ1260" s="3">
        <v>1</v>
      </c>
      <c r="AK1260" s="1" t="s">
        <v>52</v>
      </c>
      <c r="AL1260" s="3">
        <v>3</v>
      </c>
      <c r="AM1260" s="8">
        <v>7.5</v>
      </c>
      <c r="AN1260" s="1"/>
      <c r="AO1260" s="1" t="s">
        <v>8141</v>
      </c>
      <c r="AP1260" s="1" t="s">
        <v>789</v>
      </c>
      <c r="AQ1260" s="1" t="s">
        <v>8142</v>
      </c>
      <c r="AR1260" s="1" t="s">
        <v>8140</v>
      </c>
    </row>
    <row r="1261">
      <c r="A1261" s="2">
        <f ca="1">DATE(2004,04,29)</f>
        <v>0</v>
      </c>
      <c r="B1261" s="2">
        <f ca="1">DATE(2004,07,20)</f>
        <v>0</v>
      </c>
      <c r="C1261" s="1" t="s">
        <v>8143</v>
      </c>
      <c r="D1261" s="3">
        <v>5812</v>
      </c>
      <c r="E1261" s="1" t="s">
        <v>43</v>
      </c>
      <c r="F1261" s="1" t="s">
        <v>8144</v>
      </c>
      <c r="G1261" s="1" t="s">
        <v>1297</v>
      </c>
      <c r="H1261" s="4">
        <v>0.83999999999999997</v>
      </c>
      <c r="I1261" s="8">
        <v>7</v>
      </c>
      <c r="J1261" s="5">
        <v>72</v>
      </c>
      <c r="K1261" s="4">
        <v>12</v>
      </c>
      <c r="L1261" s="1" t="s">
        <v>46</v>
      </c>
      <c r="M1261" s="1" t="s">
        <v>47</v>
      </c>
      <c r="N1261" s="3">
        <v>579793100</v>
      </c>
      <c r="O1261" s="1" t="s">
        <v>48</v>
      </c>
      <c r="P1261" s="1" t="s">
        <v>8145</v>
      </c>
      <c r="Q1261" s="4">
        <v>1.3999999999999999</v>
      </c>
      <c r="R1261" s="4">
        <v>1.3999999999999999</v>
      </c>
      <c r="S1261" s="8">
        <v>4.2000000000000002</v>
      </c>
      <c r="T1261" s="1" t="s">
        <v>50</v>
      </c>
      <c r="U1261" s="1"/>
      <c r="V1261" s="1"/>
      <c r="W1261" s="1"/>
      <c r="X1261" s="5">
        <v>172.5</v>
      </c>
      <c r="Y1261" s="7">
        <v>6000000</v>
      </c>
      <c r="Z1261" s="1"/>
      <c r="AA1261" s="2">
        <f ca="1">DATE(2005,01,16)</f>
        <v>0</v>
      </c>
      <c r="AB1261" s="4">
        <v>56.466000000000001</v>
      </c>
      <c r="AC1261" s="3">
        <v>180</v>
      </c>
      <c r="AD1261" s="8">
        <v>7782349</v>
      </c>
      <c r="AE1261" s="1" t="s">
        <v>51</v>
      </c>
      <c r="AF1261" s="1" t="s">
        <v>51</v>
      </c>
      <c r="AG1261" s="1" t="s">
        <v>51</v>
      </c>
      <c r="AH1261" s="1"/>
      <c r="AI1261" s="1"/>
      <c r="AJ1261" s="3">
        <v>1</v>
      </c>
      <c r="AK1261" s="1" t="s">
        <v>52</v>
      </c>
      <c r="AL1261" s="3">
        <v>4</v>
      </c>
      <c r="AM1261" s="8">
        <v>12.34</v>
      </c>
      <c r="AN1261" s="1"/>
      <c r="AO1261" s="1" t="s">
        <v>8146</v>
      </c>
      <c r="AP1261" s="1" t="s">
        <v>1297</v>
      </c>
      <c r="AQ1261" s="1" t="s">
        <v>8147</v>
      </c>
      <c r="AR1261" s="1" t="s">
        <v>8148</v>
      </c>
    </row>
    <row r="1262">
      <c r="A1262" s="2">
        <f ca="1">DATE(2004,02,20)</f>
        <v>0</v>
      </c>
      <c r="B1262" s="2">
        <f ca="1">DATE(2004,07,21)</f>
        <v>0</v>
      </c>
      <c r="C1262" s="1" t="s">
        <v>8149</v>
      </c>
      <c r="D1262" s="3">
        <v>7372</v>
      </c>
      <c r="E1262" s="1" t="s">
        <v>43</v>
      </c>
      <c r="F1262" s="1" t="s">
        <v>8150</v>
      </c>
      <c r="G1262" s="1" t="s">
        <v>8151</v>
      </c>
      <c r="H1262" s="4">
        <v>0.56000000000000005</v>
      </c>
      <c r="I1262" s="4">
        <v>7</v>
      </c>
      <c r="J1262" s="5">
        <v>64.799999999999997</v>
      </c>
      <c r="K1262" s="4">
        <v>8</v>
      </c>
      <c r="L1262" s="1" t="s">
        <v>46</v>
      </c>
      <c r="M1262" s="1" t="s">
        <v>47</v>
      </c>
      <c r="N1262" s="1" t="s">
        <v>8152</v>
      </c>
      <c r="O1262" s="1" t="s">
        <v>48</v>
      </c>
      <c r="P1262" s="1" t="s">
        <v>8153</v>
      </c>
      <c r="Q1262" s="4">
        <v>1.375</v>
      </c>
      <c r="R1262" s="4">
        <v>1.375</v>
      </c>
      <c r="S1262" s="8">
        <v>4.25</v>
      </c>
      <c r="T1262" s="1" t="s">
        <v>50</v>
      </c>
      <c r="U1262" s="1"/>
      <c r="V1262" s="1"/>
      <c r="W1262" s="1"/>
      <c r="X1262" s="5">
        <v>115</v>
      </c>
      <c r="Y1262" s="1"/>
      <c r="Z1262" s="7">
        <v>8098779</v>
      </c>
      <c r="AA1262" s="1" t="s">
        <v>8154</v>
      </c>
      <c r="AB1262" s="1" t="s">
        <v>8155</v>
      </c>
      <c r="AC1262" s="1" t="s">
        <v>2068</v>
      </c>
      <c r="AD1262" s="1" t="s">
        <v>8156</v>
      </c>
      <c r="AE1262" s="1" t="s">
        <v>51</v>
      </c>
      <c r="AF1262" s="1" t="s">
        <v>51</v>
      </c>
      <c r="AG1262" s="1" t="s">
        <v>51</v>
      </c>
      <c r="AH1262" s="1"/>
      <c r="AI1262" s="1"/>
      <c r="AJ1262" s="3">
        <v>2</v>
      </c>
      <c r="AK1262" s="1" t="s">
        <v>89</v>
      </c>
      <c r="AL1262" s="3">
        <v>4</v>
      </c>
      <c r="AM1262" s="8">
        <v>8.5500000000000007</v>
      </c>
      <c r="AN1262" s="1"/>
      <c r="AO1262" s="1" t="s">
        <v>8157</v>
      </c>
      <c r="AP1262" s="1" t="s">
        <v>8158</v>
      </c>
      <c r="AQ1262" s="1" t="s">
        <v>8159</v>
      </c>
      <c r="AR1262" s="1" t="s">
        <v>8160</v>
      </c>
    </row>
    <row r="1263">
      <c r="A1263" s="2">
        <f ca="1">DATE(2004,05,14)</f>
        <v>0</v>
      </c>
      <c r="B1263" s="2">
        <f ca="1">DATE(2004,07,21)</f>
        <v>0</v>
      </c>
      <c r="C1263" s="1" t="s">
        <v>8161</v>
      </c>
      <c r="D1263" s="3">
        <v>2741</v>
      </c>
      <c r="E1263" s="1" t="s">
        <v>43</v>
      </c>
      <c r="F1263" s="1" t="s">
        <v>8162</v>
      </c>
      <c r="G1263" s="1" t="s">
        <v>8163</v>
      </c>
      <c r="H1263" s="4">
        <v>0.80800000000000005</v>
      </c>
      <c r="I1263" s="4">
        <v>4.25</v>
      </c>
      <c r="J1263" s="9">
        <v>1008.2000000000001</v>
      </c>
      <c r="K1263" s="4">
        <v>19</v>
      </c>
      <c r="L1263" s="1" t="s">
        <v>46</v>
      </c>
      <c r="M1263" s="1" t="s">
        <v>47</v>
      </c>
      <c r="N1263" s="1" t="s">
        <v>8164</v>
      </c>
      <c r="O1263" s="1" t="s">
        <v>108</v>
      </c>
      <c r="P1263" s="1" t="s">
        <v>8165</v>
      </c>
      <c r="Q1263" s="4">
        <v>0.88200000000000001</v>
      </c>
      <c r="R1263" s="4">
        <v>0.84199999999999997</v>
      </c>
      <c r="S1263" s="6">
        <v>2.5263200000000001</v>
      </c>
      <c r="T1263" s="1" t="s">
        <v>50</v>
      </c>
      <c r="U1263" s="1"/>
      <c r="V1263" s="1"/>
      <c r="W1263" s="1"/>
      <c r="X1263" s="9">
        <v>1500</v>
      </c>
      <c r="Y1263" s="7">
        <v>19736842</v>
      </c>
      <c r="Z1263" s="7">
        <v>33324382</v>
      </c>
      <c r="AA1263" s="1" t="s">
        <v>8154</v>
      </c>
      <c r="AB1263" s="1" t="s">
        <v>8166</v>
      </c>
      <c r="AC1263" s="1" t="s">
        <v>2068</v>
      </c>
      <c r="AD1263" s="1" t="s">
        <v>8167</v>
      </c>
      <c r="AE1263" s="1" t="s">
        <v>51</v>
      </c>
      <c r="AF1263" s="1" t="s">
        <v>51</v>
      </c>
      <c r="AG1263" s="1" t="s">
        <v>51</v>
      </c>
      <c r="AH1263" s="1"/>
      <c r="AI1263" s="1"/>
      <c r="AJ1263" s="3">
        <v>3</v>
      </c>
      <c r="AK1263" s="1" t="s">
        <v>110</v>
      </c>
      <c r="AL1263" s="3">
        <v>10</v>
      </c>
      <c r="AM1263" s="8">
        <v>19.5</v>
      </c>
      <c r="AN1263" s="1"/>
      <c r="AO1263" s="1" t="s">
        <v>8168</v>
      </c>
      <c r="AP1263" s="1" t="s">
        <v>8169</v>
      </c>
      <c r="AQ1263" s="1" t="s">
        <v>8170</v>
      </c>
      <c r="AR1263" s="1" t="s">
        <v>8171</v>
      </c>
    </row>
    <row r="1264">
      <c r="A1264" s="2">
        <f ca="1">DATE(2003,12,15)</f>
        <v>0</v>
      </c>
      <c r="B1264" s="2">
        <f ca="1">DATE(2004,07,21)</f>
        <v>0</v>
      </c>
      <c r="C1264" s="1" t="s">
        <v>8172</v>
      </c>
      <c r="D1264" s="3">
        <v>2834</v>
      </c>
      <c r="E1264" s="1" t="s">
        <v>43</v>
      </c>
      <c r="F1264" s="1" t="s">
        <v>8173</v>
      </c>
      <c r="G1264" s="1" t="s">
        <v>160</v>
      </c>
      <c r="H1264" s="4">
        <v>0.97999999999999998</v>
      </c>
      <c r="I1264" s="8">
        <v>7</v>
      </c>
      <c r="J1264" s="5">
        <v>81.200000000000003</v>
      </c>
      <c r="K1264" s="4">
        <v>14</v>
      </c>
      <c r="L1264" s="1" t="s">
        <v>46</v>
      </c>
      <c r="M1264" s="1" t="s">
        <v>47</v>
      </c>
      <c r="N1264" s="1" t="s">
        <v>8174</v>
      </c>
      <c r="O1264" s="1" t="s">
        <v>48</v>
      </c>
      <c r="P1264" s="1" t="s">
        <v>8175</v>
      </c>
      <c r="Q1264" s="4">
        <v>1.3999999999999999</v>
      </c>
      <c r="R1264" s="4">
        <v>1.3999999999999999</v>
      </c>
      <c r="S1264" s="8">
        <v>4.2000000000000002</v>
      </c>
      <c r="T1264" s="1" t="s">
        <v>50</v>
      </c>
      <c r="U1264" s="1"/>
      <c r="V1264" s="1"/>
      <c r="W1264" s="1"/>
      <c r="X1264" s="5">
        <v>100</v>
      </c>
      <c r="Y1264" s="7">
        <v>4600000</v>
      </c>
      <c r="Z1264" s="7">
        <v>1200000</v>
      </c>
      <c r="AA1264" s="2">
        <f ca="1">DATE(2005,01,17)</f>
        <v>0</v>
      </c>
      <c r="AB1264" s="4">
        <v>66.352999999999994</v>
      </c>
      <c r="AC1264" s="3">
        <v>180</v>
      </c>
      <c r="AD1264" s="8">
        <v>31703507</v>
      </c>
      <c r="AE1264" s="1" t="s">
        <v>51</v>
      </c>
      <c r="AF1264" s="1" t="s">
        <v>51</v>
      </c>
      <c r="AG1264" s="1" t="s">
        <v>47</v>
      </c>
      <c r="AH1264" s="1"/>
      <c r="AI1264" s="1"/>
      <c r="AJ1264" s="3">
        <v>1</v>
      </c>
      <c r="AK1264" s="1" t="s">
        <v>89</v>
      </c>
      <c r="AL1264" s="3">
        <v>3</v>
      </c>
      <c r="AM1264" s="8">
        <v>13.449999999999999</v>
      </c>
      <c r="AN1264" s="1"/>
      <c r="AO1264" s="1" t="s">
        <v>8176</v>
      </c>
      <c r="AP1264" s="1" t="s">
        <v>4164</v>
      </c>
      <c r="AQ1264" s="1" t="s">
        <v>8177</v>
      </c>
      <c r="AR1264" s="1" t="s">
        <v>8175</v>
      </c>
    </row>
    <row r="1265">
      <c r="A1265" s="2">
        <f ca="1">DATE(2004,04,08)</f>
        <v>0</v>
      </c>
      <c r="B1265" s="2">
        <f ca="1">DATE(2004,07,22)</f>
        <v>0</v>
      </c>
      <c r="C1265" s="1" t="s">
        <v>8178</v>
      </c>
      <c r="D1265" s="3">
        <v>3532</v>
      </c>
      <c r="E1265" s="1" t="s">
        <v>43</v>
      </c>
      <c r="F1265" s="1" t="s">
        <v>8179</v>
      </c>
      <c r="G1265" s="1" t="s">
        <v>160</v>
      </c>
      <c r="H1265" s="4">
        <v>1.26</v>
      </c>
      <c r="I1265" s="4">
        <v>7</v>
      </c>
      <c r="J1265" s="5">
        <v>193.5</v>
      </c>
      <c r="K1265" s="4">
        <v>18</v>
      </c>
      <c r="L1265" s="1" t="s">
        <v>152</v>
      </c>
      <c r="M1265" s="1" t="s">
        <v>47</v>
      </c>
      <c r="N1265" s="3">
        <v>118759109</v>
      </c>
      <c r="O1265" s="1" t="s">
        <v>48</v>
      </c>
      <c r="P1265" s="1" t="s">
        <v>8180</v>
      </c>
      <c r="Q1265" s="4">
        <v>1.389</v>
      </c>
      <c r="R1265" s="4">
        <v>1.389</v>
      </c>
      <c r="S1265" s="6">
        <v>4.2222200000000001</v>
      </c>
      <c r="T1265" s="1" t="s">
        <v>50</v>
      </c>
      <c r="U1265" s="1"/>
      <c r="V1265" s="1"/>
      <c r="W1265" s="1"/>
      <c r="X1265" s="5">
        <v>155.30000000000001</v>
      </c>
      <c r="Y1265" s="7">
        <v>7941177</v>
      </c>
      <c r="Z1265" s="7">
        <v>2808823</v>
      </c>
      <c r="AA1265" s="2">
        <f ca="1">DATE(2005,01,18)</f>
        <v>0</v>
      </c>
      <c r="AB1265" s="4">
        <v>46.249000000000002</v>
      </c>
      <c r="AC1265" s="3">
        <v>180</v>
      </c>
      <c r="AD1265" s="8">
        <v>9249577</v>
      </c>
      <c r="AE1265" s="1" t="s">
        <v>51</v>
      </c>
      <c r="AF1265" s="1" t="s">
        <v>51</v>
      </c>
      <c r="AG1265" s="1" t="s">
        <v>47</v>
      </c>
      <c r="AH1265" s="1"/>
      <c r="AI1265" s="1" t="s">
        <v>8181</v>
      </c>
      <c r="AJ1265" s="3">
        <v>1</v>
      </c>
      <c r="AK1265" s="1" t="s">
        <v>52</v>
      </c>
      <c r="AL1265" s="3">
        <v>3</v>
      </c>
      <c r="AM1265" s="8">
        <v>22.5</v>
      </c>
      <c r="AN1265" s="1"/>
      <c r="AO1265" s="1" t="s">
        <v>8182</v>
      </c>
      <c r="AP1265" s="1" t="s">
        <v>160</v>
      </c>
      <c r="AQ1265" s="1" t="s">
        <v>8183</v>
      </c>
      <c r="AR1265" s="1" t="s">
        <v>8180</v>
      </c>
    </row>
    <row r="1266">
      <c r="A1266" s="2">
        <f ca="1">DATE(2004,03,11)</f>
        <v>0</v>
      </c>
      <c r="B1266" s="2">
        <f ca="1">DATE(2004,07,22)</f>
        <v>0</v>
      </c>
      <c r="C1266" s="1" t="s">
        <v>8184</v>
      </c>
      <c r="D1266" s="3">
        <v>7371</v>
      </c>
      <c r="E1266" s="1" t="s">
        <v>43</v>
      </c>
      <c r="F1266" s="1" t="s">
        <v>8185</v>
      </c>
      <c r="G1266" s="1" t="s">
        <v>5704</v>
      </c>
      <c r="H1266" s="4">
        <v>0.91000000000000003</v>
      </c>
      <c r="I1266" s="4">
        <v>7</v>
      </c>
      <c r="J1266" s="5">
        <v>93</v>
      </c>
      <c r="K1266" s="4">
        <v>13</v>
      </c>
      <c r="L1266" s="1" t="s">
        <v>46</v>
      </c>
      <c r="M1266" s="1" t="s">
        <v>47</v>
      </c>
      <c r="N1266" s="1" t="s">
        <v>8186</v>
      </c>
      <c r="O1266" s="1" t="s">
        <v>48</v>
      </c>
      <c r="P1266" s="1" t="s">
        <v>8187</v>
      </c>
      <c r="Q1266" s="4">
        <v>1.423</v>
      </c>
      <c r="R1266" s="4">
        <v>1.423</v>
      </c>
      <c r="S1266" s="6">
        <v>4.1538500000000003</v>
      </c>
      <c r="T1266" s="1" t="s">
        <v>50</v>
      </c>
      <c r="U1266" s="1"/>
      <c r="V1266" s="1"/>
      <c r="W1266" s="1"/>
      <c r="X1266" s="5">
        <v>115</v>
      </c>
      <c r="Y1266" s="7">
        <v>5362500</v>
      </c>
      <c r="Z1266" s="7">
        <v>1787500</v>
      </c>
      <c r="AA1266" s="1" t="s">
        <v>8188</v>
      </c>
      <c r="AB1266" s="1" t="s">
        <v>8189</v>
      </c>
      <c r="AC1266" s="1" t="s">
        <v>4379</v>
      </c>
      <c r="AD1266" s="1" t="s">
        <v>8190</v>
      </c>
      <c r="AE1266" s="1" t="s">
        <v>51</v>
      </c>
      <c r="AF1266" s="1" t="s">
        <v>51</v>
      </c>
      <c r="AG1266" s="1" t="s">
        <v>47</v>
      </c>
      <c r="AH1266" s="1"/>
      <c r="AI1266" s="1"/>
      <c r="AJ1266" s="3">
        <v>1</v>
      </c>
      <c r="AK1266" s="1" t="s">
        <v>52</v>
      </c>
      <c r="AL1266" s="3">
        <v>3</v>
      </c>
      <c r="AM1266" s="8">
        <v>15.199999999999999</v>
      </c>
      <c r="AN1266" s="1"/>
      <c r="AO1266" s="1" t="s">
        <v>8191</v>
      </c>
      <c r="AP1266" s="1" t="s">
        <v>5704</v>
      </c>
      <c r="AQ1266" s="1" t="s">
        <v>8192</v>
      </c>
      <c r="AR1266" s="1" t="s">
        <v>8187</v>
      </c>
    </row>
    <row r="1267">
      <c r="A1267" s="2">
        <f ca="1">DATE(2004,05,19)</f>
        <v>0</v>
      </c>
      <c r="B1267" s="2">
        <f ca="1">DATE(2004,07,22)</f>
        <v>0</v>
      </c>
      <c r="C1267" s="1" t="s">
        <v>8193</v>
      </c>
      <c r="D1267" s="3">
        <v>2821</v>
      </c>
      <c r="E1267" s="1" t="s">
        <v>43</v>
      </c>
      <c r="F1267" s="1" t="s">
        <v>8194</v>
      </c>
      <c r="G1267" s="1" t="s">
        <v>1223</v>
      </c>
      <c r="H1267" s="4">
        <v>0.41699999999999998</v>
      </c>
      <c r="I1267" s="4">
        <v>6</v>
      </c>
      <c r="J1267" s="5">
        <v>41.700000000000003</v>
      </c>
      <c r="K1267" s="4">
        <v>6.9500000000000002</v>
      </c>
      <c r="L1267" s="1" t="s">
        <v>46</v>
      </c>
      <c r="M1267" s="1" t="s">
        <v>47</v>
      </c>
      <c r="N1267" s="1" t="s">
        <v>8195</v>
      </c>
      <c r="O1267" s="1" t="s">
        <v>48</v>
      </c>
      <c r="P1267" s="1" t="s">
        <v>8196</v>
      </c>
      <c r="Q1267" s="4">
        <v>1.754</v>
      </c>
      <c r="R1267" s="4">
        <v>0.748</v>
      </c>
      <c r="S1267" s="10">
        <v>3.4964</v>
      </c>
      <c r="T1267" s="1" t="s">
        <v>50</v>
      </c>
      <c r="U1267" s="8">
        <v>6</v>
      </c>
      <c r="V1267" s="8">
        <v>5</v>
      </c>
      <c r="W1267" s="7">
        <v>5000000</v>
      </c>
      <c r="X1267" s="5">
        <v>27.5</v>
      </c>
      <c r="Y1267" s="7">
        <v>6000000</v>
      </c>
      <c r="Z1267" s="1"/>
      <c r="AA1267" s="2">
        <f ca="1">DATE(2005,01,18)</f>
        <v>0</v>
      </c>
      <c r="AB1267" s="4">
        <v>14.180999999999999</v>
      </c>
      <c r="AC1267" s="3">
        <v>180</v>
      </c>
      <c r="AD1267" s="8">
        <v>2337624</v>
      </c>
      <c r="AE1267" s="1" t="s">
        <v>51</v>
      </c>
      <c r="AF1267" s="1" t="s">
        <v>51</v>
      </c>
      <c r="AG1267" s="1" t="s">
        <v>47</v>
      </c>
      <c r="AH1267" s="1"/>
      <c r="AI1267" s="1"/>
      <c r="AJ1267" s="3">
        <v>1</v>
      </c>
      <c r="AK1267" s="1" t="s">
        <v>52</v>
      </c>
      <c r="AL1267" s="3">
        <v>2</v>
      </c>
      <c r="AM1267" s="8">
        <v>6.0099999999999998</v>
      </c>
      <c r="AN1267" s="1"/>
      <c r="AO1267" s="1" t="s">
        <v>8197</v>
      </c>
      <c r="AP1267" s="1" t="s">
        <v>1223</v>
      </c>
      <c r="AQ1267" s="1" t="s">
        <v>1227</v>
      </c>
      <c r="AR1267" s="1" t="s">
        <v>1228</v>
      </c>
    </row>
    <row r="1268">
      <c r="A1268" s="2">
        <f ca="1">DATE(2004,05,13)</f>
        <v>0</v>
      </c>
      <c r="B1268" s="2">
        <f ca="1">DATE(2004,07,22)</f>
        <v>0</v>
      </c>
      <c r="C1268" s="1" t="s">
        <v>8198</v>
      </c>
      <c r="D1268" s="3">
        <v>3841</v>
      </c>
      <c r="E1268" s="1" t="s">
        <v>43</v>
      </c>
      <c r="F1268" s="1" t="s">
        <v>8199</v>
      </c>
      <c r="G1268" s="1" t="s">
        <v>8200</v>
      </c>
      <c r="H1268" s="4">
        <v>0.56000000000000005</v>
      </c>
      <c r="I1268" s="4">
        <v>7</v>
      </c>
      <c r="J1268" s="5">
        <v>24</v>
      </c>
      <c r="K1268" s="4">
        <v>8</v>
      </c>
      <c r="L1268" s="1" t="s">
        <v>46</v>
      </c>
      <c r="M1268" s="1" t="s">
        <v>47</v>
      </c>
      <c r="N1268" s="3">
        <v>641255104</v>
      </c>
      <c r="O1268" s="1" t="s">
        <v>48</v>
      </c>
      <c r="P1268" s="1" t="s">
        <v>8201</v>
      </c>
      <c r="Q1268" s="1" t="s">
        <v>145</v>
      </c>
      <c r="R1268" s="1" t="s">
        <v>145</v>
      </c>
      <c r="S1268" s="8">
        <v>3.8500000000000001</v>
      </c>
      <c r="T1268" s="1" t="s">
        <v>50</v>
      </c>
      <c r="U1268" s="1"/>
      <c r="V1268" s="1"/>
      <c r="W1268" s="7">
        <v>3000000</v>
      </c>
      <c r="X1268" s="1"/>
      <c r="Y1268" s="7">
        <v>3000000</v>
      </c>
      <c r="Z1268" s="1"/>
      <c r="AA1268" s="2">
        <f ca="1">DATE(2005,01,18)</f>
        <v>0</v>
      </c>
      <c r="AB1268" s="4">
        <v>56.124000000000002</v>
      </c>
      <c r="AC1268" s="3">
        <v>180</v>
      </c>
      <c r="AD1268" s="8">
        <v>6745230</v>
      </c>
      <c r="AE1268" s="1" t="s">
        <v>51</v>
      </c>
      <c r="AF1268" s="1" t="s">
        <v>51</v>
      </c>
      <c r="AG1268" s="1" t="s">
        <v>47</v>
      </c>
      <c r="AH1268" s="1"/>
      <c r="AI1268" s="1"/>
      <c r="AJ1268" s="3">
        <v>1</v>
      </c>
      <c r="AK1268" s="1" t="s">
        <v>52</v>
      </c>
      <c r="AL1268" s="3">
        <v>2</v>
      </c>
      <c r="AM1268" s="8">
        <v>8.0500000000000007</v>
      </c>
      <c r="AN1268" s="1"/>
      <c r="AO1268" s="1" t="s">
        <v>8202</v>
      </c>
      <c r="AP1268" s="1" t="s">
        <v>8200</v>
      </c>
      <c r="AQ1268" s="1" t="s">
        <v>8203</v>
      </c>
      <c r="AR1268" s="1" t="s">
        <v>8204</v>
      </c>
    </row>
    <row r="1269">
      <c r="A1269" s="2">
        <f ca="1">DATE(2004,04,21)</f>
        <v>0</v>
      </c>
      <c r="B1269" s="2">
        <f ca="1">DATE(2004,07,23)</f>
        <v>0</v>
      </c>
      <c r="C1269" s="1" t="s">
        <v>8205</v>
      </c>
      <c r="D1269" s="3">
        <v>2834</v>
      </c>
      <c r="E1269" s="1" t="s">
        <v>43</v>
      </c>
      <c r="F1269" s="1" t="s">
        <v>8206</v>
      </c>
      <c r="G1269" s="1" t="s">
        <v>5110</v>
      </c>
      <c r="H1269" s="4">
        <v>0.52500000000000002</v>
      </c>
      <c r="I1269" s="4">
        <v>7</v>
      </c>
      <c r="J1269" s="5">
        <v>41.299999999999997</v>
      </c>
      <c r="K1269" s="4">
        <v>7.5</v>
      </c>
      <c r="L1269" s="1" t="s">
        <v>46</v>
      </c>
      <c r="M1269" s="1" t="s">
        <v>47</v>
      </c>
      <c r="N1269" s="1" t="s">
        <v>8207</v>
      </c>
      <c r="O1269" s="1" t="s">
        <v>48</v>
      </c>
      <c r="P1269" s="1" t="s">
        <v>8208</v>
      </c>
      <c r="Q1269" s="4">
        <v>1.333</v>
      </c>
      <c r="R1269" s="4">
        <v>1.3999999999999999</v>
      </c>
      <c r="S1269" s="6">
        <v>4.2666700000000004</v>
      </c>
      <c r="T1269" s="1" t="s">
        <v>50</v>
      </c>
      <c r="U1269" s="1"/>
      <c r="V1269" s="1"/>
      <c r="W1269" s="1"/>
      <c r="X1269" s="5">
        <v>86.299999999999997</v>
      </c>
      <c r="Y1269" s="7">
        <v>5500000</v>
      </c>
      <c r="Z1269" s="1"/>
      <c r="AA1269" s="2">
        <f ca="1">DATE(2005,01,19)</f>
        <v>0</v>
      </c>
      <c r="AB1269" s="4">
        <v>72.655000000000001</v>
      </c>
      <c r="AC1269" s="3">
        <v>180</v>
      </c>
      <c r="AD1269" s="8">
        <v>14957553</v>
      </c>
      <c r="AE1269" s="1" t="s">
        <v>51</v>
      </c>
      <c r="AF1269" s="1" t="s">
        <v>51</v>
      </c>
      <c r="AG1269" s="1" t="s">
        <v>47</v>
      </c>
      <c r="AH1269" s="1"/>
      <c r="AI1269" s="1"/>
      <c r="AJ1269" s="3">
        <v>1</v>
      </c>
      <c r="AK1269" s="1" t="s">
        <v>52</v>
      </c>
      <c r="AL1269" s="3">
        <v>3</v>
      </c>
      <c r="AM1269" s="8">
        <v>7.2000000000000002</v>
      </c>
      <c r="AN1269" s="1"/>
      <c r="AO1269" s="1" t="s">
        <v>8209</v>
      </c>
      <c r="AP1269" s="1" t="s">
        <v>5110</v>
      </c>
      <c r="AQ1269" s="1" t="s">
        <v>8210</v>
      </c>
      <c r="AR1269" s="1" t="s">
        <v>8211</v>
      </c>
    </row>
    <row r="1270">
      <c r="A1270" s="2">
        <f ca="1">DATE(2004,07,07)</f>
        <v>0</v>
      </c>
      <c r="B1270" s="2">
        <f ca="1">DATE(2004,07,23)</f>
        <v>0</v>
      </c>
      <c r="C1270" s="1" t="s">
        <v>8212</v>
      </c>
      <c r="D1270" s="3">
        <v>4412</v>
      </c>
      <c r="E1270" s="1" t="s">
        <v>3764</v>
      </c>
      <c r="F1270" s="1" t="s">
        <v>8213</v>
      </c>
      <c r="G1270" s="1" t="s">
        <v>8214</v>
      </c>
      <c r="H1270" s="4">
        <v>0.66000000000000003</v>
      </c>
      <c r="I1270" s="4">
        <v>6</v>
      </c>
      <c r="J1270" s="5">
        <v>146.59999999999999</v>
      </c>
      <c r="K1270" s="4">
        <v>11</v>
      </c>
      <c r="L1270" s="1" t="s">
        <v>46</v>
      </c>
      <c r="M1270" s="1" t="s">
        <v>47</v>
      </c>
      <c r="N1270" s="1" t="s">
        <v>8215</v>
      </c>
      <c r="O1270" s="1" t="s">
        <v>48</v>
      </c>
      <c r="P1270" s="1" t="s">
        <v>8216</v>
      </c>
      <c r="Q1270" s="1" t="s">
        <v>145</v>
      </c>
      <c r="R1270" s="1" t="s">
        <v>145</v>
      </c>
      <c r="S1270" s="8">
        <v>3.6000000000000001</v>
      </c>
      <c r="T1270" s="1" t="s">
        <v>50</v>
      </c>
      <c r="U1270" s="8">
        <v>15</v>
      </c>
      <c r="V1270" s="8">
        <v>13</v>
      </c>
      <c r="W1270" s="7">
        <v>13330000</v>
      </c>
      <c r="X1270" s="5">
        <v>186.59999999999999</v>
      </c>
      <c r="Y1270" s="7">
        <v>12258570</v>
      </c>
      <c r="Z1270" s="7">
        <v>1071430</v>
      </c>
      <c r="AA1270" s="1" t="s">
        <v>8217</v>
      </c>
      <c r="AB1270" s="1" t="s">
        <v>8218</v>
      </c>
      <c r="AC1270" s="1" t="s">
        <v>4379</v>
      </c>
      <c r="AD1270" s="1" t="s">
        <v>8219</v>
      </c>
      <c r="AE1270" s="1" t="s">
        <v>51</v>
      </c>
      <c r="AF1270" s="1" t="s">
        <v>51</v>
      </c>
      <c r="AG1270" s="1" t="s">
        <v>51</v>
      </c>
      <c r="AH1270" s="1"/>
      <c r="AI1270" s="1"/>
      <c r="AJ1270" s="3">
        <v>1</v>
      </c>
      <c r="AK1270" s="1" t="s">
        <v>52</v>
      </c>
      <c r="AL1270" s="3">
        <v>3</v>
      </c>
      <c r="AM1270" s="8">
        <v>10.380000000000001</v>
      </c>
      <c r="AN1270" s="1"/>
      <c r="AO1270" s="1" t="s">
        <v>8220</v>
      </c>
      <c r="AP1270" s="1" t="s">
        <v>8214</v>
      </c>
      <c r="AQ1270" s="1" t="s">
        <v>8221</v>
      </c>
      <c r="AR1270" s="1" t="s">
        <v>8222</v>
      </c>
    </row>
    <row r="1271">
      <c r="A1271" s="2">
        <f ca="1">DATE(2003,11,06)</f>
        <v>0</v>
      </c>
      <c r="B1271" s="2">
        <f ca="1">DATE(2004,07,27)</f>
        <v>0</v>
      </c>
      <c r="C1271" s="1" t="s">
        <v>8223</v>
      </c>
      <c r="D1271" s="3">
        <v>6726</v>
      </c>
      <c r="E1271" s="1" t="s">
        <v>43</v>
      </c>
      <c r="F1271" s="1" t="s">
        <v>8224</v>
      </c>
      <c r="G1271" s="1" t="s">
        <v>45</v>
      </c>
      <c r="H1271" s="4">
        <v>0.90000000000000002</v>
      </c>
      <c r="I1271" s="4">
        <v>4.5</v>
      </c>
      <c r="J1271" s="5">
        <v>200</v>
      </c>
      <c r="K1271" s="4">
        <v>20</v>
      </c>
      <c r="L1271" s="1" t="s">
        <v>46</v>
      </c>
      <c r="M1271" s="1" t="s">
        <v>47</v>
      </c>
      <c r="N1271" s="3">
        <v>339736100</v>
      </c>
      <c r="O1271" s="1" t="s">
        <v>108</v>
      </c>
      <c r="P1271" s="1" t="s">
        <v>8225</v>
      </c>
      <c r="Q1271" s="4">
        <v>1</v>
      </c>
      <c r="R1271" s="4">
        <v>0.5</v>
      </c>
      <c r="S1271" s="8">
        <v>3</v>
      </c>
      <c r="T1271" s="1" t="s">
        <v>50</v>
      </c>
      <c r="U1271" s="8">
        <v>20</v>
      </c>
      <c r="V1271" s="8">
        <v>20</v>
      </c>
      <c r="W1271" s="7">
        <v>50000</v>
      </c>
      <c r="X1271" s="5">
        <v>1</v>
      </c>
      <c r="Y1271" s="7">
        <v>10000000</v>
      </c>
      <c r="Z1271" s="1"/>
      <c r="AA1271" s="1"/>
      <c r="AB1271" s="1"/>
      <c r="AC1271" s="1"/>
      <c r="AD1271" s="1"/>
      <c r="AE1271" s="1" t="s">
        <v>51</v>
      </c>
      <c r="AF1271" s="1" t="s">
        <v>51</v>
      </c>
      <c r="AG1271" s="1" t="s">
        <v>51</v>
      </c>
      <c r="AH1271" s="1"/>
      <c r="AI1271" s="1"/>
      <c r="AJ1271" s="3">
        <v>1</v>
      </c>
      <c r="AK1271" s="1" t="s">
        <v>52</v>
      </c>
      <c r="AL1271" s="3">
        <v>4</v>
      </c>
      <c r="AM1271" s="8">
        <v>20</v>
      </c>
      <c r="AN1271" s="1"/>
      <c r="AO1271" s="1" t="s">
        <v>8226</v>
      </c>
      <c r="AP1271" s="1" t="s">
        <v>45</v>
      </c>
      <c r="AQ1271" s="1" t="s">
        <v>8227</v>
      </c>
      <c r="AR1271" s="1" t="s">
        <v>8228</v>
      </c>
    </row>
    <row r="1272">
      <c r="A1272" s="2">
        <f ca="1">DATE(2004,04,21)</f>
        <v>0</v>
      </c>
      <c r="B1272" s="2">
        <f ca="1">DATE(2004,07,27)</f>
        <v>0</v>
      </c>
      <c r="C1272" s="1" t="s">
        <v>8229</v>
      </c>
      <c r="D1272" s="3">
        <v>6798</v>
      </c>
      <c r="E1272" s="1" t="s">
        <v>43</v>
      </c>
      <c r="F1272" s="1" t="s">
        <v>8230</v>
      </c>
      <c r="G1272" s="1" t="s">
        <v>3332</v>
      </c>
      <c r="H1272" s="4">
        <v>1.05</v>
      </c>
      <c r="I1272" s="4">
        <v>7</v>
      </c>
      <c r="J1272" s="5">
        <v>140.59999999999999</v>
      </c>
      <c r="K1272" s="4">
        <v>15</v>
      </c>
      <c r="L1272" s="1" t="s">
        <v>46</v>
      </c>
      <c r="M1272" s="1" t="s">
        <v>47</v>
      </c>
      <c r="N1272" s="3">
        <v>384871109</v>
      </c>
      <c r="O1272" s="1" t="s">
        <v>108</v>
      </c>
      <c r="P1272" s="1" t="s">
        <v>8231</v>
      </c>
      <c r="Q1272" s="4">
        <v>1.3999999999999999</v>
      </c>
      <c r="R1272" s="4">
        <v>1.3999999999999999</v>
      </c>
      <c r="S1272" s="8">
        <v>4.2000000000000002</v>
      </c>
      <c r="T1272" s="1" t="s">
        <v>50</v>
      </c>
      <c r="U1272" s="1"/>
      <c r="V1272" s="1"/>
      <c r="W1272" s="1"/>
      <c r="X1272" s="1"/>
      <c r="Y1272" s="7">
        <v>9375000</v>
      </c>
      <c r="Z1272" s="1"/>
      <c r="AA1272" s="2">
        <f ca="1">DATE(2005,01,23)</f>
        <v>0</v>
      </c>
      <c r="AB1272" s="4">
        <v>6.0860000000000003</v>
      </c>
      <c r="AC1272" s="3">
        <v>180</v>
      </c>
      <c r="AD1272" s="8">
        <v>810000</v>
      </c>
      <c r="AE1272" s="1" t="s">
        <v>51</v>
      </c>
      <c r="AF1272" s="1" t="s">
        <v>51</v>
      </c>
      <c r="AG1272" s="1" t="s">
        <v>51</v>
      </c>
      <c r="AH1272" s="1"/>
      <c r="AI1272" s="1"/>
      <c r="AJ1272" s="3">
        <v>1</v>
      </c>
      <c r="AK1272" s="1" t="s">
        <v>52</v>
      </c>
      <c r="AL1272" s="3">
        <v>4</v>
      </c>
      <c r="AM1272" s="8">
        <v>15</v>
      </c>
      <c r="AN1272" s="1"/>
      <c r="AO1272" s="1" t="s">
        <v>8232</v>
      </c>
      <c r="AP1272" s="1" t="s">
        <v>3332</v>
      </c>
      <c r="AQ1272" s="1" t="s">
        <v>8233</v>
      </c>
      <c r="AR1272" s="1" t="s">
        <v>8234</v>
      </c>
    </row>
    <row r="1273">
      <c r="A1273" s="1"/>
      <c r="B1273" s="2">
        <f ca="1">DATE(2004,07,27)</f>
        <v>0</v>
      </c>
      <c r="C1273" s="1" t="s">
        <v>8235</v>
      </c>
      <c r="D1273" s="3">
        <v>6726</v>
      </c>
      <c r="E1273" s="1" t="s">
        <v>43</v>
      </c>
      <c r="F1273" s="1" t="s">
        <v>8236</v>
      </c>
      <c r="G1273" s="1" t="s">
        <v>8237</v>
      </c>
      <c r="H1273" s="4">
        <v>0.67500000000000004</v>
      </c>
      <c r="I1273" s="4">
        <v>4.5</v>
      </c>
      <c r="J1273" s="5">
        <v>260.30000000000001</v>
      </c>
      <c r="K1273" s="4">
        <v>15</v>
      </c>
      <c r="L1273" s="1" t="s">
        <v>4422</v>
      </c>
      <c r="M1273" s="1" t="s">
        <v>47</v>
      </c>
      <c r="N1273" s="3">
        <v>556582104</v>
      </c>
      <c r="O1273" s="1" t="s">
        <v>108</v>
      </c>
      <c r="P1273" s="1" t="s">
        <v>8238</v>
      </c>
      <c r="Q1273" s="4">
        <v>0.96699999999999997</v>
      </c>
      <c r="R1273" s="4">
        <v>0.53300000000000003</v>
      </c>
      <c r="S1273" s="8">
        <v>3</v>
      </c>
      <c r="T1273" s="1" t="s">
        <v>50</v>
      </c>
      <c r="U1273" s="8">
        <v>15</v>
      </c>
      <c r="V1273" s="8">
        <v>15</v>
      </c>
      <c r="W1273" s="7">
        <v>66667</v>
      </c>
      <c r="X1273" s="5">
        <v>1</v>
      </c>
      <c r="Y1273" s="7">
        <v>17350000</v>
      </c>
      <c r="Z1273" s="1"/>
      <c r="AA1273" s="2">
        <f ca="1">DATE(2005,01,23)</f>
        <v>0</v>
      </c>
      <c r="AB1273" s="1"/>
      <c r="AC1273" s="3">
        <v>180</v>
      </c>
      <c r="AD1273" s="1"/>
      <c r="AE1273" s="1" t="s">
        <v>51</v>
      </c>
      <c r="AF1273" s="1" t="s">
        <v>51</v>
      </c>
      <c r="AG1273" s="1" t="s">
        <v>51</v>
      </c>
      <c r="AH1273" s="1"/>
      <c r="AI1273" s="1"/>
      <c r="AJ1273" s="3">
        <v>2</v>
      </c>
      <c r="AK1273" s="1" t="s">
        <v>110</v>
      </c>
      <c r="AL1273" s="3">
        <v>18</v>
      </c>
      <c r="AM1273" s="8">
        <v>15</v>
      </c>
      <c r="AN1273" s="1"/>
      <c r="AO1273" s="1" t="s">
        <v>8239</v>
      </c>
      <c r="AP1273" s="1" t="s">
        <v>8240</v>
      </c>
      <c r="AQ1273" s="1" t="s">
        <v>8241</v>
      </c>
      <c r="AR1273" s="1" t="s">
        <v>8242</v>
      </c>
    </row>
    <row r="1274">
      <c r="A1274" s="1"/>
      <c r="B1274" s="2">
        <f ca="1">DATE(2004,07,27)</f>
        <v>0</v>
      </c>
      <c r="C1274" s="1" t="s">
        <v>8243</v>
      </c>
      <c r="D1274" s="3">
        <v>6726</v>
      </c>
      <c r="E1274" s="1" t="s">
        <v>43</v>
      </c>
      <c r="F1274" s="1" t="s">
        <v>8244</v>
      </c>
      <c r="G1274" s="1" t="s">
        <v>6201</v>
      </c>
      <c r="H1274" s="4">
        <v>0.67500000000000004</v>
      </c>
      <c r="I1274" s="4">
        <v>4.5</v>
      </c>
      <c r="J1274" s="5">
        <v>402</v>
      </c>
      <c r="K1274" s="4">
        <v>15</v>
      </c>
      <c r="L1274" s="1" t="s">
        <v>4422</v>
      </c>
      <c r="M1274" s="1" t="s">
        <v>47</v>
      </c>
      <c r="N1274" s="1" t="s">
        <v>8245</v>
      </c>
      <c r="O1274" s="1" t="s">
        <v>108</v>
      </c>
      <c r="P1274" s="1" t="s">
        <v>8246</v>
      </c>
      <c r="Q1274" s="4">
        <v>0.93300000000000005</v>
      </c>
      <c r="R1274" s="4">
        <v>0.56699999999999995</v>
      </c>
      <c r="S1274" s="8">
        <v>3</v>
      </c>
      <c r="T1274" s="1" t="s">
        <v>50</v>
      </c>
      <c r="U1274" s="8">
        <v>15</v>
      </c>
      <c r="V1274" s="8">
        <v>15</v>
      </c>
      <c r="W1274" s="7">
        <v>1000</v>
      </c>
      <c r="X1274" s="5">
        <v>0</v>
      </c>
      <c r="Y1274" s="7">
        <v>26800000</v>
      </c>
      <c r="Z1274" s="1"/>
      <c r="AA1274" s="2">
        <f ca="1">DATE(2005,01,23)</f>
        <v>0</v>
      </c>
      <c r="AB1274" s="1"/>
      <c r="AC1274" s="3">
        <v>180</v>
      </c>
      <c r="AD1274" s="1"/>
      <c r="AE1274" s="1" t="s">
        <v>51</v>
      </c>
      <c r="AF1274" s="1" t="s">
        <v>51</v>
      </c>
      <c r="AG1274" s="1" t="s">
        <v>51</v>
      </c>
      <c r="AH1274" s="1"/>
      <c r="AI1274" s="1"/>
      <c r="AJ1274" s="3">
        <v>1</v>
      </c>
      <c r="AK1274" s="1" t="s">
        <v>52</v>
      </c>
      <c r="AL1274" s="3">
        <v>13</v>
      </c>
      <c r="AM1274" s="8">
        <v>15</v>
      </c>
      <c r="AN1274" s="1"/>
      <c r="AO1274" s="1" t="s">
        <v>8247</v>
      </c>
      <c r="AP1274" s="1" t="s">
        <v>6201</v>
      </c>
      <c r="AQ1274" s="1" t="s">
        <v>8248</v>
      </c>
      <c r="AR1274" s="1" t="s">
        <v>8249</v>
      </c>
    </row>
    <row r="1275">
      <c r="A1275" s="2">
        <f ca="1">DATE(2004,04,16)</f>
        <v>0</v>
      </c>
      <c r="B1275" s="2">
        <f ca="1">DATE(2004,07,27)</f>
        <v>0</v>
      </c>
      <c r="C1275" s="1" t="s">
        <v>8250</v>
      </c>
      <c r="D1275" s="3">
        <v>6726</v>
      </c>
      <c r="E1275" s="1" t="s">
        <v>43</v>
      </c>
      <c r="F1275" s="1" t="s">
        <v>8251</v>
      </c>
      <c r="G1275" s="1" t="s">
        <v>5479</v>
      </c>
      <c r="H1275" s="4">
        <v>1.05</v>
      </c>
      <c r="I1275" s="4">
        <v>7</v>
      </c>
      <c r="J1275" s="5">
        <v>105</v>
      </c>
      <c r="K1275" s="4">
        <v>15</v>
      </c>
      <c r="L1275" s="1" t="s">
        <v>46</v>
      </c>
      <c r="M1275" s="1" t="s">
        <v>47</v>
      </c>
      <c r="N1275" s="1" t="s">
        <v>8252</v>
      </c>
      <c r="O1275" s="1" t="s">
        <v>48</v>
      </c>
      <c r="P1275" s="1" t="s">
        <v>8253</v>
      </c>
      <c r="Q1275" s="4">
        <v>1.333</v>
      </c>
      <c r="R1275" s="4">
        <v>1.4670000000000001</v>
      </c>
      <c r="S1275" s="8">
        <v>4.2000000000000002</v>
      </c>
      <c r="T1275" s="1" t="s">
        <v>50</v>
      </c>
      <c r="U1275" s="1"/>
      <c r="V1275" s="1"/>
      <c r="W1275" s="1"/>
      <c r="X1275" s="5">
        <v>207</v>
      </c>
      <c r="Y1275" s="7">
        <v>7000000</v>
      </c>
      <c r="Z1275" s="1"/>
      <c r="AA1275" s="2">
        <f ca="1">DATE(2005,01,23)</f>
        <v>0</v>
      </c>
      <c r="AB1275" s="4">
        <v>0.001</v>
      </c>
      <c r="AC1275" s="3">
        <v>180</v>
      </c>
      <c r="AD1275" s="8">
        <v>100</v>
      </c>
      <c r="AE1275" s="1" t="s">
        <v>51</v>
      </c>
      <c r="AF1275" s="1" t="s">
        <v>51</v>
      </c>
      <c r="AG1275" s="1" t="s">
        <v>51</v>
      </c>
      <c r="AH1275" s="1"/>
      <c r="AI1275" s="1"/>
      <c r="AJ1275" s="3">
        <v>1</v>
      </c>
      <c r="AK1275" s="1" t="s">
        <v>52</v>
      </c>
      <c r="AL1275" s="3">
        <v>4</v>
      </c>
      <c r="AM1275" s="8">
        <v>15</v>
      </c>
      <c r="AN1275" s="1"/>
      <c r="AO1275" s="1" t="s">
        <v>8254</v>
      </c>
      <c r="AP1275" s="1" t="s">
        <v>5479</v>
      </c>
      <c r="AQ1275" s="1" t="s">
        <v>8255</v>
      </c>
      <c r="AR1275" s="1" t="s">
        <v>8256</v>
      </c>
    </row>
    <row r="1276">
      <c r="A1276" s="2">
        <f ca="1">DATE(2004,04,26)</f>
        <v>0</v>
      </c>
      <c r="B1276" s="2">
        <f ca="1">DATE(2004,07,27)</f>
        <v>0</v>
      </c>
      <c r="C1276" s="1" t="s">
        <v>8257</v>
      </c>
      <c r="D1276" s="3">
        <v>6799</v>
      </c>
      <c r="E1276" s="1" t="s">
        <v>43</v>
      </c>
      <c r="F1276" s="1" t="s">
        <v>8258</v>
      </c>
      <c r="G1276" s="1" t="s">
        <v>8259</v>
      </c>
      <c r="H1276" s="4">
        <v>0.56999999999999995</v>
      </c>
      <c r="I1276" s="8">
        <v>9.5</v>
      </c>
      <c r="J1276" s="5">
        <v>21.600000000000001</v>
      </c>
      <c r="K1276" s="4">
        <v>6</v>
      </c>
      <c r="L1276" s="1" t="s">
        <v>46</v>
      </c>
      <c r="M1276" s="1" t="s">
        <v>47</v>
      </c>
      <c r="N1276" s="3">
        <v>799719208</v>
      </c>
      <c r="O1276" s="1" t="s">
        <v>77</v>
      </c>
      <c r="P1276" s="1" t="s">
        <v>8260</v>
      </c>
      <c r="Q1276" s="1" t="s">
        <v>145</v>
      </c>
      <c r="R1276" s="1" t="s">
        <v>145</v>
      </c>
      <c r="S1276" s="8">
        <v>4.5</v>
      </c>
      <c r="T1276" s="1" t="s">
        <v>50</v>
      </c>
      <c r="U1276" s="8">
        <v>6</v>
      </c>
      <c r="V1276" s="8">
        <v>6</v>
      </c>
      <c r="W1276" s="7">
        <v>4000000</v>
      </c>
      <c r="X1276" s="5">
        <v>24</v>
      </c>
      <c r="Y1276" s="7">
        <v>3600000</v>
      </c>
      <c r="Z1276" s="1"/>
      <c r="AA1276" s="2">
        <f ca="1">DATE(2005,01,23)</f>
        <v>0</v>
      </c>
      <c r="AB1276" s="4">
        <v>21.739000000000001</v>
      </c>
      <c r="AC1276" s="3">
        <v>180</v>
      </c>
      <c r="AD1276" s="8">
        <v>1000000</v>
      </c>
      <c r="AE1276" s="1" t="s">
        <v>51</v>
      </c>
      <c r="AF1276" s="1" t="s">
        <v>51</v>
      </c>
      <c r="AG1276" s="1" t="s">
        <v>51</v>
      </c>
      <c r="AH1276" s="1"/>
      <c r="AI1276" s="1"/>
      <c r="AJ1276" s="3">
        <v>2</v>
      </c>
      <c r="AK1276" s="1" t="s">
        <v>89</v>
      </c>
      <c r="AL1276" s="3">
        <v>2</v>
      </c>
      <c r="AM1276" s="8">
        <v>6</v>
      </c>
      <c r="AN1276" s="1"/>
      <c r="AO1276" s="1" t="s">
        <v>8261</v>
      </c>
      <c r="AP1276" s="1" t="s">
        <v>8262</v>
      </c>
      <c r="AQ1276" s="1" t="s">
        <v>8263</v>
      </c>
      <c r="AR1276" s="1" t="s">
        <v>8264</v>
      </c>
    </row>
    <row r="1277">
      <c r="A1277" s="2">
        <f ca="1">DATE(2004,05,13)</f>
        <v>0</v>
      </c>
      <c r="B1277" s="2">
        <f ca="1">DATE(2004,07,28)</f>
        <v>0</v>
      </c>
      <c r="C1277" s="1" t="s">
        <v>8265</v>
      </c>
      <c r="D1277" s="3">
        <v>6726</v>
      </c>
      <c r="E1277" s="1" t="s">
        <v>43</v>
      </c>
      <c r="F1277" s="1" t="s">
        <v>8266</v>
      </c>
      <c r="G1277" s="1" t="s">
        <v>45</v>
      </c>
      <c r="H1277" s="4">
        <v>0.90000000000000002</v>
      </c>
      <c r="I1277" s="4">
        <v>4.5</v>
      </c>
      <c r="J1277" s="5">
        <v>175</v>
      </c>
      <c r="K1277" s="4">
        <v>20</v>
      </c>
      <c r="L1277" s="1" t="s">
        <v>4422</v>
      </c>
      <c r="M1277" s="1" t="s">
        <v>47</v>
      </c>
      <c r="N1277" s="1" t="s">
        <v>8267</v>
      </c>
      <c r="O1277" s="1" t="s">
        <v>87</v>
      </c>
      <c r="P1277" s="1" t="s">
        <v>8268</v>
      </c>
      <c r="Q1277" s="4">
        <v>1</v>
      </c>
      <c r="R1277" s="4">
        <v>0.5</v>
      </c>
      <c r="S1277" s="8">
        <v>3</v>
      </c>
      <c r="T1277" s="1" t="s">
        <v>50</v>
      </c>
      <c r="U1277" s="8">
        <v>20</v>
      </c>
      <c r="V1277" s="8">
        <v>20</v>
      </c>
      <c r="W1277" s="7">
        <v>50000</v>
      </c>
      <c r="X1277" s="5">
        <v>1</v>
      </c>
      <c r="Y1277" s="7">
        <v>8750000</v>
      </c>
      <c r="Z1277" s="1"/>
      <c r="AA1277" s="2">
        <f ca="1">DATE(2005,01,24)</f>
        <v>0</v>
      </c>
      <c r="AB1277" s="1"/>
      <c r="AC1277" s="3">
        <v>180</v>
      </c>
      <c r="AD1277" s="1"/>
      <c r="AE1277" s="1" t="s">
        <v>51</v>
      </c>
      <c r="AF1277" s="1" t="s">
        <v>51</v>
      </c>
      <c r="AG1277" s="1" t="s">
        <v>51</v>
      </c>
      <c r="AH1277" s="1"/>
      <c r="AI1277" s="1"/>
      <c r="AJ1277" s="3">
        <v>1</v>
      </c>
      <c r="AK1277" s="1" t="s">
        <v>89</v>
      </c>
      <c r="AL1277" s="3">
        <v>7</v>
      </c>
      <c r="AM1277" s="1"/>
      <c r="AN1277" s="1"/>
      <c r="AO1277" s="1" t="s">
        <v>8269</v>
      </c>
      <c r="AP1277" s="1" t="s">
        <v>7775</v>
      </c>
      <c r="AQ1277" s="1" t="s">
        <v>8270</v>
      </c>
      <c r="AR1277" s="1" t="s">
        <v>8271</v>
      </c>
    </row>
    <row r="1278">
      <c r="A1278" s="2">
        <f ca="1">DATE(2004,04,30)</f>
        <v>0</v>
      </c>
      <c r="B1278" s="2">
        <f ca="1">DATE(2004,07,28)</f>
        <v>0</v>
      </c>
      <c r="C1278" s="1" t="s">
        <v>8272</v>
      </c>
      <c r="D1278" s="3">
        <v>2834</v>
      </c>
      <c r="E1278" s="1" t="s">
        <v>43</v>
      </c>
      <c r="F1278" s="1" t="s">
        <v>8273</v>
      </c>
      <c r="G1278" s="1" t="s">
        <v>5704</v>
      </c>
      <c r="H1278" s="4">
        <v>0.97999999999999998</v>
      </c>
      <c r="I1278" s="8">
        <v>7</v>
      </c>
      <c r="J1278" s="5">
        <v>87.5</v>
      </c>
      <c r="K1278" s="4">
        <v>14</v>
      </c>
      <c r="L1278" s="1" t="s">
        <v>46</v>
      </c>
      <c r="M1278" s="1" t="s">
        <v>47</v>
      </c>
      <c r="N1278" s="1" t="s">
        <v>8274</v>
      </c>
      <c r="O1278" s="1" t="s">
        <v>48</v>
      </c>
      <c r="P1278" s="1" t="s">
        <v>8275</v>
      </c>
      <c r="Q1278" s="4">
        <v>1.4290000000000001</v>
      </c>
      <c r="R1278" s="4">
        <v>1.4290000000000001</v>
      </c>
      <c r="S1278" s="6">
        <v>4.1428599999999998</v>
      </c>
      <c r="T1278" s="1" t="s">
        <v>50</v>
      </c>
      <c r="U1278" s="1"/>
      <c r="V1278" s="1"/>
      <c r="W1278" s="1"/>
      <c r="X1278" s="5">
        <v>86.299999999999997</v>
      </c>
      <c r="Y1278" s="7">
        <v>6250000</v>
      </c>
      <c r="Z1278" s="1"/>
      <c r="AA1278" s="2">
        <f ca="1">DATE(2005,01,24)</f>
        <v>0</v>
      </c>
      <c r="AB1278" s="4">
        <v>45.259999999999998</v>
      </c>
      <c r="AC1278" s="3">
        <v>180</v>
      </c>
      <c r="AD1278" s="8">
        <v>14799303</v>
      </c>
      <c r="AE1278" s="1" t="s">
        <v>51</v>
      </c>
      <c r="AF1278" s="1" t="s">
        <v>51</v>
      </c>
      <c r="AG1278" s="1" t="s">
        <v>47</v>
      </c>
      <c r="AH1278" s="1"/>
      <c r="AI1278" s="1"/>
      <c r="AJ1278" s="3">
        <v>1</v>
      </c>
      <c r="AK1278" s="1" t="s">
        <v>52</v>
      </c>
      <c r="AL1278" s="3">
        <v>5</v>
      </c>
      <c r="AM1278" s="1"/>
      <c r="AN1278" s="1"/>
      <c r="AO1278" s="1" t="s">
        <v>8276</v>
      </c>
      <c r="AP1278" s="1" t="s">
        <v>5704</v>
      </c>
      <c r="AQ1278" s="1" t="s">
        <v>8277</v>
      </c>
      <c r="AR1278" s="1" t="s">
        <v>8275</v>
      </c>
    </row>
    <row r="1279">
      <c r="A1279" s="2">
        <f ca="1">DATE(2004,05,19)</f>
        <v>0</v>
      </c>
      <c r="B1279" s="2">
        <f ca="1">DATE(2004,07,28)</f>
        <v>0</v>
      </c>
      <c r="C1279" s="1" t="s">
        <v>8278</v>
      </c>
      <c r="D1279" s="3">
        <v>3674</v>
      </c>
      <c r="E1279" s="1" t="s">
        <v>43</v>
      </c>
      <c r="F1279" s="1" t="s">
        <v>8279</v>
      </c>
      <c r="G1279" s="1" t="s">
        <v>160</v>
      </c>
      <c r="H1279" s="4">
        <v>0.56000000000000005</v>
      </c>
      <c r="I1279" s="4">
        <v>7</v>
      </c>
      <c r="J1279" s="5">
        <v>36</v>
      </c>
      <c r="K1279" s="4">
        <v>8</v>
      </c>
      <c r="L1279" s="1" t="s">
        <v>46</v>
      </c>
      <c r="M1279" s="1" t="s">
        <v>47</v>
      </c>
      <c r="N1279" s="3">
        <v>928708106</v>
      </c>
      <c r="O1279" s="1" t="s">
        <v>48</v>
      </c>
      <c r="P1279" s="1" t="s">
        <v>8280</v>
      </c>
      <c r="Q1279" s="4">
        <v>1.375</v>
      </c>
      <c r="R1279" s="4">
        <v>1.375</v>
      </c>
      <c r="S1279" s="8">
        <v>4.25</v>
      </c>
      <c r="T1279" s="1" t="s">
        <v>50</v>
      </c>
      <c r="U1279" s="1"/>
      <c r="V1279" s="1"/>
      <c r="W1279" s="1"/>
      <c r="X1279" s="5">
        <v>50</v>
      </c>
      <c r="Y1279" s="7">
        <v>4500000</v>
      </c>
      <c r="Z1279" s="1"/>
      <c r="AA1279" s="2">
        <f ca="1">DATE(2005,01,24)</f>
        <v>0</v>
      </c>
      <c r="AB1279" s="4">
        <v>79.513999999999996</v>
      </c>
      <c r="AC1279" s="3">
        <v>180</v>
      </c>
      <c r="AD1279" s="8">
        <v>18482883</v>
      </c>
      <c r="AE1279" s="1" t="s">
        <v>51</v>
      </c>
      <c r="AF1279" s="1" t="s">
        <v>51</v>
      </c>
      <c r="AG1279" s="1" t="s">
        <v>47</v>
      </c>
      <c r="AH1279" s="1"/>
      <c r="AI1279" s="1"/>
      <c r="AJ1279" s="3">
        <v>1</v>
      </c>
      <c r="AK1279" s="1" t="s">
        <v>52</v>
      </c>
      <c r="AL1279" s="3">
        <v>3</v>
      </c>
      <c r="AM1279" s="8">
        <v>8.25</v>
      </c>
      <c r="AN1279" s="1"/>
      <c r="AO1279" s="1" t="s">
        <v>8281</v>
      </c>
      <c r="AP1279" s="1" t="s">
        <v>160</v>
      </c>
      <c r="AQ1279" s="1" t="s">
        <v>8282</v>
      </c>
      <c r="AR1279" s="1" t="s">
        <v>8280</v>
      </c>
    </row>
    <row r="1280">
      <c r="A1280" s="2">
        <f ca="1">DATE(2004,05,17)</f>
        <v>0</v>
      </c>
      <c r="B1280" s="2">
        <f ca="1">DATE(2004,07,29)</f>
        <v>0</v>
      </c>
      <c r="C1280" s="1" t="s">
        <v>8283</v>
      </c>
      <c r="D1280" s="3">
        <v>5063</v>
      </c>
      <c r="E1280" s="1" t="s">
        <v>43</v>
      </c>
      <c r="F1280" s="1" t="s">
        <v>8284</v>
      </c>
      <c r="G1280" s="1" t="s">
        <v>8285</v>
      </c>
      <c r="H1280" s="4">
        <v>0.875</v>
      </c>
      <c r="I1280" s="4">
        <v>7</v>
      </c>
      <c r="J1280" s="5">
        <v>156.30000000000001</v>
      </c>
      <c r="K1280" s="4">
        <v>12.5</v>
      </c>
      <c r="L1280" s="1" t="s">
        <v>46</v>
      </c>
      <c r="M1280" s="1" t="s">
        <v>47</v>
      </c>
      <c r="N1280" s="1" t="s">
        <v>8286</v>
      </c>
      <c r="O1280" s="1" t="s">
        <v>108</v>
      </c>
      <c r="P1280" s="1" t="s">
        <v>8287</v>
      </c>
      <c r="Q1280" s="4">
        <v>1.3999999999999999</v>
      </c>
      <c r="R1280" s="4">
        <v>1.3999999999999999</v>
      </c>
      <c r="S1280" s="8">
        <v>4.2000000000000002</v>
      </c>
      <c r="T1280" s="1" t="s">
        <v>50</v>
      </c>
      <c r="U1280" s="1"/>
      <c r="V1280" s="1"/>
      <c r="W1280" s="1"/>
      <c r="X1280" s="5">
        <v>230</v>
      </c>
      <c r="Y1280" s="7">
        <v>12500000</v>
      </c>
      <c r="Z1280" s="1"/>
      <c r="AA1280" s="2">
        <f ca="1">DATE(2005,01,25)</f>
        <v>0</v>
      </c>
      <c r="AB1280" s="4">
        <v>84.007000000000005</v>
      </c>
      <c r="AC1280" s="3">
        <v>180</v>
      </c>
      <c r="AD1280" s="8">
        <v>38597575</v>
      </c>
      <c r="AE1280" s="1" t="s">
        <v>51</v>
      </c>
      <c r="AF1280" s="1" t="s">
        <v>51</v>
      </c>
      <c r="AG1280" s="1" t="s">
        <v>51</v>
      </c>
      <c r="AH1280" s="1"/>
      <c r="AI1280" s="1"/>
      <c r="AJ1280" s="3">
        <v>2</v>
      </c>
      <c r="AK1280" s="1" t="s">
        <v>89</v>
      </c>
      <c r="AL1280" s="3">
        <v>4</v>
      </c>
      <c r="AM1280" s="1"/>
      <c r="AN1280" s="1"/>
      <c r="AO1280" s="1" t="s">
        <v>8288</v>
      </c>
      <c r="AP1280" s="1" t="s">
        <v>7208</v>
      </c>
      <c r="AQ1280" s="1" t="s">
        <v>8289</v>
      </c>
      <c r="AR1280" s="1" t="s">
        <v>8287</v>
      </c>
    </row>
    <row r="1281">
      <c r="A1281" s="2">
        <f ca="1">DATE(2004,03,22)</f>
        <v>0</v>
      </c>
      <c r="B1281" s="2">
        <f ca="1">DATE(2004,07,29)</f>
        <v>0</v>
      </c>
      <c r="C1281" s="1" t="s">
        <v>8290</v>
      </c>
      <c r="D1281" s="3">
        <v>6162</v>
      </c>
      <c r="E1281" s="1" t="s">
        <v>43</v>
      </c>
      <c r="F1281" s="1" t="s">
        <v>8291</v>
      </c>
      <c r="G1281" s="1" t="s">
        <v>6509</v>
      </c>
      <c r="H1281" s="4">
        <v>0.71999999999999997</v>
      </c>
      <c r="I1281" s="4">
        <v>6</v>
      </c>
      <c r="J1281" s="5">
        <v>175.19999999999999</v>
      </c>
      <c r="K1281" s="4">
        <v>12</v>
      </c>
      <c r="L1281" s="1" t="s">
        <v>46</v>
      </c>
      <c r="M1281" s="1" t="s">
        <v>47</v>
      </c>
      <c r="N1281" s="1" t="s">
        <v>8292</v>
      </c>
      <c r="O1281" s="1" t="s">
        <v>108</v>
      </c>
      <c r="P1281" s="1" t="s">
        <v>8293</v>
      </c>
      <c r="Q1281" s="4">
        <v>1.042</v>
      </c>
      <c r="R1281" s="4">
        <v>1.542</v>
      </c>
      <c r="S1281" s="6">
        <v>3.3333300000000001</v>
      </c>
      <c r="T1281" s="1" t="s">
        <v>50</v>
      </c>
      <c r="U1281" s="1"/>
      <c r="V1281" s="1"/>
      <c r="W1281" s="1"/>
      <c r="X1281" s="5">
        <v>250</v>
      </c>
      <c r="Y1281" s="7">
        <v>14600000</v>
      </c>
      <c r="Z1281" s="1"/>
      <c r="AA1281" s="2">
        <f ca="1">DATE(2005,01,25)</f>
        <v>0</v>
      </c>
      <c r="AB1281" s="4">
        <v>24.584</v>
      </c>
      <c r="AC1281" s="3">
        <v>180</v>
      </c>
      <c r="AD1281" s="8">
        <v>4759187</v>
      </c>
      <c r="AE1281" s="1" t="s">
        <v>51</v>
      </c>
      <c r="AF1281" s="1" t="s">
        <v>51</v>
      </c>
      <c r="AG1281" s="1" t="s">
        <v>47</v>
      </c>
      <c r="AH1281" s="1"/>
      <c r="AI1281" s="1"/>
      <c r="AJ1281" s="3">
        <v>2</v>
      </c>
      <c r="AK1281" s="1" t="s">
        <v>89</v>
      </c>
      <c r="AL1281" s="3">
        <v>7</v>
      </c>
      <c r="AM1281" s="8">
        <v>12</v>
      </c>
      <c r="AN1281" s="1"/>
      <c r="AO1281" s="1" t="s">
        <v>8294</v>
      </c>
      <c r="AP1281" s="1" t="s">
        <v>6504</v>
      </c>
      <c r="AQ1281" s="1" t="s">
        <v>8295</v>
      </c>
      <c r="AR1281" s="1" t="s">
        <v>8296</v>
      </c>
    </row>
    <row r="1282">
      <c r="A1282" s="2">
        <f ca="1">DATE(2004,05,21)</f>
        <v>0</v>
      </c>
      <c r="B1282" s="2">
        <f ca="1">DATE(2004,08,04)</f>
        <v>0</v>
      </c>
      <c r="C1282" s="1" t="s">
        <v>8297</v>
      </c>
      <c r="D1282" s="3">
        <v>3714</v>
      </c>
      <c r="E1282" s="1" t="s">
        <v>43</v>
      </c>
      <c r="F1282" s="1" t="s">
        <v>8298</v>
      </c>
      <c r="G1282" s="1" t="s">
        <v>168</v>
      </c>
      <c r="H1282" s="4">
        <v>0.878</v>
      </c>
      <c r="I1282" s="8">
        <v>6.75</v>
      </c>
      <c r="J1282" s="5">
        <v>120.3</v>
      </c>
      <c r="K1282" s="4">
        <v>13</v>
      </c>
      <c r="L1282" s="1" t="s">
        <v>46</v>
      </c>
      <c r="M1282" s="1" t="s">
        <v>47</v>
      </c>
      <c r="N1282" s="3">
        <v>202608105</v>
      </c>
      <c r="O1282" s="1" t="s">
        <v>48</v>
      </c>
      <c r="P1282" s="1" t="s">
        <v>8299</v>
      </c>
      <c r="Q1282" s="4">
        <v>1.3500000000000001</v>
      </c>
      <c r="R1282" s="4">
        <v>1.3500000000000001</v>
      </c>
      <c r="S1282" s="8">
        <v>4.0499999999999998</v>
      </c>
      <c r="T1282" s="1" t="s">
        <v>50</v>
      </c>
      <c r="U1282" s="1"/>
      <c r="V1282" s="1"/>
      <c r="W1282" s="1"/>
      <c r="X1282" s="5">
        <v>150</v>
      </c>
      <c r="Y1282" s="7">
        <v>3125000</v>
      </c>
      <c r="Z1282" s="7">
        <v>6125000</v>
      </c>
      <c r="AA1282" s="1" t="s">
        <v>8300</v>
      </c>
      <c r="AB1282" s="1" t="s">
        <v>8301</v>
      </c>
      <c r="AC1282" s="1" t="s">
        <v>2068</v>
      </c>
      <c r="AD1282" s="1" t="s">
        <v>8302</v>
      </c>
      <c r="AE1282" s="1" t="s">
        <v>51</v>
      </c>
      <c r="AF1282" s="1" t="s">
        <v>51</v>
      </c>
      <c r="AG1282" s="1" t="s">
        <v>51</v>
      </c>
      <c r="AH1282" s="1"/>
      <c r="AI1282" s="1"/>
      <c r="AJ1282" s="3">
        <v>1</v>
      </c>
      <c r="AK1282" s="1" t="s">
        <v>52</v>
      </c>
      <c r="AL1282" s="3">
        <v>4</v>
      </c>
      <c r="AM1282" s="8">
        <v>13.1</v>
      </c>
      <c r="AN1282" s="1"/>
      <c r="AO1282" s="1" t="s">
        <v>8303</v>
      </c>
      <c r="AP1282" s="1" t="s">
        <v>168</v>
      </c>
      <c r="AQ1282" s="1" t="s">
        <v>8304</v>
      </c>
      <c r="AR1282" s="1" t="s">
        <v>8305</v>
      </c>
    </row>
    <row r="1283">
      <c r="A1283" s="2">
        <f ca="1">DATE(2004,05,05)</f>
        <v>0</v>
      </c>
      <c r="B1283" s="2">
        <f ca="1">DATE(2004,08,05)</f>
        <v>0</v>
      </c>
      <c r="C1283" s="1" t="s">
        <v>8306</v>
      </c>
      <c r="D1283" s="3">
        <v>6798</v>
      </c>
      <c r="E1283" s="1" t="s">
        <v>43</v>
      </c>
      <c r="F1283" s="1" t="s">
        <v>8307</v>
      </c>
      <c r="G1283" s="1" t="s">
        <v>4327</v>
      </c>
      <c r="H1283" s="4">
        <v>1.05</v>
      </c>
      <c r="I1283" s="4">
        <v>7</v>
      </c>
      <c r="J1283" s="5">
        <v>405</v>
      </c>
      <c r="K1283" s="4">
        <v>15</v>
      </c>
      <c r="L1283" s="1" t="s">
        <v>46</v>
      </c>
      <c r="M1283" s="1" t="s">
        <v>47</v>
      </c>
      <c r="N1283" s="1" t="s">
        <v>8308</v>
      </c>
      <c r="O1283" s="1" t="s">
        <v>108</v>
      </c>
      <c r="P1283" s="1" t="s">
        <v>8309</v>
      </c>
      <c r="Q1283" s="4">
        <v>1.3999999999999999</v>
      </c>
      <c r="R1283" s="4">
        <v>1.3999999999999999</v>
      </c>
      <c r="S1283" s="8">
        <v>4.2000000000000002</v>
      </c>
      <c r="T1283" s="1" t="s">
        <v>50</v>
      </c>
      <c r="U1283" s="1"/>
      <c r="V1283" s="1"/>
      <c r="W1283" s="1"/>
      <c r="X1283" s="5">
        <v>225</v>
      </c>
      <c r="Y1283" s="7">
        <v>27000000</v>
      </c>
      <c r="Z1283" s="1"/>
      <c r="AA1283" s="2">
        <f ca="1">DATE(2005,07,31)</f>
        <v>0</v>
      </c>
      <c r="AB1283" s="1"/>
      <c r="AC1283" s="3">
        <v>360</v>
      </c>
      <c r="AD1283" s="1"/>
      <c r="AE1283" s="1" t="s">
        <v>51</v>
      </c>
      <c r="AF1283" s="1" t="s">
        <v>51</v>
      </c>
      <c r="AG1283" s="1" t="s">
        <v>51</v>
      </c>
      <c r="AH1283" s="1"/>
      <c r="AI1283" s="1"/>
      <c r="AJ1283" s="3">
        <v>1</v>
      </c>
      <c r="AK1283" s="1" t="s">
        <v>52</v>
      </c>
      <c r="AL1283" s="3">
        <v>5</v>
      </c>
      <c r="AM1283" s="8">
        <v>15.9</v>
      </c>
      <c r="AN1283" s="1"/>
      <c r="AO1283" s="1" t="s">
        <v>8310</v>
      </c>
      <c r="AP1283" s="1" t="s">
        <v>4327</v>
      </c>
      <c r="AQ1283" s="1" t="s">
        <v>8311</v>
      </c>
      <c r="AR1283" s="1" t="s">
        <v>8312</v>
      </c>
    </row>
    <row r="1284">
      <c r="A1284" s="2">
        <f ca="1">DATE(2004,05,06)</f>
        <v>0</v>
      </c>
      <c r="B1284" s="2">
        <f ca="1">DATE(2004,08,05)</f>
        <v>0</v>
      </c>
      <c r="C1284" s="1" t="s">
        <v>8313</v>
      </c>
      <c r="D1284" s="3">
        <v>2834</v>
      </c>
      <c r="E1284" s="1" t="s">
        <v>43</v>
      </c>
      <c r="F1284" s="1" t="s">
        <v>8314</v>
      </c>
      <c r="G1284" s="1" t="s">
        <v>1624</v>
      </c>
      <c r="H1284" s="4">
        <v>0.56000000000000005</v>
      </c>
      <c r="I1284" s="4">
        <v>7</v>
      </c>
      <c r="J1284" s="5">
        <v>33.600000000000001</v>
      </c>
      <c r="K1284" s="4">
        <v>8</v>
      </c>
      <c r="L1284" s="1" t="s">
        <v>46</v>
      </c>
      <c r="M1284" s="1" t="s">
        <v>47</v>
      </c>
      <c r="N1284" s="3">
        <v>648468205</v>
      </c>
      <c r="O1284" s="1" t="s">
        <v>48</v>
      </c>
      <c r="P1284" s="1" t="s">
        <v>8315</v>
      </c>
      <c r="Q1284" s="1" t="s">
        <v>145</v>
      </c>
      <c r="R1284" s="1" t="s">
        <v>145</v>
      </c>
      <c r="S1284" s="8">
        <v>3.5</v>
      </c>
      <c r="T1284" s="1" t="s">
        <v>50</v>
      </c>
      <c r="U1284" s="1"/>
      <c r="V1284" s="1"/>
      <c r="W1284" s="1"/>
      <c r="X1284" s="5">
        <v>57.5</v>
      </c>
      <c r="Y1284" s="7">
        <v>4200000</v>
      </c>
      <c r="Z1284" s="1"/>
      <c r="AA1284" s="2">
        <f ca="1">DATE(2005,02,01)</f>
        <v>0</v>
      </c>
      <c r="AB1284" s="4">
        <v>69.375</v>
      </c>
      <c r="AC1284" s="3">
        <v>180</v>
      </c>
      <c r="AD1284" s="8">
        <v>12322938</v>
      </c>
      <c r="AE1284" s="1" t="s">
        <v>51</v>
      </c>
      <c r="AF1284" s="1" t="s">
        <v>51</v>
      </c>
      <c r="AG1284" s="1" t="s">
        <v>51</v>
      </c>
      <c r="AH1284" s="1"/>
      <c r="AI1284" s="1"/>
      <c r="AJ1284" s="3">
        <v>1</v>
      </c>
      <c r="AK1284" s="1" t="s">
        <v>52</v>
      </c>
      <c r="AL1284" s="3">
        <v>4</v>
      </c>
      <c r="AM1284" s="8">
        <v>7.5</v>
      </c>
      <c r="AN1284" s="1"/>
      <c r="AO1284" s="1" t="s">
        <v>8316</v>
      </c>
      <c r="AP1284" s="1" t="s">
        <v>1624</v>
      </c>
      <c r="AQ1284" s="1" t="s">
        <v>8317</v>
      </c>
      <c r="AR1284" s="1" t="s">
        <v>8318</v>
      </c>
    </row>
    <row r="1285">
      <c r="A1285" s="2">
        <f ca="1">DATE(2004,05,10)</f>
        <v>0</v>
      </c>
      <c r="B1285" s="2">
        <f ca="1">DATE(2004,08,05)</f>
        <v>0</v>
      </c>
      <c r="C1285" s="1" t="s">
        <v>8319</v>
      </c>
      <c r="D1285" s="3">
        <v>7372</v>
      </c>
      <c r="E1285" s="1" t="s">
        <v>43</v>
      </c>
      <c r="F1285" s="1" t="s">
        <v>8320</v>
      </c>
      <c r="G1285" s="1" t="s">
        <v>796</v>
      </c>
      <c r="H1285" s="4">
        <v>0.48999999999999999</v>
      </c>
      <c r="I1285" s="8">
        <v>7</v>
      </c>
      <c r="J1285" s="5">
        <v>44.100000000000001</v>
      </c>
      <c r="K1285" s="4">
        <v>7</v>
      </c>
      <c r="L1285" s="1" t="s">
        <v>46</v>
      </c>
      <c r="M1285" s="1" t="s">
        <v>47</v>
      </c>
      <c r="N1285" s="1" t="s">
        <v>8321</v>
      </c>
      <c r="O1285" s="1" t="s">
        <v>48</v>
      </c>
      <c r="P1285" s="1" t="s">
        <v>8322</v>
      </c>
      <c r="Q1285" s="4">
        <v>1.4290000000000001</v>
      </c>
      <c r="R1285" s="4">
        <v>1.4290000000000001</v>
      </c>
      <c r="S1285" s="6">
        <v>4.1428599999999998</v>
      </c>
      <c r="T1285" s="1" t="s">
        <v>50</v>
      </c>
      <c r="U1285" s="1"/>
      <c r="V1285" s="1"/>
      <c r="W1285" s="1"/>
      <c r="X1285" s="5">
        <v>60</v>
      </c>
      <c r="Y1285" s="7">
        <v>6000000</v>
      </c>
      <c r="Z1285" s="7">
        <v>300000</v>
      </c>
      <c r="AA1285" s="2">
        <f ca="1">DATE(2005,02,01)</f>
        <v>0</v>
      </c>
      <c r="AB1285" s="4">
        <v>76.701999999999998</v>
      </c>
      <c r="AC1285" s="3">
        <v>180</v>
      </c>
      <c r="AD1285" s="8">
        <v>22185890</v>
      </c>
      <c r="AE1285" s="1" t="s">
        <v>51</v>
      </c>
      <c r="AF1285" s="1" t="s">
        <v>51</v>
      </c>
      <c r="AG1285" s="1" t="s">
        <v>47</v>
      </c>
      <c r="AH1285" s="1"/>
      <c r="AI1285" s="1"/>
      <c r="AJ1285" s="3">
        <v>1</v>
      </c>
      <c r="AK1285" s="1" t="s">
        <v>89</v>
      </c>
      <c r="AL1285" s="3">
        <v>4</v>
      </c>
      <c r="AM1285" s="1"/>
      <c r="AN1285" s="1"/>
      <c r="AO1285" s="1" t="s">
        <v>8323</v>
      </c>
      <c r="AP1285" s="1" t="s">
        <v>3969</v>
      </c>
      <c r="AQ1285" s="1" t="s">
        <v>8324</v>
      </c>
      <c r="AR1285" s="1" t="s">
        <v>8322</v>
      </c>
    </row>
    <row r="1286">
      <c r="A1286" s="2">
        <f ca="1">DATE(2004,07,14)</f>
        <v>0</v>
      </c>
      <c r="B1286" s="2">
        <f ca="1">DATE(2004,08,05)</f>
        <v>0</v>
      </c>
      <c r="C1286" s="1" t="s">
        <v>8325</v>
      </c>
      <c r="D1286" s="3">
        <v>3845</v>
      </c>
      <c r="E1286" s="1" t="s">
        <v>934</v>
      </c>
      <c r="F1286" s="1" t="s">
        <v>8326</v>
      </c>
      <c r="G1286" s="1" t="s">
        <v>6201</v>
      </c>
      <c r="H1286" s="4">
        <v>0.83999999999999997</v>
      </c>
      <c r="I1286" s="8">
        <v>7</v>
      </c>
      <c r="J1286" s="5">
        <v>60</v>
      </c>
      <c r="K1286" s="4">
        <v>12</v>
      </c>
      <c r="L1286" s="1" t="s">
        <v>1057</v>
      </c>
      <c r="M1286" s="1" t="s">
        <v>47</v>
      </c>
      <c r="N1286" s="1" t="s">
        <v>8327</v>
      </c>
      <c r="O1286" s="1" t="s">
        <v>48</v>
      </c>
      <c r="P1286" s="1" t="s">
        <v>8328</v>
      </c>
      <c r="Q1286" s="4">
        <v>1.3999999999999999</v>
      </c>
      <c r="R1286" s="4">
        <v>1.3999999999999999</v>
      </c>
      <c r="S1286" s="8">
        <v>4.2000000000000002</v>
      </c>
      <c r="T1286" s="1" t="s">
        <v>50</v>
      </c>
      <c r="U1286" s="8">
        <v>16</v>
      </c>
      <c r="V1286" s="8">
        <v>14</v>
      </c>
      <c r="W1286" s="7">
        <v>5500000</v>
      </c>
      <c r="X1286" s="5">
        <v>82.5</v>
      </c>
      <c r="Y1286" s="7">
        <v>5000000</v>
      </c>
      <c r="Z1286" s="1"/>
      <c r="AA1286" s="1" t="s">
        <v>8329</v>
      </c>
      <c r="AB1286" s="1" t="s">
        <v>8330</v>
      </c>
      <c r="AC1286" s="1" t="s">
        <v>7759</v>
      </c>
      <c r="AD1286" s="1" t="s">
        <v>8331</v>
      </c>
      <c r="AE1286" s="1" t="s">
        <v>51</v>
      </c>
      <c r="AF1286" s="1" t="s">
        <v>51</v>
      </c>
      <c r="AG1286" s="1" t="s">
        <v>47</v>
      </c>
      <c r="AH1286" s="1"/>
      <c r="AI1286" s="1"/>
      <c r="AJ1286" s="3">
        <v>1</v>
      </c>
      <c r="AK1286" s="1" t="s">
        <v>52</v>
      </c>
      <c r="AL1286" s="3">
        <v>3</v>
      </c>
      <c r="AM1286" s="8">
        <v>10.75</v>
      </c>
      <c r="AN1286" s="1"/>
      <c r="AO1286" s="1" t="s">
        <v>8332</v>
      </c>
      <c r="AP1286" s="1" t="s">
        <v>6201</v>
      </c>
      <c r="AQ1286" s="1" t="s">
        <v>8333</v>
      </c>
      <c r="AR1286" s="1" t="s">
        <v>8328</v>
      </c>
    </row>
    <row r="1287">
      <c r="A1287" s="2">
        <f ca="1">DATE(2004,04,20)</f>
        <v>0</v>
      </c>
      <c r="B1287" s="2">
        <f ca="1">DATE(2004,08,06)</f>
        <v>0</v>
      </c>
      <c r="C1287" s="1" t="s">
        <v>8334</v>
      </c>
      <c r="D1287" s="3">
        <v>7372</v>
      </c>
      <c r="E1287" s="1" t="s">
        <v>43</v>
      </c>
      <c r="F1287" s="1" t="s">
        <v>8335</v>
      </c>
      <c r="G1287" s="1" t="s">
        <v>6483</v>
      </c>
      <c r="H1287" s="4">
        <v>1.0449999999999999</v>
      </c>
      <c r="I1287" s="8">
        <v>4.75</v>
      </c>
      <c r="J1287" s="5">
        <v>880</v>
      </c>
      <c r="K1287" s="4">
        <v>22</v>
      </c>
      <c r="L1287" s="1" t="s">
        <v>46</v>
      </c>
      <c r="M1287" s="1" t="s">
        <v>47</v>
      </c>
      <c r="N1287" s="1" t="s">
        <v>8336</v>
      </c>
      <c r="O1287" s="1" t="s">
        <v>108</v>
      </c>
      <c r="P1287" s="1" t="s">
        <v>8337</v>
      </c>
      <c r="Q1287" s="4">
        <v>0.97699999999999998</v>
      </c>
      <c r="R1287" s="4">
        <v>0.95499999999999996</v>
      </c>
      <c r="S1287" s="6">
        <v>2.8181799999999999</v>
      </c>
      <c r="T1287" s="1" t="s">
        <v>50</v>
      </c>
      <c r="U1287" s="1"/>
      <c r="V1287" s="1"/>
      <c r="W1287" s="1"/>
      <c r="X1287" s="5">
        <v>500</v>
      </c>
      <c r="Y1287" s="1"/>
      <c r="Z1287" s="7">
        <v>40000000</v>
      </c>
      <c r="AA1287" s="2">
        <f ca="1">DATE(2005,02,02)</f>
        <v>0</v>
      </c>
      <c r="AB1287" s="1"/>
      <c r="AC1287" s="3">
        <v>180</v>
      </c>
      <c r="AD1287" s="1"/>
      <c r="AE1287" s="1" t="s">
        <v>51</v>
      </c>
      <c r="AF1287" s="1" t="s">
        <v>51</v>
      </c>
      <c r="AG1287" s="1" t="s">
        <v>51</v>
      </c>
      <c r="AH1287" s="1"/>
      <c r="AI1287" s="1" t="s">
        <v>8338</v>
      </c>
      <c r="AJ1287" s="3">
        <v>2</v>
      </c>
      <c r="AK1287" s="1" t="s">
        <v>89</v>
      </c>
      <c r="AL1287" s="3">
        <v>7</v>
      </c>
      <c r="AM1287" s="8">
        <v>25.300000000000001</v>
      </c>
      <c r="AN1287" s="1"/>
      <c r="AO1287" s="1" t="s">
        <v>8339</v>
      </c>
      <c r="AP1287" s="1" t="s">
        <v>6487</v>
      </c>
      <c r="AQ1287" s="1" t="s">
        <v>8340</v>
      </c>
      <c r="AR1287" s="1" t="s">
        <v>8341</v>
      </c>
    </row>
    <row r="1288">
      <c r="A1288" s="2">
        <f ca="1">DATE(2004,04,15)</f>
        <v>0</v>
      </c>
      <c r="B1288" s="2">
        <f ca="1">DATE(2004,08,09)</f>
        <v>0</v>
      </c>
      <c r="C1288" s="1" t="s">
        <v>8342</v>
      </c>
      <c r="D1288" s="3">
        <v>7812</v>
      </c>
      <c r="E1288" s="1" t="s">
        <v>43</v>
      </c>
      <c r="F1288" s="1" t="s">
        <v>8343</v>
      </c>
      <c r="G1288" s="1" t="s">
        <v>8344</v>
      </c>
      <c r="H1288" s="4">
        <v>0.56000000000000005</v>
      </c>
      <c r="I1288" s="4">
        <v>7</v>
      </c>
      <c r="J1288" s="5">
        <v>32</v>
      </c>
      <c r="K1288" s="4">
        <v>8</v>
      </c>
      <c r="L1288" s="1" t="s">
        <v>46</v>
      </c>
      <c r="M1288" s="1" t="s">
        <v>47</v>
      </c>
      <c r="N1288" s="1" t="s">
        <v>8345</v>
      </c>
      <c r="O1288" s="1" t="s">
        <v>48</v>
      </c>
      <c r="P1288" s="1" t="s">
        <v>8346</v>
      </c>
      <c r="Q1288" s="1" t="s">
        <v>145</v>
      </c>
      <c r="R1288" s="1" t="s">
        <v>145</v>
      </c>
      <c r="S1288" s="8">
        <v>4.25</v>
      </c>
      <c r="T1288" s="1" t="s">
        <v>50</v>
      </c>
      <c r="U1288" s="8">
        <v>7</v>
      </c>
      <c r="V1288" s="8">
        <v>5</v>
      </c>
      <c r="W1288" s="7">
        <v>4000000</v>
      </c>
      <c r="X1288" s="5">
        <v>24</v>
      </c>
      <c r="Y1288" s="7">
        <v>4000000</v>
      </c>
      <c r="Z1288" s="1"/>
      <c r="AA1288" s="2">
        <f ca="1">DATE(2005,02,05)</f>
        <v>0</v>
      </c>
      <c r="AB1288" s="4">
        <v>76.385999999999996</v>
      </c>
      <c r="AC1288" s="3">
        <v>180</v>
      </c>
      <c r="AD1288" s="8">
        <v>14880000</v>
      </c>
      <c r="AE1288" s="1" t="s">
        <v>51</v>
      </c>
      <c r="AF1288" s="1" t="s">
        <v>51</v>
      </c>
      <c r="AG1288" s="1" t="s">
        <v>51</v>
      </c>
      <c r="AH1288" s="1"/>
      <c r="AI1288" s="1"/>
      <c r="AJ1288" s="3">
        <v>1</v>
      </c>
      <c r="AK1288" s="1" t="s">
        <v>52</v>
      </c>
      <c r="AL1288" s="3">
        <v>1</v>
      </c>
      <c r="AM1288" s="8">
        <v>6.8600000000000003</v>
      </c>
      <c r="AN1288" s="1"/>
      <c r="AO1288" s="1" t="s">
        <v>8347</v>
      </c>
      <c r="AP1288" s="1" t="s">
        <v>8344</v>
      </c>
      <c r="AQ1288" s="1" t="s">
        <v>8344</v>
      </c>
      <c r="AR1288" s="1" t="s">
        <v>8348</v>
      </c>
    </row>
    <row r="1289">
      <c r="A1289" s="2">
        <f ca="1">DATE(2004,04,06)</f>
        <v>0</v>
      </c>
      <c r="B1289" s="2">
        <f ca="1">DATE(2004,08,10)</f>
        <v>0</v>
      </c>
      <c r="C1289" s="1" t="s">
        <v>8349</v>
      </c>
      <c r="D1289" s="3">
        <v>6798</v>
      </c>
      <c r="E1289" s="1" t="s">
        <v>43</v>
      </c>
      <c r="F1289" s="1" t="s">
        <v>8350</v>
      </c>
      <c r="G1289" s="1" t="s">
        <v>813</v>
      </c>
      <c r="H1289" s="4">
        <v>0.81299999999999994</v>
      </c>
      <c r="I1289" s="4">
        <v>6.25</v>
      </c>
      <c r="J1289" s="5">
        <v>211.90000000000001</v>
      </c>
      <c r="K1289" s="4">
        <v>13</v>
      </c>
      <c r="L1289" s="1" t="s">
        <v>46</v>
      </c>
      <c r="M1289" s="1" t="s">
        <v>47</v>
      </c>
      <c r="N1289" s="1" t="s">
        <v>8351</v>
      </c>
      <c r="O1289" s="1" t="s">
        <v>108</v>
      </c>
      <c r="P1289" s="1" t="s">
        <v>8352</v>
      </c>
      <c r="Q1289" s="4">
        <v>1.2310000000000001</v>
      </c>
      <c r="R1289" s="4">
        <v>1.2310000000000001</v>
      </c>
      <c r="S1289" s="6">
        <v>3.7884600000000002</v>
      </c>
      <c r="T1289" s="1" t="s">
        <v>50</v>
      </c>
      <c r="U1289" s="1"/>
      <c r="V1289" s="1"/>
      <c r="W1289" s="1"/>
      <c r="X1289" s="5">
        <v>300</v>
      </c>
      <c r="Y1289" s="7">
        <v>16300000</v>
      </c>
      <c r="Z1289" s="1"/>
      <c r="AA1289" s="2">
        <f ca="1">DATE(2005,05,07)</f>
        <v>0</v>
      </c>
      <c r="AB1289" s="4">
        <v>4.4299999999999997</v>
      </c>
      <c r="AC1289" s="3">
        <v>270</v>
      </c>
      <c r="AD1289" s="8">
        <v>848267</v>
      </c>
      <c r="AE1289" s="1" t="s">
        <v>51</v>
      </c>
      <c r="AF1289" s="1" t="s">
        <v>51</v>
      </c>
      <c r="AG1289" s="1" t="s">
        <v>51</v>
      </c>
      <c r="AH1289" s="1"/>
      <c r="AI1289" s="1"/>
      <c r="AJ1289" s="3">
        <v>1</v>
      </c>
      <c r="AK1289" s="1" t="s">
        <v>89</v>
      </c>
      <c r="AL1289" s="3">
        <v>6</v>
      </c>
      <c r="AM1289" s="8">
        <v>13</v>
      </c>
      <c r="AN1289" s="1"/>
      <c r="AO1289" s="1" t="s">
        <v>8353</v>
      </c>
      <c r="AP1289" s="1" t="s">
        <v>8354</v>
      </c>
      <c r="AQ1289" s="1" t="s">
        <v>8355</v>
      </c>
      <c r="AR1289" s="1" t="s">
        <v>8356</v>
      </c>
    </row>
    <row r="1290">
      <c r="A1290" s="2">
        <f ca="1">DATE(2004,02,12)</f>
        <v>0</v>
      </c>
      <c r="B1290" s="2">
        <f ca="1">DATE(2004,08,10)</f>
        <v>0</v>
      </c>
      <c r="C1290" s="1" t="s">
        <v>8357</v>
      </c>
      <c r="D1290" s="3">
        <v>6712</v>
      </c>
      <c r="E1290" s="1" t="s">
        <v>43</v>
      </c>
      <c r="F1290" s="1" t="s">
        <v>8358</v>
      </c>
      <c r="G1290" s="1" t="s">
        <v>5983</v>
      </c>
      <c r="H1290" s="4">
        <v>1.3999999999999999</v>
      </c>
      <c r="I1290" s="8">
        <v>7</v>
      </c>
      <c r="J1290" s="5">
        <v>114.59999999999999</v>
      </c>
      <c r="K1290" s="4">
        <v>20</v>
      </c>
      <c r="L1290" s="1" t="s">
        <v>46</v>
      </c>
      <c r="M1290" s="1" t="s">
        <v>47</v>
      </c>
      <c r="N1290" s="3">
        <v>726079106</v>
      </c>
      <c r="O1290" s="1" t="s">
        <v>48</v>
      </c>
      <c r="P1290" s="1" t="s">
        <v>8359</v>
      </c>
      <c r="Q1290" s="4">
        <v>1.3999999999999999</v>
      </c>
      <c r="R1290" s="4">
        <v>1.3999999999999999</v>
      </c>
      <c r="S1290" s="8">
        <v>4.2000000000000002</v>
      </c>
      <c r="T1290" s="1" t="s">
        <v>50</v>
      </c>
      <c r="U1290" s="1"/>
      <c r="V1290" s="1"/>
      <c r="W1290" s="7">
        <v>3700000</v>
      </c>
      <c r="X1290" s="1"/>
      <c r="Y1290" s="7">
        <v>500000</v>
      </c>
      <c r="Z1290" s="7">
        <v>5230000</v>
      </c>
      <c r="AA1290" s="1" t="s">
        <v>8360</v>
      </c>
      <c r="AB1290" s="1" t="s">
        <v>8361</v>
      </c>
      <c r="AC1290" s="1" t="s">
        <v>2068</v>
      </c>
      <c r="AD1290" s="1" t="s">
        <v>8362</v>
      </c>
      <c r="AE1290" s="1" t="s">
        <v>51</v>
      </c>
      <c r="AF1290" s="1" t="s">
        <v>51</v>
      </c>
      <c r="AG1290" s="1" t="s">
        <v>51</v>
      </c>
      <c r="AH1290" s="1"/>
      <c r="AI1290" s="1"/>
      <c r="AJ1290" s="3">
        <v>1</v>
      </c>
      <c r="AK1290" s="1" t="s">
        <v>52</v>
      </c>
      <c r="AL1290" s="3">
        <v>3</v>
      </c>
      <c r="AM1290" s="8">
        <v>19.5</v>
      </c>
      <c r="AN1290" s="1"/>
      <c r="AO1290" s="1" t="s">
        <v>8363</v>
      </c>
      <c r="AP1290" s="1" t="s">
        <v>5983</v>
      </c>
      <c r="AQ1290" s="1" t="s">
        <v>8364</v>
      </c>
      <c r="AR1290" s="1" t="s">
        <v>8365</v>
      </c>
    </row>
    <row r="1291">
      <c r="A1291" s="2">
        <f ca="1">DATE(2004,05,24)</f>
        <v>0</v>
      </c>
      <c r="B1291" s="2">
        <f ca="1">DATE(2004,08,10)</f>
        <v>0</v>
      </c>
      <c r="C1291" s="1" t="s">
        <v>8366</v>
      </c>
      <c r="D1291" s="3">
        <v>2869</v>
      </c>
      <c r="E1291" s="1" t="s">
        <v>43</v>
      </c>
      <c r="F1291" s="1" t="s">
        <v>8367</v>
      </c>
      <c r="G1291" s="1" t="s">
        <v>8368</v>
      </c>
      <c r="H1291" s="4">
        <v>0.93500000000000005</v>
      </c>
      <c r="I1291" s="4">
        <v>6.4500000000000002</v>
      </c>
      <c r="J1291" s="5">
        <v>170.59999999999999</v>
      </c>
      <c r="K1291" s="4">
        <v>14.5</v>
      </c>
      <c r="L1291" s="1" t="s">
        <v>46</v>
      </c>
      <c r="M1291" s="1" t="s">
        <v>47</v>
      </c>
      <c r="N1291" s="3">
        <v>960413102</v>
      </c>
      <c r="O1291" s="1" t="s">
        <v>108</v>
      </c>
      <c r="P1291" s="1" t="s">
        <v>8369</v>
      </c>
      <c r="Q1291" s="4">
        <v>1.29</v>
      </c>
      <c r="R1291" s="4">
        <v>1.29</v>
      </c>
      <c r="S1291" s="6">
        <v>3.8696600000000001</v>
      </c>
      <c r="T1291" s="1" t="s">
        <v>50</v>
      </c>
      <c r="U1291" s="1"/>
      <c r="V1291" s="1"/>
      <c r="W1291" s="1"/>
      <c r="X1291" s="5">
        <v>230</v>
      </c>
      <c r="Y1291" s="7">
        <v>11764706</v>
      </c>
      <c r="Z1291" s="1"/>
      <c r="AA1291" s="2">
        <f ca="1">DATE(2005,02,06)</f>
        <v>0</v>
      </c>
      <c r="AB1291" s="4">
        <v>79.364999999999995</v>
      </c>
      <c r="AC1291" s="3">
        <v>180</v>
      </c>
      <c r="AD1291" s="8">
        <v>51505277</v>
      </c>
      <c r="AE1291" s="1" t="s">
        <v>51</v>
      </c>
      <c r="AF1291" s="1" t="s">
        <v>51</v>
      </c>
      <c r="AG1291" s="1" t="s">
        <v>51</v>
      </c>
      <c r="AH1291" s="1"/>
      <c r="AI1291" s="1"/>
      <c r="AJ1291" s="3">
        <v>3</v>
      </c>
      <c r="AK1291" s="1" t="s">
        <v>110</v>
      </c>
      <c r="AL1291" s="3">
        <v>6</v>
      </c>
      <c r="AM1291" s="8">
        <v>14.65</v>
      </c>
      <c r="AN1291" s="1"/>
      <c r="AO1291" s="1" t="s">
        <v>8370</v>
      </c>
      <c r="AP1291" s="1" t="s">
        <v>8371</v>
      </c>
      <c r="AQ1291" s="1" t="s">
        <v>8372</v>
      </c>
      <c r="AR1291" s="1" t="s">
        <v>8373</v>
      </c>
    </row>
    <row r="1292">
      <c r="A1292" s="2">
        <f ca="1">DATE(2004,04,23)</f>
        <v>0</v>
      </c>
      <c r="B1292" s="2">
        <f ca="1">DATE(2004,08,11)</f>
        <v>0</v>
      </c>
      <c r="C1292" s="1" t="s">
        <v>8374</v>
      </c>
      <c r="D1292" s="3">
        <v>6798</v>
      </c>
      <c r="E1292" s="1" t="s">
        <v>43</v>
      </c>
      <c r="F1292" s="1" t="s">
        <v>8375</v>
      </c>
      <c r="G1292" s="1" t="s">
        <v>8376</v>
      </c>
      <c r="H1292" s="4">
        <v>1.2250000000000001</v>
      </c>
      <c r="I1292" s="4">
        <v>7</v>
      </c>
      <c r="J1292" s="5">
        <v>211.80000000000001</v>
      </c>
      <c r="K1292" s="4">
        <v>17.5</v>
      </c>
      <c r="L1292" s="1" t="s">
        <v>46</v>
      </c>
      <c r="M1292" s="1" t="s">
        <v>47</v>
      </c>
      <c r="N1292" s="1" t="s">
        <v>8377</v>
      </c>
      <c r="O1292" s="1" t="s">
        <v>108</v>
      </c>
      <c r="P1292" s="1" t="s">
        <v>8378</v>
      </c>
      <c r="Q1292" s="4">
        <v>1.8799999999999999</v>
      </c>
      <c r="R1292" s="4">
        <v>1.28</v>
      </c>
      <c r="S1292" s="8">
        <v>3.8399999999999999</v>
      </c>
      <c r="T1292" s="1" t="s">
        <v>50</v>
      </c>
      <c r="U1292" s="1"/>
      <c r="V1292" s="1"/>
      <c r="W1292" s="1"/>
      <c r="X1292" s="5">
        <v>253.30000000000001</v>
      </c>
      <c r="Y1292" s="7">
        <v>12100000</v>
      </c>
      <c r="Z1292" s="1"/>
      <c r="AA1292" s="2">
        <f ca="1">DATE(2004,11,09)</f>
        <v>0</v>
      </c>
      <c r="AB1292" s="1"/>
      <c r="AC1292" s="3">
        <v>90</v>
      </c>
      <c r="AD1292" s="1"/>
      <c r="AE1292" s="1" t="s">
        <v>51</v>
      </c>
      <c r="AF1292" s="1" t="s">
        <v>51</v>
      </c>
      <c r="AG1292" s="1" t="s">
        <v>51</v>
      </c>
      <c r="AH1292" s="1"/>
      <c r="AI1292" s="1"/>
      <c r="AJ1292" s="3">
        <v>2</v>
      </c>
      <c r="AK1292" s="1" t="s">
        <v>110</v>
      </c>
      <c r="AL1292" s="3">
        <v>7</v>
      </c>
      <c r="AM1292" s="8">
        <v>17.5</v>
      </c>
      <c r="AN1292" s="1"/>
      <c r="AO1292" s="1" t="s">
        <v>8379</v>
      </c>
      <c r="AP1292" s="1" t="s">
        <v>8380</v>
      </c>
      <c r="AQ1292" s="1" t="s">
        <v>8381</v>
      </c>
      <c r="AR1292" s="1" t="s">
        <v>8382</v>
      </c>
    </row>
    <row r="1293">
      <c r="A1293" s="2">
        <f ca="1">DATE(2004,05,14)</f>
        <v>0</v>
      </c>
      <c r="B1293" s="2">
        <f ca="1">DATE(2004,08,11)</f>
        <v>0</v>
      </c>
      <c r="C1293" s="1" t="s">
        <v>8383</v>
      </c>
      <c r="D1293" s="3">
        <v>6000</v>
      </c>
      <c r="E1293" s="1" t="s">
        <v>8384</v>
      </c>
      <c r="F1293" s="1" t="s">
        <v>8385</v>
      </c>
      <c r="G1293" s="1" t="s">
        <v>4996</v>
      </c>
      <c r="H1293" s="4">
        <v>0.97999999999999998</v>
      </c>
      <c r="I1293" s="8">
        <v>7</v>
      </c>
      <c r="J1293" s="5">
        <v>54.5</v>
      </c>
      <c r="K1293" s="4">
        <v>14</v>
      </c>
      <c r="L1293" s="1" t="s">
        <v>46</v>
      </c>
      <c r="M1293" s="1" t="s">
        <v>47</v>
      </c>
      <c r="N1293" s="3">
        <v>298716101</v>
      </c>
      <c r="O1293" s="1" t="s">
        <v>48</v>
      </c>
      <c r="P1293" s="1" t="s">
        <v>8386</v>
      </c>
      <c r="Q1293" s="4">
        <v>1.3999999999999999</v>
      </c>
      <c r="R1293" s="4">
        <v>1.3999999999999999</v>
      </c>
      <c r="S1293" s="8">
        <v>4.2000000000000002</v>
      </c>
      <c r="T1293" s="1" t="s">
        <v>50</v>
      </c>
      <c r="U1293" s="1"/>
      <c r="V1293" s="1"/>
      <c r="W1293" s="1"/>
      <c r="X1293" s="5">
        <v>65</v>
      </c>
      <c r="Y1293" s="7">
        <v>3450000</v>
      </c>
      <c r="Z1293" s="7">
        <v>444988</v>
      </c>
      <c r="AA1293" s="1" t="s">
        <v>8387</v>
      </c>
      <c r="AB1293" s="1" t="s">
        <v>8388</v>
      </c>
      <c r="AC1293" s="1" t="s">
        <v>2068</v>
      </c>
      <c r="AD1293" s="1" t="s">
        <v>8389</v>
      </c>
      <c r="AE1293" s="1" t="s">
        <v>51</v>
      </c>
      <c r="AF1293" s="1" t="s">
        <v>51</v>
      </c>
      <c r="AG1293" s="1" t="s">
        <v>51</v>
      </c>
      <c r="AH1293" s="1"/>
      <c r="AI1293" s="1"/>
      <c r="AJ1293" s="3">
        <v>1</v>
      </c>
      <c r="AK1293" s="1" t="s">
        <v>89</v>
      </c>
      <c r="AL1293" s="3">
        <v>3</v>
      </c>
      <c r="AM1293" s="8">
        <v>15.9</v>
      </c>
      <c r="AN1293" s="1"/>
      <c r="AO1293" s="1" t="s">
        <v>8390</v>
      </c>
      <c r="AP1293" s="1" t="s">
        <v>8391</v>
      </c>
      <c r="AQ1293" s="1" t="s">
        <v>8392</v>
      </c>
      <c r="AR1293" s="1" t="s">
        <v>8393</v>
      </c>
    </row>
    <row r="1294">
      <c r="A1294" s="2">
        <f ca="1">DATE(2004,05,12)</f>
        <v>0</v>
      </c>
      <c r="B1294" s="2">
        <f ca="1">DATE(2004,08,11)</f>
        <v>0</v>
      </c>
      <c r="C1294" s="1" t="s">
        <v>8394</v>
      </c>
      <c r="D1294" s="3">
        <v>6798</v>
      </c>
      <c r="E1294" s="1" t="s">
        <v>43</v>
      </c>
      <c r="F1294" s="1" t="s">
        <v>8395</v>
      </c>
      <c r="G1294" s="1" t="s">
        <v>6509</v>
      </c>
      <c r="H1294" s="4">
        <v>0.78100000000000003</v>
      </c>
      <c r="I1294" s="4">
        <v>6.25</v>
      </c>
      <c r="J1294" s="5">
        <v>252.5</v>
      </c>
      <c r="K1294" s="4">
        <v>12.5</v>
      </c>
      <c r="L1294" s="1" t="s">
        <v>46</v>
      </c>
      <c r="M1294" s="1" t="s">
        <v>47</v>
      </c>
      <c r="N1294" s="1" t="s">
        <v>8396</v>
      </c>
      <c r="O1294" s="1" t="s">
        <v>108</v>
      </c>
      <c r="P1294" s="1" t="s">
        <v>8397</v>
      </c>
      <c r="Q1294" s="4">
        <v>1.29</v>
      </c>
      <c r="R1294" s="4">
        <v>1.28</v>
      </c>
      <c r="S1294" s="8">
        <v>3.6800000000000002</v>
      </c>
      <c r="T1294" s="1" t="s">
        <v>50</v>
      </c>
      <c r="U1294" s="1"/>
      <c r="V1294" s="1"/>
      <c r="W1294" s="1"/>
      <c r="X1294" s="5">
        <v>276</v>
      </c>
      <c r="Y1294" s="7">
        <v>20200000</v>
      </c>
      <c r="Z1294" s="1"/>
      <c r="AA1294" s="2">
        <f ca="1">DATE(2005,02,07)</f>
        <v>0</v>
      </c>
      <c r="AB1294" s="4">
        <v>25.472999999999999</v>
      </c>
      <c r="AC1294" s="3">
        <v>180</v>
      </c>
      <c r="AD1294" s="8">
        <v>7939950</v>
      </c>
      <c r="AE1294" s="1" t="s">
        <v>51</v>
      </c>
      <c r="AF1294" s="1" t="s">
        <v>51</v>
      </c>
      <c r="AG1294" s="1" t="s">
        <v>51</v>
      </c>
      <c r="AH1294" s="1"/>
      <c r="AI1294" s="1"/>
      <c r="AJ1294" s="3">
        <v>2</v>
      </c>
      <c r="AK1294" s="1" t="s">
        <v>89</v>
      </c>
      <c r="AL1294" s="3">
        <v>7</v>
      </c>
      <c r="AM1294" s="8">
        <v>12.5</v>
      </c>
      <c r="AN1294" s="1"/>
      <c r="AO1294" s="1" t="s">
        <v>8398</v>
      </c>
      <c r="AP1294" s="1" t="s">
        <v>6504</v>
      </c>
      <c r="AQ1294" s="1" t="s">
        <v>8399</v>
      </c>
      <c r="AR1294" s="1" t="s">
        <v>8400</v>
      </c>
    </row>
    <row r="1295">
      <c r="A1295" s="2">
        <f ca="1">DATE(2004,05,07)</f>
        <v>0</v>
      </c>
      <c r="B1295" s="2">
        <f ca="1">DATE(2004,08,11)</f>
        <v>0</v>
      </c>
      <c r="C1295" s="1" t="s">
        <v>8401</v>
      </c>
      <c r="D1295" s="3">
        <v>3845</v>
      </c>
      <c r="E1295" s="1" t="s">
        <v>43</v>
      </c>
      <c r="F1295" s="1" t="s">
        <v>8402</v>
      </c>
      <c r="G1295" s="1" t="s">
        <v>160</v>
      </c>
      <c r="H1295" s="4">
        <v>0.56000000000000005</v>
      </c>
      <c r="I1295" s="4">
        <v>7</v>
      </c>
      <c r="J1295" s="5">
        <v>44</v>
      </c>
      <c r="K1295" s="4">
        <v>8</v>
      </c>
      <c r="L1295" s="1" t="s">
        <v>46</v>
      </c>
      <c r="M1295" s="1" t="s">
        <v>47</v>
      </c>
      <c r="N1295" s="1" t="s">
        <v>8403</v>
      </c>
      <c r="O1295" s="1" t="s">
        <v>48</v>
      </c>
      <c r="P1295" s="1" t="s">
        <v>8404</v>
      </c>
      <c r="Q1295" s="4">
        <v>1.3999999999999999</v>
      </c>
      <c r="R1295" s="4">
        <v>1.3999999999999999</v>
      </c>
      <c r="S1295" s="8">
        <v>4.2000000000000002</v>
      </c>
      <c r="T1295" s="1" t="s">
        <v>50</v>
      </c>
      <c r="U1295" s="1"/>
      <c r="V1295" s="1"/>
      <c r="W1295" s="1"/>
      <c r="X1295" s="5">
        <v>115</v>
      </c>
      <c r="Y1295" s="7">
        <v>5500000</v>
      </c>
      <c r="Z1295" s="1"/>
      <c r="AA1295" s="1" t="s">
        <v>8405</v>
      </c>
      <c r="AB1295" s="1" t="s">
        <v>8406</v>
      </c>
      <c r="AC1295" s="1" t="s">
        <v>5784</v>
      </c>
      <c r="AD1295" s="1" t="s">
        <v>8407</v>
      </c>
      <c r="AE1295" s="1" t="s">
        <v>51</v>
      </c>
      <c r="AF1295" s="1" t="s">
        <v>51</v>
      </c>
      <c r="AG1295" s="1" t="s">
        <v>47</v>
      </c>
      <c r="AH1295" s="1"/>
      <c r="AI1295" s="1"/>
      <c r="AJ1295" s="3">
        <v>1</v>
      </c>
      <c r="AK1295" s="1" t="s">
        <v>89</v>
      </c>
      <c r="AL1295" s="3">
        <v>4</v>
      </c>
      <c r="AM1295" s="8">
        <v>7.8200000000000003</v>
      </c>
      <c r="AN1295" s="1"/>
      <c r="AO1295" s="1" t="s">
        <v>8408</v>
      </c>
      <c r="AP1295" s="1" t="s">
        <v>8409</v>
      </c>
      <c r="AQ1295" s="1" t="s">
        <v>8410</v>
      </c>
      <c r="AR1295" s="1" t="s">
        <v>8411</v>
      </c>
    </row>
    <row r="1296">
      <c r="A1296" s="2">
        <f ca="1">DATE(2004,03,02)</f>
        <v>0</v>
      </c>
      <c r="B1296" s="2">
        <f ca="1">DATE(2004,08,12)</f>
        <v>0</v>
      </c>
      <c r="C1296" s="1" t="s">
        <v>8412</v>
      </c>
      <c r="D1296" s="3">
        <v>6289</v>
      </c>
      <c r="E1296" s="1" t="s">
        <v>43</v>
      </c>
      <c r="F1296" s="1" t="s">
        <v>8413</v>
      </c>
      <c r="G1296" s="1" t="s">
        <v>160</v>
      </c>
      <c r="H1296" s="4">
        <v>0.80500000000000005</v>
      </c>
      <c r="I1296" s="4">
        <v>7</v>
      </c>
      <c r="J1296" s="5">
        <v>126.5</v>
      </c>
      <c r="K1296" s="4">
        <v>11.5</v>
      </c>
      <c r="L1296" s="1" t="s">
        <v>46</v>
      </c>
      <c r="M1296" s="1" t="s">
        <v>47</v>
      </c>
      <c r="N1296" s="1" t="s">
        <v>8414</v>
      </c>
      <c r="O1296" s="1" t="s">
        <v>8415</v>
      </c>
      <c r="P1296" s="1" t="s">
        <v>8416</v>
      </c>
      <c r="Q1296" s="4">
        <v>1.3999999999999999</v>
      </c>
      <c r="R1296" s="4">
        <v>1.3999999999999999</v>
      </c>
      <c r="S1296" s="8">
        <v>4.2000000000000002</v>
      </c>
      <c r="T1296" s="1" t="s">
        <v>50</v>
      </c>
      <c r="U1296" s="8">
        <v>15</v>
      </c>
      <c r="V1296" s="8">
        <v>15</v>
      </c>
      <c r="W1296" s="7">
        <v>8695653</v>
      </c>
      <c r="X1296" s="5">
        <v>130.40000000000001</v>
      </c>
      <c r="Y1296" s="7">
        <v>5500000</v>
      </c>
      <c r="Z1296" s="7">
        <v>5500000</v>
      </c>
      <c r="AA1296" s="2">
        <f ca="1">DATE(2005,02,08)</f>
        <v>0</v>
      </c>
      <c r="AB1296" s="4">
        <v>74.319000000000003</v>
      </c>
      <c r="AC1296" s="3">
        <v>180</v>
      </c>
      <c r="AD1296" s="8">
        <v>35644198</v>
      </c>
      <c r="AE1296" s="1" t="s">
        <v>51</v>
      </c>
      <c r="AF1296" s="1" t="s">
        <v>51</v>
      </c>
      <c r="AG1296" s="1" t="s">
        <v>47</v>
      </c>
      <c r="AH1296" s="1"/>
      <c r="AI1296" s="1"/>
      <c r="AJ1296" s="3">
        <v>1</v>
      </c>
      <c r="AK1296" s="1" t="s">
        <v>89</v>
      </c>
      <c r="AL1296" s="3">
        <v>7</v>
      </c>
      <c r="AM1296" s="8">
        <v>12.300000000000001</v>
      </c>
      <c r="AN1296" s="1"/>
      <c r="AO1296" s="1" t="s">
        <v>8417</v>
      </c>
      <c r="AP1296" s="1" t="s">
        <v>4528</v>
      </c>
      <c r="AQ1296" s="1" t="s">
        <v>8418</v>
      </c>
      <c r="AR1296" s="1" t="s">
        <v>8419</v>
      </c>
    </row>
    <row r="1297">
      <c r="A1297" s="2">
        <f ca="1">DATE(2004,03,30)</f>
        <v>0</v>
      </c>
      <c r="B1297" s="2">
        <f ca="1">DATE(2004,08,12)</f>
        <v>0</v>
      </c>
      <c r="C1297" s="1" t="s">
        <v>8420</v>
      </c>
      <c r="D1297" s="3">
        <v>6282</v>
      </c>
      <c r="E1297" s="1" t="s">
        <v>43</v>
      </c>
      <c r="F1297" s="1" t="s">
        <v>8421</v>
      </c>
      <c r="G1297" s="1" t="s">
        <v>45</v>
      </c>
      <c r="H1297" s="4">
        <v>0.91000000000000003</v>
      </c>
      <c r="I1297" s="4">
        <v>7</v>
      </c>
      <c r="J1297" s="5">
        <v>97.5</v>
      </c>
      <c r="K1297" s="4">
        <v>13</v>
      </c>
      <c r="L1297" s="1" t="s">
        <v>46</v>
      </c>
      <c r="M1297" s="1" t="s">
        <v>47</v>
      </c>
      <c r="N1297" s="1" t="s">
        <v>8422</v>
      </c>
      <c r="O1297" s="1" t="s">
        <v>108</v>
      </c>
      <c r="P1297" s="1" t="s">
        <v>8423</v>
      </c>
      <c r="Q1297" s="4">
        <v>1.462</v>
      </c>
      <c r="R1297" s="4">
        <v>1.385</v>
      </c>
      <c r="S1297" s="6">
        <v>4.1538500000000003</v>
      </c>
      <c r="T1297" s="1" t="s">
        <v>50</v>
      </c>
      <c r="U1297" s="1"/>
      <c r="V1297" s="1"/>
      <c r="W1297" s="1"/>
      <c r="X1297" s="5">
        <v>100</v>
      </c>
      <c r="Y1297" s="7">
        <v>7500000</v>
      </c>
      <c r="Z1297" s="1"/>
      <c r="AA1297" s="1" t="s">
        <v>8424</v>
      </c>
      <c r="AB1297" s="1" t="s">
        <v>8425</v>
      </c>
      <c r="AC1297" s="1" t="s">
        <v>2068</v>
      </c>
      <c r="AD1297" s="1" t="s">
        <v>8426</v>
      </c>
      <c r="AE1297" s="1" t="s">
        <v>51</v>
      </c>
      <c r="AF1297" s="1" t="s">
        <v>51</v>
      </c>
      <c r="AG1297" s="1" t="s">
        <v>51</v>
      </c>
      <c r="AH1297" s="1"/>
      <c r="AI1297" s="1"/>
      <c r="AJ1297" s="3">
        <v>1</v>
      </c>
      <c r="AK1297" s="1" t="s">
        <v>52</v>
      </c>
      <c r="AL1297" s="3">
        <v>4</v>
      </c>
      <c r="AM1297" s="8">
        <v>13</v>
      </c>
      <c r="AN1297" s="1"/>
      <c r="AO1297" s="1" t="s">
        <v>8427</v>
      </c>
      <c r="AP1297" s="1" t="s">
        <v>45</v>
      </c>
      <c r="AQ1297" s="1" t="s">
        <v>8428</v>
      </c>
      <c r="AR1297" s="1" t="s">
        <v>8429</v>
      </c>
    </row>
    <row r="1298">
      <c r="A1298" s="2">
        <f ca="1">DATE(2004,06,10)</f>
        <v>0</v>
      </c>
      <c r="B1298" s="2">
        <f ca="1">DATE(2004,08,17)</f>
        <v>0</v>
      </c>
      <c r="C1298" s="1" t="s">
        <v>8430</v>
      </c>
      <c r="D1298" s="3">
        <v>6021</v>
      </c>
      <c r="E1298" s="1" t="s">
        <v>43</v>
      </c>
      <c r="F1298" s="1" t="s">
        <v>8431</v>
      </c>
      <c r="G1298" s="1" t="s">
        <v>4996</v>
      </c>
      <c r="H1298" s="4">
        <v>0.73499999999999999</v>
      </c>
      <c r="I1298" s="8">
        <v>7</v>
      </c>
      <c r="J1298" s="5">
        <v>49.600000000000001</v>
      </c>
      <c r="K1298" s="4">
        <v>10.5</v>
      </c>
      <c r="L1298" s="1" t="s">
        <v>46</v>
      </c>
      <c r="M1298" s="1" t="s">
        <v>47</v>
      </c>
      <c r="N1298" s="1" t="s">
        <v>8432</v>
      </c>
      <c r="O1298" s="1" t="s">
        <v>48</v>
      </c>
      <c r="P1298" s="1" t="s">
        <v>8433</v>
      </c>
      <c r="Q1298" s="4">
        <v>1.3999999999999999</v>
      </c>
      <c r="R1298" s="4">
        <v>1.3999999999999999</v>
      </c>
      <c r="S1298" s="8">
        <v>4.2000000000000002</v>
      </c>
      <c r="T1298" s="1" t="s">
        <v>50</v>
      </c>
      <c r="U1298" s="1"/>
      <c r="V1298" s="1"/>
      <c r="W1298" s="1"/>
      <c r="X1298" s="5">
        <v>59.799999999999997</v>
      </c>
      <c r="Y1298" s="7">
        <v>4727273</v>
      </c>
      <c r="Z1298" s="1"/>
      <c r="AA1298" s="2">
        <f ca="1">DATE(2005,02,13)</f>
        <v>0</v>
      </c>
      <c r="AB1298" s="4">
        <v>21.042999999999999</v>
      </c>
      <c r="AC1298" s="3">
        <v>180</v>
      </c>
      <c r="AD1298" s="8">
        <v>2051332</v>
      </c>
      <c r="AE1298" s="1" t="s">
        <v>51</v>
      </c>
      <c r="AF1298" s="1" t="s">
        <v>51</v>
      </c>
      <c r="AG1298" s="1" t="s">
        <v>51</v>
      </c>
      <c r="AH1298" s="1"/>
      <c r="AI1298" s="1"/>
      <c r="AJ1298" s="3">
        <v>1</v>
      </c>
      <c r="AK1298" s="1" t="s">
        <v>52</v>
      </c>
      <c r="AL1298" s="3">
        <v>3</v>
      </c>
      <c r="AM1298" s="8">
        <v>10.5</v>
      </c>
      <c r="AN1298" s="1"/>
      <c r="AO1298" s="1" t="s">
        <v>8434</v>
      </c>
      <c r="AP1298" s="1" t="s">
        <v>4996</v>
      </c>
      <c r="AQ1298" s="1" t="s">
        <v>8435</v>
      </c>
      <c r="AR1298" s="1" t="s">
        <v>8436</v>
      </c>
    </row>
    <row r="1299">
      <c r="A1299" s="2">
        <f ca="1">DATE(2004,04,29)</f>
        <v>0</v>
      </c>
      <c r="B1299" s="2">
        <f ca="1">DATE(2004,08,18)</f>
        <v>0</v>
      </c>
      <c r="C1299" s="1" t="s">
        <v>8437</v>
      </c>
      <c r="D1299" s="3">
        <v>7375</v>
      </c>
      <c r="E1299" s="1" t="s">
        <v>43</v>
      </c>
      <c r="F1299" s="1" t="s">
        <v>8438</v>
      </c>
      <c r="G1299" s="1" t="s">
        <v>8439</v>
      </c>
      <c r="H1299" s="4">
        <v>2.3839999999999999</v>
      </c>
      <c r="I1299" s="4">
        <v>2.8050000000000002</v>
      </c>
      <c r="J1299" s="9">
        <v>1666.4000000000001</v>
      </c>
      <c r="K1299" s="4">
        <v>85</v>
      </c>
      <c r="L1299" s="1" t="s">
        <v>152</v>
      </c>
      <c r="M1299" s="1" t="s">
        <v>47</v>
      </c>
      <c r="N1299" s="1" t="s">
        <v>8440</v>
      </c>
      <c r="O1299" s="1" t="s">
        <v>48</v>
      </c>
      <c r="P1299" s="1" t="s">
        <v>8441</v>
      </c>
      <c r="Q1299" s="4">
        <v>1.9630000000000001</v>
      </c>
      <c r="R1299" s="4">
        <v>0.84099999999999997</v>
      </c>
      <c r="S1299" s="1"/>
      <c r="T1299" s="1" t="s">
        <v>50</v>
      </c>
      <c r="U1299" s="1"/>
      <c r="V1299" s="1"/>
      <c r="W1299" s="1"/>
      <c r="X1299" s="9">
        <v>2718.3000000000002</v>
      </c>
      <c r="Y1299" s="7">
        <v>14142135</v>
      </c>
      <c r="Z1299" s="7">
        <v>5462917</v>
      </c>
      <c r="AA1299" s="1" t="s">
        <v>8442</v>
      </c>
      <c r="AB1299" s="1" t="s">
        <v>8443</v>
      </c>
      <c r="AC1299" s="1" t="s">
        <v>8444</v>
      </c>
      <c r="AD1299" s="1" t="s">
        <v>8445</v>
      </c>
      <c r="AE1299" s="1" t="s">
        <v>51</v>
      </c>
      <c r="AF1299" s="1" t="s">
        <v>51</v>
      </c>
      <c r="AG1299" s="1" t="s">
        <v>47</v>
      </c>
      <c r="AH1299" s="1"/>
      <c r="AI1299" s="1"/>
      <c r="AJ1299" s="3">
        <v>2</v>
      </c>
      <c r="AK1299" s="1" t="s">
        <v>89</v>
      </c>
      <c r="AL1299" s="3">
        <v>28</v>
      </c>
      <c r="AM1299" s="8">
        <v>100.33</v>
      </c>
      <c r="AN1299" s="1"/>
      <c r="AO1299" s="1" t="s">
        <v>8446</v>
      </c>
      <c r="AP1299" s="1" t="s">
        <v>4289</v>
      </c>
      <c r="AQ1299" s="1" t="s">
        <v>8447</v>
      </c>
      <c r="AR1299" s="1" t="s">
        <v>8448</v>
      </c>
    </row>
    <row r="1300">
      <c r="A1300" s="2">
        <f ca="1">DATE(2004,05,28)</f>
        <v>0</v>
      </c>
      <c r="B1300" s="2">
        <f ca="1">DATE(2004,08,24)</f>
        <v>0</v>
      </c>
      <c r="C1300" s="1" t="s">
        <v>8449</v>
      </c>
      <c r="D1300" s="3">
        <v>6726</v>
      </c>
      <c r="E1300" s="1" t="s">
        <v>43</v>
      </c>
      <c r="F1300" s="1" t="s">
        <v>8450</v>
      </c>
      <c r="G1300" s="1" t="s">
        <v>7368</v>
      </c>
      <c r="H1300" s="4">
        <v>0.56999999999999995</v>
      </c>
      <c r="I1300" s="8">
        <v>9.5</v>
      </c>
      <c r="J1300" s="5">
        <v>24</v>
      </c>
      <c r="K1300" s="4">
        <v>6</v>
      </c>
      <c r="L1300" s="1" t="s">
        <v>46</v>
      </c>
      <c r="M1300" s="1" t="s">
        <v>47</v>
      </c>
      <c r="N1300" s="1" t="s">
        <v>8451</v>
      </c>
      <c r="O1300" s="1" t="s">
        <v>77</v>
      </c>
      <c r="P1300" s="1" t="s">
        <v>8452</v>
      </c>
      <c r="Q1300" s="1" t="s">
        <v>145</v>
      </c>
      <c r="R1300" s="1" t="s">
        <v>145</v>
      </c>
      <c r="S1300" s="8">
        <v>4</v>
      </c>
      <c r="T1300" s="1" t="s">
        <v>50</v>
      </c>
      <c r="U1300" s="8">
        <v>6</v>
      </c>
      <c r="V1300" s="8">
        <v>6</v>
      </c>
      <c r="W1300" s="7">
        <v>4000000</v>
      </c>
      <c r="X1300" s="5">
        <v>24</v>
      </c>
      <c r="Y1300" s="7">
        <v>4000000</v>
      </c>
      <c r="Z1300" s="1"/>
      <c r="AA1300" s="2">
        <f ca="1">DATE(2005,05,01)</f>
        <v>0</v>
      </c>
      <c r="AB1300" s="4">
        <v>20</v>
      </c>
      <c r="AC1300" s="3">
        <v>250</v>
      </c>
      <c r="AD1300" s="8">
        <v>1000000</v>
      </c>
      <c r="AE1300" s="1" t="s">
        <v>51</v>
      </c>
      <c r="AF1300" s="1" t="s">
        <v>51</v>
      </c>
      <c r="AG1300" s="1" t="s">
        <v>51</v>
      </c>
      <c r="AH1300" s="1"/>
      <c r="AI1300" s="1"/>
      <c r="AJ1300" s="3">
        <v>1</v>
      </c>
      <c r="AK1300" s="1" t="s">
        <v>52</v>
      </c>
      <c r="AL1300" s="3">
        <v>1</v>
      </c>
      <c r="AM1300" s="8">
        <v>6</v>
      </c>
      <c r="AN1300" s="1"/>
      <c r="AO1300" s="1" t="s">
        <v>8453</v>
      </c>
      <c r="AP1300" s="1" t="s">
        <v>7368</v>
      </c>
      <c r="AQ1300" s="1" t="s">
        <v>7368</v>
      </c>
      <c r="AR1300" s="1" t="s">
        <v>7372</v>
      </c>
    </row>
    <row r="1301">
      <c r="A1301" s="2">
        <f ca="1">DATE(2004,04,21)</f>
        <v>0</v>
      </c>
      <c r="B1301" s="2">
        <f ca="1">DATE(2004,08,25)</f>
        <v>0</v>
      </c>
      <c r="C1301" s="1" t="s">
        <v>8454</v>
      </c>
      <c r="D1301" s="3">
        <v>6726</v>
      </c>
      <c r="E1301" s="1" t="s">
        <v>43</v>
      </c>
      <c r="F1301" s="1" t="s">
        <v>8455</v>
      </c>
      <c r="G1301" s="1" t="s">
        <v>5704</v>
      </c>
      <c r="H1301" s="4">
        <v>0.90000000000000002</v>
      </c>
      <c r="I1301" s="4">
        <v>4.5</v>
      </c>
      <c r="J1301" s="5">
        <v>460</v>
      </c>
      <c r="K1301" s="4">
        <v>20</v>
      </c>
      <c r="L1301" s="1" t="s">
        <v>46</v>
      </c>
      <c r="M1301" s="1" t="s">
        <v>47</v>
      </c>
      <c r="N1301" s="1" t="s">
        <v>8456</v>
      </c>
      <c r="O1301" s="1" t="s">
        <v>108</v>
      </c>
      <c r="P1301" s="1" t="s">
        <v>8457</v>
      </c>
      <c r="Q1301" s="4">
        <v>1</v>
      </c>
      <c r="R1301" s="4">
        <v>0.5</v>
      </c>
      <c r="S1301" s="8">
        <v>3</v>
      </c>
      <c r="T1301" s="1" t="s">
        <v>50</v>
      </c>
      <c r="U1301" s="8">
        <v>20</v>
      </c>
      <c r="V1301" s="8">
        <v>20</v>
      </c>
      <c r="W1301" s="7">
        <v>50000</v>
      </c>
      <c r="X1301" s="5">
        <v>1</v>
      </c>
      <c r="Y1301" s="7">
        <v>23000000</v>
      </c>
      <c r="Z1301" s="1"/>
      <c r="AA1301" s="2">
        <f ca="1">DATE(2005,02,21)</f>
        <v>0</v>
      </c>
      <c r="AB1301" s="1"/>
      <c r="AC1301" s="3">
        <v>180</v>
      </c>
      <c r="AD1301" s="1"/>
      <c r="AE1301" s="1" t="s">
        <v>51</v>
      </c>
      <c r="AF1301" s="1" t="s">
        <v>51</v>
      </c>
      <c r="AG1301" s="1" t="s">
        <v>51</v>
      </c>
      <c r="AH1301" s="1"/>
      <c r="AI1301" s="1"/>
      <c r="AJ1301" s="3">
        <v>1</v>
      </c>
      <c r="AK1301" s="1" t="s">
        <v>110</v>
      </c>
      <c r="AL1301" s="3">
        <v>7</v>
      </c>
      <c r="AM1301" s="8">
        <v>20</v>
      </c>
      <c r="AN1301" s="1"/>
      <c r="AO1301" s="1" t="s">
        <v>8458</v>
      </c>
      <c r="AP1301" s="1" t="s">
        <v>8459</v>
      </c>
      <c r="AQ1301" s="1" t="s">
        <v>8460</v>
      </c>
      <c r="AR1301" s="1" t="s">
        <v>8461</v>
      </c>
    </row>
    <row r="1302">
      <c r="A1302" s="2">
        <f ca="1">DATE(2004,05,28)</f>
        <v>0</v>
      </c>
      <c r="B1302" s="2">
        <f ca="1">DATE(2004,08,26)</f>
        <v>0</v>
      </c>
      <c r="C1302" s="1" t="s">
        <v>8462</v>
      </c>
      <c r="D1302" s="3">
        <v>6726</v>
      </c>
      <c r="E1302" s="1" t="s">
        <v>43</v>
      </c>
      <c r="F1302" s="1" t="s">
        <v>8463</v>
      </c>
      <c r="G1302" s="1" t="s">
        <v>45</v>
      </c>
      <c r="H1302" s="1" t="s">
        <v>57</v>
      </c>
      <c r="I1302" s="1" t="s">
        <v>57</v>
      </c>
      <c r="J1302" s="5">
        <v>370</v>
      </c>
      <c r="K1302" s="4">
        <v>20</v>
      </c>
      <c r="L1302" s="1" t="s">
        <v>46</v>
      </c>
      <c r="M1302" s="1" t="s">
        <v>47</v>
      </c>
      <c r="N1302" s="3">
        <v>337318109</v>
      </c>
      <c r="O1302" s="1" t="s">
        <v>108</v>
      </c>
      <c r="P1302" s="1" t="s">
        <v>8464</v>
      </c>
      <c r="Q1302" s="1"/>
      <c r="R1302" s="1"/>
      <c r="S1302" s="1"/>
      <c r="T1302" s="1" t="s">
        <v>50</v>
      </c>
      <c r="U1302" s="8">
        <v>20</v>
      </c>
      <c r="V1302" s="8">
        <v>20</v>
      </c>
      <c r="W1302" s="7">
        <v>1000</v>
      </c>
      <c r="X1302" s="5">
        <v>0</v>
      </c>
      <c r="Y1302" s="7">
        <v>18500000</v>
      </c>
      <c r="Z1302" s="1"/>
      <c r="AA1302" s="2">
        <f ca="1">DATE(2005,02,22)</f>
        <v>0</v>
      </c>
      <c r="AB1302" s="1"/>
      <c r="AC1302" s="3">
        <v>180</v>
      </c>
      <c r="AD1302" s="1"/>
      <c r="AE1302" s="1" t="s">
        <v>51</v>
      </c>
      <c r="AF1302" s="1" t="s">
        <v>51</v>
      </c>
      <c r="AG1302" s="1" t="s">
        <v>51</v>
      </c>
      <c r="AH1302" s="1"/>
      <c r="AI1302" s="1"/>
      <c r="AJ1302" s="3">
        <v>1</v>
      </c>
      <c r="AK1302" s="1" t="s">
        <v>110</v>
      </c>
      <c r="AL1302" s="3">
        <v>15</v>
      </c>
      <c r="AM1302" s="8">
        <v>20</v>
      </c>
      <c r="AN1302" s="1"/>
      <c r="AO1302" s="1" t="s">
        <v>8465</v>
      </c>
      <c r="AP1302" s="1" t="s">
        <v>8466</v>
      </c>
      <c r="AQ1302" s="1" t="s">
        <v>8467</v>
      </c>
      <c r="AR1302" s="1" t="s">
        <v>8468</v>
      </c>
    </row>
    <row r="1303">
      <c r="A1303" s="2">
        <f ca="1">DATE(2004,05,05)</f>
        <v>0</v>
      </c>
      <c r="B1303" s="2">
        <f ca="1">DATE(2004,08,27)</f>
        <v>0</v>
      </c>
      <c r="C1303" s="1" t="s">
        <v>8469</v>
      </c>
      <c r="D1303" s="3">
        <v>5961</v>
      </c>
      <c r="E1303" s="1" t="s">
        <v>43</v>
      </c>
      <c r="F1303" s="1" t="s">
        <v>8470</v>
      </c>
      <c r="G1303" s="1" t="s">
        <v>2938</v>
      </c>
      <c r="H1303" s="4">
        <v>0.40600000000000003</v>
      </c>
      <c r="I1303" s="4">
        <v>7</v>
      </c>
      <c r="J1303" s="5">
        <v>20.100000000000001</v>
      </c>
      <c r="K1303" s="4">
        <v>5.7999999999999998</v>
      </c>
      <c r="L1303" s="1" t="s">
        <v>46</v>
      </c>
      <c r="M1303" s="1" t="s">
        <v>47</v>
      </c>
      <c r="N1303" s="1" t="s">
        <v>8471</v>
      </c>
      <c r="O1303" s="1" t="s">
        <v>48</v>
      </c>
      <c r="P1303" s="1" t="s">
        <v>8472</v>
      </c>
      <c r="Q1303" s="1" t="s">
        <v>145</v>
      </c>
      <c r="R1303" s="1" t="s">
        <v>145</v>
      </c>
      <c r="S1303" s="10">
        <v>3.7930999999999999</v>
      </c>
      <c r="T1303" s="1" t="s">
        <v>50</v>
      </c>
      <c r="U1303" s="1"/>
      <c r="V1303" s="1"/>
      <c r="W1303" s="1"/>
      <c r="X1303" s="5">
        <v>35</v>
      </c>
      <c r="Y1303" s="7">
        <v>3465000</v>
      </c>
      <c r="Z1303" s="1"/>
      <c r="AA1303" s="1" t="s">
        <v>8473</v>
      </c>
      <c r="AB1303" s="1" t="s">
        <v>8474</v>
      </c>
      <c r="AC1303" s="1" t="s">
        <v>2068</v>
      </c>
      <c r="AD1303" s="1" t="s">
        <v>8475</v>
      </c>
      <c r="AE1303" s="1" t="s">
        <v>51</v>
      </c>
      <c r="AF1303" s="1" t="s">
        <v>51</v>
      </c>
      <c r="AG1303" s="1" t="s">
        <v>51</v>
      </c>
      <c r="AH1303" s="1"/>
      <c r="AI1303" s="1"/>
      <c r="AJ1303" s="3">
        <v>1</v>
      </c>
      <c r="AK1303" s="1" t="s">
        <v>52</v>
      </c>
      <c r="AL1303" s="3">
        <v>3</v>
      </c>
      <c r="AM1303" s="8">
        <v>6</v>
      </c>
      <c r="AN1303" s="1"/>
      <c r="AO1303" s="1" t="s">
        <v>8476</v>
      </c>
      <c r="AP1303" s="1" t="s">
        <v>2938</v>
      </c>
      <c r="AQ1303" s="1" t="s">
        <v>8477</v>
      </c>
      <c r="AR1303" s="1" t="s">
        <v>8478</v>
      </c>
    </row>
    <row r="1304">
      <c r="A1304" s="2">
        <f ca="1">DATE(2004,04,09)</f>
        <v>0</v>
      </c>
      <c r="B1304" s="2">
        <f ca="1">DATE(2004,09,14)</f>
        <v>0</v>
      </c>
      <c r="C1304" s="1" t="s">
        <v>8479</v>
      </c>
      <c r="D1304" s="3">
        <v>7261</v>
      </c>
      <c r="E1304" s="1" t="s">
        <v>43</v>
      </c>
      <c r="F1304" s="1" t="s">
        <v>8480</v>
      </c>
      <c r="G1304" s="1" t="s">
        <v>813</v>
      </c>
      <c r="H1304" s="4">
        <v>1.3839999999999999</v>
      </c>
      <c r="I1304" s="4">
        <v>6.7510000000000003</v>
      </c>
      <c r="J1304" s="5">
        <v>75.299999999999997</v>
      </c>
      <c r="K1304" s="4">
        <v>20.5</v>
      </c>
      <c r="L1304" s="1" t="s">
        <v>85</v>
      </c>
      <c r="M1304" s="1" t="s">
        <v>47</v>
      </c>
      <c r="N1304" s="1" t="s">
        <v>8481</v>
      </c>
      <c r="O1304" s="1" t="s">
        <v>48</v>
      </c>
      <c r="P1304" s="1" t="s">
        <v>8482</v>
      </c>
      <c r="Q1304" s="4">
        <v>1.351</v>
      </c>
      <c r="R1304" s="4">
        <v>1.351</v>
      </c>
      <c r="S1304" s="6">
        <v>4.0487799999999998</v>
      </c>
      <c r="T1304" s="1" t="s">
        <v>50</v>
      </c>
      <c r="U1304" s="1"/>
      <c r="V1304" s="1"/>
      <c r="W1304" s="7">
        <v>3850000</v>
      </c>
      <c r="X1304" s="1"/>
      <c r="Y1304" s="7">
        <v>3675000</v>
      </c>
      <c r="Z1304" s="1"/>
      <c r="AA1304" s="2">
        <f ca="1">DATE(2005,03,13)</f>
        <v>0</v>
      </c>
      <c r="AB1304" s="1"/>
      <c r="AC1304" s="3">
        <v>180</v>
      </c>
      <c r="AD1304" s="1"/>
      <c r="AE1304" s="1" t="s">
        <v>51</v>
      </c>
      <c r="AF1304" s="1" t="s">
        <v>51</v>
      </c>
      <c r="AG1304" s="1" t="s">
        <v>51</v>
      </c>
      <c r="AH1304" s="1"/>
      <c r="AI1304" s="1"/>
      <c r="AJ1304" s="3">
        <v>1</v>
      </c>
      <c r="AK1304" s="1" t="s">
        <v>52</v>
      </c>
      <c r="AL1304" s="3">
        <v>4</v>
      </c>
      <c r="AM1304" s="8">
        <v>21.600000000000001</v>
      </c>
      <c r="AN1304" s="1"/>
      <c r="AO1304" s="1" t="s">
        <v>8483</v>
      </c>
      <c r="AP1304" s="1" t="s">
        <v>813</v>
      </c>
      <c r="AQ1304" s="1" t="s">
        <v>8484</v>
      </c>
      <c r="AR1304" s="1" t="s">
        <v>8485</v>
      </c>
    </row>
    <row r="1305">
      <c r="A1305" s="2">
        <f ca="1">DATE(2004,03,18)</f>
        <v>0</v>
      </c>
      <c r="B1305" s="2">
        <f ca="1">DATE(2004,09,16)</f>
        <v>0</v>
      </c>
      <c r="C1305" s="1" t="s">
        <v>8486</v>
      </c>
      <c r="D1305" s="3">
        <v>6798</v>
      </c>
      <c r="E1305" s="1" t="s">
        <v>43</v>
      </c>
      <c r="F1305" s="1" t="s">
        <v>8487</v>
      </c>
      <c r="G1305" s="1" t="s">
        <v>8488</v>
      </c>
      <c r="H1305" s="4">
        <v>1.0149999999999999</v>
      </c>
      <c r="I1305" s="8">
        <v>7</v>
      </c>
      <c r="J1305" s="5">
        <v>72.5</v>
      </c>
      <c r="K1305" s="4">
        <v>14.5</v>
      </c>
      <c r="L1305" s="1" t="s">
        <v>152</v>
      </c>
      <c r="M1305" s="1" t="s">
        <v>47</v>
      </c>
      <c r="N1305" s="1" t="s">
        <v>8489</v>
      </c>
      <c r="O1305" s="1" t="s">
        <v>108</v>
      </c>
      <c r="P1305" s="1" t="s">
        <v>8490</v>
      </c>
      <c r="Q1305" s="1" t="s">
        <v>145</v>
      </c>
      <c r="R1305" s="1" t="s">
        <v>145</v>
      </c>
      <c r="S1305" s="6">
        <v>4.1379299999999999</v>
      </c>
      <c r="T1305" s="1" t="s">
        <v>50</v>
      </c>
      <c r="U1305" s="1"/>
      <c r="V1305" s="1"/>
      <c r="W1305" s="1"/>
      <c r="X1305" s="5">
        <v>172.5</v>
      </c>
      <c r="Y1305" s="7">
        <v>5000000</v>
      </c>
      <c r="Z1305" s="1"/>
      <c r="AA1305" s="2">
        <f ca="1">DATE(2005,03,15)</f>
        <v>0</v>
      </c>
      <c r="AB1305" s="4">
        <v>66.694000000000003</v>
      </c>
      <c r="AC1305" s="3">
        <v>180</v>
      </c>
      <c r="AD1305" s="8">
        <v>10012188</v>
      </c>
      <c r="AE1305" s="1" t="s">
        <v>51</v>
      </c>
      <c r="AF1305" s="1" t="s">
        <v>51</v>
      </c>
      <c r="AG1305" s="1" t="s">
        <v>51</v>
      </c>
      <c r="AH1305" s="1"/>
      <c r="AI1305" s="1"/>
      <c r="AJ1305" s="3">
        <v>1</v>
      </c>
      <c r="AK1305" s="1" t="s">
        <v>89</v>
      </c>
      <c r="AL1305" s="3">
        <v>2</v>
      </c>
      <c r="AM1305" s="8">
        <v>15.35</v>
      </c>
      <c r="AN1305" s="1"/>
      <c r="AO1305" s="1" t="s">
        <v>8491</v>
      </c>
      <c r="AP1305" s="1" t="s">
        <v>8492</v>
      </c>
      <c r="AQ1305" s="1" t="s">
        <v>8493</v>
      </c>
      <c r="AR1305" s="1" t="s">
        <v>8494</v>
      </c>
    </row>
    <row r="1306">
      <c r="A1306" s="2">
        <f ca="1">DATE(2004,06,04)</f>
        <v>0</v>
      </c>
      <c r="B1306" s="2">
        <f ca="1">DATE(2004,09,20)</f>
        <v>0</v>
      </c>
      <c r="C1306" s="1" t="s">
        <v>8495</v>
      </c>
      <c r="D1306" s="3">
        <v>3841</v>
      </c>
      <c r="E1306" s="1" t="s">
        <v>43</v>
      </c>
      <c r="F1306" s="1" t="s">
        <v>8496</v>
      </c>
      <c r="G1306" s="1" t="s">
        <v>8497</v>
      </c>
      <c r="H1306" s="4">
        <v>0.41999999999999998</v>
      </c>
      <c r="I1306" s="8">
        <v>7</v>
      </c>
      <c r="J1306" s="5">
        <v>12.6</v>
      </c>
      <c r="K1306" s="4">
        <v>6</v>
      </c>
      <c r="L1306" s="1" t="s">
        <v>46</v>
      </c>
      <c r="M1306" s="1" t="s">
        <v>47</v>
      </c>
      <c r="N1306" s="3">
        <v>640671103</v>
      </c>
      <c r="O1306" s="1" t="s">
        <v>8498</v>
      </c>
      <c r="P1306" s="1" t="s">
        <v>8499</v>
      </c>
      <c r="Q1306" s="1" t="s">
        <v>145</v>
      </c>
      <c r="R1306" s="1" t="s">
        <v>145</v>
      </c>
      <c r="S1306" s="6">
        <v>4.1666699999999999</v>
      </c>
      <c r="T1306" s="1" t="s">
        <v>50</v>
      </c>
      <c r="U1306" s="8">
        <v>7</v>
      </c>
      <c r="V1306" s="8">
        <v>6</v>
      </c>
      <c r="W1306" s="7">
        <v>2500000</v>
      </c>
      <c r="X1306" s="5">
        <v>16.300000000000001</v>
      </c>
      <c r="Y1306" s="7">
        <v>2100000</v>
      </c>
      <c r="Z1306" s="1"/>
      <c r="AA1306" s="2">
        <f ca="1">DATE(2005,06,17)</f>
        <v>0</v>
      </c>
      <c r="AB1306" s="4">
        <v>82.676000000000002</v>
      </c>
      <c r="AC1306" s="3">
        <v>270</v>
      </c>
      <c r="AD1306" s="8">
        <v>10022072</v>
      </c>
      <c r="AE1306" s="1" t="s">
        <v>51</v>
      </c>
      <c r="AF1306" s="1" t="s">
        <v>51</v>
      </c>
      <c r="AG1306" s="1" t="s">
        <v>47</v>
      </c>
      <c r="AH1306" s="1"/>
      <c r="AI1306" s="1"/>
      <c r="AJ1306" s="3">
        <v>1</v>
      </c>
      <c r="AK1306" s="1" t="s">
        <v>52</v>
      </c>
      <c r="AL1306" s="3">
        <v>2</v>
      </c>
      <c r="AM1306" s="8">
        <v>5.8499999999999996</v>
      </c>
      <c r="AN1306" s="1"/>
      <c r="AO1306" s="1" t="s">
        <v>8500</v>
      </c>
      <c r="AP1306" s="1" t="s">
        <v>8497</v>
      </c>
      <c r="AQ1306" s="1" t="s">
        <v>8501</v>
      </c>
      <c r="AR1306" s="1" t="s">
        <v>8499</v>
      </c>
    </row>
    <row r="1307">
      <c r="A1307" s="2">
        <f ca="1">DATE(2004,05,28)</f>
        <v>0</v>
      </c>
      <c r="B1307" s="2">
        <f ca="1">DATE(2004,09,20)</f>
        <v>0</v>
      </c>
      <c r="C1307" s="1" t="s">
        <v>8502</v>
      </c>
      <c r="D1307" s="3">
        <v>6798</v>
      </c>
      <c r="E1307" s="1" t="s">
        <v>43</v>
      </c>
      <c r="F1307" s="1" t="s">
        <v>8503</v>
      </c>
      <c r="G1307" s="1" t="s">
        <v>84</v>
      </c>
      <c r="H1307" s="4">
        <v>1.1399999999999999</v>
      </c>
      <c r="I1307" s="4">
        <v>5.0110000000000001</v>
      </c>
      <c r="J1307" s="5">
        <v>386.80000000000001</v>
      </c>
      <c r="K1307" s="4">
        <v>22.75</v>
      </c>
      <c r="L1307" s="1" t="s">
        <v>46</v>
      </c>
      <c r="M1307" s="1" t="s">
        <v>47</v>
      </c>
      <c r="N1307" s="1" t="s">
        <v>8504</v>
      </c>
      <c r="O1307" s="1" t="s">
        <v>48</v>
      </c>
      <c r="P1307" s="1" t="s">
        <v>8505</v>
      </c>
      <c r="Q1307" s="4">
        <v>1.0109999999999999</v>
      </c>
      <c r="R1307" s="4">
        <v>1.0109999999999999</v>
      </c>
      <c r="S1307" s="6">
        <v>1.23081</v>
      </c>
      <c r="T1307" s="1" t="s">
        <v>50</v>
      </c>
      <c r="U1307" s="1"/>
      <c r="V1307" s="1"/>
      <c r="W1307" s="1"/>
      <c r="X1307" s="5">
        <v>500</v>
      </c>
      <c r="Y1307" s="7">
        <v>17000000</v>
      </c>
      <c r="Z1307" s="1"/>
      <c r="AA1307" s="2">
        <f ca="1">DATE(2005,01,18)</f>
        <v>0</v>
      </c>
      <c r="AB1307" s="1"/>
      <c r="AC1307" s="3">
        <v>120</v>
      </c>
      <c r="AD1307" s="1"/>
      <c r="AE1307" s="1" t="s">
        <v>51</v>
      </c>
      <c r="AF1307" s="1" t="s">
        <v>51</v>
      </c>
      <c r="AG1307" s="1" t="s">
        <v>51</v>
      </c>
      <c r="AH1307" s="1"/>
      <c r="AI1307" s="1"/>
      <c r="AJ1307" s="3">
        <v>1</v>
      </c>
      <c r="AK1307" s="1" t="s">
        <v>52</v>
      </c>
      <c r="AL1307" s="3">
        <v>4</v>
      </c>
      <c r="AM1307" s="8">
        <v>22.77</v>
      </c>
      <c r="AN1307" s="1"/>
      <c r="AO1307" s="1" t="s">
        <v>8506</v>
      </c>
      <c r="AP1307" s="1" t="s">
        <v>84</v>
      </c>
      <c r="AQ1307" s="1" t="s">
        <v>8507</v>
      </c>
      <c r="AR1307" s="1" t="s">
        <v>8508</v>
      </c>
    </row>
    <row r="1308">
      <c r="A1308" s="2">
        <f ca="1">DATE(2004,05,28)</f>
        <v>0</v>
      </c>
      <c r="B1308" s="2">
        <f ca="1">DATE(2004,09,22)</f>
        <v>0</v>
      </c>
      <c r="C1308" s="1" t="s">
        <v>8509</v>
      </c>
      <c r="D1308" s="3">
        <v>5033</v>
      </c>
      <c r="E1308" s="1" t="s">
        <v>43</v>
      </c>
      <c r="F1308" s="1" t="s">
        <v>8510</v>
      </c>
      <c r="G1308" s="1" t="s">
        <v>400</v>
      </c>
      <c r="H1308" s="4">
        <v>0.91000000000000003</v>
      </c>
      <c r="I1308" s="4">
        <v>7</v>
      </c>
      <c r="J1308" s="5">
        <v>175.5</v>
      </c>
      <c r="K1308" s="4">
        <v>13</v>
      </c>
      <c r="L1308" s="1" t="s">
        <v>46</v>
      </c>
      <c r="M1308" s="1" t="s">
        <v>47</v>
      </c>
      <c r="N1308" s="1" t="s">
        <v>8511</v>
      </c>
      <c r="O1308" s="1" t="s">
        <v>48</v>
      </c>
      <c r="P1308" s="1" t="s">
        <v>8512</v>
      </c>
      <c r="Q1308" s="1" t="s">
        <v>145</v>
      </c>
      <c r="R1308" s="1" t="s">
        <v>145</v>
      </c>
      <c r="S1308" s="8">
        <v>4.2000000000000002</v>
      </c>
      <c r="T1308" s="1" t="s">
        <v>50</v>
      </c>
      <c r="U1308" s="1"/>
      <c r="V1308" s="1"/>
      <c r="W1308" s="1"/>
      <c r="X1308" s="5">
        <v>175</v>
      </c>
      <c r="Y1308" s="7">
        <v>8500000</v>
      </c>
      <c r="Z1308" s="7">
        <v>5000000</v>
      </c>
      <c r="AA1308" s="2">
        <f ca="1">DATE(2005,03,21)</f>
        <v>0</v>
      </c>
      <c r="AB1308" s="4">
        <v>48.238</v>
      </c>
      <c r="AC1308" s="3">
        <v>180</v>
      </c>
      <c r="AD1308" s="8">
        <v>12715215</v>
      </c>
      <c r="AE1308" s="1" t="s">
        <v>51</v>
      </c>
      <c r="AF1308" s="1" t="s">
        <v>51</v>
      </c>
      <c r="AG1308" s="1" t="s">
        <v>51</v>
      </c>
      <c r="AH1308" s="1"/>
      <c r="AI1308" s="1"/>
      <c r="AJ1308" s="3">
        <v>1</v>
      </c>
      <c r="AK1308" s="1" t="s">
        <v>89</v>
      </c>
      <c r="AL1308" s="3">
        <v>5</v>
      </c>
      <c r="AM1308" s="8">
        <v>15.99</v>
      </c>
      <c r="AN1308" s="1"/>
      <c r="AO1308" s="1" t="s">
        <v>8513</v>
      </c>
      <c r="AP1308" s="1" t="s">
        <v>8514</v>
      </c>
      <c r="AQ1308" s="1" t="s">
        <v>8515</v>
      </c>
      <c r="AR1308" s="1" t="s">
        <v>8516</v>
      </c>
    </row>
    <row r="1309">
      <c r="A1309" s="2">
        <f ca="1">DATE(2004,05,14)</f>
        <v>0</v>
      </c>
      <c r="B1309" s="2">
        <f ca="1">DATE(2004,09,22)</f>
        <v>0</v>
      </c>
      <c r="C1309" s="1" t="s">
        <v>8517</v>
      </c>
      <c r="D1309" s="3">
        <v>8299</v>
      </c>
      <c r="E1309" s="1" t="s">
        <v>43</v>
      </c>
      <c r="F1309" s="1" t="s">
        <v>1095</v>
      </c>
      <c r="G1309" s="1" t="s">
        <v>6056</v>
      </c>
      <c r="H1309" s="4">
        <v>0.77000000000000002</v>
      </c>
      <c r="I1309" s="4">
        <v>7</v>
      </c>
      <c r="J1309" s="5">
        <v>165</v>
      </c>
      <c r="K1309" s="4">
        <v>11</v>
      </c>
      <c r="L1309" s="1" t="s">
        <v>46</v>
      </c>
      <c r="M1309" s="1" t="s">
        <v>47</v>
      </c>
      <c r="N1309" s="1" t="s">
        <v>8518</v>
      </c>
      <c r="O1309" s="1" t="s">
        <v>48</v>
      </c>
      <c r="P1309" s="1" t="s">
        <v>8519</v>
      </c>
      <c r="Q1309" s="4">
        <v>1.3999999999999999</v>
      </c>
      <c r="R1309" s="4">
        <v>1.3999999999999999</v>
      </c>
      <c r="S1309" s="8">
        <v>4.2000000000000002</v>
      </c>
      <c r="T1309" s="1" t="s">
        <v>50</v>
      </c>
      <c r="U1309" s="1"/>
      <c r="V1309" s="1"/>
      <c r="W1309" s="1"/>
      <c r="X1309" s="5">
        <v>287.5</v>
      </c>
      <c r="Y1309" s="7">
        <v>5000000</v>
      </c>
      <c r="Z1309" s="7">
        <v>10000000</v>
      </c>
      <c r="AA1309" s="1" t="s">
        <v>8520</v>
      </c>
      <c r="AB1309" s="1" t="s">
        <v>8521</v>
      </c>
      <c r="AC1309" s="1" t="s">
        <v>2068</v>
      </c>
      <c r="AD1309" s="1" t="s">
        <v>8522</v>
      </c>
      <c r="AE1309" s="1" t="s">
        <v>51</v>
      </c>
      <c r="AF1309" s="1" t="s">
        <v>51</v>
      </c>
      <c r="AG1309" s="1" t="s">
        <v>51</v>
      </c>
      <c r="AH1309" s="1"/>
      <c r="AI1309" s="1"/>
      <c r="AJ1309" s="3">
        <v>2</v>
      </c>
      <c r="AK1309" s="1" t="s">
        <v>89</v>
      </c>
      <c r="AL1309" s="3">
        <v>6</v>
      </c>
      <c r="AM1309" s="8">
        <v>11.99</v>
      </c>
      <c r="AN1309" s="1"/>
      <c r="AO1309" s="1" t="s">
        <v>8523</v>
      </c>
      <c r="AP1309" s="1" t="s">
        <v>4884</v>
      </c>
      <c r="AQ1309" s="1" t="s">
        <v>8524</v>
      </c>
      <c r="AR1309" s="1" t="s">
        <v>8525</v>
      </c>
    </row>
    <row r="1310">
      <c r="A1310" s="2">
        <f ca="1">DATE(2004,05,14)</f>
        <v>0</v>
      </c>
      <c r="B1310" s="2">
        <f ca="1">DATE(2004,09,23)</f>
        <v>0</v>
      </c>
      <c r="C1310" s="1" t="s">
        <v>8526</v>
      </c>
      <c r="D1310" s="3">
        <v>7373</v>
      </c>
      <c r="E1310" s="1" t="s">
        <v>43</v>
      </c>
      <c r="F1310" s="1" t="s">
        <v>8527</v>
      </c>
      <c r="G1310" s="1" t="s">
        <v>796</v>
      </c>
      <c r="H1310" s="4">
        <v>0.83999999999999997</v>
      </c>
      <c r="I1310" s="8">
        <v>7</v>
      </c>
      <c r="J1310" s="5">
        <v>216</v>
      </c>
      <c r="K1310" s="4">
        <v>12</v>
      </c>
      <c r="L1310" s="1" t="s">
        <v>46</v>
      </c>
      <c r="M1310" s="1" t="s">
        <v>47</v>
      </c>
      <c r="N1310" s="1" t="s">
        <v>8528</v>
      </c>
      <c r="O1310" s="1" t="s">
        <v>48</v>
      </c>
      <c r="P1310" s="1" t="s">
        <v>8529</v>
      </c>
      <c r="Q1310" s="4">
        <v>1.3999999999999999</v>
      </c>
      <c r="R1310" s="4">
        <v>1.05</v>
      </c>
      <c r="S1310" s="8">
        <v>4.5499999999999998</v>
      </c>
      <c r="T1310" s="1" t="s">
        <v>50</v>
      </c>
      <c r="U1310" s="1"/>
      <c r="V1310" s="1"/>
      <c r="W1310" s="1"/>
      <c r="X1310" s="5">
        <v>150</v>
      </c>
      <c r="Y1310" s="7">
        <v>18000000</v>
      </c>
      <c r="Z1310" s="1"/>
      <c r="AA1310" s="2">
        <f ca="1">DATE(2005,03,22)</f>
        <v>0</v>
      </c>
      <c r="AB1310" s="4">
        <v>74.349000000000004</v>
      </c>
      <c r="AC1310" s="3">
        <v>180</v>
      </c>
      <c r="AD1310" s="8">
        <v>60000000</v>
      </c>
      <c r="AE1310" s="1" t="s">
        <v>51</v>
      </c>
      <c r="AF1310" s="1" t="s">
        <v>51</v>
      </c>
      <c r="AG1310" s="1" t="s">
        <v>51</v>
      </c>
      <c r="AH1310" s="1"/>
      <c r="AI1310" s="1"/>
      <c r="AJ1310" s="3">
        <v>1</v>
      </c>
      <c r="AK1310" s="1" t="s">
        <v>52</v>
      </c>
      <c r="AL1310" s="3">
        <v>5</v>
      </c>
      <c r="AM1310" s="8">
        <v>17.98</v>
      </c>
      <c r="AN1310" s="1"/>
      <c r="AO1310" s="1" t="s">
        <v>8530</v>
      </c>
      <c r="AP1310" s="1" t="s">
        <v>796</v>
      </c>
      <c r="AQ1310" s="1" t="s">
        <v>8531</v>
      </c>
      <c r="AR1310" s="1" t="s">
        <v>8532</v>
      </c>
    </row>
    <row r="1311">
      <c r="A1311" s="2">
        <f ca="1">DATE(2004,07,02)</f>
        <v>0</v>
      </c>
      <c r="B1311" s="2">
        <f ca="1">DATE(2004,09,23)</f>
        <v>0</v>
      </c>
      <c r="C1311" s="1" t="s">
        <v>8533</v>
      </c>
      <c r="D1311" s="3">
        <v>6726</v>
      </c>
      <c r="E1311" s="1" t="s">
        <v>43</v>
      </c>
      <c r="F1311" s="1" t="s">
        <v>8534</v>
      </c>
      <c r="G1311" s="1" t="s">
        <v>45</v>
      </c>
      <c r="H1311" s="4">
        <v>0.67500000000000004</v>
      </c>
      <c r="I1311" s="4">
        <v>4.5</v>
      </c>
      <c r="J1311" s="5">
        <v>365.30000000000001</v>
      </c>
      <c r="K1311" s="4">
        <v>15</v>
      </c>
      <c r="L1311" s="1" t="s">
        <v>46</v>
      </c>
      <c r="M1311" s="1" t="s">
        <v>47</v>
      </c>
      <c r="N1311" s="1" t="s">
        <v>8535</v>
      </c>
      <c r="O1311" s="1" t="s">
        <v>108</v>
      </c>
      <c r="P1311" s="1" t="s">
        <v>8536</v>
      </c>
      <c r="Q1311" s="4">
        <v>0.96699999999999997</v>
      </c>
      <c r="R1311" s="4">
        <v>0.53300000000000003</v>
      </c>
      <c r="S1311" s="8">
        <v>3</v>
      </c>
      <c r="T1311" s="1" t="s">
        <v>50</v>
      </c>
      <c r="U1311" s="8">
        <v>15</v>
      </c>
      <c r="V1311" s="8">
        <v>15</v>
      </c>
      <c r="W1311" s="7">
        <v>66660</v>
      </c>
      <c r="X1311" s="5">
        <v>1</v>
      </c>
      <c r="Y1311" s="7">
        <v>24350000</v>
      </c>
      <c r="Z1311" s="1"/>
      <c r="AA1311" s="2">
        <f ca="1">DATE(2005,03,22)</f>
        <v>0</v>
      </c>
      <c r="AB1311" s="1"/>
      <c r="AC1311" s="3">
        <v>180</v>
      </c>
      <c r="AD1311" s="1"/>
      <c r="AE1311" s="1" t="s">
        <v>51</v>
      </c>
      <c r="AF1311" s="1" t="s">
        <v>51</v>
      </c>
      <c r="AG1311" s="1" t="s">
        <v>51</v>
      </c>
      <c r="AH1311" s="1"/>
      <c r="AI1311" s="1"/>
      <c r="AJ1311" s="3">
        <v>1</v>
      </c>
      <c r="AK1311" s="1" t="s">
        <v>1209</v>
      </c>
      <c r="AL1311" s="3">
        <v>14</v>
      </c>
      <c r="AM1311" s="8">
        <v>15.050000000000001</v>
      </c>
      <c r="AN1311" s="1"/>
      <c r="AO1311" s="1" t="s">
        <v>8537</v>
      </c>
      <c r="AP1311" s="1" t="s">
        <v>8538</v>
      </c>
      <c r="AQ1311" s="1" t="s">
        <v>8539</v>
      </c>
      <c r="AR1311" s="1" t="s">
        <v>8540</v>
      </c>
    </row>
    <row r="1312">
      <c r="A1312" s="2">
        <f ca="1">DATE(2004,07,12)</f>
        <v>0</v>
      </c>
      <c r="B1312" s="2">
        <f ca="1">DATE(2004,09,23)</f>
        <v>0</v>
      </c>
      <c r="C1312" s="1" t="s">
        <v>8541</v>
      </c>
      <c r="D1312" s="3">
        <v>6712</v>
      </c>
      <c r="E1312" s="1" t="s">
        <v>43</v>
      </c>
      <c r="F1312" s="1" t="s">
        <v>8542</v>
      </c>
      <c r="G1312" s="1" t="s">
        <v>2371</v>
      </c>
      <c r="H1312" s="4">
        <v>1.26</v>
      </c>
      <c r="I1312" s="4">
        <v>7</v>
      </c>
      <c r="J1312" s="5">
        <v>16.699999999999999</v>
      </c>
      <c r="K1312" s="4">
        <v>18</v>
      </c>
      <c r="L1312" s="1" t="s">
        <v>46</v>
      </c>
      <c r="M1312" s="1" t="s">
        <v>47</v>
      </c>
      <c r="N1312" s="1" t="s">
        <v>8543</v>
      </c>
      <c r="O1312" s="1" t="s">
        <v>48</v>
      </c>
      <c r="P1312" s="1" t="s">
        <v>8544</v>
      </c>
      <c r="Q1312" s="4">
        <v>2</v>
      </c>
      <c r="R1312" s="4">
        <v>2</v>
      </c>
      <c r="S1312" s="8">
        <v>3</v>
      </c>
      <c r="T1312" s="1" t="s">
        <v>50</v>
      </c>
      <c r="U1312" s="1"/>
      <c r="V1312" s="1"/>
      <c r="W1312" s="1"/>
      <c r="X1312" s="5">
        <v>17.300000000000001</v>
      </c>
      <c r="Y1312" s="7">
        <v>925000</v>
      </c>
      <c r="Z1312" s="1"/>
      <c r="AA1312" s="2">
        <f ca="1">DATE(2005,03,22)</f>
        <v>0</v>
      </c>
      <c r="AB1312" s="4">
        <v>37.701000000000001</v>
      </c>
      <c r="AC1312" s="3">
        <v>180</v>
      </c>
      <c r="AD1312" s="8">
        <v>999267</v>
      </c>
      <c r="AE1312" s="1" t="s">
        <v>51</v>
      </c>
      <c r="AF1312" s="1" t="s">
        <v>51</v>
      </c>
      <c r="AG1312" s="1" t="s">
        <v>51</v>
      </c>
      <c r="AH1312" s="1"/>
      <c r="AI1312" s="1"/>
      <c r="AJ1312" s="3">
        <v>1</v>
      </c>
      <c r="AK1312" s="1" t="s">
        <v>52</v>
      </c>
      <c r="AL1312" s="3">
        <v>1</v>
      </c>
      <c r="AM1312" s="8">
        <v>21.030000000000001</v>
      </c>
      <c r="AN1312" s="1"/>
      <c r="AO1312" s="1" t="s">
        <v>2371</v>
      </c>
      <c r="AP1312" s="1" t="s">
        <v>2371</v>
      </c>
      <c r="AQ1312" s="1" t="s">
        <v>2371</v>
      </c>
      <c r="AR1312" s="1" t="s">
        <v>2374</v>
      </c>
    </row>
    <row r="1313">
      <c r="A1313" s="2">
        <f ca="1">DATE(2004,06,15)</f>
        <v>0</v>
      </c>
      <c r="B1313" s="2">
        <f ca="1">DATE(2004,09,27)</f>
        <v>0</v>
      </c>
      <c r="C1313" s="1" t="s">
        <v>8545</v>
      </c>
      <c r="D1313" s="3">
        <v>6726</v>
      </c>
      <c r="E1313" s="1" t="s">
        <v>43</v>
      </c>
      <c r="F1313" s="1" t="s">
        <v>8546</v>
      </c>
      <c r="G1313" s="1" t="s">
        <v>6569</v>
      </c>
      <c r="H1313" s="4">
        <v>1.25</v>
      </c>
      <c r="I1313" s="4">
        <v>5</v>
      </c>
      <c r="J1313" s="5">
        <v>750</v>
      </c>
      <c r="K1313" s="4">
        <v>25</v>
      </c>
      <c r="L1313" s="1" t="s">
        <v>46</v>
      </c>
      <c r="M1313" s="1" t="s">
        <v>47</v>
      </c>
      <c r="N1313" s="3">
        <v>486606106</v>
      </c>
      <c r="O1313" s="1" t="s">
        <v>108</v>
      </c>
      <c r="P1313" s="1" t="s">
        <v>8547</v>
      </c>
      <c r="Q1313" s="1" t="s">
        <v>145</v>
      </c>
      <c r="R1313" s="1" t="s">
        <v>145</v>
      </c>
      <c r="S1313" s="8">
        <v>3</v>
      </c>
      <c r="T1313" s="1" t="s">
        <v>50</v>
      </c>
      <c r="U1313" s="8">
        <v>20</v>
      </c>
      <c r="V1313" s="8">
        <v>20</v>
      </c>
      <c r="W1313" s="7">
        <v>1000</v>
      </c>
      <c r="X1313" s="5">
        <v>0</v>
      </c>
      <c r="Y1313" s="7">
        <v>30000000</v>
      </c>
      <c r="Z1313" s="1"/>
      <c r="AA1313" s="2">
        <f ca="1">DATE(2005,03,26)</f>
        <v>0</v>
      </c>
      <c r="AB1313" s="1"/>
      <c r="AC1313" s="3">
        <v>180</v>
      </c>
      <c r="AD1313" s="1"/>
      <c r="AE1313" s="1" t="s">
        <v>51</v>
      </c>
      <c r="AF1313" s="1" t="s">
        <v>51</v>
      </c>
      <c r="AG1313" s="1" t="s">
        <v>51</v>
      </c>
      <c r="AH1313" s="1"/>
      <c r="AI1313" s="1"/>
      <c r="AJ1313" s="3">
        <v>2</v>
      </c>
      <c r="AK1313" s="1" t="s">
        <v>89</v>
      </c>
      <c r="AL1313" s="3">
        <v>5</v>
      </c>
      <c r="AM1313" s="8">
        <v>25</v>
      </c>
      <c r="AN1313" s="1"/>
      <c r="AO1313" s="1" t="s">
        <v>8548</v>
      </c>
      <c r="AP1313" s="1" t="s">
        <v>6573</v>
      </c>
      <c r="AQ1313" s="1" t="s">
        <v>8549</v>
      </c>
      <c r="AR1313" s="1" t="s">
        <v>8550</v>
      </c>
    </row>
    <row r="1314">
      <c r="A1314" s="2">
        <f ca="1">DATE(2004,05,27)</f>
        <v>0</v>
      </c>
      <c r="B1314" s="2">
        <f ca="1">DATE(2004,09,27)</f>
        <v>0</v>
      </c>
      <c r="C1314" s="1" t="s">
        <v>8551</v>
      </c>
      <c r="D1314" s="3">
        <v>7372</v>
      </c>
      <c r="E1314" s="1" t="s">
        <v>43</v>
      </c>
      <c r="F1314" s="1" t="s">
        <v>8552</v>
      </c>
      <c r="G1314" s="1" t="s">
        <v>8553</v>
      </c>
      <c r="H1314" s="4">
        <v>0.59499999999999997</v>
      </c>
      <c r="I1314" s="8">
        <v>7</v>
      </c>
      <c r="J1314" s="5">
        <v>42.5</v>
      </c>
      <c r="K1314" s="4">
        <v>8.5</v>
      </c>
      <c r="L1314" s="1" t="s">
        <v>46</v>
      </c>
      <c r="M1314" s="1" t="s">
        <v>47</v>
      </c>
      <c r="N1314" s="3">
        <v>947685103</v>
      </c>
      <c r="O1314" s="1" t="s">
        <v>48</v>
      </c>
      <c r="P1314" s="1" t="s">
        <v>8554</v>
      </c>
      <c r="Q1314" s="4">
        <v>1.4119999999999999</v>
      </c>
      <c r="R1314" s="4">
        <v>1.4710000000000001</v>
      </c>
      <c r="S1314" s="6">
        <v>4.1176500000000003</v>
      </c>
      <c r="T1314" s="1" t="s">
        <v>50</v>
      </c>
      <c r="U1314" s="1"/>
      <c r="V1314" s="1"/>
      <c r="W1314" s="1"/>
      <c r="X1314" s="5">
        <v>57.5</v>
      </c>
      <c r="Y1314" s="7">
        <v>5000000</v>
      </c>
      <c r="Z1314" s="1"/>
      <c r="AA1314" s="2">
        <f ca="1">DATE(2005,03,26)</f>
        <v>0</v>
      </c>
      <c r="AB1314" s="4">
        <v>63.106000000000002</v>
      </c>
      <c r="AC1314" s="3">
        <v>180</v>
      </c>
      <c r="AD1314" s="8">
        <v>9816455</v>
      </c>
      <c r="AE1314" s="1" t="s">
        <v>51</v>
      </c>
      <c r="AF1314" s="1" t="s">
        <v>51</v>
      </c>
      <c r="AG1314" s="1" t="s">
        <v>47</v>
      </c>
      <c r="AH1314" s="1"/>
      <c r="AI1314" s="1"/>
      <c r="AJ1314" s="3">
        <v>2</v>
      </c>
      <c r="AK1314" s="1" t="s">
        <v>89</v>
      </c>
      <c r="AL1314" s="3">
        <v>4</v>
      </c>
      <c r="AM1314" s="8">
        <v>9.4499999999999993</v>
      </c>
      <c r="AN1314" s="1"/>
      <c r="AO1314" s="1" t="s">
        <v>8555</v>
      </c>
      <c r="AP1314" s="1" t="s">
        <v>8556</v>
      </c>
      <c r="AQ1314" s="1" t="s">
        <v>8557</v>
      </c>
      <c r="AR1314" s="1" t="s">
        <v>8554</v>
      </c>
    </row>
    <row r="1315">
      <c r="A1315" s="2">
        <f ca="1">DATE(2004,07,07)</f>
        <v>0</v>
      </c>
      <c r="B1315" s="2">
        <f ca="1">DATE(2004,09,28)</f>
        <v>0</v>
      </c>
      <c r="C1315" s="1" t="s">
        <v>8558</v>
      </c>
      <c r="D1315" s="3">
        <v>7361</v>
      </c>
      <c r="E1315" s="1" t="s">
        <v>744</v>
      </c>
      <c r="F1315" s="1" t="s">
        <v>8559</v>
      </c>
      <c r="G1315" s="1" t="s">
        <v>796</v>
      </c>
      <c r="H1315" s="4">
        <v>0.97999999999999998</v>
      </c>
      <c r="I1315" s="8">
        <v>7</v>
      </c>
      <c r="J1315" s="5">
        <v>73.5</v>
      </c>
      <c r="K1315" s="4">
        <v>14</v>
      </c>
      <c r="L1315" s="1" t="s">
        <v>651</v>
      </c>
      <c r="M1315" s="1" t="s">
        <v>47</v>
      </c>
      <c r="N1315" s="3">
        <v>316827104</v>
      </c>
      <c r="O1315" s="1" t="s">
        <v>48</v>
      </c>
      <c r="P1315" s="1" t="s">
        <v>8560</v>
      </c>
      <c r="Q1315" s="4">
        <v>1.3999999999999999</v>
      </c>
      <c r="R1315" s="4">
        <v>1.05</v>
      </c>
      <c r="S1315" s="8">
        <v>4.5499999999999998</v>
      </c>
      <c r="T1315" s="1" t="s">
        <v>50</v>
      </c>
      <c r="U1315" s="1"/>
      <c r="V1315" s="1"/>
      <c r="W1315" s="1"/>
      <c r="X1315" s="5">
        <v>90</v>
      </c>
      <c r="Y1315" s="7">
        <v>5250000</v>
      </c>
      <c r="Z1315" s="1"/>
      <c r="AA1315" s="1" t="s">
        <v>8561</v>
      </c>
      <c r="AB1315" s="1" t="s">
        <v>8562</v>
      </c>
      <c r="AC1315" s="1" t="s">
        <v>2068</v>
      </c>
      <c r="AD1315" s="1" t="s">
        <v>8563</v>
      </c>
      <c r="AE1315" s="1" t="s">
        <v>47</v>
      </c>
      <c r="AF1315" s="1" t="s">
        <v>51</v>
      </c>
      <c r="AG1315" s="1" t="s">
        <v>47</v>
      </c>
      <c r="AH1315" s="1"/>
      <c r="AI1315" s="1"/>
      <c r="AJ1315" s="3">
        <v>1</v>
      </c>
      <c r="AK1315" s="1" t="s">
        <v>52</v>
      </c>
      <c r="AL1315" s="3">
        <v>4</v>
      </c>
      <c r="AM1315" s="8">
        <v>21.149999999999999</v>
      </c>
      <c r="AN1315" s="1"/>
      <c r="AO1315" s="1" t="s">
        <v>8564</v>
      </c>
      <c r="AP1315" s="1" t="s">
        <v>796</v>
      </c>
      <c r="AQ1315" s="1" t="s">
        <v>8565</v>
      </c>
      <c r="AR1315" s="1" t="s">
        <v>8566</v>
      </c>
    </row>
    <row r="1316">
      <c r="A1316" s="2">
        <f ca="1">DATE(2004,07,02)</f>
        <v>0</v>
      </c>
      <c r="B1316" s="2">
        <f ca="1">DATE(2004,09,28)</f>
        <v>0</v>
      </c>
      <c r="C1316" s="1" t="s">
        <v>8567</v>
      </c>
      <c r="D1316" s="3">
        <v>7372</v>
      </c>
      <c r="E1316" s="1" t="s">
        <v>43</v>
      </c>
      <c r="F1316" s="1" t="s">
        <v>8568</v>
      </c>
      <c r="G1316" s="1" t="s">
        <v>3882</v>
      </c>
      <c r="H1316" s="4">
        <v>1.1200000000000001</v>
      </c>
      <c r="I1316" s="4">
        <v>7</v>
      </c>
      <c r="J1316" s="5">
        <v>88.799999999999997</v>
      </c>
      <c r="K1316" s="4">
        <v>16</v>
      </c>
      <c r="L1316" s="1" t="s">
        <v>46</v>
      </c>
      <c r="M1316" s="1" t="s">
        <v>47</v>
      </c>
      <c r="N1316" s="1" t="s">
        <v>8569</v>
      </c>
      <c r="O1316" s="1" t="s">
        <v>48</v>
      </c>
      <c r="P1316" s="1" t="s">
        <v>8570</v>
      </c>
      <c r="Q1316" s="4">
        <v>1.4379999999999999</v>
      </c>
      <c r="R1316" s="4">
        <v>1.375</v>
      </c>
      <c r="S1316" s="10">
        <v>4.1875</v>
      </c>
      <c r="T1316" s="1" t="s">
        <v>50</v>
      </c>
      <c r="U1316" s="1"/>
      <c r="V1316" s="1"/>
      <c r="W1316" s="1"/>
      <c r="X1316" s="5">
        <v>86.299999999999997</v>
      </c>
      <c r="Y1316" s="7">
        <v>3822173</v>
      </c>
      <c r="Z1316" s="7">
        <v>1727827</v>
      </c>
      <c r="AA1316" s="1" t="s">
        <v>8561</v>
      </c>
      <c r="AB1316" s="1" t="s">
        <v>8571</v>
      </c>
      <c r="AC1316" s="1" t="s">
        <v>2068</v>
      </c>
      <c r="AD1316" s="1" t="s">
        <v>8572</v>
      </c>
      <c r="AE1316" s="1" t="s">
        <v>51</v>
      </c>
      <c r="AF1316" s="1" t="s">
        <v>51</v>
      </c>
      <c r="AG1316" s="1" t="s">
        <v>47</v>
      </c>
      <c r="AH1316" s="1"/>
      <c r="AI1316" s="1"/>
      <c r="AJ1316" s="3">
        <v>2</v>
      </c>
      <c r="AK1316" s="1" t="s">
        <v>89</v>
      </c>
      <c r="AL1316" s="3">
        <v>3</v>
      </c>
      <c r="AM1316" s="8">
        <v>22.510000000000002</v>
      </c>
      <c r="AN1316" s="1"/>
      <c r="AO1316" s="1" t="s">
        <v>8573</v>
      </c>
      <c r="AP1316" s="1" t="s">
        <v>3886</v>
      </c>
      <c r="AQ1316" s="1" t="s">
        <v>8574</v>
      </c>
      <c r="AR1316" s="1" t="s">
        <v>8575</v>
      </c>
    </row>
    <row r="1317">
      <c r="A1317" s="1"/>
      <c r="B1317" s="2">
        <f ca="1">DATE(2004,09,28)</f>
        <v>0</v>
      </c>
      <c r="C1317" s="1" t="s">
        <v>8576</v>
      </c>
      <c r="D1317" s="3">
        <v>4911</v>
      </c>
      <c r="E1317" s="1" t="s">
        <v>1445</v>
      </c>
      <c r="F1317" s="1" t="s">
        <v>8577</v>
      </c>
      <c r="G1317" s="1" t="s">
        <v>8578</v>
      </c>
      <c r="H1317" s="4">
        <v>0.66600000000000004</v>
      </c>
      <c r="I1317" s="4">
        <v>3.7000000000000002</v>
      </c>
      <c r="J1317" s="5">
        <v>171</v>
      </c>
      <c r="K1317" s="4">
        <v>18</v>
      </c>
      <c r="L1317" s="1" t="s">
        <v>651</v>
      </c>
      <c r="M1317" s="1" t="s">
        <v>47</v>
      </c>
      <c r="N1317" s="1" t="s">
        <v>8579</v>
      </c>
      <c r="O1317" s="1" t="s">
        <v>8580</v>
      </c>
      <c r="P1317" s="1" t="s">
        <v>8581</v>
      </c>
      <c r="Q1317" s="4">
        <v>0.755</v>
      </c>
      <c r="R1317" s="4">
        <v>0.73799999999999999</v>
      </c>
      <c r="S1317" s="6">
        <v>2.2066699999999999</v>
      </c>
      <c r="T1317" s="1" t="s">
        <v>50</v>
      </c>
      <c r="U1317" s="1"/>
      <c r="V1317" s="1"/>
      <c r="W1317" s="1"/>
      <c r="X1317" s="1"/>
      <c r="Y1317" s="7">
        <v>7915946</v>
      </c>
      <c r="Z1317" s="7">
        <v>1583190</v>
      </c>
      <c r="AA1317" s="1" t="s">
        <v>8561</v>
      </c>
      <c r="AB1317" s="1" t="s">
        <v>2067</v>
      </c>
      <c r="AC1317" s="1" t="s">
        <v>2068</v>
      </c>
      <c r="AD1317" s="1" t="s">
        <v>2067</v>
      </c>
      <c r="AE1317" s="1" t="s">
        <v>47</v>
      </c>
      <c r="AF1317" s="1" t="s">
        <v>51</v>
      </c>
      <c r="AG1317" s="1" t="s">
        <v>51</v>
      </c>
      <c r="AH1317" s="1"/>
      <c r="AI1317" s="1"/>
      <c r="AJ1317" s="3">
        <v>2</v>
      </c>
      <c r="AK1317" s="1" t="s">
        <v>89</v>
      </c>
      <c r="AL1317" s="3">
        <v>5</v>
      </c>
      <c r="AM1317" s="1"/>
      <c r="AN1317" s="1"/>
      <c r="AO1317" s="1" t="s">
        <v>8582</v>
      </c>
      <c r="AP1317" s="1" t="s">
        <v>8583</v>
      </c>
      <c r="AQ1317" s="1" t="s">
        <v>8584</v>
      </c>
      <c r="AR1317" s="1" t="s">
        <v>8585</v>
      </c>
    </row>
    <row r="1318">
      <c r="A1318" s="2">
        <f ca="1">DATE(2004,05,13)</f>
        <v>0</v>
      </c>
      <c r="B1318" s="2">
        <f ca="1">DATE(2004,09,29)</f>
        <v>0</v>
      </c>
      <c r="C1318" s="1" t="s">
        <v>8586</v>
      </c>
      <c r="D1318" s="3">
        <v>4822</v>
      </c>
      <c r="E1318" s="1" t="s">
        <v>43</v>
      </c>
      <c r="F1318" s="1" t="s">
        <v>8587</v>
      </c>
      <c r="G1318" s="1" t="s">
        <v>5110</v>
      </c>
      <c r="H1318" s="4">
        <v>0.69999999999999996</v>
      </c>
      <c r="I1318" s="8">
        <v>7</v>
      </c>
      <c r="J1318" s="5">
        <v>40</v>
      </c>
      <c r="K1318" s="4">
        <v>10</v>
      </c>
      <c r="L1318" s="1" t="s">
        <v>46</v>
      </c>
      <c r="M1318" s="1" t="s">
        <v>47</v>
      </c>
      <c r="N1318" s="1" t="s">
        <v>8588</v>
      </c>
      <c r="O1318" s="1" t="s">
        <v>48</v>
      </c>
      <c r="P1318" s="1" t="s">
        <v>8589</v>
      </c>
      <c r="Q1318" s="4">
        <v>1.3999999999999999</v>
      </c>
      <c r="R1318" s="4">
        <v>1.3999999999999999</v>
      </c>
      <c r="S1318" s="8">
        <v>4.2000000000000002</v>
      </c>
      <c r="T1318" s="1" t="s">
        <v>50</v>
      </c>
      <c r="U1318" s="1"/>
      <c r="V1318" s="1"/>
      <c r="W1318" s="1"/>
      <c r="X1318" s="5">
        <v>69</v>
      </c>
      <c r="Y1318" s="7">
        <v>4000000</v>
      </c>
      <c r="Z1318" s="1"/>
      <c r="AA1318" s="2">
        <f ca="1">DATE(2005,03,28)</f>
        <v>0</v>
      </c>
      <c r="AB1318" s="1" t="s">
        <v>8590</v>
      </c>
      <c r="AC1318" s="1" t="s">
        <v>7109</v>
      </c>
      <c r="AD1318" s="1" t="s">
        <v>8591</v>
      </c>
      <c r="AE1318" s="1" t="s">
        <v>51</v>
      </c>
      <c r="AF1318" s="1" t="s">
        <v>51</v>
      </c>
      <c r="AG1318" s="1" t="s">
        <v>47</v>
      </c>
      <c r="AH1318" s="1"/>
      <c r="AI1318" s="1"/>
      <c r="AJ1318" s="3">
        <v>1</v>
      </c>
      <c r="AK1318" s="1" t="s">
        <v>52</v>
      </c>
      <c r="AL1318" s="3">
        <v>4</v>
      </c>
      <c r="AM1318" s="3">
        <v>10</v>
      </c>
      <c r="AN1318" s="5">
        <v>10.199999999999999</v>
      </c>
      <c r="AO1318" s="1" t="s">
        <v>8592</v>
      </c>
      <c r="AP1318" s="1" t="s">
        <v>5110</v>
      </c>
      <c r="AQ1318" s="1" t="s">
        <v>8593</v>
      </c>
      <c r="AR1318" s="1" t="s">
        <v>8594</v>
      </c>
    </row>
    <row r="1319">
      <c r="A1319" s="2">
        <f ca="1">DATE(2004,05,07)</f>
        <v>0</v>
      </c>
      <c r="B1319" s="2">
        <f ca="1">DATE(2004,09,29)</f>
        <v>0</v>
      </c>
      <c r="C1319" s="1" t="s">
        <v>8595</v>
      </c>
      <c r="D1319" s="3">
        <v>7376</v>
      </c>
      <c r="E1319" s="1" t="s">
        <v>934</v>
      </c>
      <c r="F1319" s="1" t="s">
        <v>8596</v>
      </c>
      <c r="G1319" s="1" t="s">
        <v>3882</v>
      </c>
      <c r="H1319" s="4">
        <v>0.83999999999999997</v>
      </c>
      <c r="I1319" s="8">
        <v>7</v>
      </c>
      <c r="J1319" s="5">
        <v>140.09999999999999</v>
      </c>
      <c r="K1319" s="4">
        <v>12</v>
      </c>
      <c r="L1319" s="1" t="s">
        <v>46</v>
      </c>
      <c r="M1319" s="1" t="s">
        <v>47</v>
      </c>
      <c r="N1319" s="1" t="s">
        <v>8597</v>
      </c>
      <c r="O1319" s="1" t="s">
        <v>48</v>
      </c>
      <c r="P1319" s="1" t="s">
        <v>8598</v>
      </c>
      <c r="Q1319" s="1" t="s">
        <v>145</v>
      </c>
      <c r="R1319" s="1" t="s">
        <v>145</v>
      </c>
      <c r="S1319" s="6">
        <v>4.1666699999999999</v>
      </c>
      <c r="T1319" s="1" t="s">
        <v>50</v>
      </c>
      <c r="U1319" s="1"/>
      <c r="V1319" s="1"/>
      <c r="W1319" s="1"/>
      <c r="X1319" s="5">
        <v>150</v>
      </c>
      <c r="Y1319" s="7">
        <v>6552774</v>
      </c>
      <c r="Z1319" s="7">
        <v>5119226</v>
      </c>
      <c r="AA1319" s="1" t="s">
        <v>8599</v>
      </c>
      <c r="AB1319" s="1" t="s">
        <v>8600</v>
      </c>
      <c r="AC1319" s="1" t="s">
        <v>2068</v>
      </c>
      <c r="AD1319" s="1" t="s">
        <v>8601</v>
      </c>
      <c r="AE1319" s="1" t="s">
        <v>51</v>
      </c>
      <c r="AF1319" s="1" t="s">
        <v>51</v>
      </c>
      <c r="AG1319" s="1" t="s">
        <v>47</v>
      </c>
      <c r="AH1319" s="1"/>
      <c r="AI1319" s="1"/>
      <c r="AJ1319" s="3">
        <v>2</v>
      </c>
      <c r="AK1319" s="1" t="s">
        <v>89</v>
      </c>
      <c r="AL1319" s="3">
        <v>4</v>
      </c>
      <c r="AM1319" s="8">
        <v>12.6</v>
      </c>
      <c r="AN1319" s="1"/>
      <c r="AO1319" s="1" t="s">
        <v>8602</v>
      </c>
      <c r="AP1319" s="1" t="s">
        <v>3886</v>
      </c>
      <c r="AQ1319" s="1" t="s">
        <v>8603</v>
      </c>
      <c r="AR1319" s="1" t="s">
        <v>8604</v>
      </c>
    </row>
    <row r="1320">
      <c r="A1320" s="2">
        <f ca="1">DATE(2004,09,24)</f>
        <v>0</v>
      </c>
      <c r="B1320" s="2">
        <f ca="1">DATE(2004,09,29)</f>
        <v>0</v>
      </c>
      <c r="C1320" s="1" t="s">
        <v>8605</v>
      </c>
      <c r="D1320" s="3">
        <v>6282</v>
      </c>
      <c r="E1320" s="1" t="s">
        <v>517</v>
      </c>
      <c r="F1320" s="1" t="s">
        <v>8606</v>
      </c>
      <c r="G1320" s="1" t="s">
        <v>813</v>
      </c>
      <c r="H1320" s="4">
        <v>0.94499999999999995</v>
      </c>
      <c r="I1320" s="8">
        <v>7</v>
      </c>
      <c r="J1320" s="5">
        <v>139.69999999999999</v>
      </c>
      <c r="K1320" s="4">
        <v>13.5</v>
      </c>
      <c r="L1320" s="1" t="s">
        <v>46</v>
      </c>
      <c r="M1320" s="1" t="s">
        <v>47</v>
      </c>
      <c r="N1320" s="1" t="s">
        <v>8607</v>
      </c>
      <c r="O1320" s="1" t="s">
        <v>108</v>
      </c>
      <c r="P1320" s="1" t="s">
        <v>8608</v>
      </c>
      <c r="Q1320" s="4">
        <v>1.407</v>
      </c>
      <c r="R1320" s="4">
        <v>1.407</v>
      </c>
      <c r="S1320" s="6">
        <v>4.1851900000000004</v>
      </c>
      <c r="T1320" s="1" t="s">
        <v>50</v>
      </c>
      <c r="U1320" s="1"/>
      <c r="V1320" s="1"/>
      <c r="W1320" s="1"/>
      <c r="X1320" s="5">
        <v>172.5</v>
      </c>
      <c r="Y1320" s="7">
        <v>9143493</v>
      </c>
      <c r="Z1320" s="7">
        <v>1201335</v>
      </c>
      <c r="AA1320" s="1" t="s">
        <v>8609</v>
      </c>
      <c r="AB1320" s="1" t="s">
        <v>8610</v>
      </c>
      <c r="AC1320" s="1" t="s">
        <v>8611</v>
      </c>
      <c r="AD1320" s="1" t="s">
        <v>8612</v>
      </c>
      <c r="AE1320" s="1" t="s">
        <v>51</v>
      </c>
      <c r="AF1320" s="1" t="s">
        <v>51</v>
      </c>
      <c r="AG1320" s="1" t="s">
        <v>51</v>
      </c>
      <c r="AH1320" s="1"/>
      <c r="AI1320" s="1"/>
      <c r="AJ1320" s="3">
        <v>1</v>
      </c>
      <c r="AK1320" s="1" t="s">
        <v>89</v>
      </c>
      <c r="AL1320" s="3">
        <v>6</v>
      </c>
      <c r="AM1320" s="8">
        <v>13.5</v>
      </c>
      <c r="AN1320" s="1"/>
      <c r="AO1320" s="1" t="s">
        <v>8613</v>
      </c>
      <c r="AP1320" s="1" t="s">
        <v>8614</v>
      </c>
      <c r="AQ1320" s="1" t="s">
        <v>8615</v>
      </c>
      <c r="AR1320" s="1" t="s">
        <v>8616</v>
      </c>
    </row>
    <row r="1321">
      <c r="A1321" s="2">
        <f ca="1">DATE(2004,05,12)</f>
        <v>0</v>
      </c>
      <c r="B1321" s="2">
        <f ca="1">DATE(2004,09,30)</f>
        <v>0</v>
      </c>
      <c r="C1321" s="1" t="s">
        <v>8617</v>
      </c>
      <c r="D1321" s="3">
        <v>7372</v>
      </c>
      <c r="E1321" s="1" t="s">
        <v>43</v>
      </c>
      <c r="F1321" s="1" t="s">
        <v>8618</v>
      </c>
      <c r="G1321" s="1" t="s">
        <v>8619</v>
      </c>
      <c r="H1321" s="4">
        <v>0.46800000000000003</v>
      </c>
      <c r="I1321" s="4">
        <v>8.5</v>
      </c>
      <c r="J1321" s="5">
        <v>9.9000000000000004</v>
      </c>
      <c r="K1321" s="4">
        <v>5.5</v>
      </c>
      <c r="L1321" s="1" t="s">
        <v>8620</v>
      </c>
      <c r="M1321" s="1" t="s">
        <v>47</v>
      </c>
      <c r="N1321" s="1" t="s">
        <v>8621</v>
      </c>
      <c r="O1321" s="1" t="s">
        <v>87</v>
      </c>
      <c r="P1321" s="1" t="s">
        <v>8622</v>
      </c>
      <c r="Q1321" s="1" t="s">
        <v>145</v>
      </c>
      <c r="R1321" s="1" t="s">
        <v>145</v>
      </c>
      <c r="S1321" s="6">
        <v>5.09091</v>
      </c>
      <c r="T1321" s="1" t="s">
        <v>50</v>
      </c>
      <c r="U1321" s="8">
        <v>5</v>
      </c>
      <c r="V1321" s="8">
        <v>5</v>
      </c>
      <c r="W1321" s="7">
        <v>1500000</v>
      </c>
      <c r="X1321" s="5">
        <v>7.5</v>
      </c>
      <c r="Y1321" s="7">
        <v>1800000</v>
      </c>
      <c r="Z1321" s="1"/>
      <c r="AA1321" s="1" t="s">
        <v>8623</v>
      </c>
      <c r="AB1321" s="1" t="s">
        <v>8624</v>
      </c>
      <c r="AC1321" s="1" t="s">
        <v>3966</v>
      </c>
      <c r="AD1321" s="1" t="s">
        <v>8625</v>
      </c>
      <c r="AE1321" s="1" t="s">
        <v>51</v>
      </c>
      <c r="AF1321" s="1" t="s">
        <v>47</v>
      </c>
      <c r="AG1321" s="1" t="s">
        <v>51</v>
      </c>
      <c r="AH1321" s="1"/>
      <c r="AI1321" s="1"/>
      <c r="AJ1321" s="3">
        <v>1</v>
      </c>
      <c r="AK1321" s="1" t="s">
        <v>52</v>
      </c>
      <c r="AL1321" s="3">
        <v>2</v>
      </c>
      <c r="AM1321" s="8">
        <v>5.5</v>
      </c>
      <c r="AN1321" s="1"/>
      <c r="AO1321" s="1" t="s">
        <v>8626</v>
      </c>
      <c r="AP1321" s="1" t="s">
        <v>8619</v>
      </c>
      <c r="AQ1321" s="1" t="s">
        <v>8627</v>
      </c>
      <c r="AR1321" s="1" t="s">
        <v>8628</v>
      </c>
    </row>
    <row r="1322">
      <c r="A1322" s="2">
        <f ca="1">DATE(2004,04,22)</f>
        <v>0</v>
      </c>
      <c r="B1322" s="2">
        <f ca="1">DATE(2004,09,30)</f>
        <v>0</v>
      </c>
      <c r="C1322" s="1" t="s">
        <v>8629</v>
      </c>
      <c r="D1322" s="3">
        <v>6798</v>
      </c>
      <c r="E1322" s="1" t="s">
        <v>43</v>
      </c>
      <c r="F1322" s="1" t="s">
        <v>8630</v>
      </c>
      <c r="G1322" s="1" t="s">
        <v>8631</v>
      </c>
      <c r="H1322" s="4">
        <v>3.0449999999999999</v>
      </c>
      <c r="I1322" s="4">
        <v>5.25</v>
      </c>
      <c r="J1322" s="5">
        <v>783</v>
      </c>
      <c r="K1322" s="4">
        <v>58</v>
      </c>
      <c r="L1322" s="1" t="s">
        <v>46</v>
      </c>
      <c r="M1322" s="1" t="s">
        <v>47</v>
      </c>
      <c r="N1322" s="1" t="s">
        <v>8632</v>
      </c>
      <c r="O1322" s="1" t="s">
        <v>108</v>
      </c>
      <c r="P1322" s="1" t="s">
        <v>8633</v>
      </c>
      <c r="Q1322" s="4">
        <v>1.0600000000000001</v>
      </c>
      <c r="R1322" s="4">
        <v>1.0600000000000001</v>
      </c>
      <c r="S1322" s="10">
        <v>3.1379000000000001</v>
      </c>
      <c r="T1322" s="1" t="s">
        <v>50</v>
      </c>
      <c r="U1322" s="1"/>
      <c r="V1322" s="1"/>
      <c r="W1322" s="1"/>
      <c r="X1322" s="5">
        <v>862.5</v>
      </c>
      <c r="Y1322" s="7">
        <v>13500000</v>
      </c>
      <c r="Z1322" s="1"/>
      <c r="AA1322" s="2">
        <f ca="1">DATE(2004,12,29)</f>
        <v>0</v>
      </c>
      <c r="AB1322" s="1"/>
      <c r="AC1322" s="3">
        <v>90</v>
      </c>
      <c r="AD1322" s="1"/>
      <c r="AE1322" s="1" t="s">
        <v>51</v>
      </c>
      <c r="AF1322" s="1" t="s">
        <v>51</v>
      </c>
      <c r="AG1322" s="1" t="s">
        <v>51</v>
      </c>
      <c r="AH1322" s="1"/>
      <c r="AI1322" s="1"/>
      <c r="AJ1322" s="3">
        <v>2</v>
      </c>
      <c r="AK1322" s="1" t="s">
        <v>89</v>
      </c>
      <c r="AL1322" s="3">
        <v>8</v>
      </c>
      <c r="AM1322" s="1"/>
      <c r="AN1322" s="1"/>
      <c r="AO1322" s="1" t="s">
        <v>8634</v>
      </c>
      <c r="AP1322" s="1" t="s">
        <v>8635</v>
      </c>
      <c r="AQ1322" s="1" t="s">
        <v>8636</v>
      </c>
      <c r="AR1322" s="1" t="s">
        <v>8637</v>
      </c>
    </row>
    <row r="1323">
      <c r="A1323" s="2">
        <f ca="1">DATE(2004,05,10)</f>
        <v>0</v>
      </c>
      <c r="B1323" s="2">
        <f ca="1">DATE(2004,09,30)</f>
        <v>0</v>
      </c>
      <c r="C1323" s="1" t="s">
        <v>8638</v>
      </c>
      <c r="D1323" s="3">
        <v>7379</v>
      </c>
      <c r="E1323" s="1" t="s">
        <v>43</v>
      </c>
      <c r="F1323" s="1" t="s">
        <v>8639</v>
      </c>
      <c r="G1323" s="1" t="s">
        <v>75</v>
      </c>
      <c r="H1323" s="4">
        <v>0.48999999999999999</v>
      </c>
      <c r="I1323" s="8">
        <v>7</v>
      </c>
      <c r="J1323" s="5">
        <v>47.700000000000003</v>
      </c>
      <c r="K1323" s="4">
        <v>7</v>
      </c>
      <c r="L1323" s="1" t="s">
        <v>46</v>
      </c>
      <c r="M1323" s="1" t="s">
        <v>47</v>
      </c>
      <c r="N1323" s="3">
        <v>712714302</v>
      </c>
      <c r="O1323" s="1" t="s">
        <v>48</v>
      </c>
      <c r="P1323" s="1" t="s">
        <v>8640</v>
      </c>
      <c r="Q1323" s="1" t="s">
        <v>145</v>
      </c>
      <c r="R1323" s="1" t="s">
        <v>145</v>
      </c>
      <c r="S1323" s="8">
        <v>4</v>
      </c>
      <c r="T1323" s="1" t="s">
        <v>50</v>
      </c>
      <c r="U1323" s="1"/>
      <c r="V1323" s="1"/>
      <c r="W1323" s="1"/>
      <c r="X1323" s="5">
        <v>86.299999999999997</v>
      </c>
      <c r="Y1323" s="7">
        <v>4745727</v>
      </c>
      <c r="Z1323" s="7">
        <v>2072455</v>
      </c>
      <c r="AA1323" s="1" t="s">
        <v>8641</v>
      </c>
      <c r="AB1323" s="1" t="s">
        <v>8642</v>
      </c>
      <c r="AC1323" s="1" t="s">
        <v>8643</v>
      </c>
      <c r="AD1323" s="1" t="s">
        <v>8644</v>
      </c>
      <c r="AE1323" s="1" t="s">
        <v>51</v>
      </c>
      <c r="AF1323" s="1" t="s">
        <v>51</v>
      </c>
      <c r="AG1323" s="1" t="s">
        <v>47</v>
      </c>
      <c r="AH1323" s="1"/>
      <c r="AI1323" s="1"/>
      <c r="AJ1323" s="3">
        <v>1</v>
      </c>
      <c r="AK1323" s="1" t="s">
        <v>52</v>
      </c>
      <c r="AL1323" s="3">
        <v>4</v>
      </c>
      <c r="AM1323" s="8">
        <v>6.7300000000000004</v>
      </c>
      <c r="AN1323" s="1"/>
      <c r="AO1323" s="1" t="s">
        <v>8645</v>
      </c>
      <c r="AP1323" s="1" t="s">
        <v>75</v>
      </c>
      <c r="AQ1323" s="1" t="s">
        <v>8646</v>
      </c>
      <c r="AR1323" s="1" t="s">
        <v>8647</v>
      </c>
    </row>
    <row r="1324">
      <c r="A1324" s="2">
        <f ca="1">DATE(2004,05,06)</f>
        <v>0</v>
      </c>
      <c r="B1324" s="2">
        <f ca="1">DATE(2004,10,01)</f>
        <v>0</v>
      </c>
      <c r="C1324" s="1" t="s">
        <v>8648</v>
      </c>
      <c r="D1324" s="3">
        <v>6798</v>
      </c>
      <c r="E1324" s="1" t="s">
        <v>43</v>
      </c>
      <c r="F1324" s="1" t="s">
        <v>8649</v>
      </c>
      <c r="G1324" s="1" t="s">
        <v>8650</v>
      </c>
      <c r="H1324" s="4">
        <v>0.63400000000000001</v>
      </c>
      <c r="I1324" s="4">
        <v>6.5</v>
      </c>
      <c r="J1324" s="5">
        <v>142.19999999999999</v>
      </c>
      <c r="K1324" s="4">
        <v>9.75</v>
      </c>
      <c r="L1324" s="1" t="s">
        <v>46</v>
      </c>
      <c r="M1324" s="1" t="s">
        <v>47</v>
      </c>
      <c r="N1324" s="1" t="s">
        <v>8651</v>
      </c>
      <c r="O1324" s="1" t="s">
        <v>108</v>
      </c>
      <c r="P1324" s="1" t="s">
        <v>8652</v>
      </c>
      <c r="Q1324" s="1" t="s">
        <v>145</v>
      </c>
      <c r="R1324" s="1" t="s">
        <v>145</v>
      </c>
      <c r="S1324" s="6">
        <v>3.79487</v>
      </c>
      <c r="T1324" s="1" t="s">
        <v>50</v>
      </c>
      <c r="U1324" s="1"/>
      <c r="V1324" s="1"/>
      <c r="W1324" s="1"/>
      <c r="X1324" s="5">
        <v>240</v>
      </c>
      <c r="Y1324" s="7">
        <v>14583333</v>
      </c>
      <c r="Z1324" s="1"/>
      <c r="AA1324" s="2">
        <f ca="1">DATE(2005,03,30)</f>
        <v>0</v>
      </c>
      <c r="AB1324" s="4">
        <v>2.0459999999999998</v>
      </c>
      <c r="AC1324" s="3">
        <v>180</v>
      </c>
      <c r="AD1324" s="8">
        <v>354872</v>
      </c>
      <c r="AE1324" s="1" t="s">
        <v>51</v>
      </c>
      <c r="AF1324" s="1" t="s">
        <v>51</v>
      </c>
      <c r="AG1324" s="1" t="s">
        <v>51</v>
      </c>
      <c r="AH1324" s="1"/>
      <c r="AI1324" s="1"/>
      <c r="AJ1324" s="3">
        <v>2</v>
      </c>
      <c r="AK1324" s="1" t="s">
        <v>89</v>
      </c>
      <c r="AL1324" s="3">
        <v>5</v>
      </c>
      <c r="AM1324" s="8">
        <v>10.25</v>
      </c>
      <c r="AN1324" s="1"/>
      <c r="AO1324" s="1" t="s">
        <v>8653</v>
      </c>
      <c r="AP1324" s="1" t="s">
        <v>8654</v>
      </c>
      <c r="AQ1324" s="1" t="s">
        <v>8655</v>
      </c>
      <c r="AR1324" s="1" t="s">
        <v>8656</v>
      </c>
    </row>
    <row r="1325">
      <c r="A1325" s="2">
        <f ca="1">DATE(2004,10,04)</f>
        <v>0</v>
      </c>
      <c r="B1325" s="2">
        <f ca="1">DATE(2004,10,04)</f>
        <v>0</v>
      </c>
      <c r="C1325" s="1" t="s">
        <v>8657</v>
      </c>
      <c r="D1325" s="3">
        <v>5812</v>
      </c>
      <c r="E1325" s="1" t="s">
        <v>43</v>
      </c>
      <c r="F1325" s="1" t="s">
        <v>8658</v>
      </c>
      <c r="G1325" s="1" t="s">
        <v>8659</v>
      </c>
      <c r="H1325" s="4">
        <v>1.2250000000000001</v>
      </c>
      <c r="I1325" s="4">
        <v>7</v>
      </c>
      <c r="J1325" s="5">
        <v>159.40000000000001</v>
      </c>
      <c r="K1325" s="4">
        <v>17.5</v>
      </c>
      <c r="L1325" s="1" t="s">
        <v>152</v>
      </c>
      <c r="M1325" s="1" t="s">
        <v>47</v>
      </c>
      <c r="N1325" s="3">
        <v>882681109</v>
      </c>
      <c r="O1325" s="1" t="s">
        <v>48</v>
      </c>
      <c r="P1325" s="1" t="s">
        <v>8660</v>
      </c>
      <c r="Q1325" s="4">
        <v>1.3999999999999999</v>
      </c>
      <c r="R1325" s="4">
        <v>1.3999999999999999</v>
      </c>
      <c r="S1325" s="6">
        <v>0.77142999999999995</v>
      </c>
      <c r="T1325" s="1" t="s">
        <v>50</v>
      </c>
      <c r="U1325" s="1"/>
      <c r="V1325" s="1"/>
      <c r="W1325" s="1"/>
      <c r="X1325" s="5">
        <v>230</v>
      </c>
      <c r="Y1325" s="7">
        <v>6250000</v>
      </c>
      <c r="Z1325" s="7">
        <v>2858408</v>
      </c>
      <c r="AA1325" s="1" t="s">
        <v>8661</v>
      </c>
      <c r="AB1325" s="1" t="s">
        <v>8662</v>
      </c>
      <c r="AC1325" s="1" t="s">
        <v>7759</v>
      </c>
      <c r="AD1325" s="1" t="s">
        <v>8663</v>
      </c>
      <c r="AE1325" s="1" t="s">
        <v>51</v>
      </c>
      <c r="AF1325" s="1" t="s">
        <v>51</v>
      </c>
      <c r="AG1325" s="1" t="s">
        <v>51</v>
      </c>
      <c r="AH1325" s="1"/>
      <c r="AI1325" s="1"/>
      <c r="AJ1325" s="3">
        <v>2</v>
      </c>
      <c r="AK1325" s="1" t="s">
        <v>89</v>
      </c>
      <c r="AL1325" s="3">
        <v>4</v>
      </c>
      <c r="AM1325" s="8">
        <v>22.460000000000001</v>
      </c>
      <c r="AN1325" s="1"/>
      <c r="AO1325" s="1" t="s">
        <v>8664</v>
      </c>
      <c r="AP1325" s="1" t="s">
        <v>8665</v>
      </c>
      <c r="AQ1325" s="1" t="s">
        <v>8666</v>
      </c>
      <c r="AR1325" s="1" t="s">
        <v>8667</v>
      </c>
    </row>
    <row r="1326">
      <c r="A1326" s="2">
        <f ca="1">DATE(2004,04,21)</f>
        <v>0</v>
      </c>
      <c r="B1326" s="2">
        <f ca="1">DATE(2004,10,05)</f>
        <v>0</v>
      </c>
      <c r="C1326" s="1" t="s">
        <v>8668</v>
      </c>
      <c r="D1326" s="3">
        <v>6726</v>
      </c>
      <c r="E1326" s="1" t="s">
        <v>43</v>
      </c>
      <c r="F1326" s="1" t="s">
        <v>8669</v>
      </c>
      <c r="G1326" s="1" t="s">
        <v>6216</v>
      </c>
      <c r="H1326" s="4">
        <v>0.67500000000000004</v>
      </c>
      <c r="I1326" s="4">
        <v>4.5</v>
      </c>
      <c r="J1326" s="5">
        <v>165</v>
      </c>
      <c r="K1326" s="4">
        <v>15</v>
      </c>
      <c r="L1326" s="1" t="s">
        <v>46</v>
      </c>
      <c r="M1326" s="1" t="s">
        <v>47</v>
      </c>
      <c r="N1326" s="1" t="s">
        <v>8670</v>
      </c>
      <c r="O1326" s="1" t="s">
        <v>48</v>
      </c>
      <c r="P1326" s="1" t="s">
        <v>8671</v>
      </c>
      <c r="Q1326" s="4">
        <v>0.96699999999999997</v>
      </c>
      <c r="R1326" s="4">
        <v>0.53300000000000003</v>
      </c>
      <c r="S1326" s="8">
        <v>3</v>
      </c>
      <c r="T1326" s="1" t="s">
        <v>50</v>
      </c>
      <c r="U1326" s="1"/>
      <c r="V1326" s="1"/>
      <c r="W1326" s="7">
        <v>17000000</v>
      </c>
      <c r="X1326" s="5">
        <v>382.5</v>
      </c>
      <c r="Y1326" s="7">
        <v>11000000</v>
      </c>
      <c r="Z1326" s="1"/>
      <c r="AA1326" s="2">
        <f ca="1">DATE(2005,04,03)</f>
        <v>0</v>
      </c>
      <c r="AB1326" s="4">
        <v>0.60299999999999998</v>
      </c>
      <c r="AC1326" s="3">
        <v>180</v>
      </c>
      <c r="AD1326" s="8">
        <v>66767</v>
      </c>
      <c r="AE1326" s="1" t="s">
        <v>51</v>
      </c>
      <c r="AF1326" s="1" t="s">
        <v>51</v>
      </c>
      <c r="AG1326" s="1" t="s">
        <v>51</v>
      </c>
      <c r="AH1326" s="1"/>
      <c r="AI1326" s="1" t="s">
        <v>8672</v>
      </c>
      <c r="AJ1326" s="3">
        <v>2</v>
      </c>
      <c r="AK1326" s="1" t="s">
        <v>89</v>
      </c>
      <c r="AL1326" s="3">
        <v>3</v>
      </c>
      <c r="AM1326" s="8">
        <v>15.02</v>
      </c>
      <c r="AN1326" s="1"/>
      <c r="AO1326" s="1" t="s">
        <v>8673</v>
      </c>
      <c r="AP1326" s="1" t="s">
        <v>6220</v>
      </c>
      <c r="AQ1326" s="1" t="s">
        <v>8674</v>
      </c>
      <c r="AR1326" s="1" t="s">
        <v>8675</v>
      </c>
    </row>
    <row r="1327">
      <c r="A1327" s="2">
        <f ca="1">DATE(2004,06,10)</f>
        <v>0</v>
      </c>
      <c r="B1327" s="2">
        <f ca="1">DATE(2004,10,05)</f>
        <v>0</v>
      </c>
      <c r="C1327" s="1" t="s">
        <v>8676</v>
      </c>
      <c r="D1327" s="3">
        <v>2834</v>
      </c>
      <c r="E1327" s="1" t="s">
        <v>43</v>
      </c>
      <c r="F1327" s="1" t="s">
        <v>8677</v>
      </c>
      <c r="G1327" s="1" t="s">
        <v>45</v>
      </c>
      <c r="H1327" s="4">
        <v>1.1200000000000001</v>
      </c>
      <c r="I1327" s="4">
        <v>7</v>
      </c>
      <c r="J1327" s="5">
        <v>98.400000000000006</v>
      </c>
      <c r="K1327" s="4">
        <v>16</v>
      </c>
      <c r="L1327" s="1" t="s">
        <v>46</v>
      </c>
      <c r="M1327" s="1" t="s">
        <v>47</v>
      </c>
      <c r="N1327" s="1" t="s">
        <v>8678</v>
      </c>
      <c r="O1327" s="1" t="s">
        <v>48</v>
      </c>
      <c r="P1327" s="1" t="s">
        <v>8679</v>
      </c>
      <c r="Q1327" s="4">
        <v>1.4379999999999999</v>
      </c>
      <c r="R1327" s="4">
        <v>1.375</v>
      </c>
      <c r="S1327" s="10">
        <v>4.1875</v>
      </c>
      <c r="T1327" s="1" t="s">
        <v>50</v>
      </c>
      <c r="U1327" s="1"/>
      <c r="V1327" s="1"/>
      <c r="W1327" s="1"/>
      <c r="X1327" s="5">
        <v>96</v>
      </c>
      <c r="Y1327" s="7">
        <v>6150000</v>
      </c>
      <c r="Z1327" s="1"/>
      <c r="AA1327" s="2">
        <f ca="1">DATE(2005,04,03)</f>
        <v>0</v>
      </c>
      <c r="AB1327" s="4">
        <v>72.730999999999995</v>
      </c>
      <c r="AC1327" s="3">
        <v>180</v>
      </c>
      <c r="AD1327" s="8">
        <v>38457626</v>
      </c>
      <c r="AE1327" s="1" t="s">
        <v>51</v>
      </c>
      <c r="AF1327" s="1" t="s">
        <v>51</v>
      </c>
      <c r="AG1327" s="1" t="s">
        <v>47</v>
      </c>
      <c r="AH1327" s="1"/>
      <c r="AI1327" s="1"/>
      <c r="AJ1327" s="3">
        <v>1</v>
      </c>
      <c r="AK1327" s="1" t="s">
        <v>89</v>
      </c>
      <c r="AL1327" s="3">
        <v>4</v>
      </c>
      <c r="AM1327" s="8">
        <v>18.109999999999999</v>
      </c>
      <c r="AN1327" s="1"/>
      <c r="AO1327" s="1" t="s">
        <v>8680</v>
      </c>
      <c r="AP1327" s="1" t="s">
        <v>3428</v>
      </c>
      <c r="AQ1327" s="1" t="s">
        <v>8681</v>
      </c>
      <c r="AR1327" s="1" t="s">
        <v>8682</v>
      </c>
    </row>
    <row r="1328">
      <c r="A1328" s="2">
        <f ca="1">DATE(2004,06,01)</f>
        <v>0</v>
      </c>
      <c r="B1328" s="2">
        <f ca="1">DATE(2004,10,06)</f>
        <v>0</v>
      </c>
      <c r="C1328" s="1" t="s">
        <v>8683</v>
      </c>
      <c r="D1328" s="3">
        <v>2015</v>
      </c>
      <c r="E1328" s="1" t="s">
        <v>43</v>
      </c>
      <c r="F1328" s="1" t="s">
        <v>8684</v>
      </c>
      <c r="G1328" s="1" t="s">
        <v>45</v>
      </c>
      <c r="H1328" s="4">
        <v>0.71499999999999997</v>
      </c>
      <c r="I1328" s="4">
        <v>6.5</v>
      </c>
      <c r="J1328" s="5">
        <v>132</v>
      </c>
      <c r="K1328" s="4">
        <v>11</v>
      </c>
      <c r="L1328" s="1" t="s">
        <v>46</v>
      </c>
      <c r="M1328" s="1" t="s">
        <v>47</v>
      </c>
      <c r="N1328" s="3">
        <v>380614107</v>
      </c>
      <c r="O1328" s="1" t="s">
        <v>48</v>
      </c>
      <c r="P1328" s="1" t="s">
        <v>8685</v>
      </c>
      <c r="Q1328" s="4">
        <v>1.3640000000000001</v>
      </c>
      <c r="R1328" s="4">
        <v>1.3180000000000001</v>
      </c>
      <c r="S1328" s="6">
        <v>3.8181799999999999</v>
      </c>
      <c r="T1328" s="1" t="s">
        <v>50</v>
      </c>
      <c r="U1328" s="8">
        <v>16</v>
      </c>
      <c r="V1328" s="8">
        <v>14</v>
      </c>
      <c r="W1328" s="7">
        <v>18000000</v>
      </c>
      <c r="X1328" s="5">
        <v>270</v>
      </c>
      <c r="Y1328" s="7">
        <v>12000000</v>
      </c>
      <c r="Z1328" s="1"/>
      <c r="AA1328" s="1" t="s">
        <v>8686</v>
      </c>
      <c r="AB1328" s="1" t="s">
        <v>5265</v>
      </c>
      <c r="AC1328" s="1" t="s">
        <v>8687</v>
      </c>
      <c r="AD1328" s="1" t="s">
        <v>5265</v>
      </c>
      <c r="AE1328" s="1" t="s">
        <v>51</v>
      </c>
      <c r="AF1328" s="1" t="s">
        <v>51</v>
      </c>
      <c r="AG1328" s="1" t="s">
        <v>51</v>
      </c>
      <c r="AH1328" s="1"/>
      <c r="AI1328" s="1"/>
      <c r="AJ1328" s="3">
        <v>1</v>
      </c>
      <c r="AK1328" s="1" t="s">
        <v>52</v>
      </c>
      <c r="AL1328" s="3">
        <v>5</v>
      </c>
      <c r="AM1328" s="8">
        <v>11.4</v>
      </c>
      <c r="AN1328" s="1"/>
      <c r="AO1328" s="1" t="s">
        <v>8688</v>
      </c>
      <c r="AP1328" s="1" t="s">
        <v>45</v>
      </c>
      <c r="AQ1328" s="1" t="s">
        <v>8689</v>
      </c>
      <c r="AR1328" s="1" t="s">
        <v>8690</v>
      </c>
    </row>
    <row r="1329">
      <c r="A1329" s="2">
        <f ca="1">DATE(2004,10,05)</f>
        <v>0</v>
      </c>
      <c r="B1329" s="2">
        <f ca="1">DATE(2004,10,06)</f>
        <v>0</v>
      </c>
      <c r="C1329" s="1" t="s">
        <v>8691</v>
      </c>
      <c r="D1329" s="3">
        <v>3845</v>
      </c>
      <c r="E1329" s="1" t="s">
        <v>43</v>
      </c>
      <c r="F1329" s="1" t="s">
        <v>8692</v>
      </c>
      <c r="G1329" s="1" t="s">
        <v>1297</v>
      </c>
      <c r="H1329" s="4">
        <v>0.91000000000000003</v>
      </c>
      <c r="I1329" s="4">
        <v>7</v>
      </c>
      <c r="J1329" s="5">
        <v>86.299999999999997</v>
      </c>
      <c r="K1329" s="4">
        <v>13</v>
      </c>
      <c r="L1329" s="1" t="s">
        <v>46</v>
      </c>
      <c r="M1329" s="1" t="s">
        <v>47</v>
      </c>
      <c r="N1329" s="3">
        <v>461169104</v>
      </c>
      <c r="O1329" s="1" t="s">
        <v>48</v>
      </c>
      <c r="P1329" s="1" t="s">
        <v>8693</v>
      </c>
      <c r="Q1329" s="4">
        <v>1.3999999999999999</v>
      </c>
      <c r="R1329" s="4">
        <v>1.3999999999999999</v>
      </c>
      <c r="S1329" s="8">
        <v>4.2000000000000002</v>
      </c>
      <c r="T1329" s="1" t="s">
        <v>50</v>
      </c>
      <c r="U1329" s="1"/>
      <c r="V1329" s="1"/>
      <c r="W1329" s="1"/>
      <c r="X1329" s="5">
        <v>92</v>
      </c>
      <c r="Y1329" s="7">
        <v>6300000</v>
      </c>
      <c r="Z1329" s="7">
        <v>336314</v>
      </c>
      <c r="AA1329" s="1" t="s">
        <v>8694</v>
      </c>
      <c r="AB1329" s="1" t="s">
        <v>8695</v>
      </c>
      <c r="AC1329" s="1" t="s">
        <v>8611</v>
      </c>
      <c r="AD1329" s="1" t="s">
        <v>8696</v>
      </c>
      <c r="AE1329" s="1" t="s">
        <v>51</v>
      </c>
      <c r="AF1329" s="1" t="s">
        <v>51</v>
      </c>
      <c r="AG1329" s="1" t="s">
        <v>47</v>
      </c>
      <c r="AH1329" s="1"/>
      <c r="AI1329" s="1"/>
      <c r="AJ1329" s="3">
        <v>1</v>
      </c>
      <c r="AK1329" s="1" t="s">
        <v>52</v>
      </c>
      <c r="AL1329" s="3">
        <v>4</v>
      </c>
      <c r="AM1329" s="8">
        <v>16.25</v>
      </c>
      <c r="AN1329" s="1"/>
      <c r="AO1329" s="1" t="s">
        <v>8697</v>
      </c>
      <c r="AP1329" s="1" t="s">
        <v>1297</v>
      </c>
      <c r="AQ1329" s="1" t="s">
        <v>8698</v>
      </c>
      <c r="AR1329" s="1" t="s">
        <v>8699</v>
      </c>
    </row>
    <row r="1330">
      <c r="A1330" s="2">
        <f ca="1">DATE(2004,05,24)</f>
        <v>0</v>
      </c>
      <c r="B1330" s="2">
        <f ca="1">DATE(2004,10,06)</f>
        <v>0</v>
      </c>
      <c r="C1330" s="1" t="s">
        <v>8700</v>
      </c>
      <c r="D1330" s="3">
        <v>5621</v>
      </c>
      <c r="E1330" s="1" t="s">
        <v>43</v>
      </c>
      <c r="F1330" s="1" t="s">
        <v>8701</v>
      </c>
      <c r="G1330" s="1" t="s">
        <v>8702</v>
      </c>
      <c r="H1330" s="4">
        <v>1.19</v>
      </c>
      <c r="I1330" s="8">
        <v>7</v>
      </c>
      <c r="J1330" s="5">
        <v>170</v>
      </c>
      <c r="K1330" s="4">
        <v>17</v>
      </c>
      <c r="L1330" s="1" t="s">
        <v>46</v>
      </c>
      <c r="M1330" s="1" t="s">
        <v>47</v>
      </c>
      <c r="N1330" s="3">
        <v>649295102</v>
      </c>
      <c r="O1330" s="1" t="s">
        <v>108</v>
      </c>
      <c r="P1330" s="1" t="s">
        <v>8703</v>
      </c>
      <c r="Q1330" s="4">
        <v>1.3819999999999999</v>
      </c>
      <c r="R1330" s="4">
        <v>1.3819999999999999</v>
      </c>
      <c r="S1330" s="6">
        <v>4.23529</v>
      </c>
      <c r="T1330" s="1" t="s">
        <v>50</v>
      </c>
      <c r="U1330" s="1"/>
      <c r="V1330" s="1"/>
      <c r="W1330" s="1"/>
      <c r="X1330" s="5">
        <v>172.5</v>
      </c>
      <c r="Y1330" s="7">
        <v>6666667</v>
      </c>
      <c r="Z1330" s="7">
        <v>3333333</v>
      </c>
      <c r="AA1330" s="1" t="s">
        <v>8704</v>
      </c>
      <c r="AB1330" s="1" t="s">
        <v>8705</v>
      </c>
      <c r="AC1330" s="1" t="s">
        <v>8706</v>
      </c>
      <c r="AD1330" s="1" t="s">
        <v>8707</v>
      </c>
      <c r="AE1330" s="1" t="s">
        <v>51</v>
      </c>
      <c r="AF1330" s="1" t="s">
        <v>51</v>
      </c>
      <c r="AG1330" s="1" t="s">
        <v>51</v>
      </c>
      <c r="AH1330" s="1"/>
      <c r="AI1330" s="1"/>
      <c r="AJ1330" s="3">
        <v>2</v>
      </c>
      <c r="AK1330" s="1" t="s">
        <v>89</v>
      </c>
      <c r="AL1330" s="3">
        <v>5</v>
      </c>
      <c r="AM1330" s="8">
        <v>19.300000000000001</v>
      </c>
      <c r="AN1330" s="1"/>
      <c r="AO1330" s="1" t="s">
        <v>8708</v>
      </c>
      <c r="AP1330" s="1" t="s">
        <v>8709</v>
      </c>
      <c r="AQ1330" s="1" t="s">
        <v>8710</v>
      </c>
      <c r="AR1330" s="1" t="s">
        <v>8711</v>
      </c>
    </row>
    <row r="1331">
      <c r="A1331" s="2">
        <f ca="1">DATE(2004,04,16)</f>
        <v>0</v>
      </c>
      <c r="B1331" s="2">
        <f ca="1">DATE(2004,10,06)</f>
        <v>0</v>
      </c>
      <c r="C1331" s="1" t="s">
        <v>8712</v>
      </c>
      <c r="D1331" s="3">
        <v>6531</v>
      </c>
      <c r="E1331" s="1" t="s">
        <v>43</v>
      </c>
      <c r="F1331" s="1" t="s">
        <v>8713</v>
      </c>
      <c r="G1331" s="1" t="s">
        <v>8714</v>
      </c>
      <c r="H1331" s="4">
        <v>0.83999999999999997</v>
      </c>
      <c r="I1331" s="8">
        <v>7</v>
      </c>
      <c r="J1331" s="5">
        <v>171.40000000000001</v>
      </c>
      <c r="K1331" s="4">
        <v>12</v>
      </c>
      <c r="L1331" s="1" t="s">
        <v>46</v>
      </c>
      <c r="M1331" s="1" t="s">
        <v>47</v>
      </c>
      <c r="N1331" s="3">
        <v>884453101</v>
      </c>
      <c r="O1331" s="1" t="s">
        <v>48</v>
      </c>
      <c r="P1331" s="1" t="s">
        <v>8715</v>
      </c>
      <c r="Q1331" s="4">
        <v>1.417</v>
      </c>
      <c r="R1331" s="4">
        <v>1.417</v>
      </c>
      <c r="S1331" s="6">
        <v>4.1666699999999999</v>
      </c>
      <c r="T1331" s="1" t="s">
        <v>50</v>
      </c>
      <c r="U1331" s="1"/>
      <c r="V1331" s="1"/>
      <c r="W1331" s="1"/>
      <c r="X1331" s="5">
        <v>250</v>
      </c>
      <c r="Y1331" s="7">
        <v>14285714</v>
      </c>
      <c r="Z1331" s="1"/>
      <c r="AA1331" s="2">
        <f ca="1">DATE(2005,04,04)</f>
        <v>0</v>
      </c>
      <c r="AB1331" s="4">
        <v>0.39600000000000002</v>
      </c>
      <c r="AC1331" s="3">
        <v>180</v>
      </c>
      <c r="AD1331" s="8">
        <v>56767</v>
      </c>
      <c r="AE1331" s="1" t="s">
        <v>51</v>
      </c>
      <c r="AF1331" s="1" t="s">
        <v>51</v>
      </c>
      <c r="AG1331" s="1" t="s">
        <v>51</v>
      </c>
      <c r="AH1331" s="1"/>
      <c r="AI1331" s="1"/>
      <c r="AJ1331" s="3">
        <v>2</v>
      </c>
      <c r="AK1331" s="1" t="s">
        <v>89</v>
      </c>
      <c r="AL1331" s="3">
        <v>4</v>
      </c>
      <c r="AM1331" s="8">
        <v>12.060000000000001</v>
      </c>
      <c r="AN1331" s="1"/>
      <c r="AO1331" s="1" t="s">
        <v>8716</v>
      </c>
      <c r="AP1331" s="1" t="s">
        <v>8717</v>
      </c>
      <c r="AQ1331" s="1" t="s">
        <v>8718</v>
      </c>
      <c r="AR1331" s="1" t="s">
        <v>8719</v>
      </c>
    </row>
    <row r="1332">
      <c r="A1332" s="2">
        <f ca="1">DATE(2004,02,11)</f>
        <v>0</v>
      </c>
      <c r="B1332" s="2">
        <f ca="1">DATE(2004,10,07)</f>
        <v>0</v>
      </c>
      <c r="C1332" s="1" t="s">
        <v>8720</v>
      </c>
      <c r="D1332" s="3">
        <v>2035</v>
      </c>
      <c r="E1332" s="1" t="s">
        <v>43</v>
      </c>
      <c r="F1332" s="1" t="s">
        <v>8721</v>
      </c>
      <c r="G1332" s="1" t="s">
        <v>8722</v>
      </c>
      <c r="H1332" s="4">
        <v>0.90000000000000002</v>
      </c>
      <c r="I1332" s="4">
        <v>6</v>
      </c>
      <c r="J1332" s="5">
        <v>260.89999999999998</v>
      </c>
      <c r="K1332" s="4">
        <v>15</v>
      </c>
      <c r="L1332" s="1" t="s">
        <v>8723</v>
      </c>
      <c r="M1332" s="1" t="s">
        <v>47</v>
      </c>
      <c r="N1332" s="1" t="s">
        <v>8724</v>
      </c>
      <c r="O1332" s="1" t="s">
        <v>87</v>
      </c>
      <c r="P1332" s="1" t="s">
        <v>8725</v>
      </c>
      <c r="Q1332" s="4">
        <v>1.2</v>
      </c>
      <c r="R1332" s="4">
        <v>1.2</v>
      </c>
      <c r="S1332" s="8">
        <v>3.6000000000000001</v>
      </c>
      <c r="T1332" s="1" t="s">
        <v>50</v>
      </c>
      <c r="U1332" s="1"/>
      <c r="V1332" s="1"/>
      <c r="W1332" s="1"/>
      <c r="X1332" s="5">
        <v>565</v>
      </c>
      <c r="Y1332" s="7">
        <v>17391305</v>
      </c>
      <c r="Z1332" s="1"/>
      <c r="AA1332" s="2">
        <f ca="1">DATE(2005,04,05)</f>
        <v>0</v>
      </c>
      <c r="AB1332" s="1"/>
      <c r="AC1332" s="3">
        <v>180</v>
      </c>
      <c r="AD1332" s="1"/>
      <c r="AE1332" s="1" t="s">
        <v>51</v>
      </c>
      <c r="AF1332" s="1" t="s">
        <v>51</v>
      </c>
      <c r="AG1332" s="1" t="s">
        <v>51</v>
      </c>
      <c r="AH1332" s="1"/>
      <c r="AI1332" s="1"/>
      <c r="AJ1332" s="3">
        <v>3</v>
      </c>
      <c r="AK1332" s="1" t="s">
        <v>110</v>
      </c>
      <c r="AL1332" s="3">
        <v>5</v>
      </c>
      <c r="AM1332" s="1"/>
      <c r="AN1332" s="1"/>
      <c r="AO1332" s="1" t="s">
        <v>8726</v>
      </c>
      <c r="AP1332" s="1" t="s">
        <v>8727</v>
      </c>
      <c r="AQ1332" s="1" t="s">
        <v>8728</v>
      </c>
      <c r="AR1332" s="1" t="s">
        <v>8729</v>
      </c>
    </row>
    <row r="1333">
      <c r="A1333" s="2">
        <f ca="1">DATE(2004,05,12)</f>
        <v>0</v>
      </c>
      <c r="B1333" s="2">
        <f ca="1">DATE(2004,10,12)</f>
        <v>0</v>
      </c>
      <c r="C1333" s="1" t="s">
        <v>8730</v>
      </c>
      <c r="D1333" s="3">
        <v>8742</v>
      </c>
      <c r="E1333" s="1" t="s">
        <v>43</v>
      </c>
      <c r="F1333" s="1" t="s">
        <v>8731</v>
      </c>
      <c r="G1333" s="1" t="s">
        <v>8732</v>
      </c>
      <c r="H1333" s="4">
        <v>1.085</v>
      </c>
      <c r="I1333" s="8">
        <v>7</v>
      </c>
      <c r="J1333" s="5">
        <v>77.5</v>
      </c>
      <c r="K1333" s="4">
        <v>15.5</v>
      </c>
      <c r="L1333" s="1" t="s">
        <v>46</v>
      </c>
      <c r="M1333" s="1" t="s">
        <v>47</v>
      </c>
      <c r="N1333" s="3">
        <v>447462102</v>
      </c>
      <c r="O1333" s="1" t="s">
        <v>48</v>
      </c>
      <c r="P1333" s="1" t="s">
        <v>8733</v>
      </c>
      <c r="Q1333" s="4">
        <v>1.419</v>
      </c>
      <c r="R1333" s="4">
        <v>1.387</v>
      </c>
      <c r="S1333" s="6">
        <v>4.1935500000000001</v>
      </c>
      <c r="T1333" s="1" t="s">
        <v>50</v>
      </c>
      <c r="U1333" s="1"/>
      <c r="V1333" s="1"/>
      <c r="W1333" s="1"/>
      <c r="X1333" s="5">
        <v>100</v>
      </c>
      <c r="Y1333" s="7">
        <v>3333333</v>
      </c>
      <c r="Z1333" s="7">
        <v>1666667</v>
      </c>
      <c r="AA1333" s="2">
        <f ca="1">DATE(2005,04,10)</f>
        <v>0</v>
      </c>
      <c r="AB1333" s="1" t="s">
        <v>8734</v>
      </c>
      <c r="AC1333" s="1" t="s">
        <v>7109</v>
      </c>
      <c r="AD1333" s="1" t="s">
        <v>8735</v>
      </c>
      <c r="AE1333" s="1" t="s">
        <v>51</v>
      </c>
      <c r="AF1333" s="1" t="s">
        <v>51</v>
      </c>
      <c r="AG1333" s="1" t="s">
        <v>51</v>
      </c>
      <c r="AH1333" s="1"/>
      <c r="AI1333" s="1"/>
      <c r="AJ1333" s="3">
        <v>2</v>
      </c>
      <c r="AK1333" s="1" t="s">
        <v>89</v>
      </c>
      <c r="AL1333" s="3">
        <v>3</v>
      </c>
      <c r="AM1333" s="8">
        <v>18.899999999999999</v>
      </c>
      <c r="AN1333" s="1"/>
      <c r="AO1333" s="1" t="s">
        <v>8736</v>
      </c>
      <c r="AP1333" s="1" t="s">
        <v>8737</v>
      </c>
      <c r="AQ1333" s="1" t="s">
        <v>8738</v>
      </c>
      <c r="AR1333" s="1" t="s">
        <v>8739</v>
      </c>
    </row>
    <row r="1334">
      <c r="A1334" s="2">
        <f ca="1">DATE(2004,05,28)</f>
        <v>0</v>
      </c>
      <c r="B1334" s="2">
        <f ca="1">DATE(2004,10,13)</f>
        <v>0</v>
      </c>
      <c r="C1334" s="1" t="s">
        <v>8740</v>
      </c>
      <c r="D1334" s="3">
        <v>3663</v>
      </c>
      <c r="E1334" s="1" t="s">
        <v>43</v>
      </c>
      <c r="F1334" s="1" t="s">
        <v>8741</v>
      </c>
      <c r="G1334" s="1" t="s">
        <v>8742</v>
      </c>
      <c r="H1334" s="4">
        <v>0.505</v>
      </c>
      <c r="I1334" s="4">
        <v>10</v>
      </c>
      <c r="J1334" s="5">
        <v>6.5999999999999996</v>
      </c>
      <c r="K1334" s="4">
        <v>5.0499999999999998</v>
      </c>
      <c r="L1334" s="1" t="s">
        <v>46</v>
      </c>
      <c r="M1334" s="1" t="s">
        <v>47</v>
      </c>
      <c r="N1334" s="1" t="s">
        <v>8743</v>
      </c>
      <c r="O1334" s="1" t="s">
        <v>77</v>
      </c>
      <c r="P1334" s="1" t="s">
        <v>8744</v>
      </c>
      <c r="Q1334" s="1" t="s">
        <v>145</v>
      </c>
      <c r="R1334" s="1" t="s">
        <v>145</v>
      </c>
      <c r="S1334" s="1"/>
      <c r="T1334" s="1" t="s">
        <v>50</v>
      </c>
      <c r="U1334" s="8">
        <v>5</v>
      </c>
      <c r="V1334" s="8">
        <v>5</v>
      </c>
      <c r="W1334" s="7">
        <v>1200000</v>
      </c>
      <c r="X1334" s="5">
        <v>6</v>
      </c>
      <c r="Y1334" s="7">
        <v>1300000</v>
      </c>
      <c r="Z1334" s="1"/>
      <c r="AA1334" s="1"/>
      <c r="AB1334" s="1"/>
      <c r="AC1334" s="1"/>
      <c r="AD1334" s="1"/>
      <c r="AE1334" s="1" t="s">
        <v>51</v>
      </c>
      <c r="AF1334" s="1" t="s">
        <v>51</v>
      </c>
      <c r="AG1334" s="1" t="s">
        <v>51</v>
      </c>
      <c r="AH1334" s="1"/>
      <c r="AI1334" s="1"/>
      <c r="AJ1334" s="3">
        <v>1</v>
      </c>
      <c r="AK1334" s="1" t="s">
        <v>52</v>
      </c>
      <c r="AL1334" s="3">
        <v>1</v>
      </c>
      <c r="AM1334" s="8">
        <v>4</v>
      </c>
      <c r="AN1334" s="1"/>
      <c r="AO1334" s="1" t="s">
        <v>8742</v>
      </c>
      <c r="AP1334" s="1" t="s">
        <v>8742</v>
      </c>
      <c r="AQ1334" s="1" t="s">
        <v>8742</v>
      </c>
      <c r="AR1334" s="1" t="s">
        <v>8744</v>
      </c>
    </row>
    <row r="1335">
      <c r="A1335" s="2">
        <f ca="1">DATE(2004,05,12)</f>
        <v>0</v>
      </c>
      <c r="B1335" s="2">
        <f ca="1">DATE(2004,10,13)</f>
        <v>0</v>
      </c>
      <c r="C1335" s="1" t="s">
        <v>8745</v>
      </c>
      <c r="D1335" s="3">
        <v>7375</v>
      </c>
      <c r="E1335" s="1" t="s">
        <v>43</v>
      </c>
      <c r="F1335" s="1" t="s">
        <v>8746</v>
      </c>
      <c r="G1335" s="1" t="s">
        <v>8747</v>
      </c>
      <c r="H1335" s="4">
        <v>0.45000000000000001</v>
      </c>
      <c r="I1335" s="4">
        <v>9</v>
      </c>
      <c r="J1335" s="5">
        <v>11.800000000000001</v>
      </c>
      <c r="K1335" s="4">
        <v>5</v>
      </c>
      <c r="L1335" s="1" t="s">
        <v>46</v>
      </c>
      <c r="M1335" s="1" t="s">
        <v>47</v>
      </c>
      <c r="N1335" s="3">
        <v>403307101</v>
      </c>
      <c r="O1335" s="1" t="s">
        <v>87</v>
      </c>
      <c r="P1335" s="1" t="s">
        <v>8748</v>
      </c>
      <c r="Q1335" s="1" t="s">
        <v>145</v>
      </c>
      <c r="R1335" s="1" t="s">
        <v>145</v>
      </c>
      <c r="S1335" s="8">
        <v>5</v>
      </c>
      <c r="T1335" s="1" t="s">
        <v>50</v>
      </c>
      <c r="U1335" s="8">
        <v>5.9000000000000004</v>
      </c>
      <c r="V1335" s="8">
        <v>5.9000000000000004</v>
      </c>
      <c r="W1335" s="7">
        <v>1300000</v>
      </c>
      <c r="X1335" s="5">
        <v>7.7000000000000002</v>
      </c>
      <c r="Y1335" s="7">
        <v>2350000</v>
      </c>
      <c r="Z1335" s="1"/>
      <c r="AA1335" s="2">
        <f ca="1">DATE(2006,04,06)</f>
        <v>0</v>
      </c>
      <c r="AB1335" s="4">
        <v>42.756999999999998</v>
      </c>
      <c r="AC1335" s="3">
        <v>540</v>
      </c>
      <c r="AD1335" s="8">
        <v>1953168</v>
      </c>
      <c r="AE1335" s="1" t="s">
        <v>51</v>
      </c>
      <c r="AF1335" s="1" t="s">
        <v>51</v>
      </c>
      <c r="AG1335" s="1" t="s">
        <v>47</v>
      </c>
      <c r="AH1335" s="1"/>
      <c r="AI1335" s="1"/>
      <c r="AJ1335" s="3">
        <v>2</v>
      </c>
      <c r="AK1335" s="1" t="s">
        <v>89</v>
      </c>
      <c r="AL1335" s="3">
        <v>2</v>
      </c>
      <c r="AM1335" s="8">
        <v>5.0899999999999999</v>
      </c>
      <c r="AN1335" s="1"/>
      <c r="AO1335" s="1" t="s">
        <v>8749</v>
      </c>
      <c r="AP1335" s="1" t="s">
        <v>8750</v>
      </c>
      <c r="AQ1335" s="1" t="s">
        <v>8751</v>
      </c>
      <c r="AR1335" s="1" t="s">
        <v>8748</v>
      </c>
    </row>
    <row r="1336">
      <c r="A1336" s="2">
        <f ca="1">DATE(2004,04,29)</f>
        <v>0</v>
      </c>
      <c r="B1336" s="2">
        <f ca="1">DATE(2004,10,13)</f>
        <v>0</v>
      </c>
      <c r="C1336" s="1" t="s">
        <v>8752</v>
      </c>
      <c r="D1336" s="3">
        <v>7375</v>
      </c>
      <c r="E1336" s="1" t="s">
        <v>43</v>
      </c>
      <c r="F1336" s="1" t="s">
        <v>8753</v>
      </c>
      <c r="G1336" s="1" t="s">
        <v>75</v>
      </c>
      <c r="H1336" s="4">
        <v>0.63</v>
      </c>
      <c r="I1336" s="4">
        <v>7</v>
      </c>
      <c r="J1336" s="5">
        <v>41.899999999999999</v>
      </c>
      <c r="K1336" s="4">
        <v>9</v>
      </c>
      <c r="L1336" s="1" t="s">
        <v>46</v>
      </c>
      <c r="M1336" s="1" t="s">
        <v>47</v>
      </c>
      <c r="N1336" s="3">
        <v>727058109</v>
      </c>
      <c r="O1336" s="1" t="s">
        <v>48</v>
      </c>
      <c r="P1336" s="1" t="s">
        <v>8754</v>
      </c>
      <c r="Q1336" s="4">
        <v>1.333</v>
      </c>
      <c r="R1336" s="4">
        <v>1.5560000000000001</v>
      </c>
      <c r="S1336" s="6">
        <v>4.11111</v>
      </c>
      <c r="T1336" s="1" t="s">
        <v>50</v>
      </c>
      <c r="U1336" s="1"/>
      <c r="V1336" s="1"/>
      <c r="W1336" s="1"/>
      <c r="X1336" s="5">
        <v>75</v>
      </c>
      <c r="Y1336" s="7">
        <v>4650000</v>
      </c>
      <c r="Z1336" s="1"/>
      <c r="AA1336" s="2">
        <f ca="1">DATE(2005,04,11)</f>
        <v>0</v>
      </c>
      <c r="AB1336" s="4">
        <v>68.241</v>
      </c>
      <c r="AC1336" s="3">
        <v>180</v>
      </c>
      <c r="AD1336" s="8">
        <v>11490403</v>
      </c>
      <c r="AE1336" s="1" t="s">
        <v>51</v>
      </c>
      <c r="AF1336" s="1" t="s">
        <v>51</v>
      </c>
      <c r="AG1336" s="1" t="s">
        <v>47</v>
      </c>
      <c r="AH1336" s="1"/>
      <c r="AI1336" s="1"/>
      <c r="AJ1336" s="3">
        <v>1</v>
      </c>
      <c r="AK1336" s="1" t="s">
        <v>89</v>
      </c>
      <c r="AL1336" s="3">
        <v>3</v>
      </c>
      <c r="AM1336" s="8">
        <v>10.4</v>
      </c>
      <c r="AN1336" s="1"/>
      <c r="AO1336" s="1" t="s">
        <v>8755</v>
      </c>
      <c r="AP1336" s="1" t="s">
        <v>8756</v>
      </c>
      <c r="AQ1336" s="1" t="s">
        <v>8757</v>
      </c>
      <c r="AR1336" s="1" t="s">
        <v>8758</v>
      </c>
    </row>
    <row r="1337">
      <c r="A1337" s="2">
        <f ca="1">DATE(2004,10,14)</f>
        <v>0</v>
      </c>
      <c r="B1337" s="2">
        <f ca="1">DATE(2004,10,14)</f>
        <v>0</v>
      </c>
      <c r="C1337" s="1" t="s">
        <v>8759</v>
      </c>
      <c r="D1337" s="3">
        <v>3312</v>
      </c>
      <c r="E1337" s="1" t="s">
        <v>166</v>
      </c>
      <c r="F1337" s="1" t="s">
        <v>8760</v>
      </c>
      <c r="G1337" s="1" t="s">
        <v>8761</v>
      </c>
      <c r="H1337" s="4">
        <v>0.21199999999999999</v>
      </c>
      <c r="I1337" s="4">
        <v>4.5</v>
      </c>
      <c r="J1337" s="5">
        <v>164.5</v>
      </c>
      <c r="K1337" s="4">
        <v>4.7000000000000002</v>
      </c>
      <c r="L1337" s="1" t="s">
        <v>46</v>
      </c>
      <c r="M1337" s="1" t="s">
        <v>47</v>
      </c>
      <c r="N1337" s="1" t="s">
        <v>8762</v>
      </c>
      <c r="O1337" s="1" t="s">
        <v>108</v>
      </c>
      <c r="P1337" s="1" t="s">
        <v>8763</v>
      </c>
      <c r="Q1337" s="4">
        <v>0.98899999999999999</v>
      </c>
      <c r="R1337" s="4">
        <v>0.95699999999999996</v>
      </c>
      <c r="S1337" s="6">
        <v>2.5531899999999998</v>
      </c>
      <c r="T1337" s="1" t="s">
        <v>50</v>
      </c>
      <c r="U1337" s="8">
        <v>4.8700000000000001</v>
      </c>
      <c r="V1337" s="8">
        <v>4.8700000000000001</v>
      </c>
      <c r="W1337" s="7">
        <v>35000000</v>
      </c>
      <c r="X1337" s="5">
        <v>170.5</v>
      </c>
      <c r="Y1337" s="7">
        <v>35000000</v>
      </c>
      <c r="Z1337" s="1"/>
      <c r="AA1337" s="2">
        <f ca="1">DATE(2005,01,12)</f>
        <v>0</v>
      </c>
      <c r="AB1337" s="1"/>
      <c r="AC1337" s="3">
        <v>90</v>
      </c>
      <c r="AD1337" s="1"/>
      <c r="AE1337" s="1" t="s">
        <v>51</v>
      </c>
      <c r="AF1337" s="1" t="s">
        <v>51</v>
      </c>
      <c r="AG1337" s="1" t="s">
        <v>51</v>
      </c>
      <c r="AH1337" s="1"/>
      <c r="AI1337" s="1"/>
      <c r="AJ1337" s="3">
        <v>2</v>
      </c>
      <c r="AK1337" s="1" t="s">
        <v>89</v>
      </c>
      <c r="AL1337" s="3">
        <v>5</v>
      </c>
      <c r="AM1337" s="1"/>
      <c r="AN1337" s="1"/>
      <c r="AO1337" s="1" t="s">
        <v>8764</v>
      </c>
      <c r="AP1337" s="1" t="s">
        <v>8765</v>
      </c>
      <c r="AQ1337" s="1" t="s">
        <v>8766</v>
      </c>
      <c r="AR1337" s="1" t="s">
        <v>8767</v>
      </c>
    </row>
    <row r="1338">
      <c r="A1338" s="2">
        <f ca="1">DATE(2004,09,21)</f>
        <v>0</v>
      </c>
      <c r="B1338" s="2">
        <f ca="1">DATE(2004,10,15)</f>
        <v>0</v>
      </c>
      <c r="C1338" s="1" t="s">
        <v>8768</v>
      </c>
      <c r="D1338" s="3">
        <v>7389</v>
      </c>
      <c r="E1338" s="1" t="s">
        <v>744</v>
      </c>
      <c r="F1338" s="1" t="s">
        <v>8769</v>
      </c>
      <c r="G1338" s="1" t="s">
        <v>400</v>
      </c>
      <c r="H1338" s="4">
        <v>0.91000000000000003</v>
      </c>
      <c r="I1338" s="4">
        <v>7</v>
      </c>
      <c r="J1338" s="5">
        <v>80.599999999999994</v>
      </c>
      <c r="K1338" s="4">
        <v>13</v>
      </c>
      <c r="L1338" s="1" t="s">
        <v>651</v>
      </c>
      <c r="M1338" s="1" t="s">
        <v>47</v>
      </c>
      <c r="N1338" s="3">
        <v>169379104</v>
      </c>
      <c r="O1338" s="1" t="s">
        <v>48</v>
      </c>
      <c r="P1338" s="1" t="s">
        <v>8770</v>
      </c>
      <c r="Q1338" s="4">
        <v>1.3999999999999999</v>
      </c>
      <c r="R1338" s="4">
        <v>1.3999999999999999</v>
      </c>
      <c r="S1338" s="8">
        <v>4.2000000000000002</v>
      </c>
      <c r="T1338" s="1" t="s">
        <v>50</v>
      </c>
      <c r="U1338" s="1"/>
      <c r="V1338" s="1"/>
      <c r="W1338" s="1"/>
      <c r="X1338" s="5">
        <v>79.099999999999994</v>
      </c>
      <c r="Y1338" s="7">
        <v>5000000</v>
      </c>
      <c r="Z1338" s="7">
        <v>1200000</v>
      </c>
      <c r="AA1338" s="1" t="s">
        <v>8771</v>
      </c>
      <c r="AB1338" s="1" t="s">
        <v>5265</v>
      </c>
      <c r="AC1338" s="1" t="s">
        <v>7759</v>
      </c>
      <c r="AD1338" s="1" t="s">
        <v>5265</v>
      </c>
      <c r="AE1338" s="1" t="s">
        <v>47</v>
      </c>
      <c r="AF1338" s="1" t="s">
        <v>51</v>
      </c>
      <c r="AG1338" s="1" t="s">
        <v>47</v>
      </c>
      <c r="AH1338" s="1"/>
      <c r="AI1338" s="1"/>
      <c r="AJ1338" s="3">
        <v>1</v>
      </c>
      <c r="AK1338" s="1" t="s">
        <v>52</v>
      </c>
      <c r="AL1338" s="3">
        <v>3</v>
      </c>
      <c r="AM1338" s="8">
        <v>11.699999999999999</v>
      </c>
      <c r="AN1338" s="1"/>
      <c r="AO1338" s="1" t="s">
        <v>8772</v>
      </c>
      <c r="AP1338" s="1" t="s">
        <v>400</v>
      </c>
      <c r="AQ1338" s="1" t="s">
        <v>8773</v>
      </c>
      <c r="AR1338" s="1" t="s">
        <v>8774</v>
      </c>
    </row>
    <row r="1339">
      <c r="A1339" s="2">
        <f ca="1">DATE(2004,03,11)</f>
        <v>0</v>
      </c>
      <c r="B1339" s="2">
        <f ca="1">DATE(2004,10,15)</f>
        <v>0</v>
      </c>
      <c r="C1339" s="1" t="s">
        <v>8775</v>
      </c>
      <c r="D1339" s="3">
        <v>2836</v>
      </c>
      <c r="E1339" s="1" t="s">
        <v>43</v>
      </c>
      <c r="F1339" s="1" t="s">
        <v>8776</v>
      </c>
      <c r="G1339" s="1" t="s">
        <v>8777</v>
      </c>
      <c r="H1339" s="4">
        <v>0.41999999999999998</v>
      </c>
      <c r="I1339" s="8">
        <v>7</v>
      </c>
      <c r="J1339" s="5">
        <v>30</v>
      </c>
      <c r="K1339" s="4">
        <v>6</v>
      </c>
      <c r="L1339" s="1" t="s">
        <v>46</v>
      </c>
      <c r="M1339" s="1" t="s">
        <v>47</v>
      </c>
      <c r="N1339" s="1" t="s">
        <v>8778</v>
      </c>
      <c r="O1339" s="1" t="s">
        <v>48</v>
      </c>
      <c r="P1339" s="1" t="s">
        <v>8779</v>
      </c>
      <c r="Q1339" s="1" t="s">
        <v>145</v>
      </c>
      <c r="R1339" s="1" t="s">
        <v>145</v>
      </c>
      <c r="S1339" s="6">
        <v>4.1666699999999999</v>
      </c>
      <c r="T1339" s="1" t="s">
        <v>50</v>
      </c>
      <c r="U1339" s="1"/>
      <c r="V1339" s="1"/>
      <c r="W1339" s="1"/>
      <c r="X1339" s="5">
        <v>70</v>
      </c>
      <c r="Y1339" s="7">
        <v>5000000</v>
      </c>
      <c r="Z1339" s="1"/>
      <c r="AA1339" s="1" t="s">
        <v>8780</v>
      </c>
      <c r="AB1339" s="1" t="s">
        <v>8781</v>
      </c>
      <c r="AC1339" s="1" t="s">
        <v>3966</v>
      </c>
      <c r="AD1339" s="1" t="s">
        <v>8782</v>
      </c>
      <c r="AE1339" s="1" t="s">
        <v>51</v>
      </c>
      <c r="AF1339" s="1" t="s">
        <v>51</v>
      </c>
      <c r="AG1339" s="1" t="s">
        <v>47</v>
      </c>
      <c r="AH1339" s="1"/>
      <c r="AI1339" s="1"/>
      <c r="AJ1339" s="3">
        <v>2</v>
      </c>
      <c r="AK1339" s="1" t="s">
        <v>89</v>
      </c>
      <c r="AL1339" s="3">
        <v>4</v>
      </c>
      <c r="AM1339" s="8">
        <v>6</v>
      </c>
      <c r="AN1339" s="1"/>
      <c r="AO1339" s="1" t="s">
        <v>8783</v>
      </c>
      <c r="AP1339" s="1" t="s">
        <v>8784</v>
      </c>
      <c r="AQ1339" s="1" t="s">
        <v>8785</v>
      </c>
      <c r="AR1339" s="1" t="s">
        <v>8786</v>
      </c>
    </row>
    <row r="1340">
      <c r="A1340" s="2">
        <f ca="1">DATE(2004,06,29)</f>
        <v>0</v>
      </c>
      <c r="B1340" s="2">
        <f ca="1">DATE(2004,10,18)</f>
        <v>0</v>
      </c>
      <c r="C1340" s="1" t="s">
        <v>8787</v>
      </c>
      <c r="D1340" s="3">
        <v>7389</v>
      </c>
      <c r="E1340" s="1" t="s">
        <v>43</v>
      </c>
      <c r="F1340" s="1" t="s">
        <v>8788</v>
      </c>
      <c r="G1340" s="1" t="s">
        <v>1048</v>
      </c>
      <c r="H1340" s="4">
        <v>0.56000000000000005</v>
      </c>
      <c r="I1340" s="4">
        <v>7</v>
      </c>
      <c r="J1340" s="5">
        <v>22</v>
      </c>
      <c r="K1340" s="4">
        <v>8</v>
      </c>
      <c r="L1340" s="1" t="s">
        <v>46</v>
      </c>
      <c r="M1340" s="1" t="s">
        <v>47</v>
      </c>
      <c r="N1340" s="1" t="s">
        <v>8789</v>
      </c>
      <c r="O1340" s="1" t="s">
        <v>48</v>
      </c>
      <c r="P1340" s="1" t="s">
        <v>8790</v>
      </c>
      <c r="Q1340" s="4">
        <v>1.75</v>
      </c>
      <c r="R1340" s="4">
        <v>1.75</v>
      </c>
      <c r="S1340" s="8">
        <v>3.5</v>
      </c>
      <c r="T1340" s="1" t="s">
        <v>50</v>
      </c>
      <c r="U1340" s="1"/>
      <c r="V1340" s="1"/>
      <c r="W1340" s="1"/>
      <c r="X1340" s="5">
        <v>28.800000000000001</v>
      </c>
      <c r="Y1340" s="7">
        <v>2750000</v>
      </c>
      <c r="Z1340" s="1"/>
      <c r="AA1340" s="2">
        <f ca="1">DATE(2005,04,16)</f>
        <v>0</v>
      </c>
      <c r="AB1340" s="4">
        <v>49.579999999999998</v>
      </c>
      <c r="AC1340" s="3">
        <v>180</v>
      </c>
      <c r="AD1340" s="8">
        <v>2896847</v>
      </c>
      <c r="AE1340" s="1" t="s">
        <v>51</v>
      </c>
      <c r="AF1340" s="1" t="s">
        <v>51</v>
      </c>
      <c r="AG1340" s="1" t="s">
        <v>51</v>
      </c>
      <c r="AH1340" s="1"/>
      <c r="AI1340" s="1"/>
      <c r="AJ1340" s="3">
        <v>1</v>
      </c>
      <c r="AK1340" s="1" t="s">
        <v>52</v>
      </c>
      <c r="AL1340" s="3">
        <v>3</v>
      </c>
      <c r="AM1340" s="8">
        <v>7.6500000000000004</v>
      </c>
      <c r="AN1340" s="1"/>
      <c r="AO1340" s="1" t="s">
        <v>8791</v>
      </c>
      <c r="AP1340" s="1" t="s">
        <v>1048</v>
      </c>
      <c r="AQ1340" s="1" t="s">
        <v>8792</v>
      </c>
      <c r="AR1340" s="1" t="s">
        <v>8793</v>
      </c>
    </row>
    <row r="1341">
      <c r="A1341" s="2">
        <f ca="1">DATE(2004,07,16)</f>
        <v>0</v>
      </c>
      <c r="B1341" s="2">
        <f ca="1">DATE(2004,10,19)</f>
        <v>0</v>
      </c>
      <c r="C1341" s="1" t="s">
        <v>8794</v>
      </c>
      <c r="D1341" s="3">
        <v>5961</v>
      </c>
      <c r="E1341" s="1" t="s">
        <v>43</v>
      </c>
      <c r="F1341" s="1" t="s">
        <v>8795</v>
      </c>
      <c r="G1341" s="1" t="s">
        <v>75</v>
      </c>
      <c r="H1341" s="4">
        <v>1.085</v>
      </c>
      <c r="I1341" s="8">
        <v>7</v>
      </c>
      <c r="J1341" s="5">
        <v>49.600000000000001</v>
      </c>
      <c r="K1341" s="4">
        <v>15.5</v>
      </c>
      <c r="L1341" s="1" t="s">
        <v>46</v>
      </c>
      <c r="M1341" s="1" t="s">
        <v>47</v>
      </c>
      <c r="N1341" s="1" t="s">
        <v>8796</v>
      </c>
      <c r="O1341" s="1" t="s">
        <v>48</v>
      </c>
      <c r="P1341" s="1" t="s">
        <v>8797</v>
      </c>
      <c r="Q1341" s="4">
        <v>1.355</v>
      </c>
      <c r="R1341" s="4">
        <v>1.419</v>
      </c>
      <c r="S1341" s="6">
        <v>4.2258100000000001</v>
      </c>
      <c r="T1341" s="1" t="s">
        <v>50</v>
      </c>
      <c r="U1341" s="1"/>
      <c r="V1341" s="1"/>
      <c r="W1341" s="1"/>
      <c r="X1341" s="5">
        <v>40</v>
      </c>
      <c r="Y1341" s="7">
        <v>2057081</v>
      </c>
      <c r="Z1341" s="7">
        <v>1142919</v>
      </c>
      <c r="AA1341" s="2">
        <f ca="1">DATE(2005,04,17)</f>
        <v>0</v>
      </c>
      <c r="AB1341" s="1" t="s">
        <v>8798</v>
      </c>
      <c r="AC1341" s="1" t="s">
        <v>8799</v>
      </c>
      <c r="AD1341" s="1" t="s">
        <v>8800</v>
      </c>
      <c r="AE1341" s="1" t="s">
        <v>51</v>
      </c>
      <c r="AF1341" s="1" t="s">
        <v>51</v>
      </c>
      <c r="AG1341" s="1" t="s">
        <v>47</v>
      </c>
      <c r="AH1341" s="1"/>
      <c r="AI1341" s="1"/>
      <c r="AJ1341" s="3">
        <v>1</v>
      </c>
      <c r="AK1341" s="1" t="s">
        <v>52</v>
      </c>
      <c r="AL1341" s="3">
        <v>3</v>
      </c>
      <c r="AM1341" s="8">
        <v>16.699999999999999</v>
      </c>
      <c r="AN1341" s="1"/>
      <c r="AO1341" s="1" t="s">
        <v>8801</v>
      </c>
      <c r="AP1341" s="1" t="s">
        <v>75</v>
      </c>
      <c r="AQ1341" s="1" t="s">
        <v>8802</v>
      </c>
      <c r="AR1341" s="1" t="s">
        <v>8803</v>
      </c>
    </row>
    <row r="1342">
      <c r="A1342" s="2">
        <f ca="1">DATE(2004,05,13)</f>
        <v>0</v>
      </c>
      <c r="B1342" s="2">
        <f ca="1">DATE(2004,10,19)</f>
        <v>0</v>
      </c>
      <c r="C1342" s="1" t="s">
        <v>8804</v>
      </c>
      <c r="D1342" s="3">
        <v>8299</v>
      </c>
      <c r="E1342" s="1" t="s">
        <v>43</v>
      </c>
      <c r="F1342" s="1" t="s">
        <v>8805</v>
      </c>
      <c r="G1342" s="1" t="s">
        <v>1223</v>
      </c>
      <c r="H1342" s="4">
        <v>1.02</v>
      </c>
      <c r="I1342" s="4">
        <v>24</v>
      </c>
      <c r="J1342" s="5">
        <v>7.7000000000000002</v>
      </c>
      <c r="K1342" s="4">
        <v>4.25</v>
      </c>
      <c r="L1342" s="1" t="s">
        <v>46</v>
      </c>
      <c r="M1342" s="1" t="s">
        <v>47</v>
      </c>
      <c r="N1342" s="1" t="s">
        <v>8806</v>
      </c>
      <c r="O1342" s="1" t="s">
        <v>87</v>
      </c>
      <c r="P1342" s="1" t="s">
        <v>8807</v>
      </c>
      <c r="Q1342" s="1" t="s">
        <v>145</v>
      </c>
      <c r="R1342" s="1" t="s">
        <v>145</v>
      </c>
      <c r="S1342" s="8">
        <v>12</v>
      </c>
      <c r="T1342" s="1" t="s">
        <v>50</v>
      </c>
      <c r="U1342" s="8">
        <v>10</v>
      </c>
      <c r="V1342" s="8">
        <v>10</v>
      </c>
      <c r="W1342" s="7">
        <v>1800000</v>
      </c>
      <c r="X1342" s="5">
        <v>18</v>
      </c>
      <c r="Y1342" s="7">
        <v>1800000</v>
      </c>
      <c r="Z1342" s="1"/>
      <c r="AA1342" s="2">
        <f ca="1">DATE(2005,10,14)</f>
        <v>0</v>
      </c>
      <c r="AB1342" s="4">
        <v>64.637</v>
      </c>
      <c r="AC1342" s="3">
        <v>360</v>
      </c>
      <c r="AD1342" s="8">
        <v>3290000</v>
      </c>
      <c r="AE1342" s="1" t="s">
        <v>51</v>
      </c>
      <c r="AF1342" s="1" t="s">
        <v>51</v>
      </c>
      <c r="AG1342" s="1" t="s">
        <v>47</v>
      </c>
      <c r="AH1342" s="1"/>
      <c r="AI1342" s="1"/>
      <c r="AJ1342" s="3">
        <v>1</v>
      </c>
      <c r="AK1342" s="1" t="s">
        <v>52</v>
      </c>
      <c r="AL1342" s="3">
        <v>3</v>
      </c>
      <c r="AM1342" s="1"/>
      <c r="AN1342" s="1"/>
      <c r="AO1342" s="1" t="s">
        <v>8808</v>
      </c>
      <c r="AP1342" s="1" t="s">
        <v>1223</v>
      </c>
      <c r="AQ1342" s="1" t="s">
        <v>8809</v>
      </c>
      <c r="AR1342" s="1" t="s">
        <v>8807</v>
      </c>
    </row>
    <row r="1343">
      <c r="A1343" s="2">
        <f ca="1">DATE(2004,10,18)</f>
        <v>0</v>
      </c>
      <c r="B1343" s="2">
        <f ca="1">DATE(2004,10,20)</f>
        <v>0</v>
      </c>
      <c r="C1343" s="1" t="s">
        <v>8810</v>
      </c>
      <c r="D1343" s="3">
        <v>7011</v>
      </c>
      <c r="E1343" s="1" t="s">
        <v>43</v>
      </c>
      <c r="F1343" s="1" t="s">
        <v>8811</v>
      </c>
      <c r="G1343" s="1" t="s">
        <v>8812</v>
      </c>
      <c r="H1343" s="4">
        <v>1.0629999999999999</v>
      </c>
      <c r="I1343" s="4">
        <v>6.25</v>
      </c>
      <c r="J1343" s="5">
        <v>358.69999999999999</v>
      </c>
      <c r="K1343" s="4">
        <v>17</v>
      </c>
      <c r="L1343" s="1" t="s">
        <v>46</v>
      </c>
      <c r="M1343" s="1" t="s">
        <v>47</v>
      </c>
      <c r="N1343" s="3">
        <v>867892101</v>
      </c>
      <c r="O1343" s="1" t="s">
        <v>108</v>
      </c>
      <c r="P1343" s="1" t="s">
        <v>8813</v>
      </c>
      <c r="Q1343" s="4">
        <v>1.25</v>
      </c>
      <c r="R1343" s="4">
        <v>1.294</v>
      </c>
      <c r="S1343" s="6">
        <v>3.7058800000000001</v>
      </c>
      <c r="T1343" s="1" t="s">
        <v>50</v>
      </c>
      <c r="U1343" s="1"/>
      <c r="V1343" s="1"/>
      <c r="W1343" s="1"/>
      <c r="X1343" s="5">
        <v>500</v>
      </c>
      <c r="Y1343" s="7">
        <v>21100000</v>
      </c>
      <c r="Z1343" s="1"/>
      <c r="AA1343" s="2">
        <f ca="1">DATE(2005,04,18)</f>
        <v>0</v>
      </c>
      <c r="AB1343" s="4">
        <v>41.365000000000002</v>
      </c>
      <c r="AC1343" s="3">
        <v>180</v>
      </c>
      <c r="AD1343" s="8">
        <v>17118188</v>
      </c>
      <c r="AE1343" s="1" t="s">
        <v>51</v>
      </c>
      <c r="AF1343" s="1" t="s">
        <v>51</v>
      </c>
      <c r="AG1343" s="1" t="s">
        <v>51</v>
      </c>
      <c r="AH1343" s="1"/>
      <c r="AI1343" s="1"/>
      <c r="AJ1343" s="3">
        <v>3</v>
      </c>
      <c r="AK1343" s="1" t="s">
        <v>110</v>
      </c>
      <c r="AL1343" s="3">
        <v>8</v>
      </c>
      <c r="AM1343" s="8">
        <v>17</v>
      </c>
      <c r="AN1343" s="1"/>
      <c r="AO1343" s="1" t="s">
        <v>8814</v>
      </c>
      <c r="AP1343" s="1" t="s">
        <v>8815</v>
      </c>
      <c r="AQ1343" s="1" t="s">
        <v>8816</v>
      </c>
      <c r="AR1343" s="1" t="s">
        <v>8817</v>
      </c>
    </row>
    <row r="1344">
      <c r="A1344" s="2">
        <f ca="1">DATE(2004,09,15)</f>
        <v>0</v>
      </c>
      <c r="B1344" s="2">
        <f ca="1">DATE(2004,10,20)</f>
        <v>0</v>
      </c>
      <c r="C1344" s="1" t="s">
        <v>8818</v>
      </c>
      <c r="D1344" s="3">
        <v>6331</v>
      </c>
      <c r="E1344" s="1" t="s">
        <v>43</v>
      </c>
      <c r="F1344" s="1"/>
      <c r="G1344" s="1" t="s">
        <v>84</v>
      </c>
      <c r="H1344" s="4">
        <v>0.59499999999999997</v>
      </c>
      <c r="I1344" s="8">
        <v>7</v>
      </c>
      <c r="J1344" s="5">
        <v>110.5</v>
      </c>
      <c r="K1344" s="4">
        <v>8.5</v>
      </c>
      <c r="L1344" s="1" t="s">
        <v>46</v>
      </c>
      <c r="M1344" s="1" t="s">
        <v>47</v>
      </c>
      <c r="N1344" s="3">
        <v>891777104</v>
      </c>
      <c r="O1344" s="1"/>
      <c r="P1344" s="1" t="s">
        <v>8819</v>
      </c>
      <c r="Q1344" s="4">
        <v>1.4119999999999999</v>
      </c>
      <c r="R1344" s="4">
        <v>1.4710000000000001</v>
      </c>
      <c r="S1344" s="6">
        <v>4.1176500000000003</v>
      </c>
      <c r="T1344" s="1" t="s">
        <v>50</v>
      </c>
      <c r="U1344" s="1"/>
      <c r="V1344" s="1"/>
      <c r="W1344" s="1"/>
      <c r="X1344" s="5">
        <v>143.80000000000001</v>
      </c>
      <c r="Y1344" s="7">
        <v>13000000</v>
      </c>
      <c r="Z1344" s="1"/>
      <c r="AA1344" s="2">
        <f ca="1">DATE(2005,04,18)</f>
        <v>0</v>
      </c>
      <c r="AB1344" s="4">
        <v>2.5390000000000001</v>
      </c>
      <c r="AC1344" s="3">
        <v>180</v>
      </c>
      <c r="AD1344" s="8">
        <v>500000</v>
      </c>
      <c r="AE1344" s="1" t="s">
        <v>51</v>
      </c>
      <c r="AF1344" s="1" t="s">
        <v>51</v>
      </c>
      <c r="AG1344" s="1" t="s">
        <v>51</v>
      </c>
      <c r="AH1344" s="1"/>
      <c r="AI1344" s="1"/>
      <c r="AJ1344" s="3">
        <v>1</v>
      </c>
      <c r="AK1344" s="1" t="s">
        <v>52</v>
      </c>
      <c r="AL1344" s="3">
        <v>3</v>
      </c>
      <c r="AM1344" s="8">
        <v>8.9499999999999993</v>
      </c>
      <c r="AN1344" s="1"/>
      <c r="AO1344" s="1" t="s">
        <v>8820</v>
      </c>
      <c r="AP1344" s="1" t="s">
        <v>84</v>
      </c>
      <c r="AQ1344" s="1" t="s">
        <v>8821</v>
      </c>
      <c r="AR1344" s="1" t="s">
        <v>8822</v>
      </c>
    </row>
    <row r="1345">
      <c r="A1345" s="2">
        <f ca="1">DATE(2004,07,23)</f>
        <v>0</v>
      </c>
      <c r="B1345" s="2">
        <f ca="1">DATE(2004,10,20)</f>
        <v>0</v>
      </c>
      <c r="C1345" s="1" t="s">
        <v>8823</v>
      </c>
      <c r="D1345" s="3">
        <v>3845</v>
      </c>
      <c r="E1345" s="1" t="s">
        <v>43</v>
      </c>
      <c r="F1345" s="1" t="s">
        <v>8824</v>
      </c>
      <c r="G1345" s="1" t="s">
        <v>8825</v>
      </c>
      <c r="H1345" s="4">
        <v>1.05</v>
      </c>
      <c r="I1345" s="4">
        <v>7</v>
      </c>
      <c r="J1345" s="5">
        <v>80.599999999999994</v>
      </c>
      <c r="K1345" s="4">
        <v>15</v>
      </c>
      <c r="L1345" s="1" t="s">
        <v>46</v>
      </c>
      <c r="M1345" s="1" t="s">
        <v>47</v>
      </c>
      <c r="N1345" s="3">
        <v>928566108</v>
      </c>
      <c r="O1345" s="1" t="s">
        <v>48</v>
      </c>
      <c r="P1345" s="1" t="s">
        <v>8826</v>
      </c>
      <c r="Q1345" s="4">
        <v>1.3999999999999999</v>
      </c>
      <c r="R1345" s="4">
        <v>1.3999999999999999</v>
      </c>
      <c r="S1345" s="8">
        <v>4.2000000000000002</v>
      </c>
      <c r="T1345" s="1" t="s">
        <v>50</v>
      </c>
      <c r="U1345" s="1"/>
      <c r="V1345" s="1"/>
      <c r="W1345" s="1"/>
      <c r="X1345" s="5">
        <v>80.5</v>
      </c>
      <c r="Y1345" s="7">
        <v>4000000</v>
      </c>
      <c r="Z1345" s="7">
        <v>1375995</v>
      </c>
      <c r="AA1345" s="2">
        <f ca="1">DATE(2005,04,18)</f>
        <v>0</v>
      </c>
      <c r="AB1345" s="4">
        <v>62.414999999999999</v>
      </c>
      <c r="AC1345" s="3">
        <v>180</v>
      </c>
      <c r="AD1345" s="8">
        <v>8946368</v>
      </c>
      <c r="AE1345" s="1" t="s">
        <v>51</v>
      </c>
      <c r="AF1345" s="1" t="s">
        <v>51</v>
      </c>
      <c r="AG1345" s="1" t="s">
        <v>47</v>
      </c>
      <c r="AH1345" s="1"/>
      <c r="AI1345" s="1"/>
      <c r="AJ1345" s="3">
        <v>2</v>
      </c>
      <c r="AK1345" s="1" t="s">
        <v>89</v>
      </c>
      <c r="AL1345" s="3">
        <v>3</v>
      </c>
      <c r="AM1345" s="8">
        <v>15.01</v>
      </c>
      <c r="AN1345" s="1"/>
      <c r="AO1345" s="1" t="s">
        <v>8827</v>
      </c>
      <c r="AP1345" s="1" t="s">
        <v>7752</v>
      </c>
      <c r="AQ1345" s="1" t="s">
        <v>8828</v>
      </c>
      <c r="AR1345" s="1" t="s">
        <v>8826</v>
      </c>
    </row>
    <row r="1346">
      <c r="A1346" s="2">
        <f ca="1">DATE(2004,08,02)</f>
        <v>0</v>
      </c>
      <c r="B1346" s="2">
        <f ca="1">DATE(2004,10,21)</f>
        <v>0</v>
      </c>
      <c r="C1346" s="1" t="s">
        <v>8829</v>
      </c>
      <c r="D1346" s="3">
        <v>6798</v>
      </c>
      <c r="E1346" s="1" t="s">
        <v>43</v>
      </c>
      <c r="F1346" s="1" t="s">
        <v>8830</v>
      </c>
      <c r="G1346" s="1" t="s">
        <v>813</v>
      </c>
      <c r="H1346" s="4">
        <v>1</v>
      </c>
      <c r="I1346" s="4">
        <v>6.25</v>
      </c>
      <c r="J1346" s="5">
        <v>400</v>
      </c>
      <c r="K1346" s="4">
        <v>16</v>
      </c>
      <c r="L1346" s="1" t="s">
        <v>46</v>
      </c>
      <c r="M1346" s="1" t="s">
        <v>47</v>
      </c>
      <c r="N1346" s="1" t="s">
        <v>8831</v>
      </c>
      <c r="O1346" s="1" t="s">
        <v>108</v>
      </c>
      <c r="P1346" s="1" t="s">
        <v>8832</v>
      </c>
      <c r="Q1346" s="4">
        <v>1.25</v>
      </c>
      <c r="R1346" s="4">
        <v>1.25</v>
      </c>
      <c r="S1346" s="8">
        <v>3.75</v>
      </c>
      <c r="T1346" s="1" t="s">
        <v>50</v>
      </c>
      <c r="U1346" s="1"/>
      <c r="V1346" s="1"/>
      <c r="W1346" s="1"/>
      <c r="X1346" s="5">
        <v>300</v>
      </c>
      <c r="Y1346" s="7">
        <v>25000000</v>
      </c>
      <c r="Z1346" s="1"/>
      <c r="AA1346" s="2">
        <f ca="1">DATE(2005,07,18)</f>
        <v>0</v>
      </c>
      <c r="AB1346" s="4">
        <v>89.959000000000003</v>
      </c>
      <c r="AC1346" s="3">
        <v>270</v>
      </c>
      <c r="AD1346" s="8">
        <v>33595162</v>
      </c>
      <c r="AE1346" s="1" t="s">
        <v>51</v>
      </c>
      <c r="AF1346" s="1" t="s">
        <v>51</v>
      </c>
      <c r="AG1346" s="1" t="s">
        <v>51</v>
      </c>
      <c r="AH1346" s="1"/>
      <c r="AI1346" s="1"/>
      <c r="AJ1346" s="3">
        <v>1</v>
      </c>
      <c r="AK1346" s="1" t="s">
        <v>110</v>
      </c>
      <c r="AL1346" s="3">
        <v>6</v>
      </c>
      <c r="AM1346" s="8">
        <v>16.73</v>
      </c>
      <c r="AN1346" s="1"/>
      <c r="AO1346" s="1" t="s">
        <v>8833</v>
      </c>
      <c r="AP1346" s="1" t="s">
        <v>8834</v>
      </c>
      <c r="AQ1346" s="1" t="s">
        <v>8835</v>
      </c>
      <c r="AR1346" s="1" t="s">
        <v>8836</v>
      </c>
    </row>
    <row r="1347">
      <c r="A1347" s="2">
        <f ca="1">DATE(2004,10,18)</f>
        <v>0</v>
      </c>
      <c r="B1347" s="2">
        <f ca="1">DATE(2004,10,21)</f>
        <v>0</v>
      </c>
      <c r="C1347" s="1" t="s">
        <v>8837</v>
      </c>
      <c r="D1347" s="3">
        <v>7376</v>
      </c>
      <c r="E1347" s="1" t="s">
        <v>8838</v>
      </c>
      <c r="F1347" s="1" t="s">
        <v>8839</v>
      </c>
      <c r="G1347" s="1" t="s">
        <v>45</v>
      </c>
      <c r="H1347" s="4">
        <v>0.63</v>
      </c>
      <c r="I1347" s="4">
        <v>7</v>
      </c>
      <c r="J1347" s="5">
        <v>78.299999999999997</v>
      </c>
      <c r="K1347" s="4">
        <v>9</v>
      </c>
      <c r="L1347" s="1" t="s">
        <v>1057</v>
      </c>
      <c r="M1347" s="1" t="s">
        <v>47</v>
      </c>
      <c r="N1347" s="1" t="s">
        <v>8840</v>
      </c>
      <c r="O1347" s="1" t="s">
        <v>48</v>
      </c>
      <c r="P1347" s="1" t="s">
        <v>8841</v>
      </c>
      <c r="Q1347" s="4">
        <v>1.444</v>
      </c>
      <c r="R1347" s="4">
        <v>1.444</v>
      </c>
      <c r="S1347" s="6">
        <v>4.11111</v>
      </c>
      <c r="T1347" s="1" t="s">
        <v>50</v>
      </c>
      <c r="U1347" s="8">
        <v>14.5</v>
      </c>
      <c r="V1347" s="8">
        <v>12.5</v>
      </c>
      <c r="W1347" s="7">
        <v>8700000</v>
      </c>
      <c r="X1347" s="5">
        <v>117.5</v>
      </c>
      <c r="Y1347" s="7">
        <v>8700000</v>
      </c>
      <c r="Z1347" s="1"/>
      <c r="AA1347" s="2">
        <f ca="1">DATE(2005,04,19)</f>
        <v>0</v>
      </c>
      <c r="AB1347" s="4">
        <v>62.003</v>
      </c>
      <c r="AC1347" s="3">
        <v>180</v>
      </c>
      <c r="AD1347" s="8">
        <v>18201000</v>
      </c>
      <c r="AE1347" s="1" t="s">
        <v>51</v>
      </c>
      <c r="AF1347" s="1" t="s">
        <v>51</v>
      </c>
      <c r="AG1347" s="1" t="s">
        <v>51</v>
      </c>
      <c r="AH1347" s="1"/>
      <c r="AI1347" s="1"/>
      <c r="AJ1347" s="3">
        <v>1</v>
      </c>
      <c r="AK1347" s="1" t="s">
        <v>89</v>
      </c>
      <c r="AL1347" s="3">
        <v>3</v>
      </c>
      <c r="AM1347" s="1"/>
      <c r="AN1347" s="1"/>
      <c r="AO1347" s="1" t="s">
        <v>8842</v>
      </c>
      <c r="AP1347" s="1" t="s">
        <v>8843</v>
      </c>
      <c r="AQ1347" s="1" t="s">
        <v>8844</v>
      </c>
      <c r="AR1347" s="1" t="s">
        <v>8845</v>
      </c>
    </row>
    <row r="1348">
      <c r="A1348" s="2">
        <f ca="1">DATE(2004,04,21)</f>
        <v>0</v>
      </c>
      <c r="B1348" s="2">
        <f ca="1">DATE(2004,10,25)</f>
        <v>0</v>
      </c>
      <c r="C1348" s="1" t="s">
        <v>8846</v>
      </c>
      <c r="D1348" s="3">
        <v>6798</v>
      </c>
      <c r="E1348" s="1" t="s">
        <v>43</v>
      </c>
      <c r="F1348" s="1" t="s">
        <v>8847</v>
      </c>
      <c r="G1348" s="1" t="s">
        <v>5983</v>
      </c>
      <c r="H1348" s="4">
        <v>0.63</v>
      </c>
      <c r="I1348" s="4">
        <v>7</v>
      </c>
      <c r="J1348" s="5">
        <v>180</v>
      </c>
      <c r="K1348" s="4">
        <v>9</v>
      </c>
      <c r="L1348" s="1" t="s">
        <v>46</v>
      </c>
      <c r="M1348" s="1" t="s">
        <v>47</v>
      </c>
      <c r="N1348" s="1" t="s">
        <v>8848</v>
      </c>
      <c r="O1348" s="1" t="s">
        <v>108</v>
      </c>
      <c r="P1348" s="1" t="s">
        <v>8849</v>
      </c>
      <c r="Q1348" s="4">
        <v>1.444</v>
      </c>
      <c r="R1348" s="4">
        <v>1.444</v>
      </c>
      <c r="S1348" s="6">
        <v>4.11111</v>
      </c>
      <c r="T1348" s="1" t="s">
        <v>50</v>
      </c>
      <c r="U1348" s="8">
        <v>11</v>
      </c>
      <c r="V1348" s="8">
        <v>9</v>
      </c>
      <c r="W1348" s="7">
        <v>20000000</v>
      </c>
      <c r="X1348" s="5">
        <v>200</v>
      </c>
      <c r="Y1348" s="7">
        <v>20000000</v>
      </c>
      <c r="Z1348" s="1"/>
      <c r="AA1348" s="2">
        <f ca="1">DATE(2005,04,23)</f>
        <v>0</v>
      </c>
      <c r="AB1348" s="4">
        <v>0.23499999999999999</v>
      </c>
      <c r="AC1348" s="3">
        <v>180</v>
      </c>
      <c r="AD1348" s="8">
        <v>50000</v>
      </c>
      <c r="AE1348" s="1" t="s">
        <v>51</v>
      </c>
      <c r="AF1348" s="1" t="s">
        <v>51</v>
      </c>
      <c r="AG1348" s="1" t="s">
        <v>51</v>
      </c>
      <c r="AH1348" s="1"/>
      <c r="AI1348" s="1"/>
      <c r="AJ1348" s="3">
        <v>1</v>
      </c>
      <c r="AK1348" s="1" t="s">
        <v>52</v>
      </c>
      <c r="AL1348" s="3">
        <v>4</v>
      </c>
      <c r="AM1348" s="8">
        <v>8.75</v>
      </c>
      <c r="AN1348" s="1"/>
      <c r="AO1348" s="1" t="s">
        <v>8850</v>
      </c>
      <c r="AP1348" s="1" t="s">
        <v>5983</v>
      </c>
      <c r="AQ1348" s="1" t="s">
        <v>8851</v>
      </c>
      <c r="AR1348" s="1" t="s">
        <v>8852</v>
      </c>
    </row>
    <row r="1349">
      <c r="A1349" s="2">
        <f ca="1">DATE(2004,03,23)</f>
        <v>0</v>
      </c>
      <c r="B1349" s="2">
        <f ca="1">DATE(2004,10,25)</f>
        <v>0</v>
      </c>
      <c r="C1349" s="1" t="s">
        <v>8853</v>
      </c>
      <c r="D1349" s="3">
        <v>5961</v>
      </c>
      <c r="E1349" s="1" t="s">
        <v>43</v>
      </c>
      <c r="F1349" s="1" t="s">
        <v>8854</v>
      </c>
      <c r="G1349" s="1" t="s">
        <v>160</v>
      </c>
      <c r="H1349" s="4">
        <v>1.26</v>
      </c>
      <c r="I1349" s="4">
        <v>7</v>
      </c>
      <c r="J1349" s="5">
        <v>123.7</v>
      </c>
      <c r="K1349" s="4">
        <v>18</v>
      </c>
      <c r="L1349" s="1" t="s">
        <v>1057</v>
      </c>
      <c r="M1349" s="1" t="s">
        <v>47</v>
      </c>
      <c r="N1349" s="1" t="s">
        <v>8855</v>
      </c>
      <c r="O1349" s="1" t="s">
        <v>48</v>
      </c>
      <c r="P1349" s="1" t="s">
        <v>8856</v>
      </c>
      <c r="Q1349" s="4">
        <v>1.3999999999999999</v>
      </c>
      <c r="R1349" s="4">
        <v>1.3999999999999999</v>
      </c>
      <c r="S1349" s="8">
        <v>4.2000000000000002</v>
      </c>
      <c r="T1349" s="1" t="s">
        <v>50</v>
      </c>
      <c r="U1349" s="1"/>
      <c r="V1349" s="1"/>
      <c r="W1349" s="1"/>
      <c r="X1349" s="5">
        <v>75</v>
      </c>
      <c r="Y1349" s="7">
        <v>5060084</v>
      </c>
      <c r="Z1349" s="7">
        <v>1811076</v>
      </c>
      <c r="AA1349" s="1" t="s">
        <v>8857</v>
      </c>
      <c r="AB1349" s="1" t="s">
        <v>8858</v>
      </c>
      <c r="AC1349" s="1" t="s">
        <v>8859</v>
      </c>
      <c r="AD1349" s="1" t="s">
        <v>8860</v>
      </c>
      <c r="AE1349" s="1" t="s">
        <v>51</v>
      </c>
      <c r="AF1349" s="1" t="s">
        <v>51</v>
      </c>
      <c r="AG1349" s="1" t="s">
        <v>47</v>
      </c>
      <c r="AH1349" s="1"/>
      <c r="AI1349" s="1"/>
      <c r="AJ1349" s="3">
        <v>1</v>
      </c>
      <c r="AK1349" s="1" t="s">
        <v>89</v>
      </c>
      <c r="AL1349" s="3">
        <v>4</v>
      </c>
      <c r="AM1349" s="8">
        <v>28.800000000000001</v>
      </c>
      <c r="AN1349" s="1"/>
      <c r="AO1349" s="1" t="s">
        <v>8861</v>
      </c>
      <c r="AP1349" s="1" t="s">
        <v>3745</v>
      </c>
      <c r="AQ1349" s="1" t="s">
        <v>8862</v>
      </c>
      <c r="AR1349" s="1" t="s">
        <v>8863</v>
      </c>
    </row>
    <row r="1350">
      <c r="A1350" s="2">
        <f ca="1">DATE(2004,10,22)</f>
        <v>0</v>
      </c>
      <c r="B1350" s="2">
        <f ca="1">DATE(2004,10,26)</f>
        <v>0</v>
      </c>
      <c r="C1350" s="1" t="s">
        <v>8864</v>
      </c>
      <c r="D1350" s="3">
        <v>6726</v>
      </c>
      <c r="E1350" s="1" t="s">
        <v>43</v>
      </c>
      <c r="F1350" s="1" t="s">
        <v>8865</v>
      </c>
      <c r="G1350" s="1" t="s">
        <v>5704</v>
      </c>
      <c r="H1350" s="4">
        <v>0.90000000000000002</v>
      </c>
      <c r="I1350" s="4">
        <v>4.5</v>
      </c>
      <c r="J1350" s="5">
        <v>750</v>
      </c>
      <c r="K1350" s="4">
        <v>20</v>
      </c>
      <c r="L1350" s="1" t="s">
        <v>4422</v>
      </c>
      <c r="M1350" s="1" t="s">
        <v>47</v>
      </c>
      <c r="N1350" s="3">
        <v>278274105</v>
      </c>
      <c r="O1350" s="1" t="s">
        <v>108</v>
      </c>
      <c r="P1350" s="1" t="s">
        <v>8866</v>
      </c>
      <c r="Q1350" s="4">
        <v>1</v>
      </c>
      <c r="R1350" s="4">
        <v>0.5</v>
      </c>
      <c r="S1350" s="8">
        <v>3</v>
      </c>
      <c r="T1350" s="1" t="s">
        <v>50</v>
      </c>
      <c r="U1350" s="8">
        <v>20</v>
      </c>
      <c r="V1350" s="8">
        <v>20</v>
      </c>
      <c r="W1350" s="7">
        <v>50000</v>
      </c>
      <c r="X1350" s="5">
        <v>1</v>
      </c>
      <c r="Y1350" s="7">
        <v>37500000</v>
      </c>
      <c r="Z1350" s="1"/>
      <c r="AA1350" s="2">
        <f ca="1">DATE(2005,04,24)</f>
        <v>0</v>
      </c>
      <c r="AB1350" s="1"/>
      <c r="AC1350" s="3">
        <v>180</v>
      </c>
      <c r="AD1350" s="1"/>
      <c r="AE1350" s="1" t="s">
        <v>51</v>
      </c>
      <c r="AF1350" s="1" t="s">
        <v>51</v>
      </c>
      <c r="AG1350" s="1" t="s">
        <v>51</v>
      </c>
      <c r="AH1350" s="1"/>
      <c r="AI1350" s="1"/>
      <c r="AJ1350" s="3">
        <v>1</v>
      </c>
      <c r="AK1350" s="1" t="s">
        <v>110</v>
      </c>
      <c r="AL1350" s="3">
        <v>9</v>
      </c>
      <c r="AM1350" s="8">
        <v>20</v>
      </c>
      <c r="AN1350" s="1"/>
      <c r="AO1350" s="1" t="s">
        <v>8867</v>
      </c>
      <c r="AP1350" s="1" t="s">
        <v>7588</v>
      </c>
      <c r="AQ1350" s="1" t="s">
        <v>8868</v>
      </c>
      <c r="AR1350" s="1" t="s">
        <v>8869</v>
      </c>
    </row>
    <row r="1351">
      <c r="A1351" s="2">
        <f ca="1">DATE(2004,08,20)</f>
        <v>0</v>
      </c>
      <c r="B1351" s="2">
        <f ca="1">DATE(2004,10,26)</f>
        <v>0</v>
      </c>
      <c r="C1351" s="1" t="s">
        <v>8870</v>
      </c>
      <c r="D1351" s="3">
        <v>6726</v>
      </c>
      <c r="E1351" s="1" t="s">
        <v>43</v>
      </c>
      <c r="F1351" s="1" t="s">
        <v>8871</v>
      </c>
      <c r="G1351" s="1" t="s">
        <v>6201</v>
      </c>
      <c r="H1351" s="4">
        <v>0.90000000000000002</v>
      </c>
      <c r="I1351" s="4">
        <v>4.5</v>
      </c>
      <c r="J1351" s="5">
        <v>676</v>
      </c>
      <c r="K1351" s="4">
        <v>20</v>
      </c>
      <c r="L1351" s="1" t="s">
        <v>46</v>
      </c>
      <c r="M1351" s="1" t="s">
        <v>47</v>
      </c>
      <c r="N1351" s="1" t="s">
        <v>8872</v>
      </c>
      <c r="O1351" s="1" t="s">
        <v>108</v>
      </c>
      <c r="P1351" s="1" t="s">
        <v>8873</v>
      </c>
      <c r="Q1351" s="4">
        <v>0.94999999999999996</v>
      </c>
      <c r="R1351" s="4">
        <v>0.55000000000000004</v>
      </c>
      <c r="S1351" s="8">
        <v>3</v>
      </c>
      <c r="T1351" s="1" t="s">
        <v>50</v>
      </c>
      <c r="U1351" s="8">
        <v>20</v>
      </c>
      <c r="V1351" s="8">
        <v>20</v>
      </c>
      <c r="W1351" s="7">
        <v>1000</v>
      </c>
      <c r="X1351" s="5">
        <v>0</v>
      </c>
      <c r="Y1351" s="7">
        <v>33800000</v>
      </c>
      <c r="Z1351" s="1"/>
      <c r="AA1351" s="2">
        <f ca="1">DATE(2005,04,24)</f>
        <v>0</v>
      </c>
      <c r="AB1351" s="1"/>
      <c r="AC1351" s="3">
        <v>180</v>
      </c>
      <c r="AD1351" s="1"/>
      <c r="AE1351" s="1" t="s">
        <v>51</v>
      </c>
      <c r="AF1351" s="1" t="s">
        <v>51</v>
      </c>
      <c r="AG1351" s="1" t="s">
        <v>51</v>
      </c>
      <c r="AH1351" s="1"/>
      <c r="AI1351" s="1"/>
      <c r="AJ1351" s="3">
        <v>1</v>
      </c>
      <c r="AK1351" s="1" t="s">
        <v>52</v>
      </c>
      <c r="AL1351" s="3">
        <v>17</v>
      </c>
      <c r="AM1351" s="8">
        <v>20.059999999999999</v>
      </c>
      <c r="AN1351" s="1"/>
      <c r="AO1351" s="1" t="s">
        <v>8874</v>
      </c>
      <c r="AP1351" s="1" t="s">
        <v>6201</v>
      </c>
      <c r="AQ1351" s="1" t="s">
        <v>8875</v>
      </c>
      <c r="AR1351" s="1" t="s">
        <v>8876</v>
      </c>
    </row>
    <row r="1352">
      <c r="A1352" s="2">
        <f ca="1">DATE(2004,09,17)</f>
        <v>0</v>
      </c>
      <c r="B1352" s="2">
        <f ca="1">DATE(2004,10,26)</f>
        <v>0</v>
      </c>
      <c r="C1352" s="1" t="s">
        <v>8877</v>
      </c>
      <c r="D1352" s="3">
        <v>6726</v>
      </c>
      <c r="E1352" s="1" t="s">
        <v>43</v>
      </c>
      <c r="F1352" s="1" t="s">
        <v>8878</v>
      </c>
      <c r="G1352" s="1" t="s">
        <v>45</v>
      </c>
      <c r="H1352" s="4">
        <v>0.90000000000000002</v>
      </c>
      <c r="I1352" s="4">
        <v>4.5</v>
      </c>
      <c r="J1352" s="5">
        <v>740</v>
      </c>
      <c r="K1352" s="4">
        <v>20</v>
      </c>
      <c r="L1352" s="1" t="s">
        <v>4422</v>
      </c>
      <c r="M1352" s="1" t="s">
        <v>47</v>
      </c>
      <c r="N1352" s="1" t="s">
        <v>8879</v>
      </c>
      <c r="O1352" s="1" t="s">
        <v>108</v>
      </c>
      <c r="P1352" s="1" t="s">
        <v>8880</v>
      </c>
      <c r="Q1352" s="4">
        <v>1</v>
      </c>
      <c r="R1352" s="4">
        <v>0.5</v>
      </c>
      <c r="S1352" s="8">
        <v>3</v>
      </c>
      <c r="T1352" s="1" t="s">
        <v>50</v>
      </c>
      <c r="U1352" s="8">
        <v>20</v>
      </c>
      <c r="V1352" s="8">
        <v>20</v>
      </c>
      <c r="W1352" s="7">
        <v>1000</v>
      </c>
      <c r="X1352" s="5">
        <v>0</v>
      </c>
      <c r="Y1352" s="7">
        <v>37000000</v>
      </c>
      <c r="Z1352" s="1"/>
      <c r="AA1352" s="2">
        <f ca="1">DATE(2005,04,24)</f>
        <v>0</v>
      </c>
      <c r="AB1352" s="1"/>
      <c r="AC1352" s="3">
        <v>180</v>
      </c>
      <c r="AD1352" s="1"/>
      <c r="AE1352" s="1" t="s">
        <v>51</v>
      </c>
      <c r="AF1352" s="1" t="s">
        <v>51</v>
      </c>
      <c r="AG1352" s="1" t="s">
        <v>51</v>
      </c>
      <c r="AH1352" s="1"/>
      <c r="AI1352" s="1"/>
      <c r="AJ1352" s="3">
        <v>1</v>
      </c>
      <c r="AK1352" s="1" t="s">
        <v>52</v>
      </c>
      <c r="AL1352" s="3">
        <v>18</v>
      </c>
      <c r="AM1352" s="8">
        <v>20.010000000000002</v>
      </c>
      <c r="AN1352" s="1"/>
      <c r="AO1352" s="1" t="s">
        <v>8881</v>
      </c>
      <c r="AP1352" s="1" t="s">
        <v>45</v>
      </c>
      <c r="AQ1352" s="1" t="s">
        <v>8882</v>
      </c>
      <c r="AR1352" s="1" t="s">
        <v>8883</v>
      </c>
    </row>
    <row r="1353">
      <c r="A1353" s="2">
        <f ca="1">DATE(2004,10,26)</f>
        <v>0</v>
      </c>
      <c r="B1353" s="2">
        <f ca="1">DATE(2004,10,26)</f>
        <v>0</v>
      </c>
      <c r="C1353" s="1" t="s">
        <v>8884</v>
      </c>
      <c r="D1353" s="3">
        <v>6726</v>
      </c>
      <c r="E1353" s="1" t="s">
        <v>43</v>
      </c>
      <c r="F1353" s="1" t="s">
        <v>8885</v>
      </c>
      <c r="G1353" s="1" t="s">
        <v>6201</v>
      </c>
      <c r="H1353" s="4">
        <v>0.90000000000000002</v>
      </c>
      <c r="I1353" s="4">
        <v>4.5</v>
      </c>
      <c r="J1353" s="5">
        <v>158</v>
      </c>
      <c r="K1353" s="4">
        <v>20</v>
      </c>
      <c r="L1353" s="1" t="s">
        <v>46</v>
      </c>
      <c r="M1353" s="1" t="s">
        <v>47</v>
      </c>
      <c r="N1353" s="1" t="s">
        <v>8886</v>
      </c>
      <c r="O1353" s="1" t="s">
        <v>108</v>
      </c>
      <c r="P1353" s="1" t="s">
        <v>8887</v>
      </c>
      <c r="Q1353" s="4">
        <v>0.94999999999999996</v>
      </c>
      <c r="R1353" s="4">
        <v>0.55000000000000004</v>
      </c>
      <c r="S1353" s="8">
        <v>3</v>
      </c>
      <c r="T1353" s="1" t="s">
        <v>50</v>
      </c>
      <c r="U1353" s="8">
        <v>20</v>
      </c>
      <c r="V1353" s="8">
        <v>20</v>
      </c>
      <c r="W1353" s="7">
        <v>50000</v>
      </c>
      <c r="X1353" s="5">
        <v>1</v>
      </c>
      <c r="Y1353" s="7">
        <v>7900000</v>
      </c>
      <c r="Z1353" s="1"/>
      <c r="AA1353" s="2">
        <f ca="1">DATE(2005,04,24)</f>
        <v>0</v>
      </c>
      <c r="AB1353" s="1"/>
      <c r="AC1353" s="3">
        <v>180</v>
      </c>
      <c r="AD1353" s="1"/>
      <c r="AE1353" s="1" t="s">
        <v>51</v>
      </c>
      <c r="AF1353" s="1" t="s">
        <v>51</v>
      </c>
      <c r="AG1353" s="1" t="s">
        <v>51</v>
      </c>
      <c r="AH1353" s="1"/>
      <c r="AI1353" s="1"/>
      <c r="AJ1353" s="3">
        <v>1</v>
      </c>
      <c r="AK1353" s="1" t="s">
        <v>52</v>
      </c>
      <c r="AL1353" s="3">
        <v>3</v>
      </c>
      <c r="AM1353" s="8">
        <v>20</v>
      </c>
      <c r="AN1353" s="1"/>
      <c r="AO1353" s="1" t="s">
        <v>8888</v>
      </c>
      <c r="AP1353" s="1" t="s">
        <v>6201</v>
      </c>
      <c r="AQ1353" s="1" t="s">
        <v>8889</v>
      </c>
      <c r="AR1353" s="1" t="s">
        <v>8890</v>
      </c>
    </row>
    <row r="1354">
      <c r="A1354" s="2">
        <f ca="1">DATE(2004,10,12)</f>
        <v>0</v>
      </c>
      <c r="B1354" s="2">
        <f ca="1">DATE(2004,10,27)</f>
        <v>0</v>
      </c>
      <c r="C1354" s="1" t="s">
        <v>8891</v>
      </c>
      <c r="D1354" s="3">
        <v>6211</v>
      </c>
      <c r="E1354" s="1" t="s">
        <v>43</v>
      </c>
      <c r="F1354" s="1" t="s">
        <v>8892</v>
      </c>
      <c r="G1354" s="1" t="s">
        <v>8893</v>
      </c>
      <c r="H1354" s="4">
        <v>1.2150000000000001</v>
      </c>
      <c r="I1354" s="4">
        <v>6.75</v>
      </c>
      <c r="J1354" s="5">
        <v>360</v>
      </c>
      <c r="K1354" s="4">
        <v>18</v>
      </c>
      <c r="L1354" s="1" t="s">
        <v>152</v>
      </c>
      <c r="M1354" s="1" t="s">
        <v>47</v>
      </c>
      <c r="N1354" s="1" t="s">
        <v>8894</v>
      </c>
      <c r="O1354" s="1" t="s">
        <v>48</v>
      </c>
      <c r="P1354" s="1" t="s">
        <v>8895</v>
      </c>
      <c r="Q1354" s="4">
        <v>1.389</v>
      </c>
      <c r="R1354" s="4">
        <v>1.361</v>
      </c>
      <c r="S1354" s="8">
        <v>4</v>
      </c>
      <c r="T1354" s="1" t="s">
        <v>50</v>
      </c>
      <c r="U1354" s="1"/>
      <c r="V1354" s="1"/>
      <c r="W1354" s="1"/>
      <c r="X1354" s="5">
        <v>100</v>
      </c>
      <c r="Y1354" s="7">
        <v>20000000</v>
      </c>
      <c r="Z1354" s="1"/>
      <c r="AA1354" s="2">
        <f ca="1">DATE(2005,04,25)</f>
        <v>0</v>
      </c>
      <c r="AB1354" s="1"/>
      <c r="AC1354" s="3">
        <v>180</v>
      </c>
      <c r="AD1354" s="1"/>
      <c r="AE1354" s="1" t="s">
        <v>51</v>
      </c>
      <c r="AF1354" s="1" t="s">
        <v>51</v>
      </c>
      <c r="AG1354" s="1" t="s">
        <v>51</v>
      </c>
      <c r="AH1354" s="1"/>
      <c r="AI1354" s="1"/>
      <c r="AJ1354" s="3">
        <v>2</v>
      </c>
      <c r="AK1354" s="1" t="s">
        <v>89</v>
      </c>
      <c r="AL1354" s="3">
        <v>4</v>
      </c>
      <c r="AM1354" s="8">
        <v>19.920000000000002</v>
      </c>
      <c r="AN1354" s="1"/>
      <c r="AO1354" s="1" t="s">
        <v>8896</v>
      </c>
      <c r="AP1354" s="1" t="s">
        <v>7744</v>
      </c>
      <c r="AQ1354" s="1" t="s">
        <v>8897</v>
      </c>
      <c r="AR1354" s="1" t="s">
        <v>8898</v>
      </c>
    </row>
    <row r="1355">
      <c r="A1355" s="2">
        <f ca="1">DATE(2004,07,21)</f>
        <v>0</v>
      </c>
      <c r="B1355" s="2">
        <f ca="1">DATE(2004,10,27)</f>
        <v>0</v>
      </c>
      <c r="C1355" s="1" t="s">
        <v>8899</v>
      </c>
      <c r="D1355" s="3">
        <v>7812</v>
      </c>
      <c r="E1355" s="1" t="s">
        <v>43</v>
      </c>
      <c r="F1355" s="1" t="s">
        <v>8900</v>
      </c>
      <c r="G1355" s="1" t="s">
        <v>7893</v>
      </c>
      <c r="H1355" s="4">
        <v>1.6100000000000001</v>
      </c>
      <c r="I1355" s="4">
        <v>5.75</v>
      </c>
      <c r="J1355" s="5">
        <v>812</v>
      </c>
      <c r="K1355" s="4">
        <v>28</v>
      </c>
      <c r="L1355" s="1" t="s">
        <v>152</v>
      </c>
      <c r="M1355" s="1" t="s">
        <v>47</v>
      </c>
      <c r="N1355" s="1" t="s">
        <v>8901</v>
      </c>
      <c r="O1355" s="1" t="s">
        <v>108</v>
      </c>
      <c r="P1355" s="1" t="s">
        <v>8902</v>
      </c>
      <c r="Q1355" s="1" t="s">
        <v>145</v>
      </c>
      <c r="R1355" s="1" t="s">
        <v>145</v>
      </c>
      <c r="S1355" s="8">
        <v>3.4500000000000002</v>
      </c>
      <c r="T1355" s="1" t="s">
        <v>50</v>
      </c>
      <c r="U1355" s="1"/>
      <c r="V1355" s="1"/>
      <c r="W1355" s="1"/>
      <c r="X1355" s="5">
        <v>650</v>
      </c>
      <c r="Y1355" s="7">
        <v>25000000</v>
      </c>
      <c r="Z1355" s="7">
        <v>4000000</v>
      </c>
      <c r="AA1355" s="1" t="s">
        <v>8903</v>
      </c>
      <c r="AB1355" s="1" t="s">
        <v>2067</v>
      </c>
      <c r="AC1355" s="1" t="s">
        <v>8904</v>
      </c>
      <c r="AD1355" s="1" t="s">
        <v>2067</v>
      </c>
      <c r="AE1355" s="1" t="s">
        <v>51</v>
      </c>
      <c r="AF1355" s="1" t="s">
        <v>51</v>
      </c>
      <c r="AG1355" s="1" t="s">
        <v>47</v>
      </c>
      <c r="AH1355" s="1"/>
      <c r="AI1355" s="1"/>
      <c r="AJ1355" s="3">
        <v>2</v>
      </c>
      <c r="AK1355" s="1" t="s">
        <v>89</v>
      </c>
      <c r="AL1355" s="3">
        <v>12</v>
      </c>
      <c r="AM1355" s="8">
        <v>38.75</v>
      </c>
      <c r="AN1355" s="1"/>
      <c r="AO1355" s="1" t="s">
        <v>8905</v>
      </c>
      <c r="AP1355" s="1" t="s">
        <v>4528</v>
      </c>
      <c r="AQ1355" s="1" t="s">
        <v>8906</v>
      </c>
      <c r="AR1355" s="1" t="s">
        <v>8907</v>
      </c>
    </row>
    <row r="1356">
      <c r="A1356" s="2">
        <f ca="1">DATE(2004,10,07)</f>
        <v>0</v>
      </c>
      <c r="B1356" s="2">
        <f ca="1">DATE(2004,10,27)</f>
        <v>0</v>
      </c>
      <c r="C1356" s="1" t="s">
        <v>8908</v>
      </c>
      <c r="D1356" s="3">
        <v>7389</v>
      </c>
      <c r="E1356" s="1" t="s">
        <v>744</v>
      </c>
      <c r="F1356" s="1" t="s">
        <v>8909</v>
      </c>
      <c r="G1356" s="1" t="s">
        <v>5110</v>
      </c>
      <c r="H1356" s="4">
        <v>0.94499999999999995</v>
      </c>
      <c r="I1356" s="8">
        <v>7</v>
      </c>
      <c r="J1356" s="5">
        <v>62.100000000000001</v>
      </c>
      <c r="K1356" s="4">
        <v>13.5</v>
      </c>
      <c r="L1356" s="1" t="s">
        <v>651</v>
      </c>
      <c r="M1356" s="1" t="s">
        <v>47</v>
      </c>
      <c r="N1356" s="3">
        <v>290138205</v>
      </c>
      <c r="O1356" s="1" t="s">
        <v>48</v>
      </c>
      <c r="P1356" s="1" t="s">
        <v>8910</v>
      </c>
      <c r="Q1356" s="4">
        <v>1.389</v>
      </c>
      <c r="R1356" s="4">
        <v>1.389</v>
      </c>
      <c r="S1356" s="6">
        <v>4.2222200000000001</v>
      </c>
      <c r="T1356" s="1" t="s">
        <v>50</v>
      </c>
      <c r="U1356" s="8">
        <v>13.5</v>
      </c>
      <c r="V1356" s="8">
        <v>11.5</v>
      </c>
      <c r="W1356" s="7">
        <v>4385156</v>
      </c>
      <c r="X1356" s="5">
        <v>54.799999999999997</v>
      </c>
      <c r="Y1356" s="7">
        <v>3623235</v>
      </c>
      <c r="Z1356" s="7">
        <v>979312</v>
      </c>
      <c r="AA1356" s="1" t="s">
        <v>8911</v>
      </c>
      <c r="AB1356" s="1" t="s">
        <v>8912</v>
      </c>
      <c r="AC1356" s="1" t="s">
        <v>2068</v>
      </c>
      <c r="AD1356" s="1" t="s">
        <v>8913</v>
      </c>
      <c r="AE1356" s="1" t="s">
        <v>47</v>
      </c>
      <c r="AF1356" s="1" t="s">
        <v>51</v>
      </c>
      <c r="AG1356" s="1" t="s">
        <v>47</v>
      </c>
      <c r="AH1356" s="1"/>
      <c r="AI1356" s="1"/>
      <c r="AJ1356" s="3">
        <v>1</v>
      </c>
      <c r="AK1356" s="1" t="s">
        <v>52</v>
      </c>
      <c r="AL1356" s="3">
        <v>3</v>
      </c>
      <c r="AM1356" s="8">
        <v>14.4</v>
      </c>
      <c r="AN1356" s="1"/>
      <c r="AO1356" s="1" t="s">
        <v>8914</v>
      </c>
      <c r="AP1356" s="1" t="s">
        <v>5110</v>
      </c>
      <c r="AQ1356" s="1" t="s">
        <v>8915</v>
      </c>
      <c r="AR1356" s="1" t="s">
        <v>8916</v>
      </c>
    </row>
    <row r="1357">
      <c r="A1357" s="2">
        <f ca="1">DATE(2004,08,13)</f>
        <v>0</v>
      </c>
      <c r="B1357" s="2">
        <f ca="1">DATE(2004,10,27)</f>
        <v>0</v>
      </c>
      <c r="C1357" s="1" t="s">
        <v>8917</v>
      </c>
      <c r="D1357" s="3">
        <v>3841</v>
      </c>
      <c r="E1357" s="1" t="s">
        <v>43</v>
      </c>
      <c r="F1357" s="1" t="s">
        <v>8918</v>
      </c>
      <c r="G1357" s="1" t="s">
        <v>8919</v>
      </c>
      <c r="H1357" s="4">
        <v>0.97999999999999998</v>
      </c>
      <c r="I1357" s="8">
        <v>7</v>
      </c>
      <c r="J1357" s="5">
        <v>63</v>
      </c>
      <c r="K1357" s="4">
        <v>14</v>
      </c>
      <c r="L1357" s="1" t="s">
        <v>46</v>
      </c>
      <c r="M1357" s="1" t="s">
        <v>47</v>
      </c>
      <c r="N1357" s="1" t="s">
        <v>8920</v>
      </c>
      <c r="O1357" s="1" t="s">
        <v>48</v>
      </c>
      <c r="P1357" s="1" t="s">
        <v>8921</v>
      </c>
      <c r="Q1357" s="4">
        <v>1.357</v>
      </c>
      <c r="R1357" s="4">
        <v>1.4290000000000001</v>
      </c>
      <c r="S1357" s="6">
        <v>4.2142900000000001</v>
      </c>
      <c r="T1357" s="1" t="s">
        <v>50</v>
      </c>
      <c r="U1357" s="1"/>
      <c r="V1357" s="1"/>
      <c r="W1357" s="1"/>
      <c r="X1357" s="5">
        <v>67.5</v>
      </c>
      <c r="Y1357" s="7">
        <v>4500000</v>
      </c>
      <c r="Z1357" s="1"/>
      <c r="AA1357" s="2">
        <f ca="1">DATE(2005,01,25)</f>
        <v>0</v>
      </c>
      <c r="AB1357" s="4">
        <v>40.459000000000003</v>
      </c>
      <c r="AC1357" s="3">
        <v>90</v>
      </c>
      <c r="AD1357" s="8">
        <v>9209882</v>
      </c>
      <c r="AE1357" s="1" t="s">
        <v>51</v>
      </c>
      <c r="AF1357" s="1" t="s">
        <v>51</v>
      </c>
      <c r="AG1357" s="1" t="s">
        <v>47</v>
      </c>
      <c r="AH1357" s="1"/>
      <c r="AI1357" s="1"/>
      <c r="AJ1357" s="3">
        <v>2</v>
      </c>
      <c r="AK1357" s="1" t="s">
        <v>89</v>
      </c>
      <c r="AL1357" s="3">
        <v>4</v>
      </c>
      <c r="AM1357" s="1"/>
      <c r="AN1357" s="1"/>
      <c r="AO1357" s="1" t="s">
        <v>8922</v>
      </c>
      <c r="AP1357" s="1" t="s">
        <v>8923</v>
      </c>
      <c r="AQ1357" s="1" t="s">
        <v>8924</v>
      </c>
      <c r="AR1357" s="1" t="s">
        <v>8925</v>
      </c>
    </row>
    <row r="1358">
      <c r="A1358" s="2">
        <f ca="1">DATE(2004,09,14)</f>
        <v>0</v>
      </c>
      <c r="B1358" s="2">
        <f ca="1">DATE(2004,10,27)</f>
        <v>0</v>
      </c>
      <c r="C1358" s="1" t="s">
        <v>8926</v>
      </c>
      <c r="D1358" s="3">
        <v>6726</v>
      </c>
      <c r="E1358" s="1" t="s">
        <v>43</v>
      </c>
      <c r="F1358" s="1" t="s">
        <v>8927</v>
      </c>
      <c r="G1358" s="1" t="s">
        <v>45</v>
      </c>
      <c r="H1358" s="4">
        <v>0.90000000000000002</v>
      </c>
      <c r="I1358" s="4">
        <v>4.5</v>
      </c>
      <c r="J1358" s="5">
        <v>135</v>
      </c>
      <c r="K1358" s="4">
        <v>20</v>
      </c>
      <c r="L1358" s="1" t="s">
        <v>46</v>
      </c>
      <c r="M1358" s="1" t="s">
        <v>47</v>
      </c>
      <c r="N1358" s="1" t="s">
        <v>8928</v>
      </c>
      <c r="O1358" s="1" t="s">
        <v>108</v>
      </c>
      <c r="P1358" s="1" t="s">
        <v>8929</v>
      </c>
      <c r="Q1358" s="4">
        <v>1</v>
      </c>
      <c r="R1358" s="4">
        <v>0.5</v>
      </c>
      <c r="S1358" s="8">
        <v>3</v>
      </c>
      <c r="T1358" s="1" t="s">
        <v>50</v>
      </c>
      <c r="U1358" s="8">
        <v>20</v>
      </c>
      <c r="V1358" s="8">
        <v>20</v>
      </c>
      <c r="W1358" s="7">
        <v>1000000</v>
      </c>
      <c r="X1358" s="5">
        <v>20</v>
      </c>
      <c r="Y1358" s="7">
        <v>6750000</v>
      </c>
      <c r="Z1358" s="1"/>
      <c r="AA1358" s="1"/>
      <c r="AB1358" s="1"/>
      <c r="AC1358" s="1"/>
      <c r="AD1358" s="1"/>
      <c r="AE1358" s="1" t="s">
        <v>51</v>
      </c>
      <c r="AF1358" s="1" t="s">
        <v>51</v>
      </c>
      <c r="AG1358" s="1" t="s">
        <v>51</v>
      </c>
      <c r="AH1358" s="1"/>
      <c r="AI1358" s="1"/>
      <c r="AJ1358" s="3">
        <v>1</v>
      </c>
      <c r="AK1358" s="1" t="s">
        <v>52</v>
      </c>
      <c r="AL1358" s="3">
        <v>4</v>
      </c>
      <c r="AM1358" s="8">
        <v>20</v>
      </c>
      <c r="AN1358" s="1"/>
      <c r="AO1358" s="1" t="s">
        <v>8930</v>
      </c>
      <c r="AP1358" s="1" t="s">
        <v>45</v>
      </c>
      <c r="AQ1358" s="1" t="s">
        <v>8931</v>
      </c>
      <c r="AR1358" s="1" t="s">
        <v>8932</v>
      </c>
    </row>
    <row r="1359">
      <c r="A1359" s="2">
        <f ca="1">DATE(2004,08,12)</f>
        <v>0</v>
      </c>
      <c r="B1359" s="2">
        <f ca="1">DATE(2004,10,28)</f>
        <v>0</v>
      </c>
      <c r="C1359" s="1" t="s">
        <v>8933</v>
      </c>
      <c r="D1359" s="3">
        <v>5945</v>
      </c>
      <c r="E1359" s="1" t="s">
        <v>43</v>
      </c>
      <c r="F1359" s="1" t="s">
        <v>8934</v>
      </c>
      <c r="G1359" s="1" t="s">
        <v>8935</v>
      </c>
      <c r="H1359" s="4">
        <v>1.3999999999999999</v>
      </c>
      <c r="I1359" s="8">
        <v>7</v>
      </c>
      <c r="J1359" s="5">
        <v>149.59999999999999</v>
      </c>
      <c r="K1359" s="4">
        <v>20</v>
      </c>
      <c r="L1359" s="1" t="s">
        <v>46</v>
      </c>
      <c r="M1359" s="1" t="s">
        <v>47</v>
      </c>
      <c r="N1359" s="3">
        <v>120076104</v>
      </c>
      <c r="O1359" s="1" t="s">
        <v>108</v>
      </c>
      <c r="P1359" s="1" t="s">
        <v>8936</v>
      </c>
      <c r="Q1359" s="1" t="s">
        <v>145</v>
      </c>
      <c r="R1359" s="1" t="s">
        <v>145</v>
      </c>
      <c r="S1359" s="8">
        <v>4.2000000000000002</v>
      </c>
      <c r="T1359" s="1" t="s">
        <v>50</v>
      </c>
      <c r="U1359" s="1"/>
      <c r="V1359" s="1"/>
      <c r="W1359" s="1"/>
      <c r="X1359" s="5">
        <v>125</v>
      </c>
      <c r="Y1359" s="7">
        <v>1500000</v>
      </c>
      <c r="Z1359" s="7">
        <v>5982000</v>
      </c>
      <c r="AA1359" s="1" t="s">
        <v>8937</v>
      </c>
      <c r="AB1359" s="1" t="s">
        <v>8938</v>
      </c>
      <c r="AC1359" s="1" t="s">
        <v>8939</v>
      </c>
      <c r="AD1359" s="1" t="s">
        <v>8940</v>
      </c>
      <c r="AE1359" s="1" t="s">
        <v>51</v>
      </c>
      <c r="AF1359" s="1" t="s">
        <v>51</v>
      </c>
      <c r="AG1359" s="1" t="s">
        <v>47</v>
      </c>
      <c r="AH1359" s="1"/>
      <c r="AI1359" s="1"/>
      <c r="AJ1359" s="3">
        <v>2</v>
      </c>
      <c r="AK1359" s="1" t="s">
        <v>110</v>
      </c>
      <c r="AL1359" s="3">
        <v>5</v>
      </c>
      <c r="AM1359" s="8">
        <v>24.41</v>
      </c>
      <c r="AN1359" s="1"/>
      <c r="AO1359" s="1" t="s">
        <v>8941</v>
      </c>
      <c r="AP1359" s="1" t="s">
        <v>8942</v>
      </c>
      <c r="AQ1359" s="1" t="s">
        <v>8943</v>
      </c>
      <c r="AR1359" s="1" t="s">
        <v>8944</v>
      </c>
    </row>
    <row r="1360">
      <c r="A1360" s="2">
        <f ca="1">DATE(2004,08,02)</f>
        <v>0</v>
      </c>
      <c r="B1360" s="2">
        <f ca="1">DATE(2004,10,28)</f>
        <v>0</v>
      </c>
      <c r="C1360" s="1" t="s">
        <v>8945</v>
      </c>
      <c r="D1360" s="3">
        <v>6798</v>
      </c>
      <c r="E1360" s="1" t="s">
        <v>43</v>
      </c>
      <c r="F1360" s="1" t="s">
        <v>8946</v>
      </c>
      <c r="G1360" s="1" t="s">
        <v>8893</v>
      </c>
      <c r="H1360" s="4">
        <v>0.75</v>
      </c>
      <c r="I1360" s="4">
        <v>6.25</v>
      </c>
      <c r="J1360" s="5">
        <v>240</v>
      </c>
      <c r="K1360" s="4">
        <v>12</v>
      </c>
      <c r="L1360" s="1" t="s">
        <v>46</v>
      </c>
      <c r="M1360" s="1" t="s">
        <v>47</v>
      </c>
      <c r="N1360" s="3">
        <v>253868103</v>
      </c>
      <c r="O1360" s="1" t="s">
        <v>108</v>
      </c>
      <c r="P1360" s="1" t="s">
        <v>8947</v>
      </c>
      <c r="Q1360" s="4">
        <v>1.25</v>
      </c>
      <c r="R1360" s="4">
        <v>1.25</v>
      </c>
      <c r="S1360" s="8">
        <v>3.75</v>
      </c>
      <c r="T1360" s="1" t="s">
        <v>50</v>
      </c>
      <c r="U1360" s="1"/>
      <c r="V1360" s="1"/>
      <c r="W1360" s="1"/>
      <c r="X1360" s="5">
        <v>369.5</v>
      </c>
      <c r="Y1360" s="7">
        <v>20000000</v>
      </c>
      <c r="Z1360" s="1"/>
      <c r="AA1360" s="1" t="s">
        <v>8948</v>
      </c>
      <c r="AB1360" s="1" t="s">
        <v>2067</v>
      </c>
      <c r="AC1360" s="1" t="s">
        <v>4379</v>
      </c>
      <c r="AD1360" s="1" t="s">
        <v>2067</v>
      </c>
      <c r="AE1360" s="1" t="s">
        <v>51</v>
      </c>
      <c r="AF1360" s="1" t="s">
        <v>51</v>
      </c>
      <c r="AG1360" s="1" t="s">
        <v>51</v>
      </c>
      <c r="AH1360" s="1"/>
      <c r="AI1360" s="1"/>
      <c r="AJ1360" s="3">
        <v>2</v>
      </c>
      <c r="AK1360" s="1" t="s">
        <v>89</v>
      </c>
      <c r="AL1360" s="3">
        <v>7</v>
      </c>
      <c r="AM1360" s="8">
        <v>12</v>
      </c>
      <c r="AN1360" s="1"/>
      <c r="AO1360" s="1" t="s">
        <v>8949</v>
      </c>
      <c r="AP1360" s="1" t="s">
        <v>7744</v>
      </c>
      <c r="AQ1360" s="1" t="s">
        <v>8950</v>
      </c>
      <c r="AR1360" s="1" t="s">
        <v>8951</v>
      </c>
    </row>
    <row r="1361">
      <c r="A1361" s="2">
        <f ca="1">DATE(2004,06,10)</f>
        <v>0</v>
      </c>
      <c r="B1361" s="2">
        <f ca="1">DATE(2004,10,28)</f>
        <v>0</v>
      </c>
      <c r="C1361" s="1" t="s">
        <v>8952</v>
      </c>
      <c r="D1361" s="3">
        <v>6798</v>
      </c>
      <c r="E1361" s="1" t="s">
        <v>43</v>
      </c>
      <c r="F1361" s="1" t="s">
        <v>8953</v>
      </c>
      <c r="G1361" s="1" t="s">
        <v>8954</v>
      </c>
      <c r="H1361" s="4">
        <v>0.71999999999999997</v>
      </c>
      <c r="I1361" s="4">
        <v>6</v>
      </c>
      <c r="J1361" s="5">
        <v>342.89999999999998</v>
      </c>
      <c r="K1361" s="4">
        <v>12</v>
      </c>
      <c r="L1361" s="1" t="s">
        <v>4422</v>
      </c>
      <c r="M1361" s="1" t="s">
        <v>47</v>
      </c>
      <c r="N1361" s="1" t="s">
        <v>8955</v>
      </c>
      <c r="O1361" s="1" t="s">
        <v>108</v>
      </c>
      <c r="P1361" s="1" t="s">
        <v>8956</v>
      </c>
      <c r="Q1361" s="4">
        <v>1.2</v>
      </c>
      <c r="R1361" s="4">
        <v>1.2</v>
      </c>
      <c r="S1361" s="8">
        <v>3.6000000000000001</v>
      </c>
      <c r="T1361" s="1" t="s">
        <v>50</v>
      </c>
      <c r="U1361" s="1"/>
      <c r="V1361" s="1"/>
      <c r="W1361" s="1"/>
      <c r="X1361" s="5">
        <v>250</v>
      </c>
      <c r="Y1361" s="7">
        <v>28571429</v>
      </c>
      <c r="Z1361" s="1"/>
      <c r="AA1361" s="2">
        <f ca="1">DATE(2005,04,26)</f>
        <v>0</v>
      </c>
      <c r="AB1361" s="4">
        <v>0.069000000000000006</v>
      </c>
      <c r="AC1361" s="3">
        <v>180</v>
      </c>
      <c r="AD1361" s="8">
        <v>21000</v>
      </c>
      <c r="AE1361" s="1" t="s">
        <v>51</v>
      </c>
      <c r="AF1361" s="1" t="s">
        <v>51</v>
      </c>
      <c r="AG1361" s="1" t="s">
        <v>51</v>
      </c>
      <c r="AH1361" s="1"/>
      <c r="AI1361" s="1"/>
      <c r="AJ1361" s="3">
        <v>2</v>
      </c>
      <c r="AK1361" s="1" t="s">
        <v>89</v>
      </c>
      <c r="AL1361" s="3">
        <v>6</v>
      </c>
      <c r="AM1361" s="8">
        <v>12</v>
      </c>
      <c r="AN1361" s="1"/>
      <c r="AO1361" s="1" t="s">
        <v>8957</v>
      </c>
      <c r="AP1361" s="1" t="s">
        <v>8958</v>
      </c>
      <c r="AQ1361" s="1" t="s">
        <v>8959</v>
      </c>
      <c r="AR1361" s="1" t="s">
        <v>8960</v>
      </c>
    </row>
    <row r="1362">
      <c r="A1362" s="2">
        <f ca="1">DATE(2004,10,04)</f>
        <v>0</v>
      </c>
      <c r="B1362" s="2">
        <f ca="1">DATE(2004,10,28)</f>
        <v>0</v>
      </c>
      <c r="C1362" s="1" t="s">
        <v>8961</v>
      </c>
      <c r="D1362" s="3">
        <v>3312</v>
      </c>
      <c r="E1362" s="1" t="s">
        <v>1998</v>
      </c>
      <c r="F1362" s="1" t="s">
        <v>8962</v>
      </c>
      <c r="G1362" s="1" t="s">
        <v>5704</v>
      </c>
      <c r="H1362" s="4">
        <v>1.103</v>
      </c>
      <c r="I1362" s="4">
        <v>5.25</v>
      </c>
      <c r="J1362" s="5">
        <v>291.39999999999998</v>
      </c>
      <c r="K1362" s="4">
        <v>21</v>
      </c>
      <c r="L1362" s="1" t="s">
        <v>651</v>
      </c>
      <c r="M1362" s="1" t="s">
        <v>47</v>
      </c>
      <c r="N1362" s="3">
        <v>583840103</v>
      </c>
      <c r="O1362" s="1" t="s">
        <v>108</v>
      </c>
      <c r="P1362" s="1" t="s">
        <v>8963</v>
      </c>
      <c r="Q1362" s="1" t="s">
        <v>145</v>
      </c>
      <c r="R1362" s="1" t="s">
        <v>145</v>
      </c>
      <c r="S1362" s="1"/>
      <c r="T1362" s="1" t="s">
        <v>50</v>
      </c>
      <c r="U1362" s="8">
        <v>11.4</v>
      </c>
      <c r="V1362" s="8">
        <v>11.4</v>
      </c>
      <c r="W1362" s="7">
        <v>13875691</v>
      </c>
      <c r="X1362" s="5">
        <v>158.19999999999999</v>
      </c>
      <c r="Y1362" s="7">
        <v>11100553</v>
      </c>
      <c r="Z1362" s="7">
        <v>2775138</v>
      </c>
      <c r="AA1362" s="1" t="s">
        <v>8964</v>
      </c>
      <c r="AB1362" s="1" t="s">
        <v>8965</v>
      </c>
      <c r="AC1362" s="1" t="s">
        <v>2068</v>
      </c>
      <c r="AD1362" s="1" t="s">
        <v>8966</v>
      </c>
      <c r="AE1362" s="1" t="s">
        <v>47</v>
      </c>
      <c r="AF1362" s="1" t="s">
        <v>51</v>
      </c>
      <c r="AG1362" s="1" t="s">
        <v>51</v>
      </c>
      <c r="AH1362" s="1"/>
      <c r="AI1362" s="1"/>
      <c r="AJ1362" s="3">
        <v>1</v>
      </c>
      <c r="AK1362" s="1" t="s">
        <v>52</v>
      </c>
      <c r="AL1362" s="3">
        <v>4</v>
      </c>
      <c r="AM1362" s="8">
        <v>20.5</v>
      </c>
      <c r="AN1362" s="1"/>
      <c r="AO1362" s="1" t="s">
        <v>8967</v>
      </c>
      <c r="AP1362" s="1" t="s">
        <v>5704</v>
      </c>
      <c r="AQ1362" s="1" t="s">
        <v>8968</v>
      </c>
      <c r="AR1362" s="1" t="s">
        <v>8969</v>
      </c>
    </row>
    <row r="1363">
      <c r="A1363" s="2">
        <f ca="1">DATE(2004,08,12)</f>
        <v>0</v>
      </c>
      <c r="B1363" s="2">
        <f ca="1">DATE(2004,10,28)</f>
        <v>0</v>
      </c>
      <c r="C1363" s="1" t="s">
        <v>8970</v>
      </c>
      <c r="D1363" s="3">
        <v>4449</v>
      </c>
      <c r="E1363" s="1" t="s">
        <v>43</v>
      </c>
      <c r="F1363" s="1" t="s">
        <v>8971</v>
      </c>
      <c r="G1363" s="1" t="s">
        <v>8972</v>
      </c>
      <c r="H1363" s="4">
        <v>1.474</v>
      </c>
      <c r="I1363" s="4">
        <v>6.625</v>
      </c>
      <c r="J1363" s="5">
        <v>133.5</v>
      </c>
      <c r="K1363" s="4">
        <v>22.25</v>
      </c>
      <c r="L1363" s="1" t="s">
        <v>85</v>
      </c>
      <c r="M1363" s="1" t="s">
        <v>47</v>
      </c>
      <c r="N1363" s="3">
        <v>903417103</v>
      </c>
      <c r="O1363" s="1" t="s">
        <v>108</v>
      </c>
      <c r="P1363" s="1" t="s">
        <v>8973</v>
      </c>
      <c r="Q1363" s="4">
        <v>1.3120000000000001</v>
      </c>
      <c r="R1363" s="4">
        <v>1.3120000000000001</v>
      </c>
      <c r="S1363" s="8">
        <v>4</v>
      </c>
      <c r="T1363" s="1" t="s">
        <v>50</v>
      </c>
      <c r="U1363" s="1"/>
      <c r="V1363" s="1"/>
      <c r="W1363" s="7">
        <v>6200000</v>
      </c>
      <c r="X1363" s="1"/>
      <c r="Y1363" s="7">
        <v>6000000</v>
      </c>
      <c r="Z1363" s="1"/>
      <c r="AA1363" s="2">
        <f ca="1">DATE(2005,04,26)</f>
        <v>0</v>
      </c>
      <c r="AB1363" s="4">
        <v>11.538</v>
      </c>
      <c r="AC1363" s="3">
        <v>180</v>
      </c>
      <c r="AD1363" s="8">
        <v>899968</v>
      </c>
      <c r="AE1363" s="1" t="s">
        <v>51</v>
      </c>
      <c r="AF1363" s="1" t="s">
        <v>51</v>
      </c>
      <c r="AG1363" s="1" t="s">
        <v>51</v>
      </c>
      <c r="AH1363" s="1"/>
      <c r="AI1363" s="1"/>
      <c r="AJ1363" s="3">
        <v>2</v>
      </c>
      <c r="AK1363" s="1" t="s">
        <v>110</v>
      </c>
      <c r="AL1363" s="3">
        <v>5</v>
      </c>
      <c r="AM1363" s="8">
        <v>23.25</v>
      </c>
      <c r="AN1363" s="1"/>
      <c r="AO1363" s="1" t="s">
        <v>8974</v>
      </c>
      <c r="AP1363" s="1" t="s">
        <v>8975</v>
      </c>
      <c r="AQ1363" s="1" t="s">
        <v>8976</v>
      </c>
      <c r="AR1363" s="1" t="s">
        <v>8973</v>
      </c>
    </row>
    <row r="1364">
      <c r="A1364" s="2">
        <f ca="1">DATE(2004,03,24)</f>
        <v>0</v>
      </c>
      <c r="B1364" s="2">
        <f ca="1">DATE(2004,11,02)</f>
        <v>0</v>
      </c>
      <c r="C1364" s="1" t="s">
        <v>8977</v>
      </c>
      <c r="D1364" s="3">
        <v>6162</v>
      </c>
      <c r="E1364" s="1" t="s">
        <v>43</v>
      </c>
      <c r="F1364" s="1" t="s">
        <v>8978</v>
      </c>
      <c r="G1364" s="1" t="s">
        <v>84</v>
      </c>
      <c r="H1364" s="4">
        <v>0.59499999999999997</v>
      </c>
      <c r="I1364" s="8">
        <v>7</v>
      </c>
      <c r="J1364" s="5">
        <v>297.5</v>
      </c>
      <c r="K1364" s="4">
        <v>8.5</v>
      </c>
      <c r="L1364" s="1" t="s">
        <v>46</v>
      </c>
      <c r="M1364" s="1" t="s">
        <v>47</v>
      </c>
      <c r="N1364" s="1" t="s">
        <v>8979</v>
      </c>
      <c r="O1364" s="1" t="s">
        <v>108</v>
      </c>
      <c r="P1364" s="1" t="s">
        <v>8980</v>
      </c>
      <c r="Q1364" s="4">
        <v>1.4119999999999999</v>
      </c>
      <c r="R1364" s="4">
        <v>1.4710000000000001</v>
      </c>
      <c r="S1364" s="6">
        <v>4.1176500000000003</v>
      </c>
      <c r="T1364" s="1" t="s">
        <v>50</v>
      </c>
      <c r="U1364" s="1"/>
      <c r="V1364" s="1"/>
      <c r="W1364" s="1"/>
      <c r="X1364" s="5">
        <v>550</v>
      </c>
      <c r="Y1364" s="7">
        <v>35000000</v>
      </c>
      <c r="Z1364" s="1"/>
      <c r="AA1364" s="2">
        <f ca="1">DATE(2005,05,01)</f>
        <v>0</v>
      </c>
      <c r="AB1364" s="4">
        <v>8.1539999999999999</v>
      </c>
      <c r="AC1364" s="3">
        <v>180</v>
      </c>
      <c r="AD1364" s="8">
        <v>5000000</v>
      </c>
      <c r="AE1364" s="1" t="s">
        <v>51</v>
      </c>
      <c r="AF1364" s="1" t="s">
        <v>51</v>
      </c>
      <c r="AG1364" s="1" t="s">
        <v>51</v>
      </c>
      <c r="AH1364" s="1"/>
      <c r="AI1364" s="1"/>
      <c r="AJ1364" s="3">
        <v>1</v>
      </c>
      <c r="AK1364" s="1" t="s">
        <v>52</v>
      </c>
      <c r="AL1364" s="3">
        <v>3</v>
      </c>
      <c r="AM1364" s="1"/>
      <c r="AN1364" s="1"/>
      <c r="AO1364" s="1" t="s">
        <v>8981</v>
      </c>
      <c r="AP1364" s="1" t="s">
        <v>84</v>
      </c>
      <c r="AQ1364" s="1" t="s">
        <v>8982</v>
      </c>
      <c r="AR1364" s="1" t="s">
        <v>8983</v>
      </c>
    </row>
    <row r="1365">
      <c r="A1365" s="2">
        <f ca="1">DATE(2004,02,11)</f>
        <v>0</v>
      </c>
      <c r="B1365" s="2">
        <f ca="1">DATE(2004,11,04)</f>
        <v>0</v>
      </c>
      <c r="C1365" s="1" t="s">
        <v>8984</v>
      </c>
      <c r="D1365" s="3">
        <v>6211</v>
      </c>
      <c r="E1365" s="1" t="s">
        <v>43</v>
      </c>
      <c r="F1365" s="1" t="s">
        <v>8985</v>
      </c>
      <c r="G1365" s="1" t="s">
        <v>6640</v>
      </c>
      <c r="H1365" s="4">
        <v>0.77000000000000002</v>
      </c>
      <c r="I1365" s="4">
        <v>7</v>
      </c>
      <c r="J1365" s="5">
        <v>55</v>
      </c>
      <c r="K1365" s="4">
        <v>11</v>
      </c>
      <c r="L1365" s="1" t="s">
        <v>46</v>
      </c>
      <c r="M1365" s="1" t="s">
        <v>47</v>
      </c>
      <c r="N1365" s="1" t="s">
        <v>8986</v>
      </c>
      <c r="O1365" s="1" t="s">
        <v>48</v>
      </c>
      <c r="P1365" s="1" t="s">
        <v>8987</v>
      </c>
      <c r="Q1365" s="4">
        <v>1.3999999999999999</v>
      </c>
      <c r="R1365" s="4">
        <v>1.3999999999999999</v>
      </c>
      <c r="S1365" s="8">
        <v>4.2000000000000002</v>
      </c>
      <c r="T1365" s="1" t="s">
        <v>50</v>
      </c>
      <c r="U1365" s="1"/>
      <c r="V1365" s="1"/>
      <c r="W1365" s="1"/>
      <c r="X1365" s="5">
        <v>150</v>
      </c>
      <c r="Y1365" s="7">
        <v>5000000</v>
      </c>
      <c r="Z1365" s="1"/>
      <c r="AA1365" s="1" t="s">
        <v>8988</v>
      </c>
      <c r="AB1365" s="1" t="s">
        <v>8989</v>
      </c>
      <c r="AC1365" s="1" t="s">
        <v>3966</v>
      </c>
      <c r="AD1365" s="1" t="s">
        <v>8990</v>
      </c>
      <c r="AE1365" s="1" t="s">
        <v>51</v>
      </c>
      <c r="AF1365" s="1" t="s">
        <v>51</v>
      </c>
      <c r="AG1365" s="1" t="s">
        <v>47</v>
      </c>
      <c r="AH1365" s="1"/>
      <c r="AI1365" s="1"/>
      <c r="AJ1365" s="3">
        <v>2</v>
      </c>
      <c r="AK1365" s="1" t="s">
        <v>89</v>
      </c>
      <c r="AL1365" s="3">
        <v>5</v>
      </c>
      <c r="AM1365" s="8">
        <v>17.489999999999998</v>
      </c>
      <c r="AN1365" s="1"/>
      <c r="AO1365" s="1" t="s">
        <v>8991</v>
      </c>
      <c r="AP1365" s="1" t="s">
        <v>6644</v>
      </c>
      <c r="AQ1365" s="1" t="s">
        <v>8992</v>
      </c>
      <c r="AR1365" s="1" t="s">
        <v>8993</v>
      </c>
    </row>
    <row r="1366">
      <c r="A1366" s="2">
        <f ca="1">DATE(2004,10,21)</f>
        <v>0</v>
      </c>
      <c r="B1366" s="2">
        <f ca="1">DATE(2004,11,05)</f>
        <v>0</v>
      </c>
      <c r="C1366" s="1" t="s">
        <v>8994</v>
      </c>
      <c r="D1366" s="3">
        <v>4412</v>
      </c>
      <c r="E1366" s="1" t="s">
        <v>517</v>
      </c>
      <c r="F1366" s="1" t="s">
        <v>8995</v>
      </c>
      <c r="G1366" s="1" t="s">
        <v>8996</v>
      </c>
      <c r="H1366" s="4">
        <v>1.325</v>
      </c>
      <c r="I1366" s="4">
        <v>6.625</v>
      </c>
      <c r="J1366" s="5">
        <v>229</v>
      </c>
      <c r="K1366" s="4">
        <v>20</v>
      </c>
      <c r="L1366" s="1" t="s">
        <v>46</v>
      </c>
      <c r="M1366" s="1" t="s">
        <v>47</v>
      </c>
      <c r="N1366" s="1" t="s">
        <v>8997</v>
      </c>
      <c r="O1366" s="1" t="s">
        <v>108</v>
      </c>
      <c r="P1366" s="1" t="s">
        <v>8998</v>
      </c>
      <c r="Q1366" s="4">
        <v>1.3500000000000001</v>
      </c>
      <c r="R1366" s="4">
        <v>1.325</v>
      </c>
      <c r="S1366" s="8">
        <v>3.9500000000000002</v>
      </c>
      <c r="T1366" s="1" t="s">
        <v>50</v>
      </c>
      <c r="U1366" s="8">
        <v>18.5</v>
      </c>
      <c r="V1366" s="8">
        <v>16.5</v>
      </c>
      <c r="W1366" s="7">
        <v>11450000</v>
      </c>
      <c r="X1366" s="5">
        <v>200.40000000000001</v>
      </c>
      <c r="Y1366" s="7">
        <v>11450000</v>
      </c>
      <c r="Z1366" s="1"/>
      <c r="AA1366" s="2">
        <f ca="1">DATE(2005,08,02)</f>
        <v>0</v>
      </c>
      <c r="AB1366" s="4">
        <v>26.129000000000001</v>
      </c>
      <c r="AC1366" s="3">
        <v>270</v>
      </c>
      <c r="AD1366" s="8">
        <v>4050000</v>
      </c>
      <c r="AE1366" s="1" t="s">
        <v>51</v>
      </c>
      <c r="AF1366" s="1" t="s">
        <v>51</v>
      </c>
      <c r="AG1366" s="1" t="s">
        <v>51</v>
      </c>
      <c r="AH1366" s="1"/>
      <c r="AI1366" s="1"/>
      <c r="AJ1366" s="3">
        <v>2</v>
      </c>
      <c r="AK1366" s="1" t="s">
        <v>89</v>
      </c>
      <c r="AL1366" s="3">
        <v>5</v>
      </c>
      <c r="AM1366" s="8">
        <v>22.039999999999999</v>
      </c>
      <c r="AN1366" s="1"/>
      <c r="AO1366" s="1" t="s">
        <v>8999</v>
      </c>
      <c r="AP1366" s="1" t="s">
        <v>9000</v>
      </c>
      <c r="AQ1366" s="1" t="s">
        <v>9001</v>
      </c>
      <c r="AR1366" s="1" t="s">
        <v>9002</v>
      </c>
    </row>
    <row r="1367">
      <c r="A1367" s="1"/>
      <c r="B1367" s="2">
        <f ca="1">DATE(2004,11,08)</f>
        <v>0</v>
      </c>
      <c r="C1367" s="1" t="s">
        <v>9003</v>
      </c>
      <c r="D1367" s="3">
        <v>6726</v>
      </c>
      <c r="E1367" s="1" t="s">
        <v>43</v>
      </c>
      <c r="F1367" s="1" t="s">
        <v>9004</v>
      </c>
      <c r="G1367" s="1" t="s">
        <v>2705</v>
      </c>
      <c r="H1367" s="4">
        <v>0.67500000000000004</v>
      </c>
      <c r="I1367" s="4">
        <v>4.5</v>
      </c>
      <c r="J1367" s="5">
        <v>360</v>
      </c>
      <c r="K1367" s="4">
        <v>15</v>
      </c>
      <c r="L1367" s="1" t="s">
        <v>46</v>
      </c>
      <c r="M1367" s="1" t="s">
        <v>47</v>
      </c>
      <c r="N1367" s="1" t="s">
        <v>9005</v>
      </c>
      <c r="O1367" s="1" t="s">
        <v>108</v>
      </c>
      <c r="P1367" s="1" t="s">
        <v>9006</v>
      </c>
      <c r="Q1367" s="1" t="s">
        <v>145</v>
      </c>
      <c r="R1367" s="1" t="s">
        <v>145</v>
      </c>
      <c r="S1367" s="8">
        <v>3</v>
      </c>
      <c r="T1367" s="1" t="s">
        <v>50</v>
      </c>
      <c r="U1367" s="8">
        <v>15</v>
      </c>
      <c r="V1367" s="8">
        <v>15</v>
      </c>
      <c r="W1367" s="7">
        <v>4600000</v>
      </c>
      <c r="X1367" s="5">
        <v>69</v>
      </c>
      <c r="Y1367" s="7">
        <v>24000000</v>
      </c>
      <c r="Z1367" s="1"/>
      <c r="AA1367" s="2">
        <f ca="1">DATE(2005,05,07)</f>
        <v>0</v>
      </c>
      <c r="AB1367" s="1"/>
      <c r="AC1367" s="3">
        <v>180</v>
      </c>
      <c r="AD1367" s="1"/>
      <c r="AE1367" s="1" t="s">
        <v>51</v>
      </c>
      <c r="AF1367" s="1" t="s">
        <v>51</v>
      </c>
      <c r="AG1367" s="1" t="s">
        <v>51</v>
      </c>
      <c r="AH1367" s="1"/>
      <c r="AI1367" s="1"/>
      <c r="AJ1367" s="3">
        <v>1</v>
      </c>
      <c r="AK1367" s="1" t="s">
        <v>52</v>
      </c>
      <c r="AL1367" s="3">
        <v>10</v>
      </c>
      <c r="AM1367" s="8">
        <v>15.25</v>
      </c>
      <c r="AN1367" s="1"/>
      <c r="AO1367" s="1" t="s">
        <v>9007</v>
      </c>
      <c r="AP1367" s="1" t="s">
        <v>2705</v>
      </c>
      <c r="AQ1367" s="1" t="s">
        <v>9008</v>
      </c>
      <c r="AR1367" s="1" t="s">
        <v>9009</v>
      </c>
    </row>
    <row r="1368">
      <c r="A1368" s="2">
        <f ca="1">DATE(2004,07,30)</f>
        <v>0</v>
      </c>
      <c r="B1368" s="2">
        <f ca="1">DATE(2004,11,09)</f>
        <v>0</v>
      </c>
      <c r="C1368" s="1" t="s">
        <v>9010</v>
      </c>
      <c r="D1368" s="3">
        <v>4923</v>
      </c>
      <c r="E1368" s="1" t="s">
        <v>43</v>
      </c>
      <c r="F1368" s="1" t="s">
        <v>9011</v>
      </c>
      <c r="G1368" s="1" t="s">
        <v>5747</v>
      </c>
      <c r="H1368" s="4">
        <v>1.3999999999999999</v>
      </c>
      <c r="I1368" s="8">
        <v>7</v>
      </c>
      <c r="J1368" s="5">
        <v>100</v>
      </c>
      <c r="K1368" s="4">
        <v>20</v>
      </c>
      <c r="L1368" s="1" t="s">
        <v>5598</v>
      </c>
      <c r="M1368" s="1" t="s">
        <v>47</v>
      </c>
      <c r="N1368" s="3">
        <v>217202100</v>
      </c>
      <c r="O1368" s="1" t="s">
        <v>48</v>
      </c>
      <c r="P1368" s="1" t="s">
        <v>9012</v>
      </c>
      <c r="Q1368" s="1" t="s">
        <v>145</v>
      </c>
      <c r="R1368" s="1" t="s">
        <v>145</v>
      </c>
      <c r="S1368" s="8">
        <v>4.2000000000000002</v>
      </c>
      <c r="T1368" s="1" t="s">
        <v>50</v>
      </c>
      <c r="U1368" s="1"/>
      <c r="V1368" s="1"/>
      <c r="W1368" s="7">
        <v>5000000</v>
      </c>
      <c r="X1368" s="1"/>
      <c r="Y1368" s="7">
        <v>5000000</v>
      </c>
      <c r="Z1368" s="1"/>
      <c r="AA1368" s="2">
        <f ca="1">DATE(2005,05,08)</f>
        <v>0</v>
      </c>
      <c r="AB1368" s="1"/>
      <c r="AC1368" s="3">
        <v>180</v>
      </c>
      <c r="AD1368" s="1"/>
      <c r="AE1368" s="1" t="s">
        <v>51</v>
      </c>
      <c r="AF1368" s="1" t="s">
        <v>51</v>
      </c>
      <c r="AG1368" s="1" t="s">
        <v>51</v>
      </c>
      <c r="AH1368" s="1"/>
      <c r="AI1368" s="1"/>
      <c r="AJ1368" s="3">
        <v>1</v>
      </c>
      <c r="AK1368" s="1" t="s">
        <v>52</v>
      </c>
      <c r="AL1368" s="3">
        <v>3</v>
      </c>
      <c r="AM1368" s="8">
        <v>22.699999999999999</v>
      </c>
      <c r="AN1368" s="1"/>
      <c r="AO1368" s="1" t="s">
        <v>9013</v>
      </c>
      <c r="AP1368" s="1" t="s">
        <v>5747</v>
      </c>
      <c r="AQ1368" s="1" t="s">
        <v>9014</v>
      </c>
      <c r="AR1368" s="1" t="s">
        <v>9012</v>
      </c>
    </row>
    <row r="1369">
      <c r="A1369" s="2">
        <f ca="1">DATE(2004,08,16)</f>
        <v>0</v>
      </c>
      <c r="B1369" s="2">
        <f ca="1">DATE(2004,11,09)</f>
        <v>0</v>
      </c>
      <c r="C1369" s="1" t="s">
        <v>9015</v>
      </c>
      <c r="D1369" s="3">
        <v>6726</v>
      </c>
      <c r="E1369" s="1" t="s">
        <v>43</v>
      </c>
      <c r="F1369" s="1" t="s">
        <v>9016</v>
      </c>
      <c r="G1369" s="1" t="s">
        <v>4327</v>
      </c>
      <c r="H1369" s="4">
        <v>0.82999999999999996</v>
      </c>
      <c r="I1369" s="4">
        <v>5.5330000000000004</v>
      </c>
      <c r="J1369" s="5">
        <v>240</v>
      </c>
      <c r="K1369" s="4">
        <v>15</v>
      </c>
      <c r="L1369" s="1" t="s">
        <v>46</v>
      </c>
      <c r="M1369" s="1" t="s">
        <v>47</v>
      </c>
      <c r="N1369" s="1" t="s">
        <v>9017</v>
      </c>
      <c r="O1369" s="1" t="s">
        <v>48</v>
      </c>
      <c r="P1369" s="1" t="s">
        <v>9018</v>
      </c>
      <c r="Q1369" s="1" t="s">
        <v>145</v>
      </c>
      <c r="R1369" s="1" t="s">
        <v>145</v>
      </c>
      <c r="S1369" s="8">
        <v>3.2999999999999998</v>
      </c>
      <c r="T1369" s="1" t="s">
        <v>50</v>
      </c>
      <c r="U1369" s="8">
        <v>15</v>
      </c>
      <c r="V1369" s="8">
        <v>15</v>
      </c>
      <c r="W1369" s="7">
        <v>17000000</v>
      </c>
      <c r="X1369" s="5">
        <v>255</v>
      </c>
      <c r="Y1369" s="7">
        <v>16000000</v>
      </c>
      <c r="Z1369" s="1"/>
      <c r="AA1369" s="2">
        <f ca="1">DATE(2005,05,08)</f>
        <v>0</v>
      </c>
      <c r="AB1369" s="1"/>
      <c r="AC1369" s="3">
        <v>180</v>
      </c>
      <c r="AD1369" s="1"/>
      <c r="AE1369" s="1" t="s">
        <v>51</v>
      </c>
      <c r="AF1369" s="1" t="s">
        <v>51</v>
      </c>
      <c r="AG1369" s="1" t="s">
        <v>51</v>
      </c>
      <c r="AH1369" s="1"/>
      <c r="AI1369" s="1"/>
      <c r="AJ1369" s="3">
        <v>1</v>
      </c>
      <c r="AK1369" s="1" t="s">
        <v>52</v>
      </c>
      <c r="AL1369" s="3">
        <v>12</v>
      </c>
      <c r="AM1369" s="8">
        <v>15</v>
      </c>
      <c r="AN1369" s="1"/>
      <c r="AO1369" s="1" t="s">
        <v>9019</v>
      </c>
      <c r="AP1369" s="1" t="s">
        <v>4327</v>
      </c>
      <c r="AQ1369" s="1" t="s">
        <v>9020</v>
      </c>
      <c r="AR1369" s="1" t="s">
        <v>9021</v>
      </c>
    </row>
    <row r="1370">
      <c r="A1370" s="2">
        <f ca="1">DATE(2004,05,19)</f>
        <v>0</v>
      </c>
      <c r="B1370" s="2">
        <f ca="1">DATE(2004,11,09)</f>
        <v>0</v>
      </c>
      <c r="C1370" s="1" t="s">
        <v>9022</v>
      </c>
      <c r="D1370" s="3">
        <v>6531</v>
      </c>
      <c r="E1370" s="1" t="s">
        <v>43</v>
      </c>
      <c r="F1370" s="1" t="s">
        <v>9023</v>
      </c>
      <c r="G1370" s="1" t="s">
        <v>8732</v>
      </c>
      <c r="H1370" s="4">
        <v>0.91000000000000003</v>
      </c>
      <c r="I1370" s="4">
        <v>7</v>
      </c>
      <c r="J1370" s="5">
        <v>59.200000000000003</v>
      </c>
      <c r="K1370" s="4">
        <v>13</v>
      </c>
      <c r="L1370" s="1" t="s">
        <v>46</v>
      </c>
      <c r="M1370" s="1" t="s">
        <v>47</v>
      </c>
      <c r="N1370" s="1" t="s">
        <v>9024</v>
      </c>
      <c r="O1370" s="1" t="s">
        <v>48</v>
      </c>
      <c r="P1370" s="1" t="s">
        <v>9025</v>
      </c>
      <c r="Q1370" s="4">
        <v>1.423</v>
      </c>
      <c r="R1370" s="4">
        <v>1.423</v>
      </c>
      <c r="S1370" s="6">
        <v>4.1538500000000003</v>
      </c>
      <c r="T1370" s="1" t="s">
        <v>50</v>
      </c>
      <c r="U1370" s="1"/>
      <c r="V1370" s="8">
        <v>6</v>
      </c>
      <c r="W1370" s="1"/>
      <c r="X1370" s="5">
        <v>69</v>
      </c>
      <c r="Y1370" s="7">
        <v>4550000</v>
      </c>
      <c r="Z1370" s="1"/>
      <c r="AA1370" s="2">
        <f ca="1">DATE(2005,05,08)</f>
        <v>0</v>
      </c>
      <c r="AB1370" s="4">
        <v>72.248000000000005</v>
      </c>
      <c r="AC1370" s="3">
        <v>180</v>
      </c>
      <c r="AD1370" s="8">
        <v>14259827</v>
      </c>
      <c r="AE1370" s="1" t="s">
        <v>51</v>
      </c>
      <c r="AF1370" s="1" t="s">
        <v>51</v>
      </c>
      <c r="AG1370" s="1" t="s">
        <v>47</v>
      </c>
      <c r="AH1370" s="1"/>
      <c r="AI1370" s="1"/>
      <c r="AJ1370" s="3">
        <v>2</v>
      </c>
      <c r="AK1370" s="1" t="s">
        <v>89</v>
      </c>
      <c r="AL1370" s="3">
        <v>4</v>
      </c>
      <c r="AM1370" s="8">
        <v>16.300000000000001</v>
      </c>
      <c r="AN1370" s="1"/>
      <c r="AO1370" s="1" t="s">
        <v>9026</v>
      </c>
      <c r="AP1370" s="1" t="s">
        <v>8737</v>
      </c>
      <c r="AQ1370" s="1" t="s">
        <v>9027</v>
      </c>
      <c r="AR1370" s="1" t="s">
        <v>9028</v>
      </c>
    </row>
    <row r="1371">
      <c r="A1371" s="2">
        <f ca="1">DATE(2004,10,15)</f>
        <v>0</v>
      </c>
      <c r="B1371" s="2">
        <f ca="1">DATE(2004,11,10)</f>
        <v>0</v>
      </c>
      <c r="C1371" s="1" t="s">
        <v>9029</v>
      </c>
      <c r="D1371" s="3">
        <v>4812</v>
      </c>
      <c r="E1371" s="1" t="s">
        <v>845</v>
      </c>
      <c r="F1371" s="1" t="s">
        <v>9030</v>
      </c>
      <c r="G1371" s="1" t="s">
        <v>9031</v>
      </c>
      <c r="H1371" s="4">
        <v>0.70899999999999996</v>
      </c>
      <c r="I1371" s="4">
        <v>3.25</v>
      </c>
      <c r="J1371" s="5">
        <v>399.39999999999998</v>
      </c>
      <c r="K1371" s="4">
        <v>21.82</v>
      </c>
      <c r="L1371" s="1" t="s">
        <v>651</v>
      </c>
      <c r="M1371" s="1" t="s">
        <v>47</v>
      </c>
      <c r="N1371" s="1" t="s">
        <v>9032</v>
      </c>
      <c r="O1371" s="1" t="s">
        <v>108</v>
      </c>
      <c r="P1371" s="1" t="s">
        <v>9033</v>
      </c>
      <c r="Q1371" s="4">
        <v>0.65000000000000002</v>
      </c>
      <c r="R1371" s="4">
        <v>0.65000000000000002</v>
      </c>
      <c r="S1371" s="8">
        <v>1.95</v>
      </c>
      <c r="T1371" s="1" t="s">
        <v>50</v>
      </c>
      <c r="U1371" s="1"/>
      <c r="V1371" s="1"/>
      <c r="W1371" s="1"/>
      <c r="X1371" s="1"/>
      <c r="Y1371" s="7">
        <v>18304750</v>
      </c>
      <c r="Z1371" s="1"/>
      <c r="AA1371" s="1" t="s">
        <v>9034</v>
      </c>
      <c r="AB1371" s="1" t="s">
        <v>2067</v>
      </c>
      <c r="AC1371" s="1" t="s">
        <v>1198</v>
      </c>
      <c r="AD1371" s="1" t="s">
        <v>2067</v>
      </c>
      <c r="AE1371" s="1" t="s">
        <v>47</v>
      </c>
      <c r="AF1371" s="1" t="s">
        <v>51</v>
      </c>
      <c r="AG1371" s="1" t="s">
        <v>47</v>
      </c>
      <c r="AH1371" s="1"/>
      <c r="AI1371" s="1" t="s">
        <v>9035</v>
      </c>
      <c r="AJ1371" s="3">
        <v>3</v>
      </c>
      <c r="AK1371" s="1" t="s">
        <v>110</v>
      </c>
      <c r="AL1371" s="3">
        <v>10</v>
      </c>
      <c r="AM1371" s="8">
        <v>24.899999999999999</v>
      </c>
      <c r="AN1371" s="1"/>
      <c r="AO1371" s="1" t="s">
        <v>9036</v>
      </c>
      <c r="AP1371" s="1" t="s">
        <v>9037</v>
      </c>
      <c r="AQ1371" s="1" t="s">
        <v>9038</v>
      </c>
      <c r="AR1371" s="1" t="s">
        <v>9039</v>
      </c>
    </row>
    <row r="1372">
      <c r="A1372" s="2">
        <f ca="1">DATE(2004,10,15)</f>
        <v>0</v>
      </c>
      <c r="B1372" s="2">
        <f ca="1">DATE(2004,11,10)</f>
        <v>0</v>
      </c>
      <c r="C1372" s="1" t="s">
        <v>9029</v>
      </c>
      <c r="D1372" s="3">
        <v>4812</v>
      </c>
      <c r="E1372" s="1" t="s">
        <v>845</v>
      </c>
      <c r="F1372" s="1" t="s">
        <v>9030</v>
      </c>
      <c r="G1372" s="1" t="s">
        <v>9031</v>
      </c>
      <c r="H1372" s="4">
        <v>0.70899999999999996</v>
      </c>
      <c r="I1372" s="4">
        <v>3.25</v>
      </c>
      <c r="J1372" s="5">
        <v>399.39999999999998</v>
      </c>
      <c r="K1372" s="8">
        <v>21.82</v>
      </c>
      <c r="L1372" s="1" t="s">
        <v>651</v>
      </c>
      <c r="M1372" s="1" t="s">
        <v>47</v>
      </c>
      <c r="N1372" s="1" t="s">
        <v>9032</v>
      </c>
      <c r="O1372" s="1" t="s">
        <v>108</v>
      </c>
      <c r="P1372" s="1" t="s">
        <v>9040</v>
      </c>
      <c r="Q1372" s="4">
        <v>0.65000000000000002</v>
      </c>
      <c r="R1372" s="4">
        <v>0.65000000000000002</v>
      </c>
      <c r="S1372" s="8">
        <v>1.95</v>
      </c>
      <c r="T1372" s="1" t="s">
        <v>60</v>
      </c>
      <c r="U1372" s="1"/>
      <c r="V1372" s="1"/>
      <c r="W1372" s="1"/>
      <c r="X1372" s="9">
        <v>1500</v>
      </c>
      <c r="Y1372" s="7">
        <v>13550300</v>
      </c>
      <c r="Z1372" s="7">
        <v>4754450</v>
      </c>
      <c r="AA1372" s="1"/>
      <c r="AB1372" s="1" t="s">
        <v>2067</v>
      </c>
      <c r="AC1372" s="1" t="s">
        <v>1198</v>
      </c>
      <c r="AD1372" s="1" t="s">
        <v>2067</v>
      </c>
      <c r="AE1372" s="1" t="s">
        <v>47</v>
      </c>
      <c r="AF1372" s="1" t="s">
        <v>51</v>
      </c>
      <c r="AG1372" s="1" t="s">
        <v>47</v>
      </c>
      <c r="AH1372" s="1"/>
      <c r="AI1372" s="1" t="s">
        <v>9035</v>
      </c>
      <c r="AJ1372" s="3">
        <v>3</v>
      </c>
      <c r="AK1372" s="1" t="s">
        <v>110</v>
      </c>
      <c r="AL1372" s="3">
        <v>8</v>
      </c>
      <c r="AM1372" s="1"/>
      <c r="AN1372" s="1"/>
      <c r="AO1372" s="1" t="s">
        <v>9041</v>
      </c>
      <c r="AP1372" s="1" t="s">
        <v>9037</v>
      </c>
      <c r="AQ1372" s="1" t="s">
        <v>9042</v>
      </c>
      <c r="AR1372" s="1" t="s">
        <v>9043</v>
      </c>
    </row>
    <row r="1373">
      <c r="A1373" s="2">
        <f ca="1">DATE(2004,08,26)</f>
        <v>0</v>
      </c>
      <c r="B1373" s="2">
        <f ca="1">DATE(2004,11,10)</f>
        <v>0</v>
      </c>
      <c r="C1373" s="1" t="s">
        <v>9044</v>
      </c>
      <c r="D1373" s="3">
        <v>4952</v>
      </c>
      <c r="E1373" s="1" t="s">
        <v>43</v>
      </c>
      <c r="F1373" s="1" t="s">
        <v>9045</v>
      </c>
      <c r="G1373" s="1" t="s">
        <v>9046</v>
      </c>
      <c r="H1373" s="4">
        <v>0.82499999999999996</v>
      </c>
      <c r="I1373" s="4">
        <v>5.5</v>
      </c>
      <c r="J1373" s="5">
        <v>666.70000000000005</v>
      </c>
      <c r="K1373" s="4">
        <v>15</v>
      </c>
      <c r="L1373" s="1" t="s">
        <v>46</v>
      </c>
      <c r="M1373" s="1" t="s">
        <v>47</v>
      </c>
      <c r="N1373" s="1" t="s">
        <v>9047</v>
      </c>
      <c r="O1373" s="1" t="s">
        <v>108</v>
      </c>
      <c r="P1373" s="1" t="s">
        <v>9048</v>
      </c>
      <c r="Q1373" s="4">
        <v>1.1000000000000001</v>
      </c>
      <c r="R1373" s="4">
        <v>1.1000000000000001</v>
      </c>
      <c r="S1373" s="8">
        <v>3.2999999999999998</v>
      </c>
      <c r="T1373" s="1" t="s">
        <v>50</v>
      </c>
      <c r="U1373" s="1"/>
      <c r="V1373" s="1"/>
      <c r="W1373" s="1"/>
      <c r="X1373" s="5">
        <v>800</v>
      </c>
      <c r="Y1373" s="7">
        <v>44444444</v>
      </c>
      <c r="Z1373" s="1"/>
      <c r="AA1373" s="2">
        <f ca="1">DATE(2005,05,09)</f>
        <v>0</v>
      </c>
      <c r="AB1373" s="4">
        <v>63.920999999999999</v>
      </c>
      <c r="AC1373" s="3">
        <v>180</v>
      </c>
      <c r="AD1373" s="8">
        <v>90552258</v>
      </c>
      <c r="AE1373" s="1" t="s">
        <v>51</v>
      </c>
      <c r="AF1373" s="1" t="s">
        <v>51</v>
      </c>
      <c r="AG1373" s="1" t="s">
        <v>51</v>
      </c>
      <c r="AH1373" s="1"/>
      <c r="AI1373" s="1"/>
      <c r="AJ1373" s="3">
        <v>4</v>
      </c>
      <c r="AK1373" s="1" t="s">
        <v>1209</v>
      </c>
      <c r="AL1373" s="3">
        <v>10</v>
      </c>
      <c r="AM1373" s="8">
        <v>16.199999999999999</v>
      </c>
      <c r="AN1373" s="1"/>
      <c r="AO1373" s="1" t="s">
        <v>9049</v>
      </c>
      <c r="AP1373" s="1" t="s">
        <v>9050</v>
      </c>
      <c r="AQ1373" s="1" t="s">
        <v>9051</v>
      </c>
      <c r="AR1373" s="1" t="s">
        <v>9052</v>
      </c>
    </row>
    <row r="1374">
      <c r="A1374" s="2">
        <f ca="1">DATE(2004,07,20)</f>
        <v>0</v>
      </c>
      <c r="B1374" s="2">
        <f ca="1">DATE(2004,11,10)</f>
        <v>0</v>
      </c>
      <c r="C1374" s="1" t="s">
        <v>9053</v>
      </c>
      <c r="D1374" s="1" t="s">
        <v>9054</v>
      </c>
      <c r="E1374" s="1" t="s">
        <v>43</v>
      </c>
      <c r="F1374" s="1" t="s">
        <v>9055</v>
      </c>
      <c r="G1374" s="1" t="s">
        <v>813</v>
      </c>
      <c r="H1374" s="4">
        <v>1.05</v>
      </c>
      <c r="I1374" s="4">
        <v>7</v>
      </c>
      <c r="J1374" s="5">
        <v>93.799999999999997</v>
      </c>
      <c r="K1374" s="4">
        <v>15</v>
      </c>
      <c r="L1374" s="1" t="s">
        <v>46</v>
      </c>
      <c r="M1374" s="1" t="s">
        <v>47</v>
      </c>
      <c r="N1374" s="3">
        <v>686688102</v>
      </c>
      <c r="O1374" s="1" t="s">
        <v>108</v>
      </c>
      <c r="P1374" s="1" t="s">
        <v>9056</v>
      </c>
      <c r="Q1374" s="4">
        <v>1.3999999999999999</v>
      </c>
      <c r="R1374" s="4">
        <v>1.3999999999999999</v>
      </c>
      <c r="S1374" s="8">
        <v>4.2000000000000002</v>
      </c>
      <c r="T1374" s="1" t="s">
        <v>50</v>
      </c>
      <c r="U1374" s="1"/>
      <c r="V1374" s="1"/>
      <c r="W1374" s="1"/>
      <c r="X1374" s="5">
        <v>115</v>
      </c>
      <c r="Y1374" s="7">
        <v>6250000</v>
      </c>
      <c r="Z1374" s="1"/>
      <c r="AA1374" s="2">
        <f ca="1">DATE(2005,05,09)</f>
        <v>0</v>
      </c>
      <c r="AB1374" s="4">
        <v>77.227999999999994</v>
      </c>
      <c r="AC1374" s="3">
        <v>180</v>
      </c>
      <c r="AD1374" s="8">
        <v>24374996</v>
      </c>
      <c r="AE1374" s="1" t="s">
        <v>51</v>
      </c>
      <c r="AF1374" s="1" t="s">
        <v>51</v>
      </c>
      <c r="AG1374" s="1" t="s">
        <v>51</v>
      </c>
      <c r="AH1374" s="1" t="s">
        <v>9057</v>
      </c>
      <c r="AI1374" s="1" t="s">
        <v>9058</v>
      </c>
      <c r="AJ1374" s="3">
        <v>1</v>
      </c>
      <c r="AK1374" s="1" t="s">
        <v>89</v>
      </c>
      <c r="AL1374" s="3">
        <v>4</v>
      </c>
      <c r="AM1374" s="1"/>
      <c r="AN1374" s="1"/>
      <c r="AO1374" s="1" t="s">
        <v>9059</v>
      </c>
      <c r="AP1374" s="1" t="s">
        <v>5025</v>
      </c>
      <c r="AQ1374" s="1" t="s">
        <v>9060</v>
      </c>
      <c r="AR1374" s="1" t="s">
        <v>9061</v>
      </c>
    </row>
    <row r="1375">
      <c r="A1375" s="2">
        <f ca="1">DATE(2004,06,14)</f>
        <v>0</v>
      </c>
      <c r="B1375" s="2">
        <f ca="1">DATE(2004,11,16)</f>
        <v>0</v>
      </c>
      <c r="C1375" s="1" t="s">
        <v>9062</v>
      </c>
      <c r="D1375" s="3">
        <v>4899</v>
      </c>
      <c r="E1375" s="1" t="s">
        <v>43</v>
      </c>
      <c r="F1375" s="1" t="s">
        <v>9063</v>
      </c>
      <c r="G1375" s="1" t="s">
        <v>6669</v>
      </c>
      <c r="H1375" s="4">
        <v>1.3300000000000001</v>
      </c>
      <c r="I1375" s="4">
        <v>7</v>
      </c>
      <c r="J1375" s="5">
        <v>142.5</v>
      </c>
      <c r="K1375" s="4">
        <v>19</v>
      </c>
      <c r="L1375" s="1" t="s">
        <v>46</v>
      </c>
      <c r="M1375" s="1" t="s">
        <v>47</v>
      </c>
      <c r="N1375" s="1" t="s">
        <v>9064</v>
      </c>
      <c r="O1375" s="1" t="s">
        <v>48</v>
      </c>
      <c r="P1375" s="1" t="s">
        <v>9065</v>
      </c>
      <c r="Q1375" s="4">
        <v>1.3680000000000001</v>
      </c>
      <c r="R1375" s="4">
        <v>1.421</v>
      </c>
      <c r="S1375" s="6">
        <v>4.2105300000000003</v>
      </c>
      <c r="T1375" s="1" t="s">
        <v>50</v>
      </c>
      <c r="U1375" s="1"/>
      <c r="V1375" s="1"/>
      <c r="W1375" s="1"/>
      <c r="X1375" s="5">
        <v>100</v>
      </c>
      <c r="Y1375" s="7">
        <v>6500000</v>
      </c>
      <c r="Z1375" s="7">
        <v>1000000</v>
      </c>
      <c r="AA1375" s="2">
        <f ca="1">DATE(2005,05,15)</f>
        <v>0</v>
      </c>
      <c r="AB1375" s="4">
        <v>0.075999999999999998</v>
      </c>
      <c r="AC1375" s="3">
        <v>180</v>
      </c>
      <c r="AD1375" s="8">
        <v>24597</v>
      </c>
      <c r="AE1375" s="1" t="s">
        <v>51</v>
      </c>
      <c r="AF1375" s="1" t="s">
        <v>51</v>
      </c>
      <c r="AG1375" s="1" t="s">
        <v>47</v>
      </c>
      <c r="AH1375" s="1"/>
      <c r="AI1375" s="1"/>
      <c r="AJ1375" s="3">
        <v>2</v>
      </c>
      <c r="AK1375" s="1" t="s">
        <v>89</v>
      </c>
      <c r="AL1375" s="3">
        <v>6</v>
      </c>
      <c r="AM1375" s="8">
        <v>24</v>
      </c>
      <c r="AN1375" s="1"/>
      <c r="AO1375" s="1" t="s">
        <v>9066</v>
      </c>
      <c r="AP1375" s="1" t="s">
        <v>6672</v>
      </c>
      <c r="AQ1375" s="1" t="s">
        <v>9067</v>
      </c>
      <c r="AR1375" s="1" t="s">
        <v>9068</v>
      </c>
    </row>
    <row r="1376">
      <c r="A1376" s="2">
        <f ca="1">DATE(2004,04,08)</f>
        <v>0</v>
      </c>
      <c r="B1376" s="2">
        <f ca="1">DATE(2004,11,17)</f>
        <v>0</v>
      </c>
      <c r="C1376" s="1" t="s">
        <v>9069</v>
      </c>
      <c r="D1376" s="3">
        <v>4813</v>
      </c>
      <c r="E1376" s="1" t="s">
        <v>43</v>
      </c>
      <c r="F1376" s="1" t="s">
        <v>9070</v>
      </c>
      <c r="G1376" s="1" t="s">
        <v>9071</v>
      </c>
      <c r="H1376" s="4">
        <v>1.1879999999999999</v>
      </c>
      <c r="I1376" s="4">
        <v>6.25</v>
      </c>
      <c r="J1376" s="5">
        <v>363.10000000000002</v>
      </c>
      <c r="K1376" s="4">
        <v>19</v>
      </c>
      <c r="L1376" s="1" t="s">
        <v>46</v>
      </c>
      <c r="M1376" s="1" t="s">
        <v>47</v>
      </c>
      <c r="N1376" s="3">
        <v>462594201</v>
      </c>
      <c r="O1376" s="1" t="s">
        <v>108</v>
      </c>
      <c r="P1376" s="1" t="s">
        <v>9072</v>
      </c>
      <c r="Q1376" s="4">
        <v>1.3360000000000001</v>
      </c>
      <c r="R1376" s="4">
        <v>1.3360000000000001</v>
      </c>
      <c r="S1376" s="6">
        <v>3.5789499999999999</v>
      </c>
      <c r="T1376" s="1" t="s">
        <v>50</v>
      </c>
      <c r="U1376" s="1"/>
      <c r="V1376" s="1"/>
      <c r="W1376" s="1"/>
      <c r="X1376" s="5">
        <v>725</v>
      </c>
      <c r="Y1376" s="7">
        <v>8263158</v>
      </c>
      <c r="Z1376" s="7">
        <v>10848055</v>
      </c>
      <c r="AA1376" s="1" t="s">
        <v>9073</v>
      </c>
      <c r="AB1376" s="1" t="s">
        <v>2067</v>
      </c>
      <c r="AC1376" s="1" t="s">
        <v>2068</v>
      </c>
      <c r="AD1376" s="1" t="s">
        <v>2067</v>
      </c>
      <c r="AE1376" s="1" t="s">
        <v>51</v>
      </c>
      <c r="AF1376" s="1" t="s">
        <v>51</v>
      </c>
      <c r="AG1376" s="1" t="s">
        <v>47</v>
      </c>
      <c r="AH1376" s="1"/>
      <c r="AI1376" s="1"/>
      <c r="AJ1376" s="3">
        <v>2</v>
      </c>
      <c r="AK1376" s="1" t="s">
        <v>1209</v>
      </c>
      <c r="AL1376" s="3">
        <v>8</v>
      </c>
      <c r="AM1376" s="8">
        <v>20.800000000000001</v>
      </c>
      <c r="AN1376" s="1"/>
      <c r="AO1376" s="1" t="s">
        <v>9074</v>
      </c>
      <c r="AP1376" s="1" t="s">
        <v>9075</v>
      </c>
      <c r="AQ1376" s="1" t="s">
        <v>9076</v>
      </c>
      <c r="AR1376" s="1" t="s">
        <v>9077</v>
      </c>
    </row>
    <row r="1377">
      <c r="A1377" s="2">
        <f ca="1">DATE(2004,06,14)</f>
        <v>0</v>
      </c>
      <c r="B1377" s="2">
        <f ca="1">DATE(2004,11,17)</f>
        <v>0</v>
      </c>
      <c r="C1377" s="1" t="s">
        <v>9078</v>
      </c>
      <c r="D1377" s="3">
        <v>8731</v>
      </c>
      <c r="E1377" s="1" t="s">
        <v>43</v>
      </c>
      <c r="F1377" s="1" t="s">
        <v>9079</v>
      </c>
      <c r="G1377" s="1" t="s">
        <v>5276</v>
      </c>
      <c r="H1377" s="4">
        <v>1.3300000000000001</v>
      </c>
      <c r="I1377" s="4">
        <v>7</v>
      </c>
      <c r="J1377" s="5">
        <v>114</v>
      </c>
      <c r="K1377" s="4">
        <v>19</v>
      </c>
      <c r="L1377" s="1" t="s">
        <v>46</v>
      </c>
      <c r="M1377" s="1" t="s">
        <v>47</v>
      </c>
      <c r="N1377" s="1" t="s">
        <v>9080</v>
      </c>
      <c r="O1377" s="1" t="s">
        <v>48</v>
      </c>
      <c r="P1377" s="1" t="s">
        <v>9081</v>
      </c>
      <c r="Q1377" s="4">
        <v>1.3999999999999999</v>
      </c>
      <c r="R1377" s="4">
        <v>1.3999999999999999</v>
      </c>
      <c r="S1377" s="8">
        <v>4.2000000000000002</v>
      </c>
      <c r="T1377" s="1" t="s">
        <v>50</v>
      </c>
      <c r="U1377" s="1"/>
      <c r="V1377" s="1"/>
      <c r="W1377" s="1"/>
      <c r="X1377" s="5">
        <v>143.80000000000001</v>
      </c>
      <c r="Y1377" s="7">
        <v>3600000</v>
      </c>
      <c r="Z1377" s="7">
        <v>2400000</v>
      </c>
      <c r="AA1377" s="1" t="s">
        <v>9082</v>
      </c>
      <c r="AB1377" s="1" t="s">
        <v>9083</v>
      </c>
      <c r="AC1377" s="1" t="s">
        <v>7759</v>
      </c>
      <c r="AD1377" s="1" t="s">
        <v>9084</v>
      </c>
      <c r="AE1377" s="1" t="s">
        <v>51</v>
      </c>
      <c r="AF1377" s="1" t="s">
        <v>51</v>
      </c>
      <c r="AG1377" s="1" t="s">
        <v>51</v>
      </c>
      <c r="AH1377" s="1"/>
      <c r="AI1377" s="1"/>
      <c r="AJ1377" s="3">
        <v>2</v>
      </c>
      <c r="AK1377" s="1" t="s">
        <v>89</v>
      </c>
      <c r="AL1377" s="3">
        <v>4</v>
      </c>
      <c r="AM1377" s="1"/>
      <c r="AN1377" s="1"/>
      <c r="AO1377" s="1" t="s">
        <v>9085</v>
      </c>
      <c r="AP1377" s="1" t="s">
        <v>5280</v>
      </c>
      <c r="AQ1377" s="1" t="s">
        <v>9086</v>
      </c>
      <c r="AR1377" s="1" t="s">
        <v>9087</v>
      </c>
    </row>
    <row r="1378">
      <c r="A1378" s="2">
        <f ca="1">DATE(2004,07,28)</f>
        <v>0</v>
      </c>
      <c r="B1378" s="2">
        <f ca="1">DATE(2004,11,17)</f>
        <v>0</v>
      </c>
      <c r="C1378" s="1" t="s">
        <v>9088</v>
      </c>
      <c r="D1378" s="3">
        <v>6331</v>
      </c>
      <c r="E1378" s="1" t="s">
        <v>43</v>
      </c>
      <c r="F1378" s="1" t="s">
        <v>9089</v>
      </c>
      <c r="G1378" s="1" t="s">
        <v>84</v>
      </c>
      <c r="H1378" s="4">
        <v>0.66500000000000004</v>
      </c>
      <c r="I1378" s="4">
        <v>7</v>
      </c>
      <c r="J1378" s="5">
        <v>120.7</v>
      </c>
      <c r="K1378" s="4">
        <v>9.5</v>
      </c>
      <c r="L1378" s="1" t="s">
        <v>46</v>
      </c>
      <c r="M1378" s="1" t="s">
        <v>47</v>
      </c>
      <c r="N1378" s="1" t="s">
        <v>9090</v>
      </c>
      <c r="O1378" s="1" t="s">
        <v>48</v>
      </c>
      <c r="P1378" s="1" t="s">
        <v>9091</v>
      </c>
      <c r="Q1378" s="4">
        <v>1.3680000000000001</v>
      </c>
      <c r="R1378" s="4">
        <v>1.421</v>
      </c>
      <c r="S1378" s="6">
        <v>4.2105300000000003</v>
      </c>
      <c r="T1378" s="1" t="s">
        <v>50</v>
      </c>
      <c r="U1378" s="1"/>
      <c r="V1378" s="1"/>
      <c r="W1378" s="1"/>
      <c r="X1378" s="5">
        <v>230</v>
      </c>
      <c r="Y1378" s="7">
        <v>12700000</v>
      </c>
      <c r="Z1378" s="1"/>
      <c r="AA1378" s="2">
        <f ca="1">DATE(2005,05,16)</f>
        <v>0</v>
      </c>
      <c r="AB1378" s="4">
        <v>2.1920000000000002</v>
      </c>
      <c r="AC1378" s="3">
        <v>180</v>
      </c>
      <c r="AD1378" s="8">
        <v>321778</v>
      </c>
      <c r="AE1378" s="1" t="s">
        <v>51</v>
      </c>
      <c r="AF1378" s="1" t="s">
        <v>51</v>
      </c>
      <c r="AG1378" s="1" t="s">
        <v>51</v>
      </c>
      <c r="AH1378" s="1"/>
      <c r="AI1378" s="1"/>
      <c r="AJ1378" s="3">
        <v>1</v>
      </c>
      <c r="AK1378" s="1" t="s">
        <v>52</v>
      </c>
      <c r="AL1378" s="3">
        <v>3</v>
      </c>
      <c r="AM1378" s="8">
        <v>9.5700000000000003</v>
      </c>
      <c r="AN1378" s="1"/>
      <c r="AO1378" s="1" t="s">
        <v>9092</v>
      </c>
      <c r="AP1378" s="1" t="s">
        <v>84</v>
      </c>
      <c r="AQ1378" s="1" t="s">
        <v>9093</v>
      </c>
      <c r="AR1378" s="1" t="s">
        <v>9094</v>
      </c>
    </row>
    <row r="1379">
      <c r="A1379" s="2">
        <f ca="1">DATE(2003,05,13)</f>
        <v>0</v>
      </c>
      <c r="B1379" s="2">
        <f ca="1">DATE(2004,11,17)</f>
        <v>0</v>
      </c>
      <c r="C1379" s="1" t="s">
        <v>9095</v>
      </c>
      <c r="D1379" s="3">
        <v>6726</v>
      </c>
      <c r="E1379" s="1" t="s">
        <v>43</v>
      </c>
      <c r="F1379" s="1" t="s">
        <v>9096</v>
      </c>
      <c r="G1379" s="1" t="s">
        <v>5704</v>
      </c>
      <c r="H1379" s="1" t="s">
        <v>57</v>
      </c>
      <c r="I1379" s="1" t="s">
        <v>57</v>
      </c>
      <c r="J1379" s="5">
        <v>101.7</v>
      </c>
      <c r="K1379" s="4">
        <v>44.210000000000001</v>
      </c>
      <c r="L1379" s="1" t="s">
        <v>4422</v>
      </c>
      <c r="M1379" s="1" t="s">
        <v>47</v>
      </c>
      <c r="N1379" s="3">
        <v>863307104</v>
      </c>
      <c r="O1379" s="1" t="s">
        <v>108</v>
      </c>
      <c r="P1379" s="1" t="s">
        <v>9097</v>
      </c>
      <c r="Q1379" s="1"/>
      <c r="R1379" s="1"/>
      <c r="S1379" s="1"/>
      <c r="T1379" s="1" t="s">
        <v>50</v>
      </c>
      <c r="U1379" s="8">
        <v>33.140000000000001</v>
      </c>
      <c r="V1379" s="8">
        <v>33.140000000000001</v>
      </c>
      <c r="W1379" s="7">
        <v>2300000</v>
      </c>
      <c r="X1379" s="5">
        <v>76.200000000000003</v>
      </c>
      <c r="Y1379" s="7">
        <v>2300000</v>
      </c>
      <c r="Z1379" s="1"/>
      <c r="AA1379" s="1"/>
      <c r="AB1379" s="1"/>
      <c r="AC1379" s="1"/>
      <c r="AD1379" s="1"/>
      <c r="AE1379" s="1" t="s">
        <v>51</v>
      </c>
      <c r="AF1379" s="1" t="s">
        <v>51</v>
      </c>
      <c r="AG1379" s="1" t="s">
        <v>51</v>
      </c>
      <c r="AH1379" s="1"/>
      <c r="AI1379" s="1"/>
      <c r="AJ1379" s="3">
        <v>1</v>
      </c>
      <c r="AK1379" s="1" t="s">
        <v>52</v>
      </c>
      <c r="AL1379" s="3">
        <v>1</v>
      </c>
      <c r="AM1379" s="8">
        <v>44.380000000000003</v>
      </c>
      <c r="AN1379" s="1"/>
      <c r="AO1379" s="1" t="s">
        <v>5704</v>
      </c>
      <c r="AP1379" s="1" t="s">
        <v>5704</v>
      </c>
      <c r="AQ1379" s="1" t="s">
        <v>5704</v>
      </c>
      <c r="AR1379" s="1" t="s">
        <v>9097</v>
      </c>
    </row>
    <row r="1380">
      <c r="A1380" s="2">
        <f ca="1">DATE(2004,07,13)</f>
        <v>0</v>
      </c>
      <c r="B1380" s="2">
        <f ca="1">DATE(2004,11,18)</f>
        <v>0</v>
      </c>
      <c r="C1380" s="1" t="s">
        <v>9098</v>
      </c>
      <c r="D1380" s="3">
        <v>3674</v>
      </c>
      <c r="E1380" s="1" t="s">
        <v>43</v>
      </c>
      <c r="F1380" s="1" t="s">
        <v>9099</v>
      </c>
      <c r="G1380" s="1" t="s">
        <v>160</v>
      </c>
      <c r="H1380" s="4">
        <v>0.59499999999999997</v>
      </c>
      <c r="I1380" s="8">
        <v>7</v>
      </c>
      <c r="J1380" s="5">
        <v>46.799999999999997</v>
      </c>
      <c r="K1380" s="4">
        <v>8.5</v>
      </c>
      <c r="L1380" s="1" t="s">
        <v>46</v>
      </c>
      <c r="M1380" s="1" t="s">
        <v>47</v>
      </c>
      <c r="N1380" s="3">
        <v>609839105</v>
      </c>
      <c r="O1380" s="1" t="s">
        <v>48</v>
      </c>
      <c r="P1380" s="1" t="s">
        <v>9100</v>
      </c>
      <c r="Q1380" s="4">
        <v>1.3999999999999999</v>
      </c>
      <c r="R1380" s="4">
        <v>1.3999999999999999</v>
      </c>
      <c r="S1380" s="8">
        <v>4.2000000000000002</v>
      </c>
      <c r="T1380" s="1" t="s">
        <v>50</v>
      </c>
      <c r="U1380" s="1"/>
      <c r="V1380" s="1"/>
      <c r="W1380" s="1"/>
      <c r="X1380" s="5">
        <v>100</v>
      </c>
      <c r="Y1380" s="7">
        <v>4000000</v>
      </c>
      <c r="Z1380" s="7">
        <v>1500000</v>
      </c>
      <c r="AA1380" s="2">
        <f ca="1">DATE(2005,05,17)</f>
        <v>0</v>
      </c>
      <c r="AB1380" s="4">
        <v>76.373000000000005</v>
      </c>
      <c r="AC1380" s="3">
        <v>180</v>
      </c>
      <c r="AD1380" s="8">
        <v>20979434</v>
      </c>
      <c r="AE1380" s="1" t="s">
        <v>51</v>
      </c>
      <c r="AF1380" s="1" t="s">
        <v>51</v>
      </c>
      <c r="AG1380" s="1" t="s">
        <v>47</v>
      </c>
      <c r="AH1380" s="1"/>
      <c r="AI1380" s="1"/>
      <c r="AJ1380" s="3">
        <v>1</v>
      </c>
      <c r="AK1380" s="1" t="s">
        <v>89</v>
      </c>
      <c r="AL1380" s="3">
        <v>4</v>
      </c>
      <c r="AM1380" s="8">
        <v>9.7799999999999994</v>
      </c>
      <c r="AN1380" s="1"/>
      <c r="AO1380" s="1" t="s">
        <v>9101</v>
      </c>
      <c r="AP1380" s="1" t="s">
        <v>4884</v>
      </c>
      <c r="AQ1380" s="1" t="s">
        <v>9102</v>
      </c>
      <c r="AR1380" s="1" t="s">
        <v>9103</v>
      </c>
    </row>
    <row r="1381">
      <c r="A1381" s="2">
        <f ca="1">DATE(2004,08,03)</f>
        <v>0</v>
      </c>
      <c r="B1381" s="2">
        <f ca="1">DATE(2004,11,18)</f>
        <v>0</v>
      </c>
      <c r="C1381" s="1" t="s">
        <v>9104</v>
      </c>
      <c r="D1381" s="3">
        <v>7372</v>
      </c>
      <c r="E1381" s="1" t="s">
        <v>43</v>
      </c>
      <c r="F1381" s="1" t="s">
        <v>9105</v>
      </c>
      <c r="G1381" s="1" t="s">
        <v>7811</v>
      </c>
      <c r="H1381" s="4">
        <v>1.19</v>
      </c>
      <c r="I1381" s="8">
        <v>7</v>
      </c>
      <c r="J1381" s="5">
        <v>106.3</v>
      </c>
      <c r="K1381" s="4">
        <v>17</v>
      </c>
      <c r="L1381" s="1" t="s">
        <v>46</v>
      </c>
      <c r="M1381" s="1" t="s">
        <v>47</v>
      </c>
      <c r="N1381" s="3">
        <v>736187204</v>
      </c>
      <c r="O1381" s="1" t="s">
        <v>48</v>
      </c>
      <c r="P1381" s="1" t="s">
        <v>9106</v>
      </c>
      <c r="Q1381" s="4">
        <v>1.3999999999999999</v>
      </c>
      <c r="R1381" s="4">
        <v>1.3999999999999999</v>
      </c>
      <c r="S1381" s="8">
        <v>4.2000000000000002</v>
      </c>
      <c r="T1381" s="1" t="s">
        <v>50</v>
      </c>
      <c r="U1381" s="1"/>
      <c r="V1381" s="1"/>
      <c r="W1381" s="7">
        <v>6250000</v>
      </c>
      <c r="X1381" s="5">
        <v>75</v>
      </c>
      <c r="Y1381" s="7">
        <v>6250000</v>
      </c>
      <c r="Z1381" s="1"/>
      <c r="AA1381" s="2">
        <f ca="1">DATE(2005,05,17)</f>
        <v>0</v>
      </c>
      <c r="AB1381" s="4">
        <v>64.367999999999995</v>
      </c>
      <c r="AC1381" s="3">
        <v>180</v>
      </c>
      <c r="AD1381" s="8">
        <v>14849602</v>
      </c>
      <c r="AE1381" s="1" t="s">
        <v>51</v>
      </c>
      <c r="AF1381" s="1" t="s">
        <v>51</v>
      </c>
      <c r="AG1381" s="1" t="s">
        <v>47</v>
      </c>
      <c r="AH1381" s="1"/>
      <c r="AI1381" s="1"/>
      <c r="AJ1381" s="3">
        <v>2</v>
      </c>
      <c r="AK1381" s="1" t="s">
        <v>89</v>
      </c>
      <c r="AL1381" s="3">
        <v>4</v>
      </c>
      <c r="AM1381" s="8">
        <v>31.16</v>
      </c>
      <c r="AN1381" s="1"/>
      <c r="AO1381" s="1" t="s">
        <v>9107</v>
      </c>
      <c r="AP1381" s="1" t="s">
        <v>6909</v>
      </c>
      <c r="AQ1381" s="1" t="s">
        <v>9108</v>
      </c>
      <c r="AR1381" s="1" t="s">
        <v>9109</v>
      </c>
    </row>
    <row r="1382">
      <c r="A1382" s="2">
        <f ca="1">DATE(2004,04,13)</f>
        <v>0</v>
      </c>
      <c r="B1382" s="2">
        <f ca="1">DATE(2004,11,19)</f>
        <v>0</v>
      </c>
      <c r="C1382" s="1" t="s">
        <v>9110</v>
      </c>
      <c r="D1382" s="3">
        <v>7215</v>
      </c>
      <c r="E1382" s="1" t="s">
        <v>43</v>
      </c>
      <c r="F1382" s="1" t="s">
        <v>9111</v>
      </c>
      <c r="G1382" s="1" t="s">
        <v>45</v>
      </c>
      <c r="H1382" s="4">
        <v>0.81799999999999995</v>
      </c>
      <c r="I1382" s="4">
        <v>6</v>
      </c>
      <c r="J1382" s="5">
        <v>250.09999999999999</v>
      </c>
      <c r="K1382" s="4">
        <v>13.640000000000001</v>
      </c>
      <c r="L1382" s="1" t="s">
        <v>6830</v>
      </c>
      <c r="M1382" s="1" t="s">
        <v>47</v>
      </c>
      <c r="N1382" s="1" t="s">
        <v>9112</v>
      </c>
      <c r="O1382" s="1" t="s">
        <v>87</v>
      </c>
      <c r="P1382" s="1" t="s">
        <v>9113</v>
      </c>
      <c r="Q1382" s="4">
        <v>1.2350000000000001</v>
      </c>
      <c r="R1382" s="4">
        <v>1.173</v>
      </c>
      <c r="S1382" s="6">
        <v>3.5923799999999999</v>
      </c>
      <c r="T1382" s="1" t="s">
        <v>50</v>
      </c>
      <c r="U1382" s="1"/>
      <c r="V1382" s="1"/>
      <c r="W1382" s="1"/>
      <c r="X1382" s="5">
        <v>400</v>
      </c>
      <c r="Y1382" s="7">
        <v>18333333</v>
      </c>
      <c r="Z1382" s="1"/>
      <c r="AA1382" s="2">
        <f ca="1">DATE(2005,05,18)</f>
        <v>0</v>
      </c>
      <c r="AB1382" s="1"/>
      <c r="AC1382" s="3">
        <v>180</v>
      </c>
      <c r="AD1382" s="1"/>
      <c r="AE1382" s="1" t="s">
        <v>51</v>
      </c>
      <c r="AF1382" s="1" t="s">
        <v>51</v>
      </c>
      <c r="AG1382" s="1" t="s">
        <v>51</v>
      </c>
      <c r="AH1382" s="1"/>
      <c r="AI1382" s="1"/>
      <c r="AJ1382" s="3">
        <v>1</v>
      </c>
      <c r="AK1382" s="1" t="s">
        <v>110</v>
      </c>
      <c r="AL1382" s="3">
        <v>6</v>
      </c>
      <c r="AM1382" s="8">
        <v>13.640000000000001</v>
      </c>
      <c r="AN1382" s="8">
        <v>13.640000000000001</v>
      </c>
      <c r="AO1382" s="1" t="s">
        <v>9114</v>
      </c>
      <c r="AP1382" s="1" t="s">
        <v>9115</v>
      </c>
      <c r="AQ1382" s="1" t="s">
        <v>9116</v>
      </c>
      <c r="AR1382" s="1" t="s">
        <v>9117</v>
      </c>
    </row>
    <row r="1383">
      <c r="A1383" s="2">
        <f ca="1">DATE(2004,11,18)</f>
        <v>0</v>
      </c>
      <c r="B1383" s="2">
        <f ca="1">DATE(2004,11,22)</f>
        <v>0</v>
      </c>
      <c r="C1383" s="1" t="s">
        <v>9118</v>
      </c>
      <c r="D1383" s="3">
        <v>6726</v>
      </c>
      <c r="E1383" s="1" t="s">
        <v>43</v>
      </c>
      <c r="F1383" s="1" t="s">
        <v>9119</v>
      </c>
      <c r="G1383" s="1" t="s">
        <v>5747</v>
      </c>
      <c r="H1383" s="1" t="s">
        <v>57</v>
      </c>
      <c r="I1383" s="1" t="s">
        <v>57</v>
      </c>
      <c r="J1383" s="5">
        <v>37</v>
      </c>
      <c r="K1383" s="4">
        <v>25</v>
      </c>
      <c r="L1383" s="1" t="s">
        <v>4422</v>
      </c>
      <c r="M1383" s="1" t="s">
        <v>47</v>
      </c>
      <c r="N1383" s="1" t="s">
        <v>9120</v>
      </c>
      <c r="O1383" s="1" t="s">
        <v>87</v>
      </c>
      <c r="P1383" s="1" t="s">
        <v>9121</v>
      </c>
      <c r="Q1383" s="1"/>
      <c r="R1383" s="1"/>
      <c r="S1383" s="1"/>
      <c r="T1383" s="1" t="s">
        <v>50</v>
      </c>
      <c r="U1383" s="8">
        <v>25</v>
      </c>
      <c r="V1383" s="8">
        <v>25</v>
      </c>
      <c r="W1383" s="7">
        <v>400000</v>
      </c>
      <c r="X1383" s="5">
        <v>10</v>
      </c>
      <c r="Y1383" s="7">
        <v>1480000</v>
      </c>
      <c r="Z1383" s="1"/>
      <c r="AA1383" s="1"/>
      <c r="AB1383" s="1"/>
      <c r="AC1383" s="1"/>
      <c r="AD1383" s="1"/>
      <c r="AE1383" s="1" t="s">
        <v>51</v>
      </c>
      <c r="AF1383" s="1" t="s">
        <v>51</v>
      </c>
      <c r="AG1383" s="1" t="s">
        <v>51</v>
      </c>
      <c r="AH1383" s="1"/>
      <c r="AI1383" s="1"/>
      <c r="AJ1383" s="3">
        <v>1</v>
      </c>
      <c r="AK1383" s="1" t="s">
        <v>52</v>
      </c>
      <c r="AL1383" s="3">
        <v>28</v>
      </c>
      <c r="AM1383" s="8">
        <v>24.899999999999999</v>
      </c>
      <c r="AN1383" s="1"/>
      <c r="AO1383" s="1" t="s">
        <v>9122</v>
      </c>
      <c r="AP1383" s="1" t="s">
        <v>5747</v>
      </c>
      <c r="AQ1383" s="1" t="s">
        <v>9123</v>
      </c>
      <c r="AR1383" s="1" t="s">
        <v>9124</v>
      </c>
    </row>
    <row r="1384">
      <c r="A1384" s="2">
        <f ca="1">DATE(2004,04,07)</f>
        <v>0</v>
      </c>
      <c r="B1384" s="2">
        <f ca="1">DATE(2004,11,22)</f>
        <v>0</v>
      </c>
      <c r="C1384" s="1" t="s">
        <v>9125</v>
      </c>
      <c r="D1384" s="3">
        <v>2875</v>
      </c>
      <c r="E1384" s="1" t="s">
        <v>43</v>
      </c>
      <c r="F1384" s="1" t="s">
        <v>9126</v>
      </c>
      <c r="G1384" s="1" t="s">
        <v>9127</v>
      </c>
      <c r="H1384" s="4">
        <v>0.97999999999999998</v>
      </c>
      <c r="I1384" s="4">
        <v>6.125</v>
      </c>
      <c r="J1384" s="5">
        <v>439</v>
      </c>
      <c r="K1384" s="4">
        <v>16</v>
      </c>
      <c r="L1384" s="1" t="s">
        <v>46</v>
      </c>
      <c r="M1384" s="1" t="s">
        <v>47</v>
      </c>
      <c r="N1384" s="3">
        <v>903441103</v>
      </c>
      <c r="O1384" s="1" t="s">
        <v>48</v>
      </c>
      <c r="P1384" s="1" t="s">
        <v>9128</v>
      </c>
      <c r="Q1384" s="4">
        <v>1.2250000000000001</v>
      </c>
      <c r="R1384" s="4">
        <v>1.2250000000000001</v>
      </c>
      <c r="S1384" s="4">
        <v>3.6749999999999998</v>
      </c>
      <c r="T1384" s="1" t="s">
        <v>50</v>
      </c>
      <c r="U1384" s="1"/>
      <c r="V1384" s="1"/>
      <c r="W1384" s="1"/>
      <c r="X1384" s="5">
        <v>625</v>
      </c>
      <c r="Y1384" s="7">
        <v>3125000</v>
      </c>
      <c r="Z1384" s="7">
        <v>24312500</v>
      </c>
      <c r="AA1384" s="1" t="s">
        <v>9129</v>
      </c>
      <c r="AB1384" s="1" t="s">
        <v>9130</v>
      </c>
      <c r="AC1384" s="1" t="s">
        <v>2068</v>
      </c>
      <c r="AD1384" s="1" t="s">
        <v>9131</v>
      </c>
      <c r="AE1384" s="1" t="s">
        <v>51</v>
      </c>
      <c r="AF1384" s="1" t="s">
        <v>51</v>
      </c>
      <c r="AG1384" s="1" t="s">
        <v>51</v>
      </c>
      <c r="AH1384" s="1"/>
      <c r="AI1384" s="1"/>
      <c r="AJ1384" s="3">
        <v>3</v>
      </c>
      <c r="AK1384" s="1" t="s">
        <v>110</v>
      </c>
      <c r="AL1384" s="3">
        <v>6</v>
      </c>
      <c r="AM1384" s="8">
        <v>16.32</v>
      </c>
      <c r="AN1384" s="1"/>
      <c r="AO1384" s="1" t="s">
        <v>9132</v>
      </c>
      <c r="AP1384" s="1" t="s">
        <v>9133</v>
      </c>
      <c r="AQ1384" s="1" t="s">
        <v>9134</v>
      </c>
      <c r="AR1384" s="1" t="s">
        <v>9135</v>
      </c>
    </row>
    <row r="1385">
      <c r="A1385" s="2">
        <f ca="1">DATE(2004,11,23)</f>
        <v>0</v>
      </c>
      <c r="B1385" s="2">
        <f ca="1">DATE(2004,11,23)</f>
        <v>0</v>
      </c>
      <c r="C1385" s="1" t="s">
        <v>9136</v>
      </c>
      <c r="D1385" s="3">
        <v>6726</v>
      </c>
      <c r="E1385" s="1" t="s">
        <v>43</v>
      </c>
      <c r="F1385" s="1" t="s">
        <v>9137</v>
      </c>
      <c r="G1385" s="1" t="s">
        <v>45</v>
      </c>
      <c r="H1385" s="4">
        <v>0.90000000000000002</v>
      </c>
      <c r="I1385" s="4">
        <v>4.5</v>
      </c>
      <c r="J1385" s="5">
        <v>330</v>
      </c>
      <c r="K1385" s="4">
        <v>20</v>
      </c>
      <c r="L1385" s="1" t="s">
        <v>46</v>
      </c>
      <c r="M1385" s="1" t="s">
        <v>47</v>
      </c>
      <c r="N1385" s="3">
        <v>337319107</v>
      </c>
      <c r="O1385" s="1" t="s">
        <v>108</v>
      </c>
      <c r="P1385" s="1" t="s">
        <v>9138</v>
      </c>
      <c r="Q1385" s="4">
        <v>1</v>
      </c>
      <c r="R1385" s="4">
        <v>0.5</v>
      </c>
      <c r="S1385" s="8">
        <v>3</v>
      </c>
      <c r="T1385" s="1" t="s">
        <v>50</v>
      </c>
      <c r="U1385" s="8">
        <v>20</v>
      </c>
      <c r="V1385" s="8">
        <v>20</v>
      </c>
      <c r="W1385" s="7">
        <v>1000</v>
      </c>
      <c r="X1385" s="5">
        <v>0</v>
      </c>
      <c r="Y1385" s="7">
        <v>16500000</v>
      </c>
      <c r="Z1385" s="1"/>
      <c r="AA1385" s="2">
        <f ca="1">DATE(2005,05,22)</f>
        <v>0</v>
      </c>
      <c r="AB1385" s="1"/>
      <c r="AC1385" s="3">
        <v>180</v>
      </c>
      <c r="AD1385" s="1"/>
      <c r="AE1385" s="1" t="s">
        <v>51</v>
      </c>
      <c r="AF1385" s="1" t="s">
        <v>51</v>
      </c>
      <c r="AG1385" s="1" t="s">
        <v>51</v>
      </c>
      <c r="AH1385" s="1"/>
      <c r="AI1385" s="1"/>
      <c r="AJ1385" s="3">
        <v>1</v>
      </c>
      <c r="AK1385" s="1" t="s">
        <v>110</v>
      </c>
      <c r="AL1385" s="3">
        <v>11</v>
      </c>
      <c r="AM1385" s="8">
        <v>20.010000000000002</v>
      </c>
      <c r="AN1385" s="1"/>
      <c r="AO1385" s="1" t="s">
        <v>9139</v>
      </c>
      <c r="AP1385" s="1" t="s">
        <v>9140</v>
      </c>
      <c r="AQ1385" s="1" t="s">
        <v>9141</v>
      </c>
      <c r="AR1385" s="1" t="s">
        <v>9142</v>
      </c>
    </row>
    <row r="1386">
      <c r="A1386" s="2">
        <f ca="1">DATE(2004,11,03)</f>
        <v>0</v>
      </c>
      <c r="B1386" s="2">
        <f ca="1">DATE(2004,12,02)</f>
        <v>0</v>
      </c>
      <c r="C1386" s="1" t="s">
        <v>9143</v>
      </c>
      <c r="D1386" s="3">
        <v>7372</v>
      </c>
      <c r="E1386" s="1" t="s">
        <v>744</v>
      </c>
      <c r="F1386" s="1"/>
      <c r="G1386" s="1" t="s">
        <v>400</v>
      </c>
      <c r="H1386" s="4">
        <v>0.77000000000000002</v>
      </c>
      <c r="I1386" s="4">
        <v>7</v>
      </c>
      <c r="J1386" s="5">
        <v>105.59999999999999</v>
      </c>
      <c r="K1386" s="4">
        <v>11</v>
      </c>
      <c r="L1386" s="1" t="s">
        <v>651</v>
      </c>
      <c r="M1386" s="1" t="s">
        <v>47</v>
      </c>
      <c r="N1386" s="3">
        <v>654407105</v>
      </c>
      <c r="O1386" s="1"/>
      <c r="P1386" s="1" t="s">
        <v>9144</v>
      </c>
      <c r="Q1386" s="1" t="s">
        <v>145</v>
      </c>
      <c r="R1386" s="1" t="s">
        <v>145</v>
      </c>
      <c r="S1386" s="6">
        <v>4.1818200000000001</v>
      </c>
      <c r="T1386" s="1" t="s">
        <v>50</v>
      </c>
      <c r="U1386" s="1"/>
      <c r="V1386" s="1"/>
      <c r="W1386" s="1"/>
      <c r="X1386" s="5">
        <v>168.59999999999999</v>
      </c>
      <c r="Y1386" s="7">
        <v>6400000</v>
      </c>
      <c r="Z1386" s="7">
        <v>3200000</v>
      </c>
      <c r="AA1386" s="2">
        <f ca="1">DATE(2005,05,31)</f>
        <v>0</v>
      </c>
      <c r="AB1386" s="1"/>
      <c r="AC1386" s="3">
        <v>180</v>
      </c>
      <c r="AD1386" s="1"/>
      <c r="AE1386" s="1" t="s">
        <v>47</v>
      </c>
      <c r="AF1386" s="1" t="s">
        <v>51</v>
      </c>
      <c r="AG1386" s="1" t="s">
        <v>51</v>
      </c>
      <c r="AH1386" s="1"/>
      <c r="AI1386" s="1"/>
      <c r="AJ1386" s="3">
        <v>1</v>
      </c>
      <c r="AK1386" s="1" t="s">
        <v>89</v>
      </c>
      <c r="AL1386" s="3">
        <v>4</v>
      </c>
      <c r="AM1386" s="8">
        <v>11.4</v>
      </c>
      <c r="AN1386" s="1"/>
      <c r="AO1386" s="1" t="s">
        <v>9145</v>
      </c>
      <c r="AP1386" s="1" t="s">
        <v>8083</v>
      </c>
      <c r="AQ1386" s="1" t="s">
        <v>9146</v>
      </c>
      <c r="AR1386" s="1" t="s">
        <v>9147</v>
      </c>
    </row>
    <row r="1387">
      <c r="A1387" s="2">
        <f ca="1">DATE(2004,07,22)</f>
        <v>0</v>
      </c>
      <c r="B1387" s="2">
        <f ca="1">DATE(2004,12,07)</f>
        <v>0</v>
      </c>
      <c r="C1387" s="1" t="s">
        <v>9148</v>
      </c>
      <c r="D1387" s="3">
        <v>3841</v>
      </c>
      <c r="E1387" s="1" t="s">
        <v>43</v>
      </c>
      <c r="F1387" s="1" t="s">
        <v>9149</v>
      </c>
      <c r="G1387" s="1" t="s">
        <v>9150</v>
      </c>
      <c r="H1387" s="4">
        <v>0.38500000000000001</v>
      </c>
      <c r="I1387" s="4">
        <v>7</v>
      </c>
      <c r="J1387" s="5">
        <v>30.300000000000001</v>
      </c>
      <c r="K1387" s="4">
        <v>5.5</v>
      </c>
      <c r="L1387" s="1" t="s">
        <v>46</v>
      </c>
      <c r="M1387" s="1" t="s">
        <v>47</v>
      </c>
      <c r="N1387" s="3">
        <v>124676107</v>
      </c>
      <c r="O1387" s="1" t="s">
        <v>48</v>
      </c>
      <c r="P1387" s="1" t="s">
        <v>9151</v>
      </c>
      <c r="Q1387" s="1" t="s">
        <v>145</v>
      </c>
      <c r="R1387" s="1" t="s">
        <v>145</v>
      </c>
      <c r="S1387" s="6">
        <v>4.1818200000000001</v>
      </c>
      <c r="T1387" s="1" t="s">
        <v>50</v>
      </c>
      <c r="U1387" s="8">
        <v>6</v>
      </c>
      <c r="V1387" s="8">
        <v>5</v>
      </c>
      <c r="W1387" s="7">
        <v>5500000</v>
      </c>
      <c r="X1387" s="5">
        <v>30.300000000000001</v>
      </c>
      <c r="Y1387" s="7">
        <v>5500000</v>
      </c>
      <c r="Z1387" s="1"/>
      <c r="AA1387" s="1" t="s">
        <v>9152</v>
      </c>
      <c r="AB1387" s="1" t="s">
        <v>9153</v>
      </c>
      <c r="AC1387" s="1" t="s">
        <v>8904</v>
      </c>
      <c r="AD1387" s="1" t="s">
        <v>9154</v>
      </c>
      <c r="AE1387" s="1" t="s">
        <v>51</v>
      </c>
      <c r="AF1387" s="1" t="s">
        <v>51</v>
      </c>
      <c r="AG1387" s="1" t="s">
        <v>51</v>
      </c>
      <c r="AH1387" s="1"/>
      <c r="AI1387" s="1"/>
      <c r="AJ1387" s="3">
        <v>2</v>
      </c>
      <c r="AK1387" s="1" t="s">
        <v>89</v>
      </c>
      <c r="AL1387" s="3">
        <v>2</v>
      </c>
      <c r="AM1387" s="8">
        <v>6.0899999999999999</v>
      </c>
      <c r="AN1387" s="1"/>
      <c r="AO1387" s="1" t="s">
        <v>9155</v>
      </c>
      <c r="AP1387" s="1" t="s">
        <v>9156</v>
      </c>
      <c r="AQ1387" s="1" t="s">
        <v>9157</v>
      </c>
      <c r="AR1387" s="1" t="s">
        <v>9151</v>
      </c>
    </row>
    <row r="1388">
      <c r="A1388" s="2">
        <f ca="1">DATE(2004,11,15)</f>
        <v>0</v>
      </c>
      <c r="B1388" s="2">
        <f ca="1">DATE(2004,12,08)</f>
        <v>0</v>
      </c>
      <c r="C1388" s="1" t="s">
        <v>9158</v>
      </c>
      <c r="D1388" s="3">
        <v>1221</v>
      </c>
      <c r="E1388" s="1" t="s">
        <v>43</v>
      </c>
      <c r="F1388" s="1" t="s">
        <v>9159</v>
      </c>
      <c r="G1388" s="1" t="s">
        <v>9160</v>
      </c>
      <c r="H1388" s="4">
        <v>1.375</v>
      </c>
      <c r="I1388" s="4">
        <v>6.25</v>
      </c>
      <c r="J1388" s="5">
        <v>519.39999999999998</v>
      </c>
      <c r="K1388" s="4">
        <v>22</v>
      </c>
      <c r="L1388" s="1" t="s">
        <v>46</v>
      </c>
      <c r="M1388" s="1" t="s">
        <v>47</v>
      </c>
      <c r="N1388" s="1" t="s">
        <v>9161</v>
      </c>
      <c r="O1388" s="1" t="s">
        <v>108</v>
      </c>
      <c r="P1388" s="1" t="s">
        <v>9162</v>
      </c>
      <c r="Q1388" s="4">
        <v>1.25</v>
      </c>
      <c r="R1388" s="4">
        <v>0.95499999999999996</v>
      </c>
      <c r="S1388" s="6">
        <v>4.0454499999999998</v>
      </c>
      <c r="T1388" s="1" t="s">
        <v>50</v>
      </c>
      <c r="U1388" s="1"/>
      <c r="V1388" s="1"/>
      <c r="W1388" s="1"/>
      <c r="X1388" s="5">
        <v>250</v>
      </c>
      <c r="Y1388" s="7">
        <v>23610000</v>
      </c>
      <c r="Z1388" s="1"/>
      <c r="AA1388" s="1" t="s">
        <v>9163</v>
      </c>
      <c r="AB1388" s="1" t="s">
        <v>9164</v>
      </c>
      <c r="AC1388" s="1" t="s">
        <v>9165</v>
      </c>
      <c r="AD1388" s="1" t="s">
        <v>9166</v>
      </c>
      <c r="AE1388" s="1" t="s">
        <v>51</v>
      </c>
      <c r="AF1388" s="1" t="s">
        <v>51</v>
      </c>
      <c r="AG1388" s="1" t="s">
        <v>51</v>
      </c>
      <c r="AH1388" s="1"/>
      <c r="AI1388" s="1"/>
      <c r="AJ1388" s="3">
        <v>2</v>
      </c>
      <c r="AK1388" s="1" t="s">
        <v>110</v>
      </c>
      <c r="AL1388" s="3">
        <v>8</v>
      </c>
      <c r="AM1388" s="8">
        <v>21.75</v>
      </c>
      <c r="AN1388" s="1"/>
      <c r="AO1388" s="1" t="s">
        <v>9167</v>
      </c>
      <c r="AP1388" s="1" t="s">
        <v>9168</v>
      </c>
      <c r="AQ1388" s="1" t="s">
        <v>9169</v>
      </c>
      <c r="AR1388" s="1" t="s">
        <v>9170</v>
      </c>
    </row>
    <row r="1389">
      <c r="A1389" s="2">
        <f ca="1">DATE(2004,12,06)</f>
        <v>0</v>
      </c>
      <c r="B1389" s="2">
        <f ca="1">DATE(2004,12,08)</f>
        <v>0</v>
      </c>
      <c r="C1389" s="1" t="s">
        <v>9171</v>
      </c>
      <c r="D1389" s="3">
        <v>3827</v>
      </c>
      <c r="E1389" s="1" t="s">
        <v>166</v>
      </c>
      <c r="F1389" s="1" t="s">
        <v>9172</v>
      </c>
      <c r="G1389" s="1" t="s">
        <v>6201</v>
      </c>
      <c r="H1389" s="4">
        <v>0.83999999999999997</v>
      </c>
      <c r="I1389" s="8">
        <v>7</v>
      </c>
      <c r="J1389" s="5">
        <v>100.8</v>
      </c>
      <c r="K1389" s="4">
        <v>12</v>
      </c>
      <c r="L1389" s="1" t="s">
        <v>46</v>
      </c>
      <c r="M1389" s="1" t="s">
        <v>47</v>
      </c>
      <c r="N1389" s="1" t="s">
        <v>9173</v>
      </c>
      <c r="O1389" s="1" t="s">
        <v>3171</v>
      </c>
      <c r="P1389" s="1" t="s">
        <v>9174</v>
      </c>
      <c r="Q1389" s="4">
        <v>1.3999999999999999</v>
      </c>
      <c r="R1389" s="4">
        <v>1.3999999999999999</v>
      </c>
      <c r="S1389" s="8">
        <v>4.2000000000000002</v>
      </c>
      <c r="T1389" s="1" t="s">
        <v>50</v>
      </c>
      <c r="U1389" s="1"/>
      <c r="V1389" s="1"/>
      <c r="W1389" s="1"/>
      <c r="X1389" s="5">
        <v>100</v>
      </c>
      <c r="Y1389" s="7">
        <v>5600000</v>
      </c>
      <c r="Z1389" s="7">
        <v>2800000</v>
      </c>
      <c r="AA1389" s="1" t="s">
        <v>9175</v>
      </c>
      <c r="AB1389" s="1" t="s">
        <v>9176</v>
      </c>
      <c r="AC1389" s="1" t="s">
        <v>9177</v>
      </c>
      <c r="AD1389" s="1" t="s">
        <v>9178</v>
      </c>
      <c r="AE1389" s="1" t="s">
        <v>51</v>
      </c>
      <c r="AF1389" s="1" t="s">
        <v>51</v>
      </c>
      <c r="AG1389" s="1" t="s">
        <v>51</v>
      </c>
      <c r="AH1389" s="1"/>
      <c r="AI1389" s="1"/>
      <c r="AJ1389" s="3">
        <v>1</v>
      </c>
      <c r="AK1389" s="1" t="s">
        <v>52</v>
      </c>
      <c r="AL1389" s="3">
        <v>3</v>
      </c>
      <c r="AM1389" s="8">
        <v>12</v>
      </c>
      <c r="AN1389" s="1"/>
      <c r="AO1389" s="1" t="s">
        <v>9179</v>
      </c>
      <c r="AP1389" s="1" t="s">
        <v>6201</v>
      </c>
      <c r="AQ1389" s="1" t="s">
        <v>9180</v>
      </c>
      <c r="AR1389" s="1" t="s">
        <v>9181</v>
      </c>
    </row>
    <row r="1390">
      <c r="A1390" s="2">
        <f ca="1">DATE(2004,11,17)</f>
        <v>0</v>
      </c>
      <c r="B1390" s="2">
        <f ca="1">DATE(2004,12,08)</f>
        <v>0</v>
      </c>
      <c r="C1390" s="1" t="s">
        <v>9182</v>
      </c>
      <c r="D1390" s="3">
        <v>3842</v>
      </c>
      <c r="E1390" s="1" t="s">
        <v>43</v>
      </c>
      <c r="F1390" s="1" t="s">
        <v>9183</v>
      </c>
      <c r="G1390" s="1" t="s">
        <v>9184</v>
      </c>
      <c r="H1390" s="4">
        <v>1.05</v>
      </c>
      <c r="I1390" s="4">
        <v>7</v>
      </c>
      <c r="J1390" s="5">
        <v>120</v>
      </c>
      <c r="K1390" s="4">
        <v>15</v>
      </c>
      <c r="L1390" s="1" t="s">
        <v>46</v>
      </c>
      <c r="M1390" s="1" t="s">
        <v>47</v>
      </c>
      <c r="N1390" s="3">
        <v>871546206</v>
      </c>
      <c r="O1390" s="1" t="s">
        <v>108</v>
      </c>
      <c r="P1390" s="1" t="s">
        <v>9185</v>
      </c>
      <c r="Q1390" s="4">
        <v>1.3999999999999999</v>
      </c>
      <c r="R1390" s="4">
        <v>1.3999999999999999</v>
      </c>
      <c r="S1390" s="8">
        <v>4.2000000000000002</v>
      </c>
      <c r="T1390" s="1" t="s">
        <v>50</v>
      </c>
      <c r="U1390" s="1"/>
      <c r="V1390" s="1"/>
      <c r="W1390" s="1"/>
      <c r="X1390" s="5">
        <v>172.5</v>
      </c>
      <c r="Y1390" s="7">
        <v>8000000</v>
      </c>
      <c r="Z1390" s="1"/>
      <c r="AA1390" s="2">
        <f ca="1">DATE(2005,06,06)</f>
        <v>0</v>
      </c>
      <c r="AB1390" s="4">
        <v>72.165999999999997</v>
      </c>
      <c r="AC1390" s="3">
        <v>180</v>
      </c>
      <c r="AD1390" s="8">
        <v>23853432</v>
      </c>
      <c r="AE1390" s="1" t="s">
        <v>51</v>
      </c>
      <c r="AF1390" s="1" t="s">
        <v>51</v>
      </c>
      <c r="AG1390" s="1" t="s">
        <v>51</v>
      </c>
      <c r="AH1390" s="1"/>
      <c r="AI1390" s="1"/>
      <c r="AJ1390" s="3">
        <v>2</v>
      </c>
      <c r="AK1390" s="1" t="s">
        <v>89</v>
      </c>
      <c r="AL1390" s="3">
        <v>4</v>
      </c>
      <c r="AM1390" s="8">
        <v>18.600000000000001</v>
      </c>
      <c r="AN1390" s="1"/>
      <c r="AO1390" s="1" t="s">
        <v>9186</v>
      </c>
      <c r="AP1390" s="1" t="s">
        <v>9187</v>
      </c>
      <c r="AQ1390" s="1" t="s">
        <v>9188</v>
      </c>
      <c r="AR1390" s="1" t="s">
        <v>9189</v>
      </c>
    </row>
    <row r="1391">
      <c r="A1391" s="2">
        <f ca="1">DATE(2004,04,16)</f>
        <v>0</v>
      </c>
      <c r="B1391" s="2">
        <f ca="1">DATE(2004,12,09)</f>
        <v>0</v>
      </c>
      <c r="C1391" s="1" t="s">
        <v>9190</v>
      </c>
      <c r="D1391" s="3">
        <v>1311</v>
      </c>
      <c r="E1391" s="1" t="s">
        <v>43</v>
      </c>
      <c r="F1391" s="1" t="s">
        <v>9191</v>
      </c>
      <c r="G1391" s="1" t="s">
        <v>160</v>
      </c>
      <c r="H1391" s="4">
        <v>1.625</v>
      </c>
      <c r="I1391" s="4">
        <v>6.5</v>
      </c>
      <c r="J1391" s="5">
        <v>325</v>
      </c>
      <c r="K1391" s="4">
        <v>25</v>
      </c>
      <c r="L1391" s="1" t="s">
        <v>46</v>
      </c>
      <c r="M1391" s="1" t="s">
        <v>47</v>
      </c>
      <c r="N1391" s="1" t="s">
        <v>9192</v>
      </c>
      <c r="O1391" s="1" t="s">
        <v>108</v>
      </c>
      <c r="P1391" s="1" t="s">
        <v>9193</v>
      </c>
      <c r="Q1391" s="4">
        <v>1.3200000000000001</v>
      </c>
      <c r="R1391" s="4">
        <v>1.3</v>
      </c>
      <c r="S1391" s="8">
        <v>3.8799999999999999</v>
      </c>
      <c r="T1391" s="1" t="s">
        <v>50</v>
      </c>
      <c r="U1391" s="1"/>
      <c r="V1391" s="1"/>
      <c r="W1391" s="1"/>
      <c r="X1391" s="5">
        <v>172.5</v>
      </c>
      <c r="Y1391" s="7">
        <v>13000000</v>
      </c>
      <c r="Z1391" s="1"/>
      <c r="AA1391" s="2">
        <f ca="1">DATE(2005,06,07)</f>
        <v>0</v>
      </c>
      <c r="AB1391" s="4">
        <v>59.228999999999999</v>
      </c>
      <c r="AC1391" s="3">
        <v>180</v>
      </c>
      <c r="AD1391" s="8">
        <v>25659260</v>
      </c>
      <c r="AE1391" s="1" t="s">
        <v>51</v>
      </c>
      <c r="AF1391" s="1" t="s">
        <v>51</v>
      </c>
      <c r="AG1391" s="1" t="s">
        <v>47</v>
      </c>
      <c r="AH1391" s="1"/>
      <c r="AI1391" s="1"/>
      <c r="AJ1391" s="3">
        <v>1</v>
      </c>
      <c r="AK1391" s="1" t="s">
        <v>52</v>
      </c>
      <c r="AL1391" s="3">
        <v>7</v>
      </c>
      <c r="AM1391" s="8">
        <v>29.050000000000001</v>
      </c>
      <c r="AN1391" s="1"/>
      <c r="AO1391" s="1" t="s">
        <v>9194</v>
      </c>
      <c r="AP1391" s="1" t="s">
        <v>160</v>
      </c>
      <c r="AQ1391" s="1" t="s">
        <v>9195</v>
      </c>
      <c r="AR1391" s="1" t="s">
        <v>9196</v>
      </c>
    </row>
    <row r="1392">
      <c r="A1392" s="2">
        <f ca="1">DATE(2004,09,30)</f>
        <v>0</v>
      </c>
      <c r="B1392" s="2">
        <f ca="1">DATE(2004,12,09)</f>
        <v>0</v>
      </c>
      <c r="C1392" s="1" t="s">
        <v>9197</v>
      </c>
      <c r="D1392" s="3">
        <v>6712</v>
      </c>
      <c r="E1392" s="1" t="s">
        <v>43</v>
      </c>
      <c r="F1392" s="1" t="s">
        <v>9198</v>
      </c>
      <c r="G1392" s="1" t="s">
        <v>4996</v>
      </c>
      <c r="H1392" s="4">
        <v>1.6100000000000001</v>
      </c>
      <c r="I1392" s="4">
        <v>7</v>
      </c>
      <c r="J1392" s="5">
        <v>52.799999999999997</v>
      </c>
      <c r="K1392" s="4">
        <v>23</v>
      </c>
      <c r="L1392" s="1" t="s">
        <v>46</v>
      </c>
      <c r="M1392" s="1" t="s">
        <v>47</v>
      </c>
      <c r="N1392" s="1" t="s">
        <v>9199</v>
      </c>
      <c r="O1392" s="1" t="s">
        <v>48</v>
      </c>
      <c r="P1392" s="1" t="s">
        <v>9200</v>
      </c>
      <c r="Q1392" s="4">
        <v>1.3999999999999999</v>
      </c>
      <c r="R1392" s="4">
        <v>1.3999999999999999</v>
      </c>
      <c r="S1392" s="8">
        <v>4.2000000000000002</v>
      </c>
      <c r="T1392" s="1" t="s">
        <v>50</v>
      </c>
      <c r="U1392" s="8">
        <v>18</v>
      </c>
      <c r="V1392" s="8">
        <v>18</v>
      </c>
      <c r="W1392" s="7">
        <v>2700000</v>
      </c>
      <c r="X1392" s="5">
        <v>48.600000000000001</v>
      </c>
      <c r="Y1392" s="7">
        <v>1495652</v>
      </c>
      <c r="Z1392" s="7">
        <v>800000</v>
      </c>
      <c r="AA1392" s="1" t="s">
        <v>9201</v>
      </c>
      <c r="AB1392" s="1" t="s">
        <v>5265</v>
      </c>
      <c r="AC1392" s="1" t="s">
        <v>7759</v>
      </c>
      <c r="AD1392" s="1" t="s">
        <v>5265</v>
      </c>
      <c r="AE1392" s="1" t="s">
        <v>51</v>
      </c>
      <c r="AF1392" s="1" t="s">
        <v>51</v>
      </c>
      <c r="AG1392" s="1" t="s">
        <v>51</v>
      </c>
      <c r="AH1392" s="1"/>
      <c r="AI1392" s="1"/>
      <c r="AJ1392" s="3">
        <v>1</v>
      </c>
      <c r="AK1392" s="1" t="s">
        <v>52</v>
      </c>
      <c r="AL1392" s="3">
        <v>2</v>
      </c>
      <c r="AM1392" s="8">
        <v>29.350000000000001</v>
      </c>
      <c r="AN1392" s="1"/>
      <c r="AO1392" s="1" t="s">
        <v>9202</v>
      </c>
      <c r="AP1392" s="1" t="s">
        <v>4996</v>
      </c>
      <c r="AQ1392" s="1" t="s">
        <v>9203</v>
      </c>
      <c r="AR1392" s="1" t="s">
        <v>9200</v>
      </c>
    </row>
    <row r="1393">
      <c r="A1393" s="2">
        <f ca="1">DATE(2004,10,18)</f>
        <v>0</v>
      </c>
      <c r="B1393" s="2">
        <f ca="1">DATE(2004,12,09)</f>
        <v>0</v>
      </c>
      <c r="C1393" s="1" t="s">
        <v>9204</v>
      </c>
      <c r="D1393" s="3">
        <v>6712</v>
      </c>
      <c r="E1393" s="1" t="s">
        <v>43</v>
      </c>
      <c r="F1393" s="1" t="s">
        <v>9205</v>
      </c>
      <c r="G1393" s="1" t="s">
        <v>584</v>
      </c>
      <c r="H1393" s="4">
        <v>0.83999999999999997</v>
      </c>
      <c r="I1393" s="8">
        <v>7</v>
      </c>
      <c r="J1393" s="5">
        <v>25.5</v>
      </c>
      <c r="K1393" s="4">
        <v>12</v>
      </c>
      <c r="L1393" s="1" t="s">
        <v>46</v>
      </c>
      <c r="M1393" s="1" t="s">
        <v>47</v>
      </c>
      <c r="N1393" s="1" t="s">
        <v>9206</v>
      </c>
      <c r="O1393" s="1" t="s">
        <v>48</v>
      </c>
      <c r="P1393" s="1" t="s">
        <v>6021</v>
      </c>
      <c r="Q1393" s="1" t="s">
        <v>145</v>
      </c>
      <c r="R1393" s="1" t="s">
        <v>145</v>
      </c>
      <c r="S1393" s="1"/>
      <c r="T1393" s="1" t="s">
        <v>50</v>
      </c>
      <c r="U1393" s="8">
        <v>12</v>
      </c>
      <c r="V1393" s="8">
        <v>10</v>
      </c>
      <c r="W1393" s="7">
        <v>1500000</v>
      </c>
      <c r="X1393" s="5">
        <v>16.5</v>
      </c>
      <c r="Y1393" s="7">
        <v>2127500</v>
      </c>
      <c r="Z1393" s="1"/>
      <c r="AA1393" s="1"/>
      <c r="AB1393" s="1"/>
      <c r="AC1393" s="1"/>
      <c r="AD1393" s="1"/>
      <c r="AE1393" s="1" t="s">
        <v>51</v>
      </c>
      <c r="AF1393" s="1" t="s">
        <v>51</v>
      </c>
      <c r="AG1393" s="1" t="s">
        <v>51</v>
      </c>
      <c r="AH1393" s="1"/>
      <c r="AI1393" s="1"/>
      <c r="AJ1393" s="3">
        <v>1</v>
      </c>
      <c r="AK1393" s="1" t="s">
        <v>52</v>
      </c>
      <c r="AL1393" s="3">
        <v>1</v>
      </c>
      <c r="AM1393" s="8">
        <v>12.720000000000001</v>
      </c>
      <c r="AN1393" s="1"/>
      <c r="AO1393" s="1" t="s">
        <v>584</v>
      </c>
      <c r="AP1393" s="1" t="s">
        <v>584</v>
      </c>
      <c r="AQ1393" s="1" t="s">
        <v>584</v>
      </c>
      <c r="AR1393" s="1" t="s">
        <v>6021</v>
      </c>
    </row>
    <row r="1394">
      <c r="A1394" s="2">
        <f ca="1">DATE(2004,09,01)</f>
        <v>0</v>
      </c>
      <c r="B1394" s="2">
        <f ca="1">DATE(2004,12,09)</f>
        <v>0</v>
      </c>
      <c r="C1394" s="1" t="s">
        <v>9207</v>
      </c>
      <c r="D1394" s="3">
        <v>8742</v>
      </c>
      <c r="E1394" s="1" t="s">
        <v>43</v>
      </c>
      <c r="F1394" s="1" t="s">
        <v>9208</v>
      </c>
      <c r="G1394" s="1" t="s">
        <v>6640</v>
      </c>
      <c r="H1394" s="4">
        <v>1.05</v>
      </c>
      <c r="I1394" s="4">
        <v>7</v>
      </c>
      <c r="J1394" s="5">
        <v>93.799999999999997</v>
      </c>
      <c r="K1394" s="4">
        <v>15</v>
      </c>
      <c r="L1394" s="1" t="s">
        <v>46</v>
      </c>
      <c r="M1394" s="1" t="s">
        <v>47</v>
      </c>
      <c r="N1394" s="1" t="s">
        <v>9209</v>
      </c>
      <c r="O1394" s="1" t="s">
        <v>48</v>
      </c>
      <c r="P1394" s="1" t="s">
        <v>9210</v>
      </c>
      <c r="Q1394" s="4">
        <v>1.3999999999999999</v>
      </c>
      <c r="R1394" s="4">
        <v>1.3999999999999999</v>
      </c>
      <c r="S1394" s="8">
        <v>4.2000000000000002</v>
      </c>
      <c r="T1394" s="1" t="s">
        <v>50</v>
      </c>
      <c r="U1394" s="1"/>
      <c r="V1394" s="1"/>
      <c r="W1394" s="1"/>
      <c r="X1394" s="5">
        <v>86.299999999999997</v>
      </c>
      <c r="Y1394" s="7">
        <v>4166667</v>
      </c>
      <c r="Z1394" s="7">
        <v>2083333</v>
      </c>
      <c r="AA1394" s="1" t="s">
        <v>9211</v>
      </c>
      <c r="AB1394" s="1" t="s">
        <v>9212</v>
      </c>
      <c r="AC1394" s="1" t="s">
        <v>9213</v>
      </c>
      <c r="AD1394" s="1" t="s">
        <v>9214</v>
      </c>
      <c r="AE1394" s="1" t="s">
        <v>51</v>
      </c>
      <c r="AF1394" s="1" t="s">
        <v>51</v>
      </c>
      <c r="AG1394" s="1" t="s">
        <v>47</v>
      </c>
      <c r="AH1394" s="1"/>
      <c r="AI1394" s="1"/>
      <c r="AJ1394" s="3">
        <v>2</v>
      </c>
      <c r="AK1394" s="1" t="s">
        <v>89</v>
      </c>
      <c r="AL1394" s="3">
        <v>5</v>
      </c>
      <c r="AM1394" s="8">
        <v>15.74</v>
      </c>
      <c r="AN1394" s="1"/>
      <c r="AO1394" s="1" t="s">
        <v>9215</v>
      </c>
      <c r="AP1394" s="1" t="s">
        <v>6644</v>
      </c>
      <c r="AQ1394" s="1" t="s">
        <v>9216</v>
      </c>
      <c r="AR1394" s="1" t="s">
        <v>9217</v>
      </c>
    </row>
    <row r="1395">
      <c r="A1395" s="2">
        <f ca="1">DATE(2004,08,06)</f>
        <v>0</v>
      </c>
      <c r="B1395" s="2">
        <f ca="1">DATE(2004,12,10)</f>
        <v>0</v>
      </c>
      <c r="C1395" s="1" t="s">
        <v>9218</v>
      </c>
      <c r="D1395" s="3">
        <v>2835</v>
      </c>
      <c r="E1395" s="1" t="s">
        <v>43</v>
      </c>
      <c r="F1395" s="1" t="s">
        <v>9219</v>
      </c>
      <c r="G1395" s="1" t="s">
        <v>5704</v>
      </c>
      <c r="H1395" s="4">
        <v>1.1200000000000001</v>
      </c>
      <c r="I1395" s="4">
        <v>7</v>
      </c>
      <c r="J1395" s="5">
        <v>60</v>
      </c>
      <c r="K1395" s="4">
        <v>16</v>
      </c>
      <c r="L1395" s="1" t="s">
        <v>46</v>
      </c>
      <c r="M1395" s="1" t="s">
        <v>47</v>
      </c>
      <c r="N1395" s="1" t="s">
        <v>9220</v>
      </c>
      <c r="O1395" s="1" t="s">
        <v>48</v>
      </c>
      <c r="P1395" s="1" t="s">
        <v>9221</v>
      </c>
      <c r="Q1395" s="4">
        <v>1.4059999999999999</v>
      </c>
      <c r="R1395" s="4">
        <v>1.4059999999999999</v>
      </c>
      <c r="S1395" s="10">
        <v>4.1875</v>
      </c>
      <c r="T1395" s="1" t="s">
        <v>50</v>
      </c>
      <c r="U1395" s="1"/>
      <c r="V1395" s="1"/>
      <c r="W1395" s="1"/>
      <c r="X1395" s="5">
        <v>69</v>
      </c>
      <c r="Y1395" s="7">
        <v>3750000</v>
      </c>
      <c r="Z1395" s="1"/>
      <c r="AA1395" s="2">
        <f ca="1">DATE(2005,06,08)</f>
        <v>0</v>
      </c>
      <c r="AB1395" s="4">
        <v>73.787999999999997</v>
      </c>
      <c r="AC1395" s="3">
        <v>180</v>
      </c>
      <c r="AD1395" s="8">
        <v>12139841</v>
      </c>
      <c r="AE1395" s="1" t="s">
        <v>51</v>
      </c>
      <c r="AF1395" s="1" t="s">
        <v>51</v>
      </c>
      <c r="AG1395" s="1" t="s">
        <v>47</v>
      </c>
      <c r="AH1395" s="1"/>
      <c r="AI1395" s="1"/>
      <c r="AJ1395" s="3">
        <v>1</v>
      </c>
      <c r="AK1395" s="1" t="s">
        <v>52</v>
      </c>
      <c r="AL1395" s="3">
        <v>4</v>
      </c>
      <c r="AM1395" s="8">
        <v>19.66</v>
      </c>
      <c r="AN1395" s="1"/>
      <c r="AO1395" s="1" t="s">
        <v>9222</v>
      </c>
      <c r="AP1395" s="1" t="s">
        <v>5704</v>
      </c>
      <c r="AQ1395" s="1" t="s">
        <v>9223</v>
      </c>
      <c r="AR1395" s="1" t="s">
        <v>9221</v>
      </c>
    </row>
    <row r="1396">
      <c r="A1396" s="2">
        <f ca="1">DATE(2004,10,13)</f>
        <v>0</v>
      </c>
      <c r="B1396" s="2">
        <f ca="1">DATE(2004,12,10)</f>
        <v>0</v>
      </c>
      <c r="C1396" s="1" t="s">
        <v>9224</v>
      </c>
      <c r="D1396" s="3">
        <v>4412</v>
      </c>
      <c r="E1396" s="1" t="s">
        <v>43</v>
      </c>
      <c r="F1396" s="1" t="s">
        <v>9225</v>
      </c>
      <c r="G1396" s="1" t="s">
        <v>9226</v>
      </c>
      <c r="H1396" s="4">
        <v>0.41999999999999998</v>
      </c>
      <c r="I1396" s="8">
        <v>7</v>
      </c>
      <c r="J1396" s="5">
        <v>171</v>
      </c>
      <c r="K1396" s="4">
        <v>6</v>
      </c>
      <c r="L1396" s="1" t="s">
        <v>31</v>
      </c>
      <c r="M1396" s="1" t="s">
        <v>47</v>
      </c>
      <c r="N1396" s="1" t="s">
        <v>9227</v>
      </c>
      <c r="O1396" s="1" t="s">
        <v>77</v>
      </c>
      <c r="P1396" s="1" t="s">
        <v>9228</v>
      </c>
      <c r="Q1396" s="1" t="s">
        <v>145</v>
      </c>
      <c r="R1396" s="1" t="s">
        <v>145</v>
      </c>
      <c r="S1396" s="8">
        <v>2.3999999999999999</v>
      </c>
      <c r="T1396" s="1" t="s">
        <v>50</v>
      </c>
      <c r="U1396" s="8">
        <v>6</v>
      </c>
      <c r="V1396" s="8">
        <v>6</v>
      </c>
      <c r="W1396" s="7">
        <v>17000000</v>
      </c>
      <c r="X1396" s="5">
        <v>102</v>
      </c>
      <c r="Y1396" s="7">
        <v>28500000</v>
      </c>
      <c r="Z1396" s="1"/>
      <c r="AA1396" s="1"/>
      <c r="AB1396" s="1"/>
      <c r="AC1396" s="1"/>
      <c r="AD1396" s="1"/>
      <c r="AE1396" s="1" t="s">
        <v>51</v>
      </c>
      <c r="AF1396" s="1" t="s">
        <v>51</v>
      </c>
      <c r="AG1396" s="1" t="s">
        <v>51</v>
      </c>
      <c r="AH1396" s="1"/>
      <c r="AI1396" s="1"/>
      <c r="AJ1396" s="3">
        <v>1</v>
      </c>
      <c r="AK1396" s="1" t="s">
        <v>52</v>
      </c>
      <c r="AL1396" s="3">
        <v>1</v>
      </c>
      <c r="AM1396" s="8">
        <v>6.1500000000000004</v>
      </c>
      <c r="AN1396" s="1"/>
      <c r="AO1396" s="1" t="s">
        <v>9229</v>
      </c>
      <c r="AP1396" s="1" t="s">
        <v>9226</v>
      </c>
      <c r="AQ1396" s="1" t="s">
        <v>9226</v>
      </c>
      <c r="AR1396" s="1" t="s">
        <v>9230</v>
      </c>
    </row>
    <row r="1397">
      <c r="A1397" s="2">
        <f ca="1">DATE(2004,12,10)</f>
        <v>0</v>
      </c>
      <c r="B1397" s="2">
        <f ca="1">DATE(2004,12,13)</f>
        <v>0</v>
      </c>
      <c r="C1397" s="1" t="s">
        <v>9231</v>
      </c>
      <c r="D1397" s="3">
        <v>5031</v>
      </c>
      <c r="E1397" s="1" t="s">
        <v>43</v>
      </c>
      <c r="F1397" s="1" t="s">
        <v>9232</v>
      </c>
      <c r="G1397" s="1" t="s">
        <v>160</v>
      </c>
      <c r="H1397" s="4">
        <v>0.94499999999999995</v>
      </c>
      <c r="I1397" s="8">
        <v>7</v>
      </c>
      <c r="J1397" s="5">
        <v>128.30000000000001</v>
      </c>
      <c r="K1397" s="4">
        <v>13.5</v>
      </c>
      <c r="L1397" s="1" t="s">
        <v>46</v>
      </c>
      <c r="M1397" s="1" t="s">
        <v>47</v>
      </c>
      <c r="N1397" s="1" t="s">
        <v>9233</v>
      </c>
      <c r="O1397" s="1" t="s">
        <v>108</v>
      </c>
      <c r="P1397" s="1" t="s">
        <v>9234</v>
      </c>
      <c r="Q1397" s="4">
        <v>1.407</v>
      </c>
      <c r="R1397" s="4">
        <v>1.3700000000000001</v>
      </c>
      <c r="S1397" s="6">
        <v>4.2222200000000001</v>
      </c>
      <c r="T1397" s="1" t="s">
        <v>50</v>
      </c>
      <c r="U1397" s="1"/>
      <c r="V1397" s="1"/>
      <c r="W1397" s="1"/>
      <c r="X1397" s="5">
        <v>150</v>
      </c>
      <c r="Y1397" s="7">
        <v>9500000</v>
      </c>
      <c r="Z1397" s="1"/>
      <c r="AA1397" s="1" t="s">
        <v>9235</v>
      </c>
      <c r="AB1397" s="1" t="s">
        <v>9236</v>
      </c>
      <c r="AC1397" s="1" t="s">
        <v>1198</v>
      </c>
      <c r="AD1397" s="1" t="s">
        <v>9237</v>
      </c>
      <c r="AE1397" s="1" t="s">
        <v>51</v>
      </c>
      <c r="AF1397" s="1" t="s">
        <v>51</v>
      </c>
      <c r="AG1397" s="1" t="s">
        <v>51</v>
      </c>
      <c r="AH1397" s="1"/>
      <c r="AI1397" s="1"/>
      <c r="AJ1397" s="3">
        <v>1</v>
      </c>
      <c r="AK1397" s="1" t="s">
        <v>89</v>
      </c>
      <c r="AL1397" s="3">
        <v>4</v>
      </c>
      <c r="AM1397" s="8">
        <v>13.5</v>
      </c>
      <c r="AN1397" s="1"/>
      <c r="AO1397" s="1" t="s">
        <v>9238</v>
      </c>
      <c r="AP1397" s="1" t="s">
        <v>4164</v>
      </c>
      <c r="AQ1397" s="1" t="s">
        <v>9239</v>
      </c>
      <c r="AR1397" s="1" t="s">
        <v>9240</v>
      </c>
    </row>
    <row r="1398">
      <c r="A1398" s="2">
        <f ca="1">DATE(2004,09,10)</f>
        <v>0</v>
      </c>
      <c r="B1398" s="2">
        <f ca="1">DATE(2004,12,13)</f>
        <v>0</v>
      </c>
      <c r="C1398" s="1" t="s">
        <v>9241</v>
      </c>
      <c r="D1398" s="3">
        <v>2522</v>
      </c>
      <c r="E1398" s="1" t="s">
        <v>43</v>
      </c>
      <c r="F1398" s="1" t="s">
        <v>9242</v>
      </c>
      <c r="G1398" s="1" t="s">
        <v>6891</v>
      </c>
      <c r="H1398" s="4">
        <v>1.05</v>
      </c>
      <c r="I1398" s="4">
        <v>7</v>
      </c>
      <c r="J1398" s="5">
        <v>165.69999999999999</v>
      </c>
      <c r="K1398" s="4">
        <v>15</v>
      </c>
      <c r="L1398" s="1" t="s">
        <v>46</v>
      </c>
      <c r="M1398" s="1" t="s">
        <v>47</v>
      </c>
      <c r="N1398" s="3">
        <v>498904101</v>
      </c>
      <c r="O1398" s="1" t="s">
        <v>108</v>
      </c>
      <c r="P1398" s="1" t="s">
        <v>9243</v>
      </c>
      <c r="Q1398" s="1" t="s">
        <v>145</v>
      </c>
      <c r="R1398" s="1" t="s">
        <v>145</v>
      </c>
      <c r="S1398" s="8">
        <v>4.2000000000000002</v>
      </c>
      <c r="T1398" s="1" t="s">
        <v>50</v>
      </c>
      <c r="U1398" s="1"/>
      <c r="V1398" s="1"/>
      <c r="W1398" s="1"/>
      <c r="X1398" s="5">
        <v>230</v>
      </c>
      <c r="Y1398" s="1"/>
      <c r="Z1398" s="7">
        <v>11045348</v>
      </c>
      <c r="AA1398" s="1" t="s">
        <v>9244</v>
      </c>
      <c r="AB1398" s="1" t="s">
        <v>9245</v>
      </c>
      <c r="AC1398" s="1" t="s">
        <v>2068</v>
      </c>
      <c r="AD1398" s="1" t="s">
        <v>9246</v>
      </c>
      <c r="AE1398" s="1" t="s">
        <v>51</v>
      </c>
      <c r="AF1398" s="1" t="s">
        <v>51</v>
      </c>
      <c r="AG1398" s="1" t="s">
        <v>47</v>
      </c>
      <c r="AH1398" s="1"/>
      <c r="AI1398" s="1" t="s">
        <v>9247</v>
      </c>
      <c r="AJ1398" s="3">
        <v>2</v>
      </c>
      <c r="AK1398" s="1" t="s">
        <v>89</v>
      </c>
      <c r="AL1398" s="3">
        <v>5</v>
      </c>
      <c r="AM1398" s="8">
        <v>17.100000000000001</v>
      </c>
      <c r="AN1398" s="1"/>
      <c r="AO1398" s="1" t="s">
        <v>9248</v>
      </c>
      <c r="AP1398" s="1" t="s">
        <v>6894</v>
      </c>
      <c r="AQ1398" s="1" t="s">
        <v>9249</v>
      </c>
      <c r="AR1398" s="1" t="s">
        <v>9250</v>
      </c>
    </row>
    <row r="1399">
      <c r="A1399" s="2">
        <f ca="1">DATE(2004,09,15)</f>
        <v>0</v>
      </c>
      <c r="B1399" s="2">
        <f ca="1">DATE(2004,12,13)</f>
        <v>0</v>
      </c>
      <c r="C1399" s="1" t="s">
        <v>9251</v>
      </c>
      <c r="D1399" s="3">
        <v>3851</v>
      </c>
      <c r="E1399" s="1" t="s">
        <v>43</v>
      </c>
      <c r="F1399" s="1" t="s">
        <v>9252</v>
      </c>
      <c r="G1399" s="1" t="s">
        <v>1048</v>
      </c>
      <c r="H1399" s="4">
        <v>0.59099999999999997</v>
      </c>
      <c r="I1399" s="8">
        <v>6.75</v>
      </c>
      <c r="J1399" s="5">
        <v>30.5</v>
      </c>
      <c r="K1399" s="4">
        <v>8.75</v>
      </c>
      <c r="L1399" s="1" t="s">
        <v>46</v>
      </c>
      <c r="M1399" s="1" t="s">
        <v>47</v>
      </c>
      <c r="N1399" s="3">
        <v>685317109</v>
      </c>
      <c r="O1399" s="1" t="s">
        <v>48</v>
      </c>
      <c r="P1399" s="1" t="s">
        <v>9253</v>
      </c>
      <c r="Q1399" s="1" t="s">
        <v>145</v>
      </c>
      <c r="R1399" s="1" t="s">
        <v>145</v>
      </c>
      <c r="S1399" s="6">
        <v>3.37486</v>
      </c>
      <c r="T1399" s="1" t="s">
        <v>50</v>
      </c>
      <c r="U1399" s="1"/>
      <c r="V1399" s="1"/>
      <c r="W1399" s="1"/>
      <c r="X1399" s="5">
        <v>20.699999999999999</v>
      </c>
      <c r="Y1399" s="7">
        <v>2480000</v>
      </c>
      <c r="Z1399" s="7">
        <v>1000000</v>
      </c>
      <c r="AA1399" s="1" t="s">
        <v>9254</v>
      </c>
      <c r="AB1399" s="1" t="s">
        <v>9255</v>
      </c>
      <c r="AC1399" s="1" t="s">
        <v>7759</v>
      </c>
      <c r="AD1399" s="1" t="s">
        <v>9256</v>
      </c>
      <c r="AE1399" s="1" t="s">
        <v>51</v>
      </c>
      <c r="AF1399" s="1" t="s">
        <v>51</v>
      </c>
      <c r="AG1399" s="1" t="s">
        <v>51</v>
      </c>
      <c r="AH1399" s="1"/>
      <c r="AI1399" s="1"/>
      <c r="AJ1399" s="3">
        <v>1</v>
      </c>
      <c r="AK1399" s="1" t="s">
        <v>52</v>
      </c>
      <c r="AL1399" s="3">
        <v>2</v>
      </c>
      <c r="AM1399" s="8">
        <v>10</v>
      </c>
      <c r="AN1399" s="1"/>
      <c r="AO1399" s="1" t="s">
        <v>9257</v>
      </c>
      <c r="AP1399" s="1" t="s">
        <v>1048</v>
      </c>
      <c r="AQ1399" s="1" t="s">
        <v>9258</v>
      </c>
      <c r="AR1399" s="1" t="s">
        <v>9259</v>
      </c>
    </row>
    <row r="1400">
      <c r="A1400" s="2">
        <f ca="1">DATE(2004,04,13)</f>
        <v>0</v>
      </c>
      <c r="B1400" s="2">
        <f ca="1">DATE(2004,12,14)</f>
        <v>0</v>
      </c>
      <c r="C1400" s="1" t="s">
        <v>9260</v>
      </c>
      <c r="D1400" s="3">
        <v>3825</v>
      </c>
      <c r="E1400" s="1" t="s">
        <v>43</v>
      </c>
      <c r="F1400" s="1" t="s">
        <v>9261</v>
      </c>
      <c r="G1400" s="1" t="s">
        <v>813</v>
      </c>
      <c r="H1400" s="4">
        <v>0.97999999999999998</v>
      </c>
      <c r="I1400" s="8">
        <v>7</v>
      </c>
      <c r="J1400" s="5">
        <v>74.200000000000003</v>
      </c>
      <c r="K1400" s="4">
        <v>14</v>
      </c>
      <c r="L1400" s="1" t="s">
        <v>46</v>
      </c>
      <c r="M1400" s="1" t="s">
        <v>47</v>
      </c>
      <c r="N1400" s="3">
        <v>147322101</v>
      </c>
      <c r="O1400" s="1" t="s">
        <v>48</v>
      </c>
      <c r="P1400" s="1" t="s">
        <v>9262</v>
      </c>
      <c r="Q1400" s="4">
        <v>1.3999999999999999</v>
      </c>
      <c r="R1400" s="4">
        <v>1.3999999999999999</v>
      </c>
      <c r="S1400" s="8">
        <v>4.2000000000000002</v>
      </c>
      <c r="T1400" s="1" t="s">
        <v>50</v>
      </c>
      <c r="U1400" s="1"/>
      <c r="V1400" s="1"/>
      <c r="W1400" s="1"/>
      <c r="X1400" s="5">
        <v>85</v>
      </c>
      <c r="Y1400" s="7">
        <v>3300000</v>
      </c>
      <c r="Z1400" s="7">
        <v>2000000</v>
      </c>
      <c r="AA1400" s="1" t="s">
        <v>9263</v>
      </c>
      <c r="AB1400" s="1" t="s">
        <v>9264</v>
      </c>
      <c r="AC1400" s="1" t="s">
        <v>2068</v>
      </c>
      <c r="AD1400" s="1" t="s">
        <v>9265</v>
      </c>
      <c r="AE1400" s="1" t="s">
        <v>51</v>
      </c>
      <c r="AF1400" s="1" t="s">
        <v>51</v>
      </c>
      <c r="AG1400" s="1" t="s">
        <v>47</v>
      </c>
      <c r="AH1400" s="1"/>
      <c r="AI1400" s="1"/>
      <c r="AJ1400" s="3">
        <v>1</v>
      </c>
      <c r="AK1400" s="1" t="s">
        <v>89</v>
      </c>
      <c r="AL1400" s="3">
        <v>4</v>
      </c>
      <c r="AM1400" s="8">
        <v>13.75</v>
      </c>
      <c r="AN1400" s="1"/>
      <c r="AO1400" s="1" t="s">
        <v>9266</v>
      </c>
      <c r="AP1400" s="1" t="s">
        <v>4629</v>
      </c>
      <c r="AQ1400" s="1" t="s">
        <v>9267</v>
      </c>
      <c r="AR1400" s="1" t="s">
        <v>9268</v>
      </c>
    </row>
    <row r="1401">
      <c r="A1401" s="2">
        <f ca="1">DATE(2004,08,13)</f>
        <v>0</v>
      </c>
      <c r="B1401" s="2">
        <f ca="1">DATE(2004,12,14)</f>
        <v>0</v>
      </c>
      <c r="C1401" s="1" t="s">
        <v>9269</v>
      </c>
      <c r="D1401" s="3">
        <v>1531</v>
      </c>
      <c r="E1401" s="1" t="s">
        <v>43</v>
      </c>
      <c r="F1401" s="1" t="s">
        <v>9270</v>
      </c>
      <c r="G1401" s="1" t="s">
        <v>9271</v>
      </c>
      <c r="H1401" s="4">
        <v>1.1200000000000001</v>
      </c>
      <c r="I1401" s="4">
        <v>7</v>
      </c>
      <c r="J1401" s="5">
        <v>63.399999999999999</v>
      </c>
      <c r="K1401" s="4">
        <v>16</v>
      </c>
      <c r="L1401" s="1" t="s">
        <v>152</v>
      </c>
      <c r="M1401" s="1" t="s">
        <v>47</v>
      </c>
      <c r="N1401" s="3">
        <v>205684103</v>
      </c>
      <c r="O1401" s="1" t="s">
        <v>48</v>
      </c>
      <c r="P1401" s="1" t="s">
        <v>9272</v>
      </c>
      <c r="Q1401" s="4">
        <v>1.4379999999999999</v>
      </c>
      <c r="R1401" s="4">
        <v>1.4379999999999999</v>
      </c>
      <c r="S1401" s="10">
        <v>4.1875</v>
      </c>
      <c r="T1401" s="1" t="s">
        <v>50</v>
      </c>
      <c r="U1401" s="1"/>
      <c r="V1401" s="1"/>
      <c r="W1401" s="1"/>
      <c r="X1401" s="5">
        <v>75</v>
      </c>
      <c r="Y1401" s="7">
        <v>3960000</v>
      </c>
      <c r="Z1401" s="1"/>
      <c r="AA1401" s="1" t="s">
        <v>9273</v>
      </c>
      <c r="AB1401" s="1" t="s">
        <v>9274</v>
      </c>
      <c r="AC1401" s="1" t="s">
        <v>4379</v>
      </c>
      <c r="AD1401" s="1" t="s">
        <v>9275</v>
      </c>
      <c r="AE1401" s="1" t="s">
        <v>51</v>
      </c>
      <c r="AF1401" s="1" t="s">
        <v>51</v>
      </c>
      <c r="AG1401" s="1" t="s">
        <v>51</v>
      </c>
      <c r="AH1401" s="1"/>
      <c r="AI1401" s="1"/>
      <c r="AJ1401" s="3">
        <v>1</v>
      </c>
      <c r="AK1401" s="1" t="s">
        <v>52</v>
      </c>
      <c r="AL1401" s="3">
        <v>3</v>
      </c>
      <c r="AM1401" s="8">
        <v>16.75</v>
      </c>
      <c r="AN1401" s="1"/>
      <c r="AO1401" s="1" t="s">
        <v>9276</v>
      </c>
      <c r="AP1401" s="1" t="s">
        <v>9271</v>
      </c>
      <c r="AQ1401" s="1" t="s">
        <v>9277</v>
      </c>
      <c r="AR1401" s="1" t="s">
        <v>9278</v>
      </c>
    </row>
    <row r="1402">
      <c r="A1402" s="2">
        <f ca="1">DATE(2004,09,22)</f>
        <v>0</v>
      </c>
      <c r="B1402" s="2">
        <f ca="1">DATE(2004,12,14)</f>
        <v>0</v>
      </c>
      <c r="C1402" s="1" t="s">
        <v>9279</v>
      </c>
      <c r="D1402" s="3">
        <v>3841</v>
      </c>
      <c r="E1402" s="1" t="s">
        <v>43</v>
      </c>
      <c r="F1402" s="1" t="s">
        <v>9280</v>
      </c>
      <c r="G1402" s="1" t="s">
        <v>6201</v>
      </c>
      <c r="H1402" s="4">
        <v>0.91000000000000003</v>
      </c>
      <c r="I1402" s="4">
        <v>7</v>
      </c>
      <c r="J1402" s="5">
        <v>78</v>
      </c>
      <c r="K1402" s="4">
        <v>13</v>
      </c>
      <c r="L1402" s="1" t="s">
        <v>46</v>
      </c>
      <c r="M1402" s="1" t="s">
        <v>47</v>
      </c>
      <c r="N1402" s="3">
        <v>208264101</v>
      </c>
      <c r="O1402" s="1" t="s">
        <v>48</v>
      </c>
      <c r="P1402" s="1" t="s">
        <v>9281</v>
      </c>
      <c r="Q1402" s="4">
        <v>1.3999999999999999</v>
      </c>
      <c r="R1402" s="4">
        <v>1.3999999999999999</v>
      </c>
      <c r="S1402" s="8">
        <v>4.2000000000000002</v>
      </c>
      <c r="T1402" s="1" t="s">
        <v>50</v>
      </c>
      <c r="U1402" s="1"/>
      <c r="V1402" s="1"/>
      <c r="W1402" s="1"/>
      <c r="X1402" s="5">
        <v>70</v>
      </c>
      <c r="Y1402" s="7">
        <v>6000000</v>
      </c>
      <c r="Z1402" s="1"/>
      <c r="AA1402" s="1" t="s">
        <v>9282</v>
      </c>
      <c r="AB1402" s="1" t="s">
        <v>9283</v>
      </c>
      <c r="AC1402" s="1" t="s">
        <v>9284</v>
      </c>
      <c r="AD1402" s="1" t="s">
        <v>9285</v>
      </c>
      <c r="AE1402" s="1" t="s">
        <v>51</v>
      </c>
      <c r="AF1402" s="1" t="s">
        <v>51</v>
      </c>
      <c r="AG1402" s="1" t="s">
        <v>47</v>
      </c>
      <c r="AH1402" s="1"/>
      <c r="AI1402" s="1"/>
      <c r="AJ1402" s="3">
        <v>1</v>
      </c>
      <c r="AK1402" s="1" t="s">
        <v>52</v>
      </c>
      <c r="AL1402" s="3">
        <v>4</v>
      </c>
      <c r="AM1402" s="8">
        <v>12.9</v>
      </c>
      <c r="AN1402" s="1"/>
      <c r="AO1402" s="1" t="s">
        <v>9286</v>
      </c>
      <c r="AP1402" s="1" t="s">
        <v>6201</v>
      </c>
      <c r="AQ1402" s="1" t="s">
        <v>9287</v>
      </c>
      <c r="AR1402" s="1" t="s">
        <v>9281</v>
      </c>
    </row>
    <row r="1403">
      <c r="A1403" s="2">
        <f ca="1">DATE(2004,12,07)</f>
        <v>0</v>
      </c>
      <c r="B1403" s="2">
        <f ca="1">DATE(2004,12,14)</f>
        <v>0</v>
      </c>
      <c r="C1403" s="1" t="s">
        <v>9288</v>
      </c>
      <c r="D1403" s="3">
        <v>7011</v>
      </c>
      <c r="E1403" s="1" t="s">
        <v>43</v>
      </c>
      <c r="F1403" s="1" t="s">
        <v>9289</v>
      </c>
      <c r="G1403" s="1" t="s">
        <v>6201</v>
      </c>
      <c r="H1403" s="4">
        <v>1.19</v>
      </c>
      <c r="I1403" s="8">
        <v>7</v>
      </c>
      <c r="J1403" s="5">
        <v>238</v>
      </c>
      <c r="K1403" s="4">
        <v>17</v>
      </c>
      <c r="L1403" s="1" t="s">
        <v>46</v>
      </c>
      <c r="M1403" s="1" t="s">
        <v>47</v>
      </c>
      <c r="N1403" s="3">
        <v>391523107</v>
      </c>
      <c r="O1403" s="1" t="s">
        <v>48</v>
      </c>
      <c r="P1403" s="1" t="s">
        <v>9290</v>
      </c>
      <c r="Q1403" s="4">
        <v>1.353</v>
      </c>
      <c r="R1403" s="4">
        <v>1.3999999999999999</v>
      </c>
      <c r="S1403" s="8">
        <v>4.2000000000000002</v>
      </c>
      <c r="T1403" s="1" t="s">
        <v>50</v>
      </c>
      <c r="U1403" s="8">
        <v>17</v>
      </c>
      <c r="V1403" s="8">
        <v>15</v>
      </c>
      <c r="W1403" s="7">
        <v>13250000</v>
      </c>
      <c r="X1403" s="5">
        <v>212</v>
      </c>
      <c r="Y1403" s="7">
        <v>14000000</v>
      </c>
      <c r="Z1403" s="1"/>
      <c r="AA1403" s="2">
        <f ca="1">DATE(2005,06,12)</f>
        <v>0</v>
      </c>
      <c r="AB1403" s="4">
        <v>49.829000000000001</v>
      </c>
      <c r="AC1403" s="3">
        <v>180</v>
      </c>
      <c r="AD1403" s="8">
        <v>14032896</v>
      </c>
      <c r="AE1403" s="1" t="s">
        <v>51</v>
      </c>
      <c r="AF1403" s="1" t="s">
        <v>51</v>
      </c>
      <c r="AG1403" s="1" t="s">
        <v>51</v>
      </c>
      <c r="AH1403" s="1"/>
      <c r="AI1403" s="1"/>
      <c r="AJ1403" s="3">
        <v>1</v>
      </c>
      <c r="AK1403" s="1" t="s">
        <v>52</v>
      </c>
      <c r="AL1403" s="3">
        <v>6</v>
      </c>
      <c r="AM1403" s="8">
        <v>21</v>
      </c>
      <c r="AN1403" s="1"/>
      <c r="AO1403" s="1" t="s">
        <v>9291</v>
      </c>
      <c r="AP1403" s="1" t="s">
        <v>6201</v>
      </c>
      <c r="AQ1403" s="1" t="s">
        <v>9292</v>
      </c>
      <c r="AR1403" s="1" t="s">
        <v>9293</v>
      </c>
    </row>
    <row r="1404">
      <c r="A1404" s="2">
        <f ca="1">DATE(2004,09,03)</f>
        <v>0</v>
      </c>
      <c r="B1404" s="2">
        <f ca="1">DATE(2004,12,14)</f>
        <v>0</v>
      </c>
      <c r="C1404" s="1" t="s">
        <v>9294</v>
      </c>
      <c r="D1404" s="3">
        <v>7011</v>
      </c>
      <c r="E1404" s="1" t="s">
        <v>43</v>
      </c>
      <c r="F1404" s="1" t="s">
        <v>9295</v>
      </c>
      <c r="G1404" s="1" t="s">
        <v>160</v>
      </c>
      <c r="H1404" s="4">
        <v>1.8129999999999999</v>
      </c>
      <c r="I1404" s="4">
        <v>6.25</v>
      </c>
      <c r="J1404" s="5">
        <v>690.5</v>
      </c>
      <c r="K1404" s="4">
        <v>29</v>
      </c>
      <c r="L1404" s="1" t="s">
        <v>46</v>
      </c>
      <c r="M1404" s="1" t="s">
        <v>47</v>
      </c>
      <c r="N1404" s="3">
        <v>517834107</v>
      </c>
      <c r="O1404" s="1" t="s">
        <v>108</v>
      </c>
      <c r="P1404" s="1" t="s">
        <v>9296</v>
      </c>
      <c r="Q1404" s="4">
        <v>1.25</v>
      </c>
      <c r="R1404" s="4">
        <v>1.25</v>
      </c>
      <c r="S1404" s="8">
        <v>3.75</v>
      </c>
      <c r="T1404" s="1" t="s">
        <v>50</v>
      </c>
      <c r="U1404" s="1"/>
      <c r="V1404" s="1"/>
      <c r="W1404" s="1"/>
      <c r="X1404" s="5">
        <v>350</v>
      </c>
      <c r="Y1404" s="7">
        <v>23809524</v>
      </c>
      <c r="Z1404" s="1"/>
      <c r="AA1404" s="2">
        <f ca="1">DATE(2005,06,12)</f>
        <v>0</v>
      </c>
      <c r="AB1404" s="1" t="s">
        <v>9297</v>
      </c>
      <c r="AC1404" s="1" t="s">
        <v>7109</v>
      </c>
      <c r="AD1404" s="1" t="s">
        <v>9298</v>
      </c>
      <c r="AE1404" s="1" t="s">
        <v>51</v>
      </c>
      <c r="AF1404" s="1" t="s">
        <v>51</v>
      </c>
      <c r="AG1404" s="1" t="s">
        <v>51</v>
      </c>
      <c r="AH1404" s="1"/>
      <c r="AI1404" s="1"/>
      <c r="AJ1404" s="3">
        <v>1</v>
      </c>
      <c r="AK1404" s="1" t="s">
        <v>52</v>
      </c>
      <c r="AL1404" s="3">
        <v>7</v>
      </c>
      <c r="AM1404" s="8">
        <v>46.560000000000002</v>
      </c>
      <c r="AN1404" s="1"/>
      <c r="AO1404" s="1" t="s">
        <v>9299</v>
      </c>
      <c r="AP1404" s="1" t="s">
        <v>160</v>
      </c>
      <c r="AQ1404" s="1" t="s">
        <v>9300</v>
      </c>
      <c r="AR1404" s="1" t="s">
        <v>9301</v>
      </c>
    </row>
    <row r="1405">
      <c r="A1405" s="2">
        <f ca="1">DATE(2004,11,30)</f>
        <v>0</v>
      </c>
      <c r="B1405" s="2">
        <f ca="1">DATE(2004,12,14)</f>
        <v>0</v>
      </c>
      <c r="C1405" s="1" t="s">
        <v>9302</v>
      </c>
      <c r="D1405" s="3">
        <v>7372</v>
      </c>
      <c r="E1405" s="1" t="s">
        <v>744</v>
      </c>
      <c r="F1405" s="1" t="s">
        <v>9303</v>
      </c>
      <c r="G1405" s="1" t="s">
        <v>411</v>
      </c>
      <c r="H1405" s="4">
        <v>1.19</v>
      </c>
      <c r="I1405" s="8">
        <v>7</v>
      </c>
      <c r="J1405" s="5">
        <v>103.3</v>
      </c>
      <c r="K1405" s="4">
        <v>17</v>
      </c>
      <c r="L1405" s="1" t="s">
        <v>651</v>
      </c>
      <c r="M1405" s="1" t="s">
        <v>47</v>
      </c>
      <c r="N1405" s="1" t="s">
        <v>9304</v>
      </c>
      <c r="O1405" s="1" t="s">
        <v>48</v>
      </c>
      <c r="P1405" s="1" t="s">
        <v>9305</v>
      </c>
      <c r="Q1405" s="4">
        <v>1.4119999999999999</v>
      </c>
      <c r="R1405" s="4">
        <v>1.4119999999999999</v>
      </c>
      <c r="S1405" s="6">
        <v>4.1764700000000001</v>
      </c>
      <c r="T1405" s="1" t="s">
        <v>50</v>
      </c>
      <c r="U1405" s="8">
        <v>15</v>
      </c>
      <c r="V1405" s="8">
        <v>13</v>
      </c>
      <c r="W1405" s="7">
        <v>6250000</v>
      </c>
      <c r="X1405" s="5">
        <v>87.5</v>
      </c>
      <c r="Y1405" s="7">
        <v>5575000</v>
      </c>
      <c r="Z1405" s="7">
        <v>500000</v>
      </c>
      <c r="AA1405" s="1" t="s">
        <v>9306</v>
      </c>
      <c r="AB1405" s="1" t="s">
        <v>5265</v>
      </c>
      <c r="AC1405" s="1" t="s">
        <v>7759</v>
      </c>
      <c r="AD1405" s="1" t="s">
        <v>5265</v>
      </c>
      <c r="AE1405" s="1" t="s">
        <v>47</v>
      </c>
      <c r="AF1405" s="1" t="s">
        <v>51</v>
      </c>
      <c r="AG1405" s="1" t="s">
        <v>51</v>
      </c>
      <c r="AH1405" s="1"/>
      <c r="AI1405" s="1"/>
      <c r="AJ1405" s="3">
        <v>1</v>
      </c>
      <c r="AK1405" s="1" t="s">
        <v>52</v>
      </c>
      <c r="AL1405" s="3">
        <v>3</v>
      </c>
      <c r="AM1405" s="8">
        <v>21</v>
      </c>
      <c r="AN1405" s="1"/>
      <c r="AO1405" s="1" t="s">
        <v>9307</v>
      </c>
      <c r="AP1405" s="1" t="s">
        <v>411</v>
      </c>
      <c r="AQ1405" s="1" t="s">
        <v>9308</v>
      </c>
      <c r="AR1405" s="1" t="s">
        <v>9309</v>
      </c>
    </row>
    <row r="1406">
      <c r="A1406" s="2">
        <f ca="1">DATE(2004,12,13)</f>
        <v>0</v>
      </c>
      <c r="B1406" s="2">
        <f ca="1">DATE(2004,12,15)</f>
        <v>0</v>
      </c>
      <c r="C1406" s="1" t="s">
        <v>9310</v>
      </c>
      <c r="D1406" s="3">
        <v>6141</v>
      </c>
      <c r="E1406" s="1" t="s">
        <v>43</v>
      </c>
      <c r="F1406" s="1" t="s">
        <v>9311</v>
      </c>
      <c r="G1406" s="1" t="s">
        <v>796</v>
      </c>
      <c r="H1406" s="4">
        <v>1.05</v>
      </c>
      <c r="I1406" s="4">
        <v>7</v>
      </c>
      <c r="J1406" s="5">
        <v>322.5</v>
      </c>
      <c r="K1406" s="4">
        <v>15</v>
      </c>
      <c r="L1406" s="1" t="s">
        <v>46</v>
      </c>
      <c r="M1406" s="1" t="s">
        <v>47</v>
      </c>
      <c r="N1406" s="1" t="s">
        <v>9312</v>
      </c>
      <c r="O1406" s="1" t="s">
        <v>108</v>
      </c>
      <c r="P1406" s="1" t="s">
        <v>9313</v>
      </c>
      <c r="Q1406" s="4">
        <v>1.3999999999999999</v>
      </c>
      <c r="R1406" s="4">
        <v>1.3999999999999999</v>
      </c>
      <c r="S1406" s="8">
        <v>4.2000000000000002</v>
      </c>
      <c r="T1406" s="1" t="s">
        <v>50</v>
      </c>
      <c r="U1406" s="1"/>
      <c r="V1406" s="1"/>
      <c r="W1406" s="1"/>
      <c r="X1406" s="5">
        <v>345</v>
      </c>
      <c r="Y1406" s="7">
        <v>14333333</v>
      </c>
      <c r="Z1406" s="7">
        <v>7166667</v>
      </c>
      <c r="AA1406" s="1" t="s">
        <v>9314</v>
      </c>
      <c r="AB1406" s="1" t="s">
        <v>9315</v>
      </c>
      <c r="AC1406" s="1" t="s">
        <v>7759</v>
      </c>
      <c r="AD1406" s="1" t="s">
        <v>9316</v>
      </c>
      <c r="AE1406" s="1" t="s">
        <v>51</v>
      </c>
      <c r="AF1406" s="1" t="s">
        <v>51</v>
      </c>
      <c r="AG1406" s="1" t="s">
        <v>51</v>
      </c>
      <c r="AH1406" s="1"/>
      <c r="AI1406" s="1"/>
      <c r="AJ1406" s="3">
        <v>1</v>
      </c>
      <c r="AK1406" s="1" t="s">
        <v>110</v>
      </c>
      <c r="AL1406" s="3">
        <v>9</v>
      </c>
      <c r="AM1406" s="8">
        <v>20.5</v>
      </c>
      <c r="AN1406" s="1"/>
      <c r="AO1406" s="1" t="s">
        <v>9317</v>
      </c>
      <c r="AP1406" s="1" t="s">
        <v>9318</v>
      </c>
      <c r="AQ1406" s="1" t="s">
        <v>9319</v>
      </c>
      <c r="AR1406" s="1" t="s">
        <v>9320</v>
      </c>
    </row>
    <row r="1407">
      <c r="A1407" s="2">
        <f ca="1">DATE(2004,07,30)</f>
        <v>0</v>
      </c>
      <c r="B1407" s="2">
        <f ca="1">DATE(2004,12,15)</f>
        <v>0</v>
      </c>
      <c r="C1407" s="1" t="s">
        <v>9321</v>
      </c>
      <c r="D1407" s="3">
        <v>3671</v>
      </c>
      <c r="E1407" s="1" t="s">
        <v>1956</v>
      </c>
      <c r="F1407" s="1" t="s">
        <v>9322</v>
      </c>
      <c r="G1407" s="1" t="s">
        <v>75</v>
      </c>
      <c r="H1407" s="4">
        <v>0.83999999999999997</v>
      </c>
      <c r="I1407" s="8">
        <v>7</v>
      </c>
      <c r="J1407" s="5">
        <v>30</v>
      </c>
      <c r="K1407" s="4">
        <v>12</v>
      </c>
      <c r="L1407" s="1" t="s">
        <v>46</v>
      </c>
      <c r="M1407" s="1" t="s">
        <v>47</v>
      </c>
      <c r="N1407" s="3">
        <v>132193103</v>
      </c>
      <c r="O1407" s="1" t="s">
        <v>48</v>
      </c>
      <c r="P1407" s="1" t="s">
        <v>9323</v>
      </c>
      <c r="Q1407" s="4">
        <v>1.417</v>
      </c>
      <c r="R1407" s="4">
        <v>1.417</v>
      </c>
      <c r="S1407" s="6">
        <v>4.1666699999999999</v>
      </c>
      <c r="T1407" s="1" t="s">
        <v>50</v>
      </c>
      <c r="U1407" s="1"/>
      <c r="V1407" s="8">
        <v>4</v>
      </c>
      <c r="W1407" s="1"/>
      <c r="X1407" s="5">
        <v>40.299999999999997</v>
      </c>
      <c r="Y1407" s="7">
        <v>2500000</v>
      </c>
      <c r="Z1407" s="1"/>
      <c r="AA1407" s="2">
        <f ca="1">DATE(2005,09,11)</f>
        <v>0</v>
      </c>
      <c r="AB1407" s="4">
        <v>78.872</v>
      </c>
      <c r="AC1407" s="3">
        <v>270</v>
      </c>
      <c r="AD1407" s="8">
        <v>15380114</v>
      </c>
      <c r="AE1407" s="1" t="s">
        <v>51</v>
      </c>
      <c r="AF1407" s="1" t="s">
        <v>51</v>
      </c>
      <c r="AG1407" s="1" t="s">
        <v>51</v>
      </c>
      <c r="AH1407" s="1"/>
      <c r="AI1407" s="1"/>
      <c r="AJ1407" s="3">
        <v>1</v>
      </c>
      <c r="AK1407" s="1" t="s">
        <v>52</v>
      </c>
      <c r="AL1407" s="3">
        <v>3</v>
      </c>
      <c r="AM1407" s="8">
        <v>11.27</v>
      </c>
      <c r="AN1407" s="1"/>
      <c r="AO1407" s="1" t="s">
        <v>9324</v>
      </c>
      <c r="AP1407" s="1" t="s">
        <v>75</v>
      </c>
      <c r="AQ1407" s="1" t="s">
        <v>9325</v>
      </c>
      <c r="AR1407" s="1" t="s">
        <v>9326</v>
      </c>
    </row>
    <row r="1408">
      <c r="A1408" s="2">
        <f ca="1">DATE(2004,08,13)</f>
        <v>0</v>
      </c>
      <c r="B1408" s="2">
        <f ca="1">DATE(2004,12,15)</f>
        <v>0</v>
      </c>
      <c r="C1408" s="1" t="s">
        <v>9327</v>
      </c>
      <c r="D1408" s="3">
        <v>6552</v>
      </c>
      <c r="E1408" s="1" t="s">
        <v>43</v>
      </c>
      <c r="F1408" s="1" t="s">
        <v>9328</v>
      </c>
      <c r="G1408" s="1" t="s">
        <v>84</v>
      </c>
      <c r="H1408" s="4">
        <v>0.91000000000000003</v>
      </c>
      <c r="I1408" s="4">
        <v>7</v>
      </c>
      <c r="J1408" s="5">
        <v>138.69999999999999</v>
      </c>
      <c r="K1408" s="4">
        <v>13</v>
      </c>
      <c r="L1408" s="1" t="s">
        <v>46</v>
      </c>
      <c r="M1408" s="1" t="s">
        <v>47</v>
      </c>
      <c r="N1408" s="3">
        <v>314308107</v>
      </c>
      <c r="O1408" s="1" t="s">
        <v>108</v>
      </c>
      <c r="P1408" s="1" t="s">
        <v>9329</v>
      </c>
      <c r="Q1408" s="1" t="s">
        <v>145</v>
      </c>
      <c r="R1408" s="1" t="s">
        <v>145</v>
      </c>
      <c r="S1408" s="6">
        <v>4.2307699999999997</v>
      </c>
      <c r="T1408" s="1" t="s">
        <v>50</v>
      </c>
      <c r="U1408" s="1"/>
      <c r="V1408" s="1"/>
      <c r="W1408" s="1"/>
      <c r="X1408" s="5">
        <v>184</v>
      </c>
      <c r="Y1408" s="7">
        <v>10666667</v>
      </c>
      <c r="Z1408" s="1"/>
      <c r="AA1408" s="2">
        <f ca="1">DATE(2005,06,13)</f>
        <v>0</v>
      </c>
      <c r="AB1408" s="4">
        <v>2.0070000000000001</v>
      </c>
      <c r="AC1408" s="3">
        <v>180</v>
      </c>
      <c r="AD1408" s="8">
        <v>251213</v>
      </c>
      <c r="AE1408" s="1" t="s">
        <v>51</v>
      </c>
      <c r="AF1408" s="1" t="s">
        <v>51</v>
      </c>
      <c r="AG1408" s="1" t="s">
        <v>51</v>
      </c>
      <c r="AH1408" s="1"/>
      <c r="AI1408" s="1"/>
      <c r="AJ1408" s="3">
        <v>1</v>
      </c>
      <c r="AK1408" s="1" t="s">
        <v>52</v>
      </c>
      <c r="AL1408" s="3">
        <v>3</v>
      </c>
      <c r="AM1408" s="8">
        <v>12.85</v>
      </c>
      <c r="AN1408" s="1"/>
      <c r="AO1408" s="1" t="s">
        <v>9330</v>
      </c>
      <c r="AP1408" s="1" t="s">
        <v>84</v>
      </c>
      <c r="AQ1408" s="1" t="s">
        <v>9331</v>
      </c>
      <c r="AR1408" s="1" t="s">
        <v>9332</v>
      </c>
    </row>
    <row r="1409">
      <c r="A1409" s="2">
        <f ca="1">DATE(2004,06,15)</f>
        <v>0</v>
      </c>
      <c r="B1409" s="2">
        <f ca="1">DATE(2004,12,15)</f>
        <v>0</v>
      </c>
      <c r="C1409" s="1" t="s">
        <v>9333</v>
      </c>
      <c r="D1409" s="3">
        <v>5074</v>
      </c>
      <c r="E1409" s="1" t="s">
        <v>43</v>
      </c>
      <c r="F1409" s="1" t="s">
        <v>9334</v>
      </c>
      <c r="G1409" s="1" t="s">
        <v>5123</v>
      </c>
      <c r="H1409" s="4">
        <v>1.0309999999999999</v>
      </c>
      <c r="I1409" s="4">
        <v>6.875</v>
      </c>
      <c r="J1409" s="5">
        <v>187.5</v>
      </c>
      <c r="K1409" s="4">
        <v>15</v>
      </c>
      <c r="L1409" s="1" t="s">
        <v>46</v>
      </c>
      <c r="M1409" s="1" t="s">
        <v>47</v>
      </c>
      <c r="N1409" s="3">
        <v>458743101</v>
      </c>
      <c r="O1409" s="1" t="s">
        <v>108</v>
      </c>
      <c r="P1409" s="1" t="s">
        <v>9335</v>
      </c>
      <c r="Q1409" s="4">
        <v>1.375</v>
      </c>
      <c r="R1409" s="4">
        <v>1.375</v>
      </c>
      <c r="S1409" s="6">
        <v>4.1253299999999999</v>
      </c>
      <c r="T1409" s="1" t="s">
        <v>50</v>
      </c>
      <c r="U1409" s="1"/>
      <c r="V1409" s="1"/>
      <c r="W1409" s="1"/>
      <c r="X1409" s="5">
        <v>230</v>
      </c>
      <c r="Y1409" s="7">
        <v>12500000</v>
      </c>
      <c r="Z1409" s="1"/>
      <c r="AA1409" s="2">
        <f ca="1">DATE(2005,06,13)</f>
        <v>0</v>
      </c>
      <c r="AB1409" s="4">
        <v>57.249000000000002</v>
      </c>
      <c r="AC1409" s="3">
        <v>180</v>
      </c>
      <c r="AD1409" s="8">
        <v>19250000</v>
      </c>
      <c r="AE1409" s="1" t="s">
        <v>51</v>
      </c>
      <c r="AF1409" s="1" t="s">
        <v>51</v>
      </c>
      <c r="AG1409" s="1" t="s">
        <v>51</v>
      </c>
      <c r="AH1409" s="1"/>
      <c r="AI1409" s="1"/>
      <c r="AJ1409" s="3">
        <v>2</v>
      </c>
      <c r="AK1409" s="1" t="s">
        <v>89</v>
      </c>
      <c r="AL1409" s="3">
        <v>6</v>
      </c>
      <c r="AM1409" s="8">
        <v>17.300000000000001</v>
      </c>
      <c r="AN1409" s="1"/>
      <c r="AO1409" s="1" t="s">
        <v>9336</v>
      </c>
      <c r="AP1409" s="1" t="s">
        <v>5126</v>
      </c>
      <c r="AQ1409" s="1" t="s">
        <v>9337</v>
      </c>
      <c r="AR1409" s="1" t="s">
        <v>9338</v>
      </c>
    </row>
    <row r="1410">
      <c r="A1410" s="2">
        <f ca="1">DATE(2004,08,03)</f>
        <v>0</v>
      </c>
      <c r="B1410" s="2">
        <f ca="1">DATE(2004,12,15)</f>
        <v>0</v>
      </c>
      <c r="C1410" s="1" t="s">
        <v>9339</v>
      </c>
      <c r="D1410" s="3">
        <v>6311</v>
      </c>
      <c r="E1410" s="1" t="s">
        <v>43</v>
      </c>
      <c r="F1410" s="1" t="s">
        <v>9340</v>
      </c>
      <c r="G1410" s="1" t="s">
        <v>84</v>
      </c>
      <c r="H1410" s="4">
        <v>0.66500000000000004</v>
      </c>
      <c r="I1410" s="4">
        <v>7</v>
      </c>
      <c r="J1410" s="5">
        <v>179.59999999999999</v>
      </c>
      <c r="K1410" s="4">
        <v>9.5</v>
      </c>
      <c r="L1410" s="1" t="s">
        <v>46</v>
      </c>
      <c r="M1410" s="1" t="s">
        <v>47</v>
      </c>
      <c r="N1410" s="3">
        <v>482563103</v>
      </c>
      <c r="O1410" s="1" t="s">
        <v>108</v>
      </c>
      <c r="P1410" s="1" t="s">
        <v>9341</v>
      </c>
      <c r="Q1410" s="4">
        <v>1.3680000000000001</v>
      </c>
      <c r="R1410" s="4">
        <v>1.421</v>
      </c>
      <c r="S1410" s="6">
        <v>4.2105300000000003</v>
      </c>
      <c r="T1410" s="1" t="s">
        <v>50</v>
      </c>
      <c r="U1410" s="1"/>
      <c r="V1410" s="1"/>
      <c r="W1410" s="1"/>
      <c r="X1410" s="5">
        <v>253</v>
      </c>
      <c r="Y1410" s="7">
        <v>18900000</v>
      </c>
      <c r="Z1410" s="1"/>
      <c r="AA1410" s="2">
        <f ca="1">DATE(2005,06,13)</f>
        <v>0</v>
      </c>
      <c r="AB1410" s="1"/>
      <c r="AC1410" s="3">
        <v>180</v>
      </c>
      <c r="AD1410" s="1"/>
      <c r="AE1410" s="1" t="s">
        <v>51</v>
      </c>
      <c r="AF1410" s="1" t="s">
        <v>51</v>
      </c>
      <c r="AG1410" s="1" t="s">
        <v>51</v>
      </c>
      <c r="AH1410" s="1"/>
      <c r="AI1410" s="1"/>
      <c r="AJ1410" s="3">
        <v>1</v>
      </c>
      <c r="AK1410" s="1" t="s">
        <v>52</v>
      </c>
      <c r="AL1410" s="3">
        <v>3</v>
      </c>
      <c r="AM1410" s="8">
        <v>10.800000000000001</v>
      </c>
      <c r="AN1410" s="1"/>
      <c r="AO1410" s="1" t="s">
        <v>9342</v>
      </c>
      <c r="AP1410" s="1" t="s">
        <v>84</v>
      </c>
      <c r="AQ1410" s="1" t="s">
        <v>9343</v>
      </c>
      <c r="AR1410" s="1" t="s">
        <v>9344</v>
      </c>
    </row>
    <row r="1411">
      <c r="A1411" s="2">
        <f ca="1">DATE(2004,08,24)</f>
        <v>0</v>
      </c>
      <c r="B1411" s="2">
        <f ca="1">DATE(2004,12,15)</f>
        <v>0</v>
      </c>
      <c r="C1411" s="1" t="s">
        <v>9345</v>
      </c>
      <c r="D1411" s="3">
        <v>4581</v>
      </c>
      <c r="E1411" s="1" t="s">
        <v>43</v>
      </c>
      <c r="F1411" s="1" t="s">
        <v>9346</v>
      </c>
      <c r="G1411" s="1" t="s">
        <v>7196</v>
      </c>
      <c r="H1411" s="4">
        <v>1.5629999999999999</v>
      </c>
      <c r="I1411" s="4">
        <v>6.2519999999999998</v>
      </c>
      <c r="J1411" s="5">
        <v>535</v>
      </c>
      <c r="K1411" s="4">
        <v>25</v>
      </c>
      <c r="L1411" s="1" t="s">
        <v>4422</v>
      </c>
      <c r="M1411" s="1" t="s">
        <v>47</v>
      </c>
      <c r="N1411" s="1" t="s">
        <v>9347</v>
      </c>
      <c r="O1411" s="1" t="s">
        <v>108</v>
      </c>
      <c r="P1411" s="1" t="s">
        <v>9348</v>
      </c>
      <c r="Q1411" s="4">
        <v>1.5</v>
      </c>
      <c r="R1411" s="4">
        <v>1</v>
      </c>
      <c r="S1411" s="4">
        <v>3.7519999999999998</v>
      </c>
      <c r="T1411" s="1" t="s">
        <v>50</v>
      </c>
      <c r="U1411" s="1"/>
      <c r="V1411" s="1"/>
      <c r="W1411" s="1"/>
      <c r="X1411" s="5">
        <v>540</v>
      </c>
      <c r="Y1411" s="7">
        <v>21400000</v>
      </c>
      <c r="Z1411" s="1"/>
      <c r="AA1411" s="2">
        <f ca="1">DATE(2005,06,13)</f>
        <v>0</v>
      </c>
      <c r="AB1411" s="4">
        <v>7.516</v>
      </c>
      <c r="AC1411" s="3">
        <v>180</v>
      </c>
      <c r="AD1411" s="8">
        <v>2000100</v>
      </c>
      <c r="AE1411" s="1" t="s">
        <v>51</v>
      </c>
      <c r="AF1411" s="1" t="s">
        <v>51</v>
      </c>
      <c r="AG1411" s="1" t="s">
        <v>51</v>
      </c>
      <c r="AH1411" s="1"/>
      <c r="AI1411" s="1"/>
      <c r="AJ1411" s="3">
        <v>2</v>
      </c>
      <c r="AK1411" s="1" t="s">
        <v>89</v>
      </c>
      <c r="AL1411" s="3">
        <v>7</v>
      </c>
      <c r="AM1411" s="8">
        <v>27.800000000000001</v>
      </c>
      <c r="AN1411" s="1"/>
      <c r="AO1411" s="1" t="s">
        <v>9349</v>
      </c>
      <c r="AP1411" s="1" t="s">
        <v>7200</v>
      </c>
      <c r="AQ1411" s="1" t="s">
        <v>9350</v>
      </c>
      <c r="AR1411" s="1" t="s">
        <v>9351</v>
      </c>
    </row>
    <row r="1412">
      <c r="A1412" s="2">
        <f ca="1">DATE(2004,12,13)</f>
        <v>0</v>
      </c>
      <c r="B1412" s="2">
        <f ca="1">DATE(2004,12,15)</f>
        <v>0</v>
      </c>
      <c r="C1412" s="1" t="s">
        <v>9352</v>
      </c>
      <c r="D1412" s="3">
        <v>6798</v>
      </c>
      <c r="E1412" s="1" t="s">
        <v>43</v>
      </c>
      <c r="F1412" s="1" t="s">
        <v>9353</v>
      </c>
      <c r="G1412" s="1" t="s">
        <v>9354</v>
      </c>
      <c r="H1412" s="4">
        <v>0.77000000000000002</v>
      </c>
      <c r="I1412" s="4">
        <v>7</v>
      </c>
      <c r="J1412" s="5">
        <v>287</v>
      </c>
      <c r="K1412" s="4">
        <v>11</v>
      </c>
      <c r="L1412" s="1" t="s">
        <v>46</v>
      </c>
      <c r="M1412" s="1" t="s">
        <v>47</v>
      </c>
      <c r="N1412" s="3">
        <v>848568309</v>
      </c>
      <c r="O1412" s="1" t="s">
        <v>108</v>
      </c>
      <c r="P1412" s="1" t="s">
        <v>9355</v>
      </c>
      <c r="Q1412" s="1" t="s">
        <v>145</v>
      </c>
      <c r="R1412" s="1" t="s">
        <v>145</v>
      </c>
      <c r="S1412" s="1"/>
      <c r="T1412" s="1" t="s">
        <v>50</v>
      </c>
      <c r="U1412" s="1"/>
      <c r="V1412" s="1"/>
      <c r="W1412" s="1"/>
      <c r="X1412" s="5">
        <v>300</v>
      </c>
      <c r="Y1412" s="7">
        <v>26086957</v>
      </c>
      <c r="Z1412" s="1"/>
      <c r="AA1412" s="2">
        <f ca="1">DATE(2005,06,13)</f>
        <v>0</v>
      </c>
      <c r="AB1412" s="1"/>
      <c r="AC1412" s="3">
        <v>180</v>
      </c>
      <c r="AD1412" s="1"/>
      <c r="AE1412" s="1" t="s">
        <v>51</v>
      </c>
      <c r="AF1412" s="1" t="s">
        <v>51</v>
      </c>
      <c r="AG1412" s="1" t="s">
        <v>51</v>
      </c>
      <c r="AH1412" s="1"/>
      <c r="AI1412" s="1"/>
      <c r="AJ1412" s="3">
        <v>2</v>
      </c>
      <c r="AK1412" s="1" t="s">
        <v>110</v>
      </c>
      <c r="AL1412" s="3">
        <v>8</v>
      </c>
      <c r="AM1412" s="8">
        <v>12.4</v>
      </c>
      <c r="AN1412" s="1"/>
      <c r="AO1412" s="1" t="s">
        <v>9356</v>
      </c>
      <c r="AP1412" s="1" t="s">
        <v>9357</v>
      </c>
      <c r="AQ1412" s="1" t="s">
        <v>9358</v>
      </c>
      <c r="AR1412" s="1" t="s">
        <v>9359</v>
      </c>
    </row>
    <row r="1413">
      <c r="A1413" s="2">
        <f ca="1">DATE(2004,10,01)</f>
        <v>0</v>
      </c>
      <c r="B1413" s="2">
        <f ca="1">DATE(2004,12,15)</f>
        <v>0</v>
      </c>
      <c r="C1413" s="1" t="s">
        <v>9360</v>
      </c>
      <c r="D1413" s="3">
        <v>5122</v>
      </c>
      <c r="E1413" s="1" t="s">
        <v>43</v>
      </c>
      <c r="F1413" s="1" t="s">
        <v>9361</v>
      </c>
      <c r="G1413" s="1" t="s">
        <v>4823</v>
      </c>
      <c r="H1413" s="4">
        <v>0.97999999999999998</v>
      </c>
      <c r="I1413" s="8">
        <v>7</v>
      </c>
      <c r="J1413" s="5">
        <v>203</v>
      </c>
      <c r="K1413" s="4">
        <v>14</v>
      </c>
      <c r="L1413" s="1" t="s">
        <v>46</v>
      </c>
      <c r="M1413" s="1" t="s">
        <v>47</v>
      </c>
      <c r="N1413" s="1" t="s">
        <v>9362</v>
      </c>
      <c r="O1413" s="1" t="s">
        <v>108</v>
      </c>
      <c r="P1413" s="1" t="s">
        <v>9363</v>
      </c>
      <c r="Q1413" s="4">
        <v>1.4290000000000001</v>
      </c>
      <c r="R1413" s="4">
        <v>1.4290000000000001</v>
      </c>
      <c r="S1413" s="6">
        <v>4.1428599999999998</v>
      </c>
      <c r="T1413" s="1" t="s">
        <v>50</v>
      </c>
      <c r="U1413" s="1"/>
      <c r="V1413" s="1"/>
      <c r="W1413" s="1"/>
      <c r="X1413" s="5">
        <v>345</v>
      </c>
      <c r="Y1413" s="7">
        <v>13500000</v>
      </c>
      <c r="Z1413" s="7">
        <v>1000000</v>
      </c>
      <c r="AA1413" s="1" t="s">
        <v>9314</v>
      </c>
      <c r="AB1413" s="1" t="s">
        <v>9364</v>
      </c>
      <c r="AC1413" s="1" t="s">
        <v>7759</v>
      </c>
      <c r="AD1413" s="1" t="s">
        <v>9365</v>
      </c>
      <c r="AE1413" s="1" t="s">
        <v>51</v>
      </c>
      <c r="AF1413" s="1" t="s">
        <v>51</v>
      </c>
      <c r="AG1413" s="1" t="s">
        <v>51</v>
      </c>
      <c r="AH1413" s="1"/>
      <c r="AI1413" s="1"/>
      <c r="AJ1413" s="3">
        <v>2</v>
      </c>
      <c r="AK1413" s="1" t="s">
        <v>89</v>
      </c>
      <c r="AL1413" s="3">
        <v>5</v>
      </c>
      <c r="AM1413" s="8">
        <v>14.720000000000001</v>
      </c>
      <c r="AN1413" s="1"/>
      <c r="AO1413" s="1" t="s">
        <v>9366</v>
      </c>
      <c r="AP1413" s="1" t="s">
        <v>4826</v>
      </c>
      <c r="AQ1413" s="1" t="s">
        <v>9367</v>
      </c>
      <c r="AR1413" s="1" t="s">
        <v>9368</v>
      </c>
    </row>
    <row r="1414">
      <c r="A1414" s="2">
        <f ca="1">DATE(2004,08,25)</f>
        <v>0</v>
      </c>
      <c r="B1414" s="2">
        <f ca="1">DATE(2004,12,16)</f>
        <v>0</v>
      </c>
      <c r="C1414" s="1" t="s">
        <v>9369</v>
      </c>
      <c r="D1414" s="3">
        <v>4813</v>
      </c>
      <c r="E1414" s="1" t="s">
        <v>43</v>
      </c>
      <c r="F1414" s="1" t="s">
        <v>9370</v>
      </c>
      <c r="G1414" s="1" t="s">
        <v>45</v>
      </c>
      <c r="H1414" s="4">
        <v>1.2250000000000001</v>
      </c>
      <c r="I1414" s="4">
        <v>7</v>
      </c>
      <c r="J1414" s="5">
        <v>114.40000000000001</v>
      </c>
      <c r="K1414" s="4">
        <v>17.5</v>
      </c>
      <c r="L1414" s="1" t="s">
        <v>46</v>
      </c>
      <c r="M1414" s="1" t="s">
        <v>47</v>
      </c>
      <c r="N1414" s="1" t="s">
        <v>9371</v>
      </c>
      <c r="O1414" s="1" t="s">
        <v>48</v>
      </c>
      <c r="P1414" s="1" t="s">
        <v>9372</v>
      </c>
      <c r="Q1414" s="4">
        <v>1.4290000000000001</v>
      </c>
      <c r="R1414" s="4">
        <v>1.3999999999999999</v>
      </c>
      <c r="S1414" s="6">
        <v>4.17143</v>
      </c>
      <c r="T1414" s="1" t="s">
        <v>50</v>
      </c>
      <c r="U1414" s="1"/>
      <c r="V1414" s="1"/>
      <c r="W1414" s="1"/>
      <c r="X1414" s="5">
        <v>115</v>
      </c>
      <c r="Y1414" s="7">
        <v>4233849</v>
      </c>
      <c r="Z1414" s="7">
        <v>2301556</v>
      </c>
      <c r="AA1414" s="2">
        <f ca="1">DATE(2005,06,14)</f>
        <v>0</v>
      </c>
      <c r="AB1414" s="1" t="s">
        <v>9373</v>
      </c>
      <c r="AC1414" s="1" t="s">
        <v>8799</v>
      </c>
      <c r="AD1414" s="1" t="s">
        <v>9374</v>
      </c>
      <c r="AE1414" s="1" t="s">
        <v>51</v>
      </c>
      <c r="AF1414" s="1" t="s">
        <v>51</v>
      </c>
      <c r="AG1414" s="1" t="s">
        <v>47</v>
      </c>
      <c r="AH1414" s="1"/>
      <c r="AI1414" s="1"/>
      <c r="AJ1414" s="3">
        <v>1</v>
      </c>
      <c r="AK1414" s="1" t="s">
        <v>89</v>
      </c>
      <c r="AL1414" s="3">
        <v>5</v>
      </c>
      <c r="AM1414" s="8">
        <v>29</v>
      </c>
      <c r="AN1414" s="1"/>
      <c r="AO1414" s="1" t="s">
        <v>9375</v>
      </c>
      <c r="AP1414" s="1" t="s">
        <v>3428</v>
      </c>
      <c r="AQ1414" s="1" t="s">
        <v>9376</v>
      </c>
      <c r="AR1414" s="1" t="s">
        <v>9377</v>
      </c>
    </row>
    <row r="1415">
      <c r="A1415" s="2">
        <f ca="1">DATE(2004,09,09)</f>
        <v>0</v>
      </c>
      <c r="B1415" s="2">
        <f ca="1">DATE(2004,12,16)</f>
        <v>0</v>
      </c>
      <c r="C1415" s="1" t="s">
        <v>9378</v>
      </c>
      <c r="D1415" s="3">
        <v>6798</v>
      </c>
      <c r="E1415" s="1" t="s">
        <v>43</v>
      </c>
      <c r="F1415" s="1" t="s">
        <v>9379</v>
      </c>
      <c r="G1415" s="1" t="s">
        <v>9271</v>
      </c>
      <c r="H1415" s="4">
        <v>0.59999999999999998</v>
      </c>
      <c r="I1415" s="4">
        <v>6</v>
      </c>
      <c r="J1415" s="5">
        <v>60</v>
      </c>
      <c r="K1415" s="4">
        <v>10</v>
      </c>
      <c r="L1415" s="1" t="s">
        <v>46</v>
      </c>
      <c r="M1415" s="1" t="s">
        <v>47</v>
      </c>
      <c r="N1415" s="1" t="s">
        <v>9380</v>
      </c>
      <c r="O1415" s="1" t="s">
        <v>3689</v>
      </c>
      <c r="P1415" s="1" t="s">
        <v>9381</v>
      </c>
      <c r="Q1415" s="1" t="s">
        <v>145</v>
      </c>
      <c r="R1415" s="1" t="s">
        <v>145</v>
      </c>
      <c r="S1415" s="8">
        <v>3.6000000000000001</v>
      </c>
      <c r="T1415" s="1" t="s">
        <v>50</v>
      </c>
      <c r="U1415" s="8">
        <v>11</v>
      </c>
      <c r="V1415" s="8">
        <v>9</v>
      </c>
      <c r="W1415" s="7">
        <v>6000000</v>
      </c>
      <c r="X1415" s="5">
        <v>60</v>
      </c>
      <c r="Y1415" s="7">
        <v>6000000</v>
      </c>
      <c r="Z1415" s="1"/>
      <c r="AA1415" s="2">
        <f ca="1">DATE(2005,06,14)</f>
        <v>0</v>
      </c>
      <c r="AB1415" s="1"/>
      <c r="AC1415" s="3">
        <v>180</v>
      </c>
      <c r="AD1415" s="1"/>
      <c r="AE1415" s="1" t="s">
        <v>51</v>
      </c>
      <c r="AF1415" s="1" t="s">
        <v>51</v>
      </c>
      <c r="AG1415" s="1" t="s">
        <v>51</v>
      </c>
      <c r="AH1415" s="1"/>
      <c r="AI1415" s="1"/>
      <c r="AJ1415" s="3">
        <v>1</v>
      </c>
      <c r="AK1415" s="1" t="s">
        <v>52</v>
      </c>
      <c r="AL1415" s="3">
        <v>4</v>
      </c>
      <c r="AM1415" s="8">
        <v>10</v>
      </c>
      <c r="AN1415" s="1"/>
      <c r="AO1415" s="1" t="s">
        <v>9382</v>
      </c>
      <c r="AP1415" s="1" t="s">
        <v>9271</v>
      </c>
      <c r="AQ1415" s="1" t="s">
        <v>9383</v>
      </c>
      <c r="AR1415" s="1" t="s">
        <v>9384</v>
      </c>
    </row>
    <row r="1416">
      <c r="A1416" s="2">
        <f ca="1">DATE(2004,05,10)</f>
        <v>0</v>
      </c>
      <c r="B1416" s="2">
        <f ca="1">DATE(2004,12,16)</f>
        <v>0</v>
      </c>
      <c r="C1416" s="1" t="s">
        <v>9385</v>
      </c>
      <c r="D1416" s="3">
        <v>4812</v>
      </c>
      <c r="E1416" s="1" t="s">
        <v>43</v>
      </c>
      <c r="F1416" s="1" t="s">
        <v>9386</v>
      </c>
      <c r="G1416" s="1" t="s">
        <v>9387</v>
      </c>
      <c r="H1416" s="4">
        <v>0.91200000000000003</v>
      </c>
      <c r="I1416" s="4">
        <v>6</v>
      </c>
      <c r="J1416" s="5">
        <v>131.59999999999999</v>
      </c>
      <c r="K1416" s="8">
        <v>15.199999999999999</v>
      </c>
      <c r="L1416" s="1" t="s">
        <v>6830</v>
      </c>
      <c r="M1416" s="1" t="s">
        <v>47</v>
      </c>
      <c r="N1416" s="3">
        <v>688823202</v>
      </c>
      <c r="O1416" s="1" t="s">
        <v>3171</v>
      </c>
      <c r="P1416" s="1" t="s">
        <v>9388</v>
      </c>
      <c r="Q1416" s="4">
        <v>1.1839999999999999</v>
      </c>
      <c r="R1416" s="4">
        <v>1.2629999999999999</v>
      </c>
      <c r="S1416" s="6">
        <v>3.5526300000000002</v>
      </c>
      <c r="T1416" s="1" t="s">
        <v>60</v>
      </c>
      <c r="U1416" s="1"/>
      <c r="V1416" s="1"/>
      <c r="W1416" s="1"/>
      <c r="X1416" s="5">
        <v>190</v>
      </c>
      <c r="Y1416" s="7">
        <v>830776</v>
      </c>
      <c r="Z1416" s="7">
        <v>7828224</v>
      </c>
      <c r="AA1416" s="1"/>
      <c r="AB1416" s="1" t="s">
        <v>2067</v>
      </c>
      <c r="AC1416" s="1" t="s">
        <v>2068</v>
      </c>
      <c r="AD1416" s="1" t="s">
        <v>2067</v>
      </c>
      <c r="AE1416" s="1" t="s">
        <v>51</v>
      </c>
      <c r="AF1416" s="1" t="s">
        <v>51</v>
      </c>
      <c r="AG1416" s="1" t="s">
        <v>51</v>
      </c>
      <c r="AH1416" s="1"/>
      <c r="AI1416" s="1"/>
      <c r="AJ1416" s="3">
        <v>3</v>
      </c>
      <c r="AK1416" s="1" t="s">
        <v>110</v>
      </c>
      <c r="AL1416" s="3">
        <v>3</v>
      </c>
      <c r="AM1416" s="1"/>
      <c r="AN1416" s="1"/>
      <c r="AO1416" s="1" t="s">
        <v>9389</v>
      </c>
      <c r="AP1416" s="1" t="s">
        <v>9390</v>
      </c>
      <c r="AQ1416" s="1" t="s">
        <v>9391</v>
      </c>
      <c r="AR1416" s="1" t="s">
        <v>9392</v>
      </c>
    </row>
    <row r="1417">
      <c r="A1417" s="2">
        <f ca="1">DATE(2004,12,02)</f>
        <v>0</v>
      </c>
      <c r="B1417" s="2">
        <f ca="1">DATE(2004,12,16)</f>
        <v>0</v>
      </c>
      <c r="C1417" s="1" t="s">
        <v>9393</v>
      </c>
      <c r="D1417" s="3">
        <v>1311</v>
      </c>
      <c r="E1417" s="1" t="s">
        <v>43</v>
      </c>
      <c r="F1417" s="1" t="s">
        <v>9394</v>
      </c>
      <c r="G1417" s="1" t="s">
        <v>9395</v>
      </c>
      <c r="H1417" s="4">
        <v>0.52500000000000002</v>
      </c>
      <c r="I1417" s="4">
        <v>7</v>
      </c>
      <c r="J1417" s="5">
        <v>71.299999999999997</v>
      </c>
      <c r="K1417" s="4">
        <v>7.5</v>
      </c>
      <c r="L1417" s="1" t="s">
        <v>46</v>
      </c>
      <c r="M1417" s="1" t="s">
        <v>47</v>
      </c>
      <c r="N1417" s="1" t="s">
        <v>9396</v>
      </c>
      <c r="O1417" s="1" t="s">
        <v>48</v>
      </c>
      <c r="P1417" s="1" t="s">
        <v>9397</v>
      </c>
      <c r="Q1417" s="4">
        <v>1.4670000000000001</v>
      </c>
      <c r="R1417" s="4">
        <v>1.5329999999999999</v>
      </c>
      <c r="S1417" s="8">
        <v>4</v>
      </c>
      <c r="T1417" s="1" t="s">
        <v>50</v>
      </c>
      <c r="U1417" s="1"/>
      <c r="V1417" s="1"/>
      <c r="W1417" s="1"/>
      <c r="X1417" s="5">
        <v>70</v>
      </c>
      <c r="Y1417" s="7">
        <v>9500000</v>
      </c>
      <c r="Z1417" s="1"/>
      <c r="AA1417" s="2">
        <f ca="1">DATE(2005,06,14)</f>
        <v>0</v>
      </c>
      <c r="AB1417" s="1"/>
      <c r="AC1417" s="3">
        <v>180</v>
      </c>
      <c r="AD1417" s="1"/>
      <c r="AE1417" s="1" t="s">
        <v>51</v>
      </c>
      <c r="AF1417" s="1" t="s">
        <v>51</v>
      </c>
      <c r="AG1417" s="1" t="s">
        <v>51</v>
      </c>
      <c r="AH1417" s="1"/>
      <c r="AI1417" s="1"/>
      <c r="AJ1417" s="3">
        <v>1</v>
      </c>
      <c r="AK1417" s="1" t="s">
        <v>52</v>
      </c>
      <c r="AL1417" s="3">
        <v>3</v>
      </c>
      <c r="AM1417" s="8">
        <v>9.1999999999999993</v>
      </c>
      <c r="AN1417" s="1"/>
      <c r="AO1417" s="1" t="s">
        <v>9398</v>
      </c>
      <c r="AP1417" s="1" t="s">
        <v>9395</v>
      </c>
      <c r="AQ1417" s="1" t="s">
        <v>9399</v>
      </c>
      <c r="AR1417" s="1" t="s">
        <v>9400</v>
      </c>
    </row>
    <row r="1418">
      <c r="A1418" s="1"/>
      <c r="B1418" s="2">
        <f ca="1">DATE(2004,12,17)</f>
        <v>0</v>
      </c>
      <c r="C1418" s="1" t="s">
        <v>9401</v>
      </c>
      <c r="D1418" s="3">
        <v>6799</v>
      </c>
      <c r="E1418" s="1" t="s">
        <v>43</v>
      </c>
      <c r="F1418" s="1" t="s">
        <v>9402</v>
      </c>
      <c r="G1418" s="1" t="s">
        <v>7222</v>
      </c>
      <c r="H1418" s="4">
        <v>0.12</v>
      </c>
      <c r="I1418" s="4">
        <v>2</v>
      </c>
      <c r="J1418" s="5">
        <v>24</v>
      </c>
      <c r="K1418" s="4">
        <v>6</v>
      </c>
      <c r="L1418" s="1" t="s">
        <v>46</v>
      </c>
      <c r="M1418" s="1" t="s">
        <v>47</v>
      </c>
      <c r="N1418" s="1"/>
      <c r="O1418" s="1" t="s">
        <v>77</v>
      </c>
      <c r="P1418" s="1" t="s">
        <v>9403</v>
      </c>
      <c r="Q1418" s="1" t="s">
        <v>145</v>
      </c>
      <c r="R1418" s="1" t="s">
        <v>145</v>
      </c>
      <c r="S1418" s="1"/>
      <c r="T1418" s="1" t="s">
        <v>50</v>
      </c>
      <c r="U1418" s="1"/>
      <c r="V1418" s="1"/>
      <c r="W1418" s="1"/>
      <c r="X1418" s="1"/>
      <c r="Y1418" s="7">
        <v>4000000</v>
      </c>
      <c r="Z1418" s="1"/>
      <c r="AA1418" s="1"/>
      <c r="AB1418" s="1"/>
      <c r="AC1418" s="1"/>
      <c r="AD1418" s="1"/>
      <c r="AE1418" s="1" t="s">
        <v>51</v>
      </c>
      <c r="AF1418" s="1" t="s">
        <v>51</v>
      </c>
      <c r="AG1418" s="1" t="s">
        <v>51</v>
      </c>
      <c r="AH1418" s="1"/>
      <c r="AI1418" s="1"/>
      <c r="AJ1418" s="3">
        <v>1</v>
      </c>
      <c r="AK1418" s="1" t="s">
        <v>52</v>
      </c>
      <c r="AL1418" s="3">
        <v>3</v>
      </c>
      <c r="AM1418" s="1"/>
      <c r="AN1418" s="1"/>
      <c r="AO1418" s="1" t="s">
        <v>9404</v>
      </c>
      <c r="AP1418" s="1" t="s">
        <v>7222</v>
      </c>
      <c r="AQ1418" s="1" t="s">
        <v>9405</v>
      </c>
      <c r="AR1418" s="1" t="s">
        <v>9406</v>
      </c>
    </row>
    <row r="1419">
      <c r="A1419" s="2">
        <f ca="1">DATE(2004,11,24)</f>
        <v>0</v>
      </c>
      <c r="B1419" s="2">
        <f ca="1">DATE(2004,12,22)</f>
        <v>0</v>
      </c>
      <c r="C1419" s="1" t="s">
        <v>9407</v>
      </c>
      <c r="D1419" s="3">
        <v>6726</v>
      </c>
      <c r="E1419" s="1" t="s">
        <v>43</v>
      </c>
      <c r="F1419" s="1" t="s">
        <v>9408</v>
      </c>
      <c r="G1419" s="1" t="s">
        <v>6201</v>
      </c>
      <c r="H1419" s="4">
        <v>1.125</v>
      </c>
      <c r="I1419" s="4">
        <v>4.5</v>
      </c>
      <c r="J1419" s="5">
        <v>665</v>
      </c>
      <c r="K1419" s="4">
        <v>25</v>
      </c>
      <c r="L1419" s="1" t="s">
        <v>4422</v>
      </c>
      <c r="M1419" s="1" t="s">
        <v>47</v>
      </c>
      <c r="N1419" s="1" t="s">
        <v>9409</v>
      </c>
      <c r="O1419" s="1" t="s">
        <v>108</v>
      </c>
      <c r="P1419" s="1" t="s">
        <v>9410</v>
      </c>
      <c r="Q1419" s="4">
        <v>0.93999999999999995</v>
      </c>
      <c r="R1419" s="4">
        <v>0.56000000000000005</v>
      </c>
      <c r="S1419" s="8">
        <v>3</v>
      </c>
      <c r="T1419" s="1" t="s">
        <v>50</v>
      </c>
      <c r="U1419" s="8">
        <v>15</v>
      </c>
      <c r="V1419" s="8">
        <v>15</v>
      </c>
      <c r="W1419" s="7">
        <v>100000</v>
      </c>
      <c r="X1419" s="5">
        <v>1.5</v>
      </c>
      <c r="Y1419" s="7">
        <v>26600000</v>
      </c>
      <c r="Z1419" s="1"/>
      <c r="AA1419" s="2">
        <f ca="1">DATE(2005,06,20)</f>
        <v>0</v>
      </c>
      <c r="AB1419" s="1"/>
      <c r="AC1419" s="3">
        <v>180</v>
      </c>
      <c r="AD1419" s="1"/>
      <c r="AE1419" s="1" t="s">
        <v>51</v>
      </c>
      <c r="AF1419" s="1" t="s">
        <v>51</v>
      </c>
      <c r="AG1419" s="1" t="s">
        <v>51</v>
      </c>
      <c r="AH1419" s="1"/>
      <c r="AI1419" s="1"/>
      <c r="AJ1419" s="3">
        <v>1</v>
      </c>
      <c r="AK1419" s="1" t="s">
        <v>52</v>
      </c>
      <c r="AL1419" s="3">
        <v>16</v>
      </c>
      <c r="AM1419" s="8">
        <v>25</v>
      </c>
      <c r="AN1419" s="1"/>
      <c r="AO1419" s="1" t="s">
        <v>9411</v>
      </c>
      <c r="AP1419" s="1" t="s">
        <v>6201</v>
      </c>
      <c r="AQ1419" s="1" t="s">
        <v>9412</v>
      </c>
      <c r="AR1419" s="1" t="s">
        <v>9413</v>
      </c>
    </row>
    <row r="1420">
      <c r="A1420" s="2">
        <f ca="1">DATE(2004,11,09)</f>
        <v>0</v>
      </c>
      <c r="B1420" s="2">
        <f ca="1">DATE(2004,12,22)</f>
        <v>0</v>
      </c>
      <c r="C1420" s="1" t="s">
        <v>9414</v>
      </c>
      <c r="D1420" s="3">
        <v>6726</v>
      </c>
      <c r="E1420" s="1" t="s">
        <v>43</v>
      </c>
      <c r="F1420" s="1" t="s">
        <v>9415</v>
      </c>
      <c r="G1420" s="1" t="s">
        <v>45</v>
      </c>
      <c r="H1420" s="4">
        <v>0.90000000000000002</v>
      </c>
      <c r="I1420" s="4">
        <v>4.5</v>
      </c>
      <c r="J1420" s="5">
        <v>150</v>
      </c>
      <c r="K1420" s="4">
        <v>20</v>
      </c>
      <c r="L1420" s="1" t="s">
        <v>46</v>
      </c>
      <c r="M1420" s="1" t="s">
        <v>47</v>
      </c>
      <c r="N1420" s="1" t="s">
        <v>9416</v>
      </c>
      <c r="O1420" s="1" t="s">
        <v>108</v>
      </c>
      <c r="P1420" s="1" t="s">
        <v>9417</v>
      </c>
      <c r="Q1420" s="4">
        <v>1</v>
      </c>
      <c r="R1420" s="4">
        <v>0.5</v>
      </c>
      <c r="S1420" s="8">
        <v>3</v>
      </c>
      <c r="T1420" s="1" t="s">
        <v>50</v>
      </c>
      <c r="U1420" s="8">
        <v>20</v>
      </c>
      <c r="V1420" s="8">
        <v>20</v>
      </c>
      <c r="W1420" s="7">
        <v>1000000</v>
      </c>
      <c r="X1420" s="5">
        <v>20</v>
      </c>
      <c r="Y1420" s="7">
        <v>7500000</v>
      </c>
      <c r="Z1420" s="1"/>
      <c r="AA1420" s="1"/>
      <c r="AB1420" s="1"/>
      <c r="AC1420" s="1"/>
      <c r="AD1420" s="1"/>
      <c r="AE1420" s="1" t="s">
        <v>51</v>
      </c>
      <c r="AF1420" s="1" t="s">
        <v>51</v>
      </c>
      <c r="AG1420" s="1" t="s">
        <v>51</v>
      </c>
      <c r="AH1420" s="1"/>
      <c r="AI1420" s="1"/>
      <c r="AJ1420" s="3">
        <v>1</v>
      </c>
      <c r="AK1420" s="1" t="s">
        <v>89</v>
      </c>
      <c r="AL1420" s="3">
        <v>8</v>
      </c>
      <c r="AM1420" s="8">
        <v>20</v>
      </c>
      <c r="AN1420" s="1"/>
      <c r="AO1420" s="1" t="s">
        <v>9418</v>
      </c>
      <c r="AP1420" s="1" t="s">
        <v>9419</v>
      </c>
      <c r="AQ1420" s="1" t="s">
        <v>9420</v>
      </c>
      <c r="AR1420" s="1" t="s">
        <v>9421</v>
      </c>
    </row>
    <row r="1421">
      <c r="A1421" s="2">
        <f ca="1">DATE(2004,12,08)</f>
        <v>0</v>
      </c>
      <c r="B1421" s="2">
        <f ca="1">DATE(2004,12,22)</f>
        <v>0</v>
      </c>
      <c r="C1421" s="1" t="s">
        <v>9422</v>
      </c>
      <c r="D1421" s="3">
        <v>6726</v>
      </c>
      <c r="E1421" s="1" t="s">
        <v>43</v>
      </c>
      <c r="F1421" s="1" t="s">
        <v>9423</v>
      </c>
      <c r="G1421" s="1" t="s">
        <v>4145</v>
      </c>
      <c r="H1421" s="4">
        <v>0.90000000000000002</v>
      </c>
      <c r="I1421" s="4">
        <v>4.5</v>
      </c>
      <c r="J1421" s="5">
        <v>330</v>
      </c>
      <c r="K1421" s="4">
        <v>20</v>
      </c>
      <c r="L1421" s="1" t="s">
        <v>46</v>
      </c>
      <c r="M1421" s="1" t="s">
        <v>47</v>
      </c>
      <c r="N1421" s="1" t="s">
        <v>9424</v>
      </c>
      <c r="O1421" s="1" t="s">
        <v>108</v>
      </c>
      <c r="P1421" s="1" t="s">
        <v>9425</v>
      </c>
      <c r="Q1421" s="1" t="s">
        <v>145</v>
      </c>
      <c r="R1421" s="1" t="s">
        <v>145</v>
      </c>
      <c r="S1421" s="8">
        <v>3</v>
      </c>
      <c r="T1421" s="1" t="s">
        <v>50</v>
      </c>
      <c r="U1421" s="8">
        <v>20</v>
      </c>
      <c r="V1421" s="8">
        <v>20</v>
      </c>
      <c r="W1421" s="7">
        <v>50000</v>
      </c>
      <c r="X1421" s="5">
        <v>1</v>
      </c>
      <c r="Y1421" s="7">
        <v>16500000</v>
      </c>
      <c r="Z1421" s="1"/>
      <c r="AA1421" s="2">
        <f ca="1">DATE(2005,06,20)</f>
        <v>0</v>
      </c>
      <c r="AB1421" s="1"/>
      <c r="AC1421" s="3">
        <v>180</v>
      </c>
      <c r="AD1421" s="1"/>
      <c r="AE1421" s="1" t="s">
        <v>51</v>
      </c>
      <c r="AF1421" s="1" t="s">
        <v>51</v>
      </c>
      <c r="AG1421" s="1" t="s">
        <v>51</v>
      </c>
      <c r="AH1421" s="1"/>
      <c r="AI1421" s="1"/>
      <c r="AJ1421" s="3">
        <v>1</v>
      </c>
      <c r="AK1421" s="1" t="s">
        <v>89</v>
      </c>
      <c r="AL1421" s="3">
        <v>14</v>
      </c>
      <c r="AM1421" s="8">
        <v>20</v>
      </c>
      <c r="AN1421" s="1"/>
      <c r="AO1421" s="1" t="s">
        <v>9426</v>
      </c>
      <c r="AP1421" s="1" t="s">
        <v>8654</v>
      </c>
      <c r="AQ1421" s="1" t="s">
        <v>9427</v>
      </c>
      <c r="AR1421" s="1" t="s">
        <v>9428</v>
      </c>
    </row>
    <row r="1422">
      <c r="A1422" s="2">
        <f ca="1">DATE(2004,10,13)</f>
        <v>0</v>
      </c>
      <c r="B1422" s="2">
        <f ca="1">DATE(2004,12,22)</f>
        <v>0</v>
      </c>
      <c r="C1422" s="1" t="s">
        <v>9429</v>
      </c>
      <c r="D1422" s="3">
        <v>6726</v>
      </c>
      <c r="E1422" s="1" t="s">
        <v>43</v>
      </c>
      <c r="F1422" s="1" t="s">
        <v>9430</v>
      </c>
      <c r="G1422" s="1" t="s">
        <v>45</v>
      </c>
      <c r="H1422" s="4">
        <v>0.90000000000000002</v>
      </c>
      <c r="I1422" s="4">
        <v>4.5</v>
      </c>
      <c r="J1422" s="5">
        <v>451</v>
      </c>
      <c r="K1422" s="4">
        <v>20</v>
      </c>
      <c r="L1422" s="1" t="s">
        <v>46</v>
      </c>
      <c r="M1422" s="1" t="s">
        <v>47</v>
      </c>
      <c r="N1422" s="1" t="s">
        <v>9431</v>
      </c>
      <c r="O1422" s="1" t="s">
        <v>108</v>
      </c>
      <c r="P1422" s="1" t="s">
        <v>9432</v>
      </c>
      <c r="Q1422" s="4">
        <v>1</v>
      </c>
      <c r="R1422" s="4">
        <v>0.5</v>
      </c>
      <c r="S1422" s="8">
        <v>3</v>
      </c>
      <c r="T1422" s="1" t="s">
        <v>50</v>
      </c>
      <c r="U1422" s="8">
        <v>20</v>
      </c>
      <c r="V1422" s="8">
        <v>20</v>
      </c>
      <c r="W1422" s="7">
        <v>50000</v>
      </c>
      <c r="X1422" s="5">
        <v>1</v>
      </c>
      <c r="Y1422" s="7">
        <v>22550000</v>
      </c>
      <c r="Z1422" s="1"/>
      <c r="AA1422" s="2">
        <f ca="1">DATE(2005,06,20)</f>
        <v>0</v>
      </c>
      <c r="AB1422" s="1"/>
      <c r="AC1422" s="3">
        <v>180</v>
      </c>
      <c r="AD1422" s="1"/>
      <c r="AE1422" s="1" t="s">
        <v>51</v>
      </c>
      <c r="AF1422" s="1" t="s">
        <v>51</v>
      </c>
      <c r="AG1422" s="1" t="s">
        <v>51</v>
      </c>
      <c r="AH1422" s="1"/>
      <c r="AI1422" s="1"/>
      <c r="AJ1422" s="3">
        <v>1</v>
      </c>
      <c r="AK1422" s="1" t="s">
        <v>110</v>
      </c>
      <c r="AL1422" s="3">
        <v>16</v>
      </c>
      <c r="AM1422" s="8">
        <v>20</v>
      </c>
      <c r="AN1422" s="1"/>
      <c r="AO1422" s="1" t="s">
        <v>9433</v>
      </c>
      <c r="AP1422" s="1" t="s">
        <v>9434</v>
      </c>
      <c r="AQ1422" s="1" t="s">
        <v>9435</v>
      </c>
      <c r="AR1422" s="1" t="s">
        <v>9436</v>
      </c>
    </row>
    <row r="1423">
      <c r="A1423" s="2">
        <f ca="1">DATE(2004,11,03)</f>
        <v>0</v>
      </c>
      <c r="B1423" s="2">
        <f ca="1">DATE(2005,01,20)</f>
        <v>0</v>
      </c>
      <c r="C1423" s="1" t="s">
        <v>9437</v>
      </c>
      <c r="D1423" s="3">
        <v>2821</v>
      </c>
      <c r="E1423" s="1" t="s">
        <v>43</v>
      </c>
      <c r="F1423" s="1" t="s">
        <v>9438</v>
      </c>
      <c r="G1423" s="1" t="s">
        <v>9439</v>
      </c>
      <c r="H1423" s="4">
        <v>0.80000000000000004</v>
      </c>
      <c r="I1423" s="4">
        <v>5</v>
      </c>
      <c r="J1423" s="5">
        <v>800</v>
      </c>
      <c r="K1423" s="4">
        <v>16</v>
      </c>
      <c r="L1423" s="1" t="s">
        <v>152</v>
      </c>
      <c r="M1423" s="1" t="s">
        <v>47</v>
      </c>
      <c r="N1423" s="3">
        <v>150870103</v>
      </c>
      <c r="O1423" s="1" t="s">
        <v>108</v>
      </c>
      <c r="P1423" s="1" t="s">
        <v>9440</v>
      </c>
      <c r="Q1423" s="4">
        <v>0.93799999999999994</v>
      </c>
      <c r="R1423" s="4">
        <v>1</v>
      </c>
      <c r="S1423" s="8">
        <v>3</v>
      </c>
      <c r="T1423" s="1" t="s">
        <v>50</v>
      </c>
      <c r="U1423" s="1"/>
      <c r="V1423" s="1"/>
      <c r="W1423" s="1"/>
      <c r="X1423" s="5">
        <v>750</v>
      </c>
      <c r="Y1423" s="7">
        <v>50000000</v>
      </c>
      <c r="Z1423" s="1"/>
      <c r="AA1423" s="1" t="s">
        <v>9441</v>
      </c>
      <c r="AB1423" s="1" t="s">
        <v>9442</v>
      </c>
      <c r="AC1423" s="1" t="s">
        <v>2068</v>
      </c>
      <c r="AD1423" s="1" t="s">
        <v>9443</v>
      </c>
      <c r="AE1423" s="1" t="s">
        <v>51</v>
      </c>
      <c r="AF1423" s="1" t="s">
        <v>51</v>
      </c>
      <c r="AG1423" s="1" t="s">
        <v>51</v>
      </c>
      <c r="AH1423" s="1"/>
      <c r="AI1423" s="1"/>
      <c r="AJ1423" s="3">
        <v>5</v>
      </c>
      <c r="AK1423" s="1" t="s">
        <v>3985</v>
      </c>
      <c r="AL1423" s="3">
        <v>10</v>
      </c>
      <c r="AM1423" s="8">
        <v>15.51</v>
      </c>
      <c r="AN1423" s="1"/>
      <c r="AO1423" s="1" t="s">
        <v>9444</v>
      </c>
      <c r="AP1423" s="1" t="s">
        <v>9445</v>
      </c>
      <c r="AQ1423" s="1" t="s">
        <v>9446</v>
      </c>
      <c r="AR1423" s="1" t="s">
        <v>9447</v>
      </c>
    </row>
    <row r="1424">
      <c r="A1424" s="2">
        <f ca="1">DATE(2004,09,17)</f>
        <v>0</v>
      </c>
      <c r="B1424" s="2">
        <f ca="1">DATE(2005,01,20)</f>
        <v>0</v>
      </c>
      <c r="C1424" s="1" t="s">
        <v>9448</v>
      </c>
      <c r="D1424" s="3">
        <v>6311</v>
      </c>
      <c r="E1424" s="1" t="s">
        <v>43</v>
      </c>
      <c r="F1424" s="1" t="s">
        <v>9449</v>
      </c>
      <c r="G1424" s="1" t="s">
        <v>84</v>
      </c>
      <c r="H1424" s="4">
        <v>0.73499999999999999</v>
      </c>
      <c r="I1424" s="8">
        <v>7</v>
      </c>
      <c r="J1424" s="5">
        <v>78.799999999999997</v>
      </c>
      <c r="K1424" s="4">
        <v>10.5</v>
      </c>
      <c r="L1424" s="1" t="s">
        <v>46</v>
      </c>
      <c r="M1424" s="1" t="s">
        <v>47</v>
      </c>
      <c r="N1424" s="3">
        <v>811656107</v>
      </c>
      <c r="O1424" s="1" t="s">
        <v>48</v>
      </c>
      <c r="P1424" s="1" t="s">
        <v>9450</v>
      </c>
      <c r="Q1424" s="4">
        <v>1.4290000000000001</v>
      </c>
      <c r="R1424" s="4">
        <v>1.381</v>
      </c>
      <c r="S1424" s="6">
        <v>4.19048</v>
      </c>
      <c r="T1424" s="1" t="s">
        <v>50</v>
      </c>
      <c r="U1424" s="1"/>
      <c r="V1424" s="1"/>
      <c r="W1424" s="1"/>
      <c r="X1424" s="5">
        <v>86.299999999999997</v>
      </c>
      <c r="Y1424" s="7">
        <v>7500000</v>
      </c>
      <c r="Z1424" s="1"/>
      <c r="AA1424" s="2">
        <f ca="1">DATE(2005,07,19)</f>
        <v>0</v>
      </c>
      <c r="AB1424" s="4">
        <v>47.417999999999999</v>
      </c>
      <c r="AC1424" s="3">
        <v>180</v>
      </c>
      <c r="AD1424" s="8">
        <v>7777808</v>
      </c>
      <c r="AE1424" s="1" t="s">
        <v>51</v>
      </c>
      <c r="AF1424" s="1" t="s">
        <v>51</v>
      </c>
      <c r="AG1424" s="1" t="s">
        <v>51</v>
      </c>
      <c r="AH1424" s="1"/>
      <c r="AI1424" s="1"/>
      <c r="AJ1424" s="3">
        <v>1</v>
      </c>
      <c r="AK1424" s="1" t="s">
        <v>52</v>
      </c>
      <c r="AL1424" s="3">
        <v>3</v>
      </c>
      <c r="AM1424" s="8">
        <v>12.050000000000001</v>
      </c>
      <c r="AN1424" s="1"/>
      <c r="AO1424" s="1" t="s">
        <v>9451</v>
      </c>
      <c r="AP1424" s="1" t="s">
        <v>84</v>
      </c>
      <c r="AQ1424" s="1" t="s">
        <v>9452</v>
      </c>
      <c r="AR1424" s="1" t="s">
        <v>9453</v>
      </c>
    </row>
    <row r="1425">
      <c r="A1425" s="2">
        <f ca="1">DATE(2004,04,05)</f>
        <v>0</v>
      </c>
      <c r="B1425" s="2">
        <f ca="1">DATE(2005,01,20)</f>
        <v>0</v>
      </c>
      <c r="C1425" s="1" t="s">
        <v>9454</v>
      </c>
      <c r="D1425" s="3">
        <v>8731</v>
      </c>
      <c r="E1425" s="1" t="s">
        <v>43</v>
      </c>
      <c r="F1425" s="1" t="s">
        <v>9455</v>
      </c>
      <c r="G1425" s="1" t="s">
        <v>9456</v>
      </c>
      <c r="H1425" s="4">
        <v>0.48999999999999999</v>
      </c>
      <c r="I1425" s="8">
        <v>7</v>
      </c>
      <c r="J1425" s="5">
        <v>52.5</v>
      </c>
      <c r="K1425" s="4">
        <v>7</v>
      </c>
      <c r="L1425" s="1" t="s">
        <v>46</v>
      </c>
      <c r="M1425" s="1" t="s">
        <v>47</v>
      </c>
      <c r="N1425" s="1" t="s">
        <v>9457</v>
      </c>
      <c r="O1425" s="1" t="s">
        <v>48</v>
      </c>
      <c r="P1425" s="1" t="s">
        <v>9458</v>
      </c>
      <c r="Q1425" s="4">
        <v>1.3999999999999999</v>
      </c>
      <c r="R1425" s="4">
        <v>1.3999999999999999</v>
      </c>
      <c r="S1425" s="8">
        <v>4.2000000000000002</v>
      </c>
      <c r="T1425" s="1" t="s">
        <v>50</v>
      </c>
      <c r="U1425" s="1"/>
      <c r="V1425" s="1"/>
      <c r="W1425" s="1"/>
      <c r="X1425" s="5">
        <v>92</v>
      </c>
      <c r="Y1425" s="7">
        <v>7500000</v>
      </c>
      <c r="Z1425" s="1"/>
      <c r="AA1425" s="1" t="s">
        <v>9459</v>
      </c>
      <c r="AB1425" s="1" t="s">
        <v>9460</v>
      </c>
      <c r="AC1425" s="1" t="s">
        <v>5784</v>
      </c>
      <c r="AD1425" s="1" t="s">
        <v>9461</v>
      </c>
      <c r="AE1425" s="1" t="s">
        <v>51</v>
      </c>
      <c r="AF1425" s="1" t="s">
        <v>51</v>
      </c>
      <c r="AG1425" s="1" t="s">
        <v>47</v>
      </c>
      <c r="AH1425" s="1"/>
      <c r="AI1425" s="1"/>
      <c r="AJ1425" s="3">
        <v>2</v>
      </c>
      <c r="AK1425" s="1" t="s">
        <v>89</v>
      </c>
      <c r="AL1425" s="3">
        <v>4</v>
      </c>
      <c r="AM1425" s="8">
        <v>8.6799999999999997</v>
      </c>
      <c r="AN1425" s="1"/>
      <c r="AO1425" s="1" t="s">
        <v>9462</v>
      </c>
      <c r="AP1425" s="1" t="s">
        <v>9463</v>
      </c>
      <c r="AQ1425" s="1" t="s">
        <v>9464</v>
      </c>
      <c r="AR1425" s="1" t="s">
        <v>9465</v>
      </c>
    </row>
    <row r="1426">
      <c r="A1426" s="2">
        <f ca="1">DATE(2004,09,24)</f>
        <v>0</v>
      </c>
      <c r="B1426" s="2">
        <f ca="1">DATE(2005,01,25)</f>
        <v>0</v>
      </c>
      <c r="C1426" s="1" t="s">
        <v>9466</v>
      </c>
      <c r="D1426" s="3">
        <v>6798</v>
      </c>
      <c r="E1426" s="1" t="s">
        <v>43</v>
      </c>
      <c r="F1426" s="1" t="s">
        <v>9467</v>
      </c>
      <c r="G1426" s="1" t="s">
        <v>9468</v>
      </c>
      <c r="H1426" s="4">
        <v>1</v>
      </c>
      <c r="I1426" s="4">
        <v>6.25</v>
      </c>
      <c r="J1426" s="5">
        <v>304</v>
      </c>
      <c r="K1426" s="4">
        <v>16</v>
      </c>
      <c r="L1426" s="1" t="s">
        <v>46</v>
      </c>
      <c r="M1426" s="1" t="s">
        <v>47</v>
      </c>
      <c r="N1426" s="1" t="s">
        <v>9469</v>
      </c>
      <c r="O1426" s="1" t="s">
        <v>108</v>
      </c>
      <c r="P1426" s="1" t="s">
        <v>9470</v>
      </c>
      <c r="Q1426" s="4">
        <v>1.25</v>
      </c>
      <c r="R1426" s="4">
        <v>1.25</v>
      </c>
      <c r="S1426" s="8">
        <v>3.75</v>
      </c>
      <c r="T1426" s="1" t="s">
        <v>50</v>
      </c>
      <c r="U1426" s="1"/>
      <c r="V1426" s="1"/>
      <c r="W1426" s="1"/>
      <c r="X1426" s="5">
        <v>316.30000000000001</v>
      </c>
      <c r="Y1426" s="7">
        <v>19000000</v>
      </c>
      <c r="Z1426" s="1"/>
      <c r="AA1426" s="2">
        <f ca="1">DATE(2005,07,24)</f>
        <v>0</v>
      </c>
      <c r="AB1426" s="1"/>
      <c r="AC1426" s="3">
        <v>180</v>
      </c>
      <c r="AD1426" s="1"/>
      <c r="AE1426" s="1" t="s">
        <v>51</v>
      </c>
      <c r="AF1426" s="1" t="s">
        <v>51</v>
      </c>
      <c r="AG1426" s="1" t="s">
        <v>51</v>
      </c>
      <c r="AH1426" s="1"/>
      <c r="AI1426" s="1"/>
      <c r="AJ1426" s="3">
        <v>2</v>
      </c>
      <c r="AK1426" s="1" t="s">
        <v>89</v>
      </c>
      <c r="AL1426" s="3">
        <v>6</v>
      </c>
      <c r="AM1426" s="8">
        <v>16.449999999999999</v>
      </c>
      <c r="AN1426" s="1"/>
      <c r="AO1426" s="1" t="s">
        <v>9471</v>
      </c>
      <c r="AP1426" s="1" t="s">
        <v>9472</v>
      </c>
      <c r="AQ1426" s="1" t="s">
        <v>9473</v>
      </c>
      <c r="AR1426" s="1" t="s">
        <v>9474</v>
      </c>
    </row>
    <row r="1427">
      <c r="A1427" s="2">
        <f ca="1">DATE(2004,06,16)</f>
        <v>0</v>
      </c>
      <c r="B1427" s="2">
        <f ca="1">DATE(2005,01,25)</f>
        <v>0</v>
      </c>
      <c r="C1427" s="1" t="s">
        <v>9475</v>
      </c>
      <c r="D1427" s="3">
        <v>6211</v>
      </c>
      <c r="E1427" s="1" t="s">
        <v>43</v>
      </c>
      <c r="F1427" s="1" t="s">
        <v>9476</v>
      </c>
      <c r="G1427" s="1" t="s">
        <v>8893</v>
      </c>
      <c r="H1427" s="4">
        <v>1.47</v>
      </c>
      <c r="I1427" s="8">
        <v>7</v>
      </c>
      <c r="J1427" s="5">
        <v>123</v>
      </c>
      <c r="K1427" s="4">
        <v>21</v>
      </c>
      <c r="L1427" s="1" t="s">
        <v>46</v>
      </c>
      <c r="M1427" s="1" t="s">
        <v>47</v>
      </c>
      <c r="N1427" s="3">
        <v>361652209</v>
      </c>
      <c r="O1427" s="1" t="s">
        <v>48</v>
      </c>
      <c r="P1427" s="1" t="s">
        <v>9477</v>
      </c>
      <c r="Q1427" s="4">
        <v>1.4290000000000001</v>
      </c>
      <c r="R1427" s="4">
        <v>1.381</v>
      </c>
      <c r="S1427" s="6">
        <v>4.19048</v>
      </c>
      <c r="T1427" s="1" t="s">
        <v>50</v>
      </c>
      <c r="U1427" s="1"/>
      <c r="V1427" s="1"/>
      <c r="W1427" s="1"/>
      <c r="X1427" s="5">
        <v>100</v>
      </c>
      <c r="Y1427" s="7">
        <v>3947369</v>
      </c>
      <c r="Z1427" s="7">
        <v>1909855</v>
      </c>
      <c r="AA1427" s="2">
        <f ca="1">DATE(2005,07,24)</f>
        <v>0</v>
      </c>
      <c r="AB1427" s="4">
        <v>72.873000000000005</v>
      </c>
      <c r="AC1427" s="3">
        <v>180</v>
      </c>
      <c r="AD1427" s="8">
        <v>19494643</v>
      </c>
      <c r="AE1427" s="1" t="s">
        <v>51</v>
      </c>
      <c r="AF1427" s="1" t="s">
        <v>51</v>
      </c>
      <c r="AG1427" s="1" t="s">
        <v>51</v>
      </c>
      <c r="AH1427" s="1"/>
      <c r="AI1427" s="1"/>
      <c r="AJ1427" s="3">
        <v>2</v>
      </c>
      <c r="AK1427" s="1" t="s">
        <v>89</v>
      </c>
      <c r="AL1427" s="3">
        <v>5</v>
      </c>
      <c r="AM1427" s="8">
        <v>26.440000000000001</v>
      </c>
      <c r="AN1427" s="1"/>
      <c r="AO1427" s="1" t="s">
        <v>9478</v>
      </c>
      <c r="AP1427" s="1" t="s">
        <v>7744</v>
      </c>
      <c r="AQ1427" s="1" t="s">
        <v>9479</v>
      </c>
      <c r="AR1427" s="1" t="s">
        <v>9480</v>
      </c>
    </row>
    <row r="1428">
      <c r="A1428" s="2">
        <f ca="1">DATE(2004,02,06)</f>
        <v>0</v>
      </c>
      <c r="B1428" s="2">
        <f ca="1">DATE(2005,01,26)</f>
        <v>0</v>
      </c>
      <c r="C1428" s="1" t="s">
        <v>9481</v>
      </c>
      <c r="D1428" s="3">
        <v>6726</v>
      </c>
      <c r="E1428" s="1" t="s">
        <v>43</v>
      </c>
      <c r="F1428" s="1" t="s">
        <v>9482</v>
      </c>
      <c r="G1428" s="1" t="s">
        <v>45</v>
      </c>
      <c r="H1428" s="4">
        <v>0.90000000000000002</v>
      </c>
      <c r="I1428" s="4">
        <v>4.5</v>
      </c>
      <c r="J1428" s="5">
        <v>251</v>
      </c>
      <c r="K1428" s="4">
        <v>20</v>
      </c>
      <c r="L1428" s="1" t="s">
        <v>4422</v>
      </c>
      <c r="M1428" s="1" t="s">
        <v>47</v>
      </c>
      <c r="N1428" s="1" t="s">
        <v>9483</v>
      </c>
      <c r="O1428" s="1" t="s">
        <v>108</v>
      </c>
      <c r="P1428" s="1" t="s">
        <v>9484</v>
      </c>
      <c r="Q1428" s="1" t="s">
        <v>145</v>
      </c>
      <c r="R1428" s="1" t="s">
        <v>145</v>
      </c>
      <c r="S1428" s="8">
        <v>3</v>
      </c>
      <c r="T1428" s="1" t="s">
        <v>50</v>
      </c>
      <c r="U1428" s="8">
        <v>20</v>
      </c>
      <c r="V1428" s="8">
        <v>20</v>
      </c>
      <c r="W1428" s="7">
        <v>100000</v>
      </c>
      <c r="X1428" s="5">
        <v>2</v>
      </c>
      <c r="Y1428" s="7">
        <v>12550000</v>
      </c>
      <c r="Z1428" s="1"/>
      <c r="AA1428" s="2">
        <f ca="1">DATE(2005,07,25)</f>
        <v>0</v>
      </c>
      <c r="AB1428" s="1"/>
      <c r="AC1428" s="3">
        <v>180</v>
      </c>
      <c r="AD1428" s="1"/>
      <c r="AE1428" s="1" t="s">
        <v>51</v>
      </c>
      <c r="AF1428" s="1" t="s">
        <v>51</v>
      </c>
      <c r="AG1428" s="1" t="s">
        <v>51</v>
      </c>
      <c r="AH1428" s="1"/>
      <c r="AI1428" s="1"/>
      <c r="AJ1428" s="3">
        <v>1</v>
      </c>
      <c r="AK1428" s="1" t="s">
        <v>52</v>
      </c>
      <c r="AL1428" s="3">
        <v>12</v>
      </c>
      <c r="AM1428" s="8">
        <v>20</v>
      </c>
      <c r="AN1428" s="1"/>
      <c r="AO1428" s="1" t="s">
        <v>9485</v>
      </c>
      <c r="AP1428" s="1" t="s">
        <v>45</v>
      </c>
      <c r="AQ1428" s="1" t="s">
        <v>9486</v>
      </c>
      <c r="AR1428" s="1" t="s">
        <v>9487</v>
      </c>
    </row>
    <row r="1429">
      <c r="A1429" s="2">
        <f ca="1">DATE(2005,01,25)</f>
        <v>0</v>
      </c>
      <c r="B1429" s="2">
        <f ca="1">DATE(2005,01,26)</f>
        <v>0</v>
      </c>
      <c r="C1429" s="1" t="s">
        <v>9488</v>
      </c>
      <c r="D1429" s="3">
        <v>6726</v>
      </c>
      <c r="E1429" s="1" t="s">
        <v>43</v>
      </c>
      <c r="F1429" s="1" t="s">
        <v>9489</v>
      </c>
      <c r="G1429" s="1" t="s">
        <v>45</v>
      </c>
      <c r="H1429" s="4">
        <v>0.90000000000000002</v>
      </c>
      <c r="I1429" s="4">
        <v>4.5</v>
      </c>
      <c r="J1429" s="5">
        <v>236</v>
      </c>
      <c r="K1429" s="4">
        <v>20</v>
      </c>
      <c r="L1429" s="1" t="s">
        <v>46</v>
      </c>
      <c r="M1429" s="1" t="s">
        <v>47</v>
      </c>
      <c r="N1429" s="1" t="s">
        <v>9490</v>
      </c>
      <c r="O1429" s="1" t="s">
        <v>108</v>
      </c>
      <c r="P1429" s="1" t="s">
        <v>9491</v>
      </c>
      <c r="Q1429" s="4">
        <v>1</v>
      </c>
      <c r="R1429" s="4">
        <v>0.5</v>
      </c>
      <c r="S1429" s="8">
        <v>3</v>
      </c>
      <c r="T1429" s="1" t="s">
        <v>50</v>
      </c>
      <c r="U1429" s="8">
        <v>20</v>
      </c>
      <c r="V1429" s="8">
        <v>20</v>
      </c>
      <c r="W1429" s="7">
        <v>3450000</v>
      </c>
      <c r="X1429" s="5">
        <v>69</v>
      </c>
      <c r="Y1429" s="7">
        <v>11800000</v>
      </c>
      <c r="Z1429" s="1"/>
      <c r="AA1429" s="2">
        <f ca="1">DATE(2005,07,25)</f>
        <v>0</v>
      </c>
      <c r="AB1429" s="1"/>
      <c r="AC1429" s="3">
        <v>180</v>
      </c>
      <c r="AD1429" s="1"/>
      <c r="AE1429" s="1" t="s">
        <v>51</v>
      </c>
      <c r="AF1429" s="1" t="s">
        <v>51</v>
      </c>
      <c r="AG1429" s="1" t="s">
        <v>51</v>
      </c>
      <c r="AH1429" s="1"/>
      <c r="AI1429" s="1"/>
      <c r="AJ1429" s="3">
        <v>1</v>
      </c>
      <c r="AK1429" s="1" t="s">
        <v>89</v>
      </c>
      <c r="AL1429" s="3">
        <v>20</v>
      </c>
      <c r="AM1429" s="8">
        <v>20.010000000000002</v>
      </c>
      <c r="AN1429" s="1"/>
      <c r="AO1429" s="1" t="s">
        <v>9492</v>
      </c>
      <c r="AP1429" s="1" t="s">
        <v>7050</v>
      </c>
      <c r="AQ1429" s="1" t="s">
        <v>9493</v>
      </c>
      <c r="AR1429" s="1" t="s">
        <v>9494</v>
      </c>
    </row>
    <row r="1430">
      <c r="A1430" s="2">
        <f ca="1">DATE(2005,01,26)</f>
        <v>0</v>
      </c>
      <c r="B1430" s="2">
        <f ca="1">DATE(2005,01,26)</f>
        <v>0</v>
      </c>
      <c r="C1430" s="1" t="s">
        <v>9495</v>
      </c>
      <c r="D1430" s="3">
        <v>6726</v>
      </c>
      <c r="E1430" s="1" t="s">
        <v>43</v>
      </c>
      <c r="F1430" s="1" t="s">
        <v>9496</v>
      </c>
      <c r="G1430" s="1" t="s">
        <v>45</v>
      </c>
      <c r="H1430" s="4">
        <v>0.90000000000000002</v>
      </c>
      <c r="I1430" s="4">
        <v>4.5</v>
      </c>
      <c r="J1430" s="5">
        <v>221</v>
      </c>
      <c r="K1430" s="4">
        <v>20</v>
      </c>
      <c r="L1430" s="1" t="s">
        <v>46</v>
      </c>
      <c r="M1430" s="1" t="s">
        <v>47</v>
      </c>
      <c r="N1430" s="3">
        <v>255251100</v>
      </c>
      <c r="O1430" s="1" t="s">
        <v>108</v>
      </c>
      <c r="P1430" s="1" t="s">
        <v>9497</v>
      </c>
      <c r="Q1430" s="4">
        <v>1</v>
      </c>
      <c r="R1430" s="4">
        <v>0.5</v>
      </c>
      <c r="S1430" s="8">
        <v>3</v>
      </c>
      <c r="T1430" s="1" t="s">
        <v>50</v>
      </c>
      <c r="U1430" s="8">
        <v>20</v>
      </c>
      <c r="V1430" s="8">
        <v>20</v>
      </c>
      <c r="W1430" s="7">
        <v>50000</v>
      </c>
      <c r="X1430" s="5">
        <v>1</v>
      </c>
      <c r="Y1430" s="7">
        <v>11050000</v>
      </c>
      <c r="Z1430" s="1"/>
      <c r="AA1430" s="1"/>
      <c r="AB1430" s="1"/>
      <c r="AC1430" s="1"/>
      <c r="AD1430" s="1"/>
      <c r="AE1430" s="1" t="s">
        <v>51</v>
      </c>
      <c r="AF1430" s="1" t="s">
        <v>51</v>
      </c>
      <c r="AG1430" s="1" t="s">
        <v>51</v>
      </c>
      <c r="AH1430" s="1"/>
      <c r="AI1430" s="1"/>
      <c r="AJ1430" s="3">
        <v>1</v>
      </c>
      <c r="AK1430" s="1" t="s">
        <v>89</v>
      </c>
      <c r="AL1430" s="3">
        <v>8</v>
      </c>
      <c r="AM1430" s="8">
        <v>20</v>
      </c>
      <c r="AN1430" s="1"/>
      <c r="AO1430" s="1" t="s">
        <v>9498</v>
      </c>
      <c r="AP1430" s="1" t="s">
        <v>7200</v>
      </c>
      <c r="AQ1430" s="1" t="s">
        <v>9499</v>
      </c>
      <c r="AR1430" s="1" t="s">
        <v>9500</v>
      </c>
    </row>
    <row r="1431">
      <c r="A1431" s="2">
        <f ca="1">DATE(2004,11,12)</f>
        <v>0</v>
      </c>
      <c r="B1431" s="2">
        <f ca="1">DATE(2005,01,26)</f>
        <v>0</v>
      </c>
      <c r="C1431" s="1" t="s">
        <v>9501</v>
      </c>
      <c r="D1431" s="3">
        <v>6726</v>
      </c>
      <c r="E1431" s="1" t="s">
        <v>43</v>
      </c>
      <c r="F1431" s="1" t="s">
        <v>9502</v>
      </c>
      <c r="G1431" s="1" t="s">
        <v>5704</v>
      </c>
      <c r="H1431" s="4">
        <v>0.90000000000000002</v>
      </c>
      <c r="I1431" s="4">
        <v>4.5</v>
      </c>
      <c r="J1431" s="5">
        <v>875</v>
      </c>
      <c r="K1431" s="4">
        <v>20</v>
      </c>
      <c r="L1431" s="1" t="s">
        <v>4422</v>
      </c>
      <c r="M1431" s="1" t="s">
        <v>47</v>
      </c>
      <c r="N1431" s="3">
        <v>278277108</v>
      </c>
      <c r="O1431" s="1" t="s">
        <v>108</v>
      </c>
      <c r="P1431" s="1" t="s">
        <v>9503</v>
      </c>
      <c r="Q1431" s="4">
        <v>1</v>
      </c>
      <c r="R1431" s="4">
        <v>0.5</v>
      </c>
      <c r="S1431" s="8">
        <v>3</v>
      </c>
      <c r="T1431" s="1" t="s">
        <v>50</v>
      </c>
      <c r="U1431" s="8">
        <v>20</v>
      </c>
      <c r="V1431" s="8">
        <v>20</v>
      </c>
      <c r="W1431" s="7">
        <v>50000</v>
      </c>
      <c r="X1431" s="5">
        <v>1</v>
      </c>
      <c r="Y1431" s="7">
        <v>43750000</v>
      </c>
      <c r="Z1431" s="1"/>
      <c r="AA1431" s="2">
        <f ca="1">DATE(2005,07,25)</f>
        <v>0</v>
      </c>
      <c r="AB1431" s="1"/>
      <c r="AC1431" s="3">
        <v>180</v>
      </c>
      <c r="AD1431" s="1"/>
      <c r="AE1431" s="1" t="s">
        <v>51</v>
      </c>
      <c r="AF1431" s="1" t="s">
        <v>51</v>
      </c>
      <c r="AG1431" s="1" t="s">
        <v>51</v>
      </c>
      <c r="AH1431" s="1"/>
      <c r="AI1431" s="1"/>
      <c r="AJ1431" s="3">
        <v>1</v>
      </c>
      <c r="AK1431" s="1" t="s">
        <v>52</v>
      </c>
      <c r="AL1431" s="3">
        <v>10</v>
      </c>
      <c r="AM1431" s="8">
        <v>20.02</v>
      </c>
      <c r="AN1431" s="1"/>
      <c r="AO1431" s="1" t="s">
        <v>9504</v>
      </c>
      <c r="AP1431" s="1" t="s">
        <v>5704</v>
      </c>
      <c r="AQ1431" s="1" t="s">
        <v>9505</v>
      </c>
      <c r="AR1431" s="1" t="s">
        <v>9506</v>
      </c>
    </row>
    <row r="1432">
      <c r="A1432" s="2">
        <f ca="1">DATE(2004,11,19)</f>
        <v>0</v>
      </c>
      <c r="B1432" s="2">
        <f ca="1">DATE(2005,01,26)</f>
        <v>0</v>
      </c>
      <c r="C1432" s="1" t="s">
        <v>9507</v>
      </c>
      <c r="D1432" s="3">
        <v>6726</v>
      </c>
      <c r="E1432" s="1" t="s">
        <v>43</v>
      </c>
      <c r="F1432" s="1" t="s">
        <v>9508</v>
      </c>
      <c r="G1432" s="1" t="s">
        <v>6201</v>
      </c>
      <c r="H1432" s="4">
        <v>0.90000000000000002</v>
      </c>
      <c r="I1432" s="4">
        <v>4.5</v>
      </c>
      <c r="J1432" s="9">
        <v>1170</v>
      </c>
      <c r="K1432" s="4">
        <v>20</v>
      </c>
      <c r="L1432" s="1" t="s">
        <v>4422</v>
      </c>
      <c r="M1432" s="1" t="s">
        <v>47</v>
      </c>
      <c r="N1432" s="1" t="s">
        <v>9509</v>
      </c>
      <c r="O1432" s="1" t="s">
        <v>108</v>
      </c>
      <c r="P1432" s="1" t="s">
        <v>9510</v>
      </c>
      <c r="Q1432" s="4">
        <v>0.94999999999999996</v>
      </c>
      <c r="R1432" s="4">
        <v>0.55000000000000004</v>
      </c>
      <c r="S1432" s="8">
        <v>3</v>
      </c>
      <c r="T1432" s="1" t="s">
        <v>50</v>
      </c>
      <c r="U1432" s="8">
        <v>20</v>
      </c>
      <c r="V1432" s="8">
        <v>20</v>
      </c>
      <c r="W1432" s="7">
        <v>1000</v>
      </c>
      <c r="X1432" s="5">
        <v>0</v>
      </c>
      <c r="Y1432" s="7">
        <v>58500000</v>
      </c>
      <c r="Z1432" s="1"/>
      <c r="AA1432" s="2">
        <f ca="1">DATE(2005,07,25)</f>
        <v>0</v>
      </c>
      <c r="AB1432" s="1"/>
      <c r="AC1432" s="3">
        <v>180</v>
      </c>
      <c r="AD1432" s="1"/>
      <c r="AE1432" s="1" t="s">
        <v>51</v>
      </c>
      <c r="AF1432" s="1" t="s">
        <v>51</v>
      </c>
      <c r="AG1432" s="1" t="s">
        <v>51</v>
      </c>
      <c r="AH1432" s="1"/>
      <c r="AI1432" s="1"/>
      <c r="AJ1432" s="3">
        <v>1</v>
      </c>
      <c r="AK1432" s="1" t="s">
        <v>52</v>
      </c>
      <c r="AL1432" s="3">
        <v>18</v>
      </c>
      <c r="AM1432" s="8">
        <v>20</v>
      </c>
      <c r="AN1432" s="1"/>
      <c r="AO1432" s="1" t="s">
        <v>9511</v>
      </c>
      <c r="AP1432" s="1" t="s">
        <v>6201</v>
      </c>
      <c r="AQ1432" s="1" t="s">
        <v>9512</v>
      </c>
      <c r="AR1432" s="1" t="s">
        <v>9513</v>
      </c>
    </row>
    <row r="1433">
      <c r="A1433" s="2">
        <f ca="1">DATE(2004,10,26)</f>
        <v>0</v>
      </c>
      <c r="B1433" s="2">
        <f ca="1">DATE(2005,01,26)</f>
        <v>0</v>
      </c>
      <c r="C1433" s="1" t="s">
        <v>9514</v>
      </c>
      <c r="D1433" s="3">
        <v>6211</v>
      </c>
      <c r="E1433" s="1" t="s">
        <v>43</v>
      </c>
      <c r="F1433" s="1" t="s">
        <v>9515</v>
      </c>
      <c r="G1433" s="1" t="s">
        <v>160</v>
      </c>
      <c r="H1433" s="4">
        <v>1.155</v>
      </c>
      <c r="I1433" s="4">
        <v>7</v>
      </c>
      <c r="J1433" s="5">
        <v>198</v>
      </c>
      <c r="K1433" s="4">
        <v>16.5</v>
      </c>
      <c r="L1433" s="1" t="s">
        <v>46</v>
      </c>
      <c r="M1433" s="1" t="s">
        <v>47</v>
      </c>
      <c r="N1433" s="3">
        <v>684010101</v>
      </c>
      <c r="O1433" s="1" t="s">
        <v>48</v>
      </c>
      <c r="P1433" s="1" t="s">
        <v>9516</v>
      </c>
      <c r="Q1433" s="4">
        <v>1.3939999999999999</v>
      </c>
      <c r="R1433" s="4">
        <v>1.3939999999999999</v>
      </c>
      <c r="S1433" s="6">
        <v>4.2121199999999996</v>
      </c>
      <c r="T1433" s="1" t="s">
        <v>50</v>
      </c>
      <c r="U1433" s="1"/>
      <c r="V1433" s="1"/>
      <c r="W1433" s="1"/>
      <c r="X1433" s="5">
        <v>150</v>
      </c>
      <c r="Y1433" s="7">
        <v>5000000</v>
      </c>
      <c r="Z1433" s="7">
        <v>7000000</v>
      </c>
      <c r="AA1433" s="1" t="s">
        <v>9517</v>
      </c>
      <c r="AB1433" s="1" t="s">
        <v>9518</v>
      </c>
      <c r="AC1433" s="1" t="s">
        <v>9519</v>
      </c>
      <c r="AD1433" s="1" t="s">
        <v>9520</v>
      </c>
      <c r="AE1433" s="1" t="s">
        <v>51</v>
      </c>
      <c r="AF1433" s="1" t="s">
        <v>51</v>
      </c>
      <c r="AG1433" s="1" t="s">
        <v>47</v>
      </c>
      <c r="AH1433" s="1"/>
      <c r="AI1433" s="1"/>
      <c r="AJ1433" s="3">
        <v>1</v>
      </c>
      <c r="AK1433" s="1" t="s">
        <v>89</v>
      </c>
      <c r="AL1433" s="3">
        <v>5</v>
      </c>
      <c r="AM1433" s="8">
        <v>20.300000000000001</v>
      </c>
      <c r="AN1433" s="1"/>
      <c r="AO1433" s="1" t="s">
        <v>9521</v>
      </c>
      <c r="AP1433" s="1" t="s">
        <v>4884</v>
      </c>
      <c r="AQ1433" s="1" t="s">
        <v>9522</v>
      </c>
      <c r="AR1433" s="1" t="s">
        <v>9523</v>
      </c>
    </row>
    <row r="1434">
      <c r="A1434" s="2">
        <f ca="1">DATE(2004,03,12)</f>
        <v>0</v>
      </c>
      <c r="B1434" s="2">
        <f ca="1">DATE(2005,01,27)</f>
        <v>0</v>
      </c>
      <c r="C1434" s="1" t="s">
        <v>9524</v>
      </c>
      <c r="D1434" s="3">
        <v>6141</v>
      </c>
      <c r="E1434" s="1" t="s">
        <v>43</v>
      </c>
      <c r="F1434" s="1" t="s">
        <v>9525</v>
      </c>
      <c r="G1434" s="1" t="s">
        <v>9526</v>
      </c>
      <c r="H1434" s="4">
        <v>1.1200000000000001</v>
      </c>
      <c r="I1434" s="4">
        <v>7</v>
      </c>
      <c r="J1434" s="5">
        <v>120</v>
      </c>
      <c r="K1434" s="4">
        <v>16</v>
      </c>
      <c r="L1434" s="1" t="s">
        <v>46</v>
      </c>
      <c r="M1434" s="1" t="s">
        <v>47</v>
      </c>
      <c r="N1434" s="3">
        <v>256664103</v>
      </c>
      <c r="O1434" s="1" t="s">
        <v>48</v>
      </c>
      <c r="P1434" s="1" t="s">
        <v>9527</v>
      </c>
      <c r="Q1434" s="4">
        <v>1.375</v>
      </c>
      <c r="R1434" s="4">
        <v>1.4379999999999999</v>
      </c>
      <c r="S1434" s="10">
        <v>4.1875</v>
      </c>
      <c r="T1434" s="1" t="s">
        <v>50</v>
      </c>
      <c r="U1434" s="1"/>
      <c r="V1434" s="1"/>
      <c r="W1434" s="1"/>
      <c r="X1434" s="5">
        <v>115</v>
      </c>
      <c r="Y1434" s="7">
        <v>7378125</v>
      </c>
      <c r="Z1434" s="7">
        <v>121875</v>
      </c>
      <c r="AA1434" s="1" t="s">
        <v>9528</v>
      </c>
      <c r="AB1434" s="1" t="s">
        <v>9529</v>
      </c>
      <c r="AC1434" s="1" t="s">
        <v>7759</v>
      </c>
      <c r="AD1434" s="1" t="s">
        <v>9530</v>
      </c>
      <c r="AE1434" s="1" t="s">
        <v>51</v>
      </c>
      <c r="AF1434" s="1" t="s">
        <v>51</v>
      </c>
      <c r="AG1434" s="1" t="s">
        <v>51</v>
      </c>
      <c r="AH1434" s="1"/>
      <c r="AI1434" s="1"/>
      <c r="AJ1434" s="3">
        <v>2</v>
      </c>
      <c r="AK1434" s="1" t="s">
        <v>89</v>
      </c>
      <c r="AL1434" s="3">
        <v>7</v>
      </c>
      <c r="AM1434" s="8">
        <v>16</v>
      </c>
      <c r="AN1434" s="1"/>
      <c r="AO1434" s="1" t="s">
        <v>9531</v>
      </c>
      <c r="AP1434" s="1" t="s">
        <v>9532</v>
      </c>
      <c r="AQ1434" s="1" t="s">
        <v>9533</v>
      </c>
      <c r="AR1434" s="1" t="s">
        <v>9534</v>
      </c>
    </row>
    <row r="1435">
      <c r="A1435" s="2">
        <f ca="1">DATE(2004,09,24)</f>
        <v>0</v>
      </c>
      <c r="B1435" s="2">
        <f ca="1">DATE(2005,01,27)</f>
        <v>0</v>
      </c>
      <c r="C1435" s="1" t="s">
        <v>9535</v>
      </c>
      <c r="D1435" s="3">
        <v>6331</v>
      </c>
      <c r="E1435" s="1" t="s">
        <v>43</v>
      </c>
      <c r="F1435" s="1" t="s">
        <v>9536</v>
      </c>
      <c r="G1435" s="1" t="s">
        <v>45</v>
      </c>
      <c r="H1435" s="4">
        <v>0.94499999999999995</v>
      </c>
      <c r="I1435" s="8">
        <v>7</v>
      </c>
      <c r="J1435" s="5">
        <v>51.899999999999999</v>
      </c>
      <c r="K1435" s="4">
        <v>13.5</v>
      </c>
      <c r="L1435" s="1" t="s">
        <v>46</v>
      </c>
      <c r="M1435" s="1" t="s">
        <v>47</v>
      </c>
      <c r="N1435" s="1" t="s">
        <v>9537</v>
      </c>
      <c r="O1435" s="1" t="s">
        <v>48</v>
      </c>
      <c r="P1435" s="1" t="s">
        <v>9538</v>
      </c>
      <c r="Q1435" s="1" t="s">
        <v>145</v>
      </c>
      <c r="R1435" s="1" t="s">
        <v>145</v>
      </c>
      <c r="S1435" s="6">
        <v>4.1481500000000002</v>
      </c>
      <c r="T1435" s="1" t="s">
        <v>50</v>
      </c>
      <c r="U1435" s="1"/>
      <c r="V1435" s="1"/>
      <c r="W1435" s="1"/>
      <c r="X1435" s="5">
        <v>65</v>
      </c>
      <c r="Y1435" s="7">
        <v>3350000</v>
      </c>
      <c r="Z1435" s="7">
        <v>497000</v>
      </c>
      <c r="AA1435" s="1" t="s">
        <v>9539</v>
      </c>
      <c r="AB1435" s="1" t="s">
        <v>9540</v>
      </c>
      <c r="AC1435" s="1" t="s">
        <v>2068</v>
      </c>
      <c r="AD1435" s="1" t="s">
        <v>9541</v>
      </c>
      <c r="AE1435" s="1" t="s">
        <v>51</v>
      </c>
      <c r="AF1435" s="1" t="s">
        <v>51</v>
      </c>
      <c r="AG1435" s="1" t="s">
        <v>51</v>
      </c>
      <c r="AH1435" s="1" t="s">
        <v>9542</v>
      </c>
      <c r="AI1435" s="1" t="s">
        <v>9543</v>
      </c>
      <c r="AJ1435" s="3">
        <v>1</v>
      </c>
      <c r="AK1435" s="1" t="s">
        <v>52</v>
      </c>
      <c r="AL1435" s="3">
        <v>3</v>
      </c>
      <c r="AM1435" s="8">
        <v>15.58</v>
      </c>
      <c r="AN1435" s="1"/>
      <c r="AO1435" s="1" t="s">
        <v>9544</v>
      </c>
      <c r="AP1435" s="1" t="s">
        <v>45</v>
      </c>
      <c r="AQ1435" s="1" t="s">
        <v>9545</v>
      </c>
      <c r="AR1435" s="1" t="s">
        <v>9546</v>
      </c>
    </row>
    <row r="1436">
      <c r="A1436" s="2">
        <f ca="1">DATE(2004,05,03)</f>
        <v>0</v>
      </c>
      <c r="B1436" s="2">
        <f ca="1">DATE(2005,01,27)</f>
        <v>0</v>
      </c>
      <c r="C1436" s="1" t="s">
        <v>9547</v>
      </c>
      <c r="D1436" s="3">
        <v>1311</v>
      </c>
      <c r="E1436" s="1" t="s">
        <v>43</v>
      </c>
      <c r="F1436" s="1" t="s">
        <v>9548</v>
      </c>
      <c r="G1436" s="1" t="s">
        <v>9549</v>
      </c>
      <c r="H1436" s="4">
        <v>1.2350000000000001</v>
      </c>
      <c r="I1436" s="4">
        <v>6.5</v>
      </c>
      <c r="J1436" s="5">
        <v>240.5</v>
      </c>
      <c r="K1436" s="4">
        <v>19</v>
      </c>
      <c r="L1436" s="1" t="s">
        <v>46</v>
      </c>
      <c r="M1436" s="1" t="s">
        <v>47</v>
      </c>
      <c r="N1436" s="1" t="s">
        <v>9550</v>
      </c>
      <c r="O1436" s="1" t="s">
        <v>108</v>
      </c>
      <c r="P1436" s="1" t="s">
        <v>9551</v>
      </c>
      <c r="Q1436" s="4">
        <v>1.2629999999999999</v>
      </c>
      <c r="R1436" s="4">
        <v>1.3420000000000001</v>
      </c>
      <c r="S1436" s="6">
        <v>3.8947400000000001</v>
      </c>
      <c r="T1436" s="1" t="s">
        <v>50</v>
      </c>
      <c r="U1436" s="1"/>
      <c r="V1436" s="1"/>
      <c r="W1436" s="1"/>
      <c r="X1436" s="5">
        <v>201.30000000000001</v>
      </c>
      <c r="Y1436" s="1"/>
      <c r="Z1436" s="7">
        <v>12655263</v>
      </c>
      <c r="AA1436" s="1" t="s">
        <v>9528</v>
      </c>
      <c r="AB1436" s="1" t="s">
        <v>9552</v>
      </c>
      <c r="AC1436" s="1" t="s">
        <v>7759</v>
      </c>
      <c r="AD1436" s="1" t="s">
        <v>9553</v>
      </c>
      <c r="AE1436" s="1" t="s">
        <v>51</v>
      </c>
      <c r="AF1436" s="1" t="s">
        <v>51</v>
      </c>
      <c r="AG1436" s="1" t="s">
        <v>51</v>
      </c>
      <c r="AH1436" s="1"/>
      <c r="AI1436" s="1"/>
      <c r="AJ1436" s="3">
        <v>2</v>
      </c>
      <c r="AK1436" s="1" t="s">
        <v>89</v>
      </c>
      <c r="AL1436" s="3">
        <v>6</v>
      </c>
      <c r="AM1436" s="8">
        <v>18.5</v>
      </c>
      <c r="AN1436" s="1"/>
      <c r="AO1436" s="1" t="s">
        <v>9554</v>
      </c>
      <c r="AP1436" s="1" t="s">
        <v>9555</v>
      </c>
      <c r="AQ1436" s="1" t="s">
        <v>9556</v>
      </c>
      <c r="AR1436" s="1" t="s">
        <v>9557</v>
      </c>
    </row>
    <row r="1437">
      <c r="A1437" s="2">
        <f ca="1">DATE(2004,04,08)</f>
        <v>0</v>
      </c>
      <c r="B1437" s="2">
        <f ca="1">DATE(2005,02,02)</f>
        <v>0</v>
      </c>
      <c r="C1437" s="1" t="s">
        <v>9558</v>
      </c>
      <c r="D1437" s="3">
        <v>2836</v>
      </c>
      <c r="E1437" s="1" t="s">
        <v>43</v>
      </c>
      <c r="F1437" s="1" t="s">
        <v>9559</v>
      </c>
      <c r="G1437" s="1" t="s">
        <v>411</v>
      </c>
      <c r="H1437" s="4">
        <v>0.48999999999999999</v>
      </c>
      <c r="I1437" s="8">
        <v>7</v>
      </c>
      <c r="J1437" s="5">
        <v>42</v>
      </c>
      <c r="K1437" s="4">
        <v>7</v>
      </c>
      <c r="L1437" s="1" t="s">
        <v>46</v>
      </c>
      <c r="M1437" s="1" t="s">
        <v>47</v>
      </c>
      <c r="N1437" s="3">
        <v>312088107</v>
      </c>
      <c r="O1437" s="1" t="s">
        <v>48</v>
      </c>
      <c r="P1437" s="1" t="s">
        <v>9560</v>
      </c>
      <c r="Q1437" s="1" t="s">
        <v>145</v>
      </c>
      <c r="R1437" s="1" t="s">
        <v>145</v>
      </c>
      <c r="S1437" s="6">
        <v>4.1428599999999998</v>
      </c>
      <c r="T1437" s="1" t="s">
        <v>50</v>
      </c>
      <c r="U1437" s="1"/>
      <c r="V1437" s="1"/>
      <c r="W1437" s="1"/>
      <c r="X1437" s="5">
        <v>86.299999999999997</v>
      </c>
      <c r="Y1437" s="7">
        <v>6000000</v>
      </c>
      <c r="Z1437" s="1"/>
      <c r="AA1437" s="1" t="s">
        <v>9561</v>
      </c>
      <c r="AB1437" s="1" t="s">
        <v>9562</v>
      </c>
      <c r="AC1437" s="1" t="s">
        <v>9563</v>
      </c>
      <c r="AD1437" s="1" t="s">
        <v>9564</v>
      </c>
      <c r="AE1437" s="1" t="s">
        <v>51</v>
      </c>
      <c r="AF1437" s="1" t="s">
        <v>51</v>
      </c>
      <c r="AG1437" s="1" t="s">
        <v>47</v>
      </c>
      <c r="AH1437" s="1"/>
      <c r="AI1437" s="1"/>
      <c r="AJ1437" s="3">
        <v>1</v>
      </c>
      <c r="AK1437" s="1" t="s">
        <v>52</v>
      </c>
      <c r="AL1437" s="3">
        <v>4</v>
      </c>
      <c r="AM1437" s="1"/>
      <c r="AN1437" s="1"/>
      <c r="AO1437" s="1" t="s">
        <v>9565</v>
      </c>
      <c r="AP1437" s="1" t="s">
        <v>411</v>
      </c>
      <c r="AQ1437" s="1" t="s">
        <v>9566</v>
      </c>
      <c r="AR1437" s="1" t="s">
        <v>9560</v>
      </c>
    </row>
    <row r="1438">
      <c r="A1438" s="2">
        <f ca="1">DATE(2004,10,15)</f>
        <v>0</v>
      </c>
      <c r="B1438" s="2">
        <f ca="1">DATE(2005,02,03)</f>
        <v>0</v>
      </c>
      <c r="C1438" s="1" t="s">
        <v>9567</v>
      </c>
      <c r="D1438" s="3">
        <v>7389</v>
      </c>
      <c r="E1438" s="1" t="s">
        <v>43</v>
      </c>
      <c r="F1438" s="1" t="s">
        <v>9568</v>
      </c>
      <c r="G1438" s="1" t="s">
        <v>7893</v>
      </c>
      <c r="H1438" s="4">
        <v>0.91000000000000003</v>
      </c>
      <c r="I1438" s="4">
        <v>7</v>
      </c>
      <c r="J1438" s="5">
        <v>173.59999999999999</v>
      </c>
      <c r="K1438" s="4">
        <v>13</v>
      </c>
      <c r="L1438" s="1" t="s">
        <v>46</v>
      </c>
      <c r="M1438" s="1" t="s">
        <v>47</v>
      </c>
      <c r="N1438" s="1" t="s">
        <v>9569</v>
      </c>
      <c r="O1438" s="1" t="s">
        <v>108</v>
      </c>
      <c r="P1438" s="1" t="s">
        <v>9570</v>
      </c>
      <c r="Q1438" s="4">
        <v>1.3999999999999999</v>
      </c>
      <c r="R1438" s="4">
        <v>1.3999999999999999</v>
      </c>
      <c r="S1438" s="8">
        <v>4.2000000000000002</v>
      </c>
      <c r="T1438" s="1" t="s">
        <v>50</v>
      </c>
      <c r="U1438" s="1"/>
      <c r="V1438" s="1"/>
      <c r="W1438" s="1"/>
      <c r="X1438" s="5">
        <v>230</v>
      </c>
      <c r="Y1438" s="7">
        <v>7666667</v>
      </c>
      <c r="Z1438" s="7">
        <v>5683333</v>
      </c>
      <c r="AA1438" s="1" t="s">
        <v>9571</v>
      </c>
      <c r="AB1438" s="1" t="s">
        <v>9572</v>
      </c>
      <c r="AC1438" s="1" t="s">
        <v>7759</v>
      </c>
      <c r="AD1438" s="1" t="s">
        <v>9573</v>
      </c>
      <c r="AE1438" s="1" t="s">
        <v>51</v>
      </c>
      <c r="AF1438" s="1" t="s">
        <v>51</v>
      </c>
      <c r="AG1438" s="1" t="s">
        <v>51</v>
      </c>
      <c r="AH1438" s="1"/>
      <c r="AI1438" s="1"/>
      <c r="AJ1438" s="3">
        <v>2</v>
      </c>
      <c r="AK1438" s="1" t="s">
        <v>89</v>
      </c>
      <c r="AL1438" s="3">
        <v>5</v>
      </c>
      <c r="AM1438" s="8">
        <v>13.75</v>
      </c>
      <c r="AN1438" s="1"/>
      <c r="AO1438" s="1" t="s">
        <v>9574</v>
      </c>
      <c r="AP1438" s="1" t="s">
        <v>4528</v>
      </c>
      <c r="AQ1438" s="1" t="s">
        <v>9575</v>
      </c>
      <c r="AR1438" s="1" t="s">
        <v>9576</v>
      </c>
    </row>
    <row r="1439">
      <c r="A1439" s="2">
        <f ca="1">DATE(2004,03,25)</f>
        <v>0</v>
      </c>
      <c r="B1439" s="2">
        <f ca="1">DATE(2005,02,03)</f>
        <v>0</v>
      </c>
      <c r="C1439" s="1" t="s">
        <v>9577</v>
      </c>
      <c r="D1439" s="3">
        <v>4813</v>
      </c>
      <c r="E1439" s="1" t="s">
        <v>43</v>
      </c>
      <c r="F1439" s="1" t="s">
        <v>9578</v>
      </c>
      <c r="G1439" s="1" t="s">
        <v>9579</v>
      </c>
      <c r="H1439" s="4">
        <v>1.1100000000000001</v>
      </c>
      <c r="I1439" s="4">
        <v>6</v>
      </c>
      <c r="J1439" s="5">
        <v>462.5</v>
      </c>
      <c r="K1439" s="4">
        <v>18.5</v>
      </c>
      <c r="L1439" s="1" t="s">
        <v>46</v>
      </c>
      <c r="M1439" s="1" t="s">
        <v>47</v>
      </c>
      <c r="N1439" s="3">
        <v>305560104</v>
      </c>
      <c r="O1439" s="1" t="s">
        <v>108</v>
      </c>
      <c r="P1439" s="1" t="s">
        <v>9580</v>
      </c>
      <c r="Q1439" s="4">
        <v>1.2</v>
      </c>
      <c r="R1439" s="4">
        <v>0.90800000000000003</v>
      </c>
      <c r="S1439" s="6">
        <v>3.8918900000000001</v>
      </c>
      <c r="T1439" s="1" t="s">
        <v>50</v>
      </c>
      <c r="U1439" s="1"/>
      <c r="V1439" s="1"/>
      <c r="W1439" s="1"/>
      <c r="X1439" s="5">
        <v>750</v>
      </c>
      <c r="Y1439" s="7">
        <v>25000000</v>
      </c>
      <c r="Z1439" s="1"/>
      <c r="AA1439" s="1" t="s">
        <v>9581</v>
      </c>
      <c r="AB1439" s="1" t="s">
        <v>9582</v>
      </c>
      <c r="AC1439" s="1" t="s">
        <v>8939</v>
      </c>
      <c r="AD1439" s="1" t="s">
        <v>9583</v>
      </c>
      <c r="AE1439" s="1" t="s">
        <v>51</v>
      </c>
      <c r="AF1439" s="1" t="s">
        <v>51</v>
      </c>
      <c r="AG1439" s="1" t="s">
        <v>51</v>
      </c>
      <c r="AH1439" s="1"/>
      <c r="AI1439" s="1"/>
      <c r="AJ1439" s="3">
        <v>4</v>
      </c>
      <c r="AK1439" s="1" t="s">
        <v>1209</v>
      </c>
      <c r="AL1439" s="3">
        <v>6</v>
      </c>
      <c r="AM1439" s="8">
        <v>18.050000000000001</v>
      </c>
      <c r="AN1439" s="1"/>
      <c r="AO1439" s="1" t="s">
        <v>9584</v>
      </c>
      <c r="AP1439" s="1" t="s">
        <v>9585</v>
      </c>
      <c r="AQ1439" s="1" t="s">
        <v>9586</v>
      </c>
      <c r="AR1439" s="1" t="s">
        <v>9587</v>
      </c>
    </row>
    <row r="1440">
      <c r="A1440" s="2">
        <f ca="1">DATE(2005,01,28)</f>
        <v>0</v>
      </c>
      <c r="B1440" s="2">
        <f ca="1">DATE(2005,02,03)</f>
        <v>0</v>
      </c>
      <c r="C1440" s="1" t="s">
        <v>9588</v>
      </c>
      <c r="D1440" s="3">
        <v>4812</v>
      </c>
      <c r="E1440" s="1" t="s">
        <v>744</v>
      </c>
      <c r="F1440" s="1" t="s">
        <v>9589</v>
      </c>
      <c r="G1440" s="1" t="s">
        <v>6201</v>
      </c>
      <c r="H1440" s="4">
        <v>0.71799999999999997</v>
      </c>
      <c r="I1440" s="4">
        <v>7</v>
      </c>
      <c r="J1440" s="5">
        <v>70.5</v>
      </c>
      <c r="K1440" s="4">
        <v>10.25</v>
      </c>
      <c r="L1440" s="1" t="s">
        <v>651</v>
      </c>
      <c r="M1440" s="1" t="s">
        <v>47</v>
      </c>
      <c r="N1440" s="3">
        <v>447773102</v>
      </c>
      <c r="O1440" s="1" t="s">
        <v>48</v>
      </c>
      <c r="P1440" s="1" t="s">
        <v>9590</v>
      </c>
      <c r="Q1440" s="4">
        <v>1.3660000000000001</v>
      </c>
      <c r="R1440" s="4">
        <v>1.3660000000000001</v>
      </c>
      <c r="S1440" s="6">
        <v>4.2048800000000002</v>
      </c>
      <c r="T1440" s="1" t="s">
        <v>50</v>
      </c>
      <c r="U1440" s="8">
        <v>11.6</v>
      </c>
      <c r="V1440" s="8">
        <v>9.5999999999999996</v>
      </c>
      <c r="W1440" s="7">
        <v>6880000</v>
      </c>
      <c r="X1440" s="5">
        <v>72.900000000000006</v>
      </c>
      <c r="Y1440" s="7">
        <v>6624339</v>
      </c>
      <c r="Z1440" s="7">
        <v>255661</v>
      </c>
      <c r="AA1440" s="1" t="s">
        <v>9591</v>
      </c>
      <c r="AB1440" s="1" t="s">
        <v>9592</v>
      </c>
      <c r="AC1440" s="1" t="s">
        <v>2068</v>
      </c>
      <c r="AD1440" s="1" t="s">
        <v>9593</v>
      </c>
      <c r="AE1440" s="1" t="s">
        <v>47</v>
      </c>
      <c r="AF1440" s="1" t="s">
        <v>51</v>
      </c>
      <c r="AG1440" s="1" t="s">
        <v>47</v>
      </c>
      <c r="AH1440" s="1"/>
      <c r="AI1440" s="1"/>
      <c r="AJ1440" s="3">
        <v>1</v>
      </c>
      <c r="AK1440" s="1" t="s">
        <v>52</v>
      </c>
      <c r="AL1440" s="3">
        <v>3</v>
      </c>
      <c r="AM1440" s="8">
        <v>10.25</v>
      </c>
      <c r="AN1440" s="1"/>
      <c r="AO1440" s="1" t="s">
        <v>9594</v>
      </c>
      <c r="AP1440" s="1" t="s">
        <v>6201</v>
      </c>
      <c r="AQ1440" s="1" t="s">
        <v>9595</v>
      </c>
      <c r="AR1440" s="1" t="s">
        <v>9590</v>
      </c>
    </row>
    <row r="1441">
      <c r="A1441" s="2">
        <f ca="1">DATE(2004,04,08)</f>
        <v>0</v>
      </c>
      <c r="B1441" s="2">
        <f ca="1">DATE(2005,02,03)</f>
        <v>0</v>
      </c>
      <c r="C1441" s="1" t="s">
        <v>9596</v>
      </c>
      <c r="D1441" s="3">
        <v>2834</v>
      </c>
      <c r="E1441" s="1" t="s">
        <v>43</v>
      </c>
      <c r="F1441" s="1" t="s">
        <v>9597</v>
      </c>
      <c r="G1441" s="1" t="s">
        <v>9468</v>
      </c>
      <c r="H1441" s="4">
        <v>0.56000000000000005</v>
      </c>
      <c r="I1441" s="4">
        <v>7</v>
      </c>
      <c r="J1441" s="5">
        <v>40</v>
      </c>
      <c r="K1441" s="4">
        <v>8</v>
      </c>
      <c r="L1441" s="1" t="s">
        <v>46</v>
      </c>
      <c r="M1441" s="1" t="s">
        <v>47</v>
      </c>
      <c r="N1441" s="1" t="s">
        <v>9598</v>
      </c>
      <c r="O1441" s="1" t="s">
        <v>48</v>
      </c>
      <c r="P1441" s="1" t="s">
        <v>9599</v>
      </c>
      <c r="Q1441" s="1" t="s">
        <v>145</v>
      </c>
      <c r="R1441" s="1" t="s">
        <v>145</v>
      </c>
      <c r="S1441" s="8">
        <v>4.2000000000000002</v>
      </c>
      <c r="T1441" s="1" t="s">
        <v>50</v>
      </c>
      <c r="U1441" s="1"/>
      <c r="V1441" s="1"/>
      <c r="W1441" s="1"/>
      <c r="X1441" s="5">
        <v>86.299999999999997</v>
      </c>
      <c r="Y1441" s="7">
        <v>5000000</v>
      </c>
      <c r="Z1441" s="1"/>
      <c r="AA1441" s="1" t="s">
        <v>9591</v>
      </c>
      <c r="AB1441" s="1" t="s">
        <v>9600</v>
      </c>
      <c r="AC1441" s="1" t="s">
        <v>2068</v>
      </c>
      <c r="AD1441" s="1" t="s">
        <v>9601</v>
      </c>
      <c r="AE1441" s="1" t="s">
        <v>51</v>
      </c>
      <c r="AF1441" s="1" t="s">
        <v>51</v>
      </c>
      <c r="AG1441" s="1" t="s">
        <v>47</v>
      </c>
      <c r="AH1441" s="1"/>
      <c r="AI1441" s="1"/>
      <c r="AJ1441" s="3">
        <v>2</v>
      </c>
      <c r="AK1441" s="1" t="s">
        <v>89</v>
      </c>
      <c r="AL1441" s="3">
        <v>3</v>
      </c>
      <c r="AM1441" s="5">
        <v>7.2999999999999998</v>
      </c>
      <c r="AN1441" s="8">
        <v>8.0500000000000007</v>
      </c>
      <c r="AO1441" s="1" t="s">
        <v>9602</v>
      </c>
      <c r="AP1441" s="1" t="s">
        <v>9472</v>
      </c>
      <c r="AQ1441" s="1" t="s">
        <v>9603</v>
      </c>
      <c r="AR1441" s="1" t="s">
        <v>9604</v>
      </c>
    </row>
    <row r="1442">
      <c r="A1442" s="2">
        <f ca="1">DATE(2004,04,09)</f>
        <v>0</v>
      </c>
      <c r="B1442" s="2">
        <f ca="1">DATE(2005,02,03)</f>
        <v>0</v>
      </c>
      <c r="C1442" s="1" t="s">
        <v>9605</v>
      </c>
      <c r="D1442" s="3">
        <v>2836</v>
      </c>
      <c r="E1442" s="1" t="s">
        <v>43</v>
      </c>
      <c r="F1442" s="1" t="s">
        <v>9606</v>
      </c>
      <c r="G1442" s="1" t="s">
        <v>4080</v>
      </c>
      <c r="H1442" s="4">
        <v>0.48999999999999999</v>
      </c>
      <c r="I1442" s="8">
        <v>7</v>
      </c>
      <c r="J1442" s="5">
        <v>37.299999999999997</v>
      </c>
      <c r="K1442" s="4">
        <v>7</v>
      </c>
      <c r="L1442" s="1" t="s">
        <v>46</v>
      </c>
      <c r="M1442" s="1" t="s">
        <v>47</v>
      </c>
      <c r="N1442" s="3">
        <v>885807206</v>
      </c>
      <c r="O1442" s="1" t="s">
        <v>48</v>
      </c>
      <c r="P1442" s="1" t="s">
        <v>9607</v>
      </c>
      <c r="Q1442" s="4">
        <v>1.3999999999999999</v>
      </c>
      <c r="R1442" s="4">
        <v>1.3999999999999999</v>
      </c>
      <c r="S1442" s="8">
        <v>4.2000000000000002</v>
      </c>
      <c r="T1442" s="1" t="s">
        <v>50</v>
      </c>
      <c r="U1442" s="1"/>
      <c r="V1442" s="1"/>
      <c r="W1442" s="1"/>
      <c r="X1442" s="5">
        <v>86.299999999999997</v>
      </c>
      <c r="Y1442" s="7">
        <v>5333333</v>
      </c>
      <c r="Z1442" s="1"/>
      <c r="AA1442" s="2">
        <f ca="1">DATE(2005,08,02)</f>
        <v>0</v>
      </c>
      <c r="AB1442" s="4">
        <v>81.769000000000005</v>
      </c>
      <c r="AC1442" s="3">
        <v>180</v>
      </c>
      <c r="AD1442" s="8">
        <v>23921574</v>
      </c>
      <c r="AE1442" s="1" t="s">
        <v>51</v>
      </c>
      <c r="AF1442" s="1" t="s">
        <v>51</v>
      </c>
      <c r="AG1442" s="1" t="s">
        <v>47</v>
      </c>
      <c r="AH1442" s="1"/>
      <c r="AI1442" s="1"/>
      <c r="AJ1442" s="3">
        <v>2</v>
      </c>
      <c r="AK1442" s="1" t="s">
        <v>89</v>
      </c>
      <c r="AL1442" s="3">
        <v>4</v>
      </c>
      <c r="AM1442" s="1"/>
      <c r="AN1442" s="1"/>
      <c r="AO1442" s="1" t="s">
        <v>9608</v>
      </c>
      <c r="AP1442" s="1" t="s">
        <v>4084</v>
      </c>
      <c r="AQ1442" s="1" t="s">
        <v>9609</v>
      </c>
      <c r="AR1442" s="1" t="s">
        <v>9607</v>
      </c>
    </row>
    <row r="1443">
      <c r="A1443" s="2">
        <f ca="1">DATE(2005,01,13)</f>
        <v>0</v>
      </c>
      <c r="B1443" s="2">
        <f ca="1">DATE(2005,02,03)</f>
        <v>0</v>
      </c>
      <c r="C1443" s="1" t="s">
        <v>9610</v>
      </c>
      <c r="D1443" s="3">
        <v>4412</v>
      </c>
      <c r="E1443" s="1" t="s">
        <v>3764</v>
      </c>
      <c r="F1443" s="1" t="s">
        <v>9611</v>
      </c>
      <c r="G1443" s="1" t="s">
        <v>8214</v>
      </c>
      <c r="H1443" s="4">
        <v>1.0800000000000001</v>
      </c>
      <c r="I1443" s="4">
        <v>6</v>
      </c>
      <c r="J1443" s="5">
        <v>234</v>
      </c>
      <c r="K1443" s="4">
        <v>18</v>
      </c>
      <c r="L1443" s="1" t="s">
        <v>46</v>
      </c>
      <c r="M1443" s="1" t="s">
        <v>47</v>
      </c>
      <c r="N1443" s="1" t="s">
        <v>9612</v>
      </c>
      <c r="O1443" s="1" t="s">
        <v>48</v>
      </c>
      <c r="P1443" s="1" t="s">
        <v>9613</v>
      </c>
      <c r="Q1443" s="4">
        <v>1.194</v>
      </c>
      <c r="R1443" s="4">
        <v>1.194</v>
      </c>
      <c r="S1443" s="6">
        <v>3.61111</v>
      </c>
      <c r="T1443" s="1" t="s">
        <v>50</v>
      </c>
      <c r="U1443" s="8">
        <v>18</v>
      </c>
      <c r="V1443" s="8">
        <v>16</v>
      </c>
      <c r="W1443" s="7">
        <v>7100000</v>
      </c>
      <c r="X1443" s="5">
        <v>120.7</v>
      </c>
      <c r="Y1443" s="7">
        <v>13000000</v>
      </c>
      <c r="Z1443" s="1"/>
      <c r="AA1443" s="1" t="s">
        <v>9571</v>
      </c>
      <c r="AB1443" s="1" t="s">
        <v>9614</v>
      </c>
      <c r="AC1443" s="1" t="s">
        <v>7759</v>
      </c>
      <c r="AD1443" s="1" t="s">
        <v>9615</v>
      </c>
      <c r="AE1443" s="1" t="s">
        <v>51</v>
      </c>
      <c r="AF1443" s="1" t="s">
        <v>51</v>
      </c>
      <c r="AG1443" s="1" t="s">
        <v>51</v>
      </c>
      <c r="AH1443" s="1"/>
      <c r="AI1443" s="1"/>
      <c r="AJ1443" s="3">
        <v>1</v>
      </c>
      <c r="AK1443" s="1" t="s">
        <v>52</v>
      </c>
      <c r="AL1443" s="3">
        <v>5</v>
      </c>
      <c r="AM1443" s="1"/>
      <c r="AN1443" s="1"/>
      <c r="AO1443" s="1" t="s">
        <v>9616</v>
      </c>
      <c r="AP1443" s="1" t="s">
        <v>8214</v>
      </c>
      <c r="AQ1443" s="1" t="s">
        <v>9617</v>
      </c>
      <c r="AR1443" s="1" t="s">
        <v>9618</v>
      </c>
    </row>
    <row r="1444">
      <c r="A1444" s="2">
        <f ca="1">DATE(2005,01,31)</f>
        <v>0</v>
      </c>
      <c r="B1444" s="2">
        <f ca="1">DATE(2005,02,07)</f>
        <v>0</v>
      </c>
      <c r="C1444" s="1" t="s">
        <v>9619</v>
      </c>
      <c r="D1444" s="3">
        <v>7371</v>
      </c>
      <c r="E1444" s="1" t="s">
        <v>1204</v>
      </c>
      <c r="F1444" s="1" t="s">
        <v>9620</v>
      </c>
      <c r="G1444" s="1" t="s">
        <v>168</v>
      </c>
      <c r="H1444" s="4">
        <v>0.94499999999999995</v>
      </c>
      <c r="I1444" s="8">
        <v>7</v>
      </c>
      <c r="J1444" s="5">
        <v>108</v>
      </c>
      <c r="K1444" s="4">
        <v>13.5</v>
      </c>
      <c r="L1444" s="1" t="s">
        <v>651</v>
      </c>
      <c r="M1444" s="1" t="s">
        <v>47</v>
      </c>
      <c r="N1444" s="1" t="s">
        <v>9621</v>
      </c>
      <c r="O1444" s="1" t="s">
        <v>48</v>
      </c>
      <c r="P1444" s="1" t="s">
        <v>9622</v>
      </c>
      <c r="Q1444" s="4">
        <v>1.3999999999999999</v>
      </c>
      <c r="R1444" s="4">
        <v>1.3999999999999999</v>
      </c>
      <c r="S1444" s="8">
        <v>4.2000000000000002</v>
      </c>
      <c r="T1444" s="1" t="s">
        <v>50</v>
      </c>
      <c r="U1444" s="8">
        <v>15.5</v>
      </c>
      <c r="V1444" s="8">
        <v>13.5</v>
      </c>
      <c r="W1444" s="7">
        <v>9300000</v>
      </c>
      <c r="X1444" s="5">
        <v>134.90000000000001</v>
      </c>
      <c r="Y1444" s="7">
        <v>5600000</v>
      </c>
      <c r="Z1444" s="7">
        <v>2400000</v>
      </c>
      <c r="AA1444" s="1" t="s">
        <v>9623</v>
      </c>
      <c r="AB1444" s="1" t="s">
        <v>9624</v>
      </c>
      <c r="AC1444" s="1" t="s">
        <v>7759</v>
      </c>
      <c r="AD1444" s="1" t="s">
        <v>9625</v>
      </c>
      <c r="AE1444" s="1" t="s">
        <v>47</v>
      </c>
      <c r="AF1444" s="1" t="s">
        <v>51</v>
      </c>
      <c r="AG1444" s="1" t="s">
        <v>47</v>
      </c>
      <c r="AH1444" s="1"/>
      <c r="AI1444" s="1"/>
      <c r="AJ1444" s="3">
        <v>1</v>
      </c>
      <c r="AK1444" s="1" t="s">
        <v>52</v>
      </c>
      <c r="AL1444" s="3">
        <v>4</v>
      </c>
      <c r="AM1444" s="8">
        <v>12.59</v>
      </c>
      <c r="AN1444" s="1"/>
      <c r="AO1444" s="1" t="s">
        <v>9626</v>
      </c>
      <c r="AP1444" s="1" t="s">
        <v>168</v>
      </c>
      <c r="AQ1444" s="1" t="s">
        <v>9627</v>
      </c>
      <c r="AR1444" s="1" t="s">
        <v>9628</v>
      </c>
    </row>
    <row r="1445">
      <c r="A1445" s="2">
        <f ca="1">DATE(2004,11,23)</f>
        <v>0</v>
      </c>
      <c r="B1445" s="2">
        <f ca="1">DATE(2005,02,08)</f>
        <v>0</v>
      </c>
      <c r="C1445" s="1" t="s">
        <v>9629</v>
      </c>
      <c r="D1445" s="3">
        <v>7389</v>
      </c>
      <c r="E1445" s="1" t="s">
        <v>43</v>
      </c>
      <c r="F1445" s="1" t="s">
        <v>9630</v>
      </c>
      <c r="G1445" s="1" t="s">
        <v>9631</v>
      </c>
      <c r="H1445" s="4">
        <v>0.91000000000000003</v>
      </c>
      <c r="I1445" s="4">
        <v>7</v>
      </c>
      <c r="J1445" s="5">
        <v>170.30000000000001</v>
      </c>
      <c r="K1445" s="4">
        <v>13</v>
      </c>
      <c r="L1445" s="1" t="s">
        <v>46</v>
      </c>
      <c r="M1445" s="1" t="s">
        <v>47</v>
      </c>
      <c r="N1445" s="1" t="s">
        <v>9632</v>
      </c>
      <c r="O1445" s="1" t="s">
        <v>108</v>
      </c>
      <c r="P1445" s="1" t="s">
        <v>9633</v>
      </c>
      <c r="Q1445" s="4">
        <v>1.3999999999999999</v>
      </c>
      <c r="R1445" s="4">
        <v>1.3999999999999999</v>
      </c>
      <c r="S1445" s="8">
        <v>4.2000000000000002</v>
      </c>
      <c r="T1445" s="1" t="s">
        <v>50</v>
      </c>
      <c r="U1445" s="1"/>
      <c r="V1445" s="1"/>
      <c r="W1445" s="1"/>
      <c r="X1445" s="5">
        <v>180</v>
      </c>
      <c r="Y1445" s="7">
        <v>13100000</v>
      </c>
      <c r="Z1445" s="1"/>
      <c r="AA1445" s="2">
        <f ca="1">DATE(2005,08,07)</f>
        <v>0</v>
      </c>
      <c r="AB1445" s="1"/>
      <c r="AC1445" s="3">
        <v>180</v>
      </c>
      <c r="AD1445" s="1"/>
      <c r="AE1445" s="1" t="s">
        <v>51</v>
      </c>
      <c r="AF1445" s="1" t="s">
        <v>51</v>
      </c>
      <c r="AG1445" s="1" t="s">
        <v>51</v>
      </c>
      <c r="AH1445" s="1"/>
      <c r="AI1445" s="1"/>
      <c r="AJ1445" s="3">
        <v>2</v>
      </c>
      <c r="AK1445" s="1" t="s">
        <v>110</v>
      </c>
      <c r="AL1445" s="3">
        <v>5</v>
      </c>
      <c r="AM1445" s="8">
        <v>13.6</v>
      </c>
      <c r="AN1445" s="1"/>
      <c r="AO1445" s="1" t="s">
        <v>9634</v>
      </c>
      <c r="AP1445" s="1" t="s">
        <v>9635</v>
      </c>
      <c r="AQ1445" s="1" t="s">
        <v>9636</v>
      </c>
      <c r="AR1445" s="1" t="s">
        <v>9637</v>
      </c>
    </row>
    <row r="1446">
      <c r="A1446" s="2">
        <f ca="1">DATE(2004,10,13)</f>
        <v>0</v>
      </c>
      <c r="B1446" s="2">
        <f ca="1">DATE(2005,02,08)</f>
        <v>0</v>
      </c>
      <c r="C1446" s="1" t="s">
        <v>9638</v>
      </c>
      <c r="D1446" s="3">
        <v>7381</v>
      </c>
      <c r="E1446" s="1" t="s">
        <v>43</v>
      </c>
      <c r="F1446" s="1" t="s">
        <v>9639</v>
      </c>
      <c r="G1446" s="1" t="s">
        <v>9640</v>
      </c>
      <c r="H1446" s="4">
        <v>0.47999999999999998</v>
      </c>
      <c r="I1446" s="4">
        <v>8</v>
      </c>
      <c r="J1446" s="5">
        <v>10.800000000000001</v>
      </c>
      <c r="K1446" s="4">
        <v>6</v>
      </c>
      <c r="L1446" s="1" t="s">
        <v>46</v>
      </c>
      <c r="M1446" s="1" t="s">
        <v>47</v>
      </c>
      <c r="N1446" s="3">
        <v>895578201</v>
      </c>
      <c r="O1446" s="1" t="s">
        <v>48</v>
      </c>
      <c r="P1446" s="1" t="s">
        <v>9641</v>
      </c>
      <c r="Q1446" s="1" t="s">
        <v>145</v>
      </c>
      <c r="R1446" s="1" t="s">
        <v>145</v>
      </c>
      <c r="S1446" s="8">
        <v>4</v>
      </c>
      <c r="T1446" s="1" t="s">
        <v>50</v>
      </c>
      <c r="U1446" s="1"/>
      <c r="V1446" s="1"/>
      <c r="W1446" s="7">
        <v>1800000</v>
      </c>
      <c r="X1446" s="1"/>
      <c r="Y1446" s="7">
        <v>1800000</v>
      </c>
      <c r="Z1446" s="1"/>
      <c r="AA1446" s="2">
        <f ca="1">DATE(2006,02,03)</f>
        <v>0</v>
      </c>
      <c r="AB1446" s="4">
        <v>39.539000000000001</v>
      </c>
      <c r="AC1446" s="3">
        <v>360</v>
      </c>
      <c r="AD1446" s="8">
        <v>1200000</v>
      </c>
      <c r="AE1446" s="1" t="s">
        <v>51</v>
      </c>
      <c r="AF1446" s="1" t="s">
        <v>51</v>
      </c>
      <c r="AG1446" s="1" t="s">
        <v>51</v>
      </c>
      <c r="AH1446" s="1"/>
      <c r="AI1446" s="1"/>
      <c r="AJ1446" s="3">
        <v>2</v>
      </c>
      <c r="AK1446" s="1" t="s">
        <v>89</v>
      </c>
      <c r="AL1446" s="3">
        <v>2</v>
      </c>
      <c r="AM1446" s="8">
        <v>5.9500000000000002</v>
      </c>
      <c r="AN1446" s="1"/>
      <c r="AO1446" s="1" t="s">
        <v>9642</v>
      </c>
      <c r="AP1446" s="1" t="s">
        <v>9643</v>
      </c>
      <c r="AQ1446" s="1" t="s">
        <v>9644</v>
      </c>
      <c r="AR1446" s="1" t="s">
        <v>9645</v>
      </c>
    </row>
    <row r="1447">
      <c r="A1447" s="2">
        <f ca="1">DATE(2004,04,07)</f>
        <v>0</v>
      </c>
      <c r="B1447" s="2">
        <f ca="1">DATE(2005,02,08)</f>
        <v>0</v>
      </c>
      <c r="C1447" s="1" t="s">
        <v>9646</v>
      </c>
      <c r="D1447" s="3">
        <v>4813</v>
      </c>
      <c r="E1447" s="1" t="s">
        <v>43</v>
      </c>
      <c r="F1447" s="1" t="s">
        <v>9647</v>
      </c>
      <c r="G1447" s="1" t="s">
        <v>9648</v>
      </c>
      <c r="H1447" s="4">
        <v>0.90000000000000002</v>
      </c>
      <c r="I1447" s="4">
        <v>6</v>
      </c>
      <c r="J1447" s="5">
        <v>440.60000000000002</v>
      </c>
      <c r="K1447" s="4">
        <v>15</v>
      </c>
      <c r="L1447" s="1" t="s">
        <v>46</v>
      </c>
      <c r="M1447" s="1" t="s">
        <v>47</v>
      </c>
      <c r="N1447" s="3">
        <v>920255106</v>
      </c>
      <c r="O1447" s="1" t="s">
        <v>108</v>
      </c>
      <c r="P1447" s="1" t="s">
        <v>9649</v>
      </c>
      <c r="Q1447" s="4">
        <v>1.2</v>
      </c>
      <c r="R1447" s="4">
        <v>1.2</v>
      </c>
      <c r="S1447" s="8">
        <v>3.6000000000000001</v>
      </c>
      <c r="T1447" s="1" t="s">
        <v>50</v>
      </c>
      <c r="U1447" s="1"/>
      <c r="V1447" s="1"/>
      <c r="W1447" s="1"/>
      <c r="X1447" s="5">
        <v>875</v>
      </c>
      <c r="Y1447" s="7">
        <v>29375000</v>
      </c>
      <c r="Z1447" s="1"/>
      <c r="AA1447" s="1" t="s">
        <v>9650</v>
      </c>
      <c r="AB1447" s="1" t="s">
        <v>9651</v>
      </c>
      <c r="AC1447" s="1" t="s">
        <v>9652</v>
      </c>
      <c r="AD1447" s="1" t="s">
        <v>9653</v>
      </c>
      <c r="AE1447" s="1" t="s">
        <v>51</v>
      </c>
      <c r="AF1447" s="1" t="s">
        <v>51</v>
      </c>
      <c r="AG1447" s="1" t="s">
        <v>51</v>
      </c>
      <c r="AH1447" s="1"/>
      <c r="AI1447" s="1"/>
      <c r="AJ1447" s="3">
        <v>3</v>
      </c>
      <c r="AK1447" s="1" t="s">
        <v>110</v>
      </c>
      <c r="AL1447" s="3">
        <v>10</v>
      </c>
      <c r="AM1447" s="8">
        <v>15.310000000000001</v>
      </c>
      <c r="AN1447" s="1"/>
      <c r="AO1447" s="1" t="s">
        <v>9654</v>
      </c>
      <c r="AP1447" s="1" t="s">
        <v>9655</v>
      </c>
      <c r="AQ1447" s="1" t="s">
        <v>9656</v>
      </c>
      <c r="AR1447" s="1" t="s">
        <v>9657</v>
      </c>
    </row>
    <row r="1448">
      <c r="A1448" s="2">
        <f ca="1">DATE(2004,11,19)</f>
        <v>0</v>
      </c>
      <c r="B1448" s="2">
        <f ca="1">DATE(2005,02,09)</f>
        <v>0</v>
      </c>
      <c r="C1448" s="1" t="s">
        <v>9658</v>
      </c>
      <c r="D1448" s="3">
        <v>7376</v>
      </c>
      <c r="E1448" s="1" t="s">
        <v>43</v>
      </c>
      <c r="F1448" s="1" t="s">
        <v>9659</v>
      </c>
      <c r="G1448" s="1" t="s">
        <v>9660</v>
      </c>
      <c r="H1448" s="4">
        <v>0.91000000000000003</v>
      </c>
      <c r="I1448" s="4">
        <v>7</v>
      </c>
      <c r="J1448" s="5">
        <v>65</v>
      </c>
      <c r="K1448" s="4">
        <v>13</v>
      </c>
      <c r="L1448" s="1" t="s">
        <v>46</v>
      </c>
      <c r="M1448" s="1" t="s">
        <v>47</v>
      </c>
      <c r="N1448" s="1" t="s">
        <v>9661</v>
      </c>
      <c r="O1448" s="1" t="s">
        <v>48</v>
      </c>
      <c r="P1448" s="1" t="s">
        <v>9662</v>
      </c>
      <c r="Q1448" s="4">
        <v>1.385</v>
      </c>
      <c r="R1448" s="4">
        <v>1.385</v>
      </c>
      <c r="S1448" s="6">
        <v>4.2307699999999997</v>
      </c>
      <c r="T1448" s="1" t="s">
        <v>50</v>
      </c>
      <c r="U1448" s="1"/>
      <c r="V1448" s="1"/>
      <c r="W1448" s="1"/>
      <c r="X1448" s="5">
        <v>75</v>
      </c>
      <c r="Y1448" s="7">
        <v>5000000</v>
      </c>
      <c r="Z1448" s="1"/>
      <c r="AA1448" s="1" t="s">
        <v>9663</v>
      </c>
      <c r="AB1448" s="1" t="s">
        <v>9664</v>
      </c>
      <c r="AC1448" s="1" t="s">
        <v>9665</v>
      </c>
      <c r="AD1448" s="1" t="s">
        <v>9666</v>
      </c>
      <c r="AE1448" s="1" t="s">
        <v>51</v>
      </c>
      <c r="AF1448" s="1" t="s">
        <v>51</v>
      </c>
      <c r="AG1448" s="1" t="s">
        <v>47</v>
      </c>
      <c r="AH1448" s="1"/>
      <c r="AI1448" s="1"/>
      <c r="AJ1448" s="3">
        <v>2</v>
      </c>
      <c r="AK1448" s="1" t="s">
        <v>89</v>
      </c>
      <c r="AL1448" s="3">
        <v>4</v>
      </c>
      <c r="AM1448" s="8">
        <v>14.949999999999999</v>
      </c>
      <c r="AN1448" s="1"/>
      <c r="AO1448" s="1" t="s">
        <v>9667</v>
      </c>
      <c r="AP1448" s="1" t="s">
        <v>9668</v>
      </c>
      <c r="AQ1448" s="1" t="s">
        <v>9669</v>
      </c>
      <c r="AR1448" s="1" t="s">
        <v>9662</v>
      </c>
    </row>
    <row r="1449">
      <c r="A1449" s="2">
        <f ca="1">DATE(2005,01,25)</f>
        <v>0</v>
      </c>
      <c r="B1449" s="2">
        <f ca="1">DATE(2005,02,09)</f>
        <v>0</v>
      </c>
      <c r="C1449" s="1" t="s">
        <v>9670</v>
      </c>
      <c r="D1449" s="3">
        <v>6231</v>
      </c>
      <c r="E1449" s="1" t="s">
        <v>43</v>
      </c>
      <c r="F1449" s="1" t="s">
        <v>9671</v>
      </c>
      <c r="G1449" s="1" t="s">
        <v>3549</v>
      </c>
      <c r="H1449" s="4">
        <v>0.51800000000000002</v>
      </c>
      <c r="I1449" s="4">
        <v>5.75</v>
      </c>
      <c r="J1449" s="5">
        <v>155.19999999999999</v>
      </c>
      <c r="K1449" s="4">
        <v>9</v>
      </c>
      <c r="L1449" s="1" t="s">
        <v>46</v>
      </c>
      <c r="M1449" s="1" t="s">
        <v>47</v>
      </c>
      <c r="N1449" s="3">
        <v>631103108</v>
      </c>
      <c r="O1449" s="1" t="s">
        <v>48</v>
      </c>
      <c r="P1449" s="1" t="s">
        <v>9672</v>
      </c>
      <c r="Q1449" s="1" t="s">
        <v>145</v>
      </c>
      <c r="R1449" s="1" t="s">
        <v>145</v>
      </c>
      <c r="S1449" s="6">
        <v>3.4444400000000002</v>
      </c>
      <c r="T1449" s="1" t="s">
        <v>50</v>
      </c>
      <c r="U1449" s="1"/>
      <c r="V1449" s="1"/>
      <c r="W1449" s="1"/>
      <c r="X1449" s="5">
        <v>100</v>
      </c>
      <c r="Y1449" s="1"/>
      <c r="Z1449" s="7">
        <v>17246536</v>
      </c>
      <c r="AA1449" s="1" t="s">
        <v>9673</v>
      </c>
      <c r="AB1449" s="1" t="s">
        <v>2067</v>
      </c>
      <c r="AC1449" s="1" t="s">
        <v>9674</v>
      </c>
      <c r="AD1449" s="1" t="s">
        <v>2067</v>
      </c>
      <c r="AE1449" s="1" t="s">
        <v>51</v>
      </c>
      <c r="AF1449" s="1" t="s">
        <v>51</v>
      </c>
      <c r="AG1449" s="1" t="s">
        <v>51</v>
      </c>
      <c r="AH1449" s="1"/>
      <c r="AI1449" s="1"/>
      <c r="AJ1449" s="3">
        <v>2</v>
      </c>
      <c r="AK1449" s="1" t="s">
        <v>89</v>
      </c>
      <c r="AL1449" s="3">
        <v>6</v>
      </c>
      <c r="AM1449" s="8">
        <v>10.619999999999999</v>
      </c>
      <c r="AN1449" s="1"/>
      <c r="AO1449" s="1" t="s">
        <v>9675</v>
      </c>
      <c r="AP1449" s="1" t="s">
        <v>3553</v>
      </c>
      <c r="AQ1449" s="1" t="s">
        <v>9676</v>
      </c>
      <c r="AR1449" s="1" t="s">
        <v>9677</v>
      </c>
    </row>
    <row r="1450">
      <c r="A1450" s="2">
        <f ca="1">DATE(2004,07,28)</f>
        <v>0</v>
      </c>
      <c r="B1450" s="2">
        <f ca="1">DATE(2005,02,09)</f>
        <v>0</v>
      </c>
      <c r="C1450" s="1" t="s">
        <v>9678</v>
      </c>
      <c r="D1450" s="3">
        <v>2834</v>
      </c>
      <c r="E1450" s="1" t="s">
        <v>43</v>
      </c>
      <c r="F1450" s="1" t="s">
        <v>9679</v>
      </c>
      <c r="G1450" s="1" t="s">
        <v>9680</v>
      </c>
      <c r="H1450" s="4">
        <v>1</v>
      </c>
      <c r="I1450" s="4">
        <v>6.25</v>
      </c>
      <c r="J1450" s="5">
        <v>448</v>
      </c>
      <c r="K1450" s="4">
        <v>16</v>
      </c>
      <c r="L1450" s="1" t="s">
        <v>46</v>
      </c>
      <c r="M1450" s="1" t="s">
        <v>47</v>
      </c>
      <c r="N1450" s="1" t="s">
        <v>9681</v>
      </c>
      <c r="O1450" s="1" t="s">
        <v>108</v>
      </c>
      <c r="P1450" s="1" t="s">
        <v>9682</v>
      </c>
      <c r="Q1450" s="4">
        <v>1.25</v>
      </c>
      <c r="R1450" s="4">
        <v>1.25</v>
      </c>
      <c r="S1450" s="8">
        <v>3.75</v>
      </c>
      <c r="T1450" s="1" t="s">
        <v>50</v>
      </c>
      <c r="U1450" s="1"/>
      <c r="V1450" s="1"/>
      <c r="W1450" s="1"/>
      <c r="X1450" s="5">
        <v>920</v>
      </c>
      <c r="Y1450" s="7">
        <v>28000000</v>
      </c>
      <c r="Z1450" s="1"/>
      <c r="AA1450" s="1" t="s">
        <v>9683</v>
      </c>
      <c r="AB1450" s="1" t="s">
        <v>9684</v>
      </c>
      <c r="AC1450" s="1" t="s">
        <v>9685</v>
      </c>
      <c r="AD1450" s="1" t="s">
        <v>9686</v>
      </c>
      <c r="AE1450" s="1" t="s">
        <v>51</v>
      </c>
      <c r="AF1450" s="1" t="s">
        <v>51</v>
      </c>
      <c r="AG1450" s="1" t="s">
        <v>51</v>
      </c>
      <c r="AH1450" s="1"/>
      <c r="AI1450" s="1"/>
      <c r="AJ1450" s="3">
        <v>3</v>
      </c>
      <c r="AK1450" s="1" t="s">
        <v>110</v>
      </c>
      <c r="AL1450" s="3">
        <v>6</v>
      </c>
      <c r="AM1450" s="8">
        <v>17.75</v>
      </c>
      <c r="AN1450" s="1"/>
      <c r="AO1450" s="1" t="s">
        <v>9687</v>
      </c>
      <c r="AP1450" s="1" t="s">
        <v>9688</v>
      </c>
      <c r="AQ1450" s="1" t="s">
        <v>9689</v>
      </c>
      <c r="AR1450" s="1" t="s">
        <v>9690</v>
      </c>
    </row>
    <row r="1451">
      <c r="A1451" s="2">
        <f ca="1">DATE(2004,11,12)</f>
        <v>0</v>
      </c>
      <c r="B1451" s="2">
        <f ca="1">DATE(2005,02,09)</f>
        <v>0</v>
      </c>
      <c r="C1451" s="1" t="s">
        <v>9691</v>
      </c>
      <c r="D1451" s="3">
        <v>4812</v>
      </c>
      <c r="E1451" s="1" t="s">
        <v>43</v>
      </c>
      <c r="F1451" s="1" t="s">
        <v>9692</v>
      </c>
      <c r="G1451" s="1" t="s">
        <v>4712</v>
      </c>
      <c r="H1451" s="4">
        <v>1</v>
      </c>
      <c r="I1451" s="4">
        <v>6.25</v>
      </c>
      <c r="J1451" s="5">
        <v>281.89999999999998</v>
      </c>
      <c r="K1451" s="4">
        <v>16</v>
      </c>
      <c r="L1451" s="1" t="s">
        <v>46</v>
      </c>
      <c r="M1451" s="1" t="s">
        <v>47</v>
      </c>
      <c r="N1451" s="1" t="s">
        <v>9693</v>
      </c>
      <c r="O1451" s="1" t="s">
        <v>108</v>
      </c>
      <c r="P1451" s="1" t="s">
        <v>9694</v>
      </c>
      <c r="Q1451" s="4">
        <v>1.25</v>
      </c>
      <c r="R1451" s="4">
        <v>1.25</v>
      </c>
      <c r="S1451" s="8">
        <v>3.75</v>
      </c>
      <c r="T1451" s="1" t="s">
        <v>50</v>
      </c>
      <c r="U1451" s="1"/>
      <c r="V1451" s="1"/>
      <c r="W1451" s="1"/>
      <c r="X1451" s="5">
        <v>425.5</v>
      </c>
      <c r="Y1451" s="7">
        <v>17620000</v>
      </c>
      <c r="Z1451" s="1"/>
      <c r="AA1451" s="1" t="s">
        <v>9695</v>
      </c>
      <c r="AB1451" s="1" t="s">
        <v>9696</v>
      </c>
      <c r="AC1451" s="1" t="s">
        <v>3966</v>
      </c>
      <c r="AD1451" s="1" t="s">
        <v>9697</v>
      </c>
      <c r="AE1451" s="1" t="s">
        <v>51</v>
      </c>
      <c r="AF1451" s="1" t="s">
        <v>51</v>
      </c>
      <c r="AG1451" s="1" t="s">
        <v>51</v>
      </c>
      <c r="AH1451" s="1"/>
      <c r="AI1451" s="1"/>
      <c r="AJ1451" s="3">
        <v>2</v>
      </c>
      <c r="AK1451" s="1" t="s">
        <v>110</v>
      </c>
      <c r="AL1451" s="3">
        <v>7</v>
      </c>
      <c r="AM1451" s="8">
        <v>16</v>
      </c>
      <c r="AN1451" s="1"/>
      <c r="AO1451" s="1" t="s">
        <v>9698</v>
      </c>
      <c r="AP1451" s="1" t="s">
        <v>9699</v>
      </c>
      <c r="AQ1451" s="1" t="s">
        <v>9700</v>
      </c>
      <c r="AR1451" s="1" t="s">
        <v>9701</v>
      </c>
    </row>
    <row r="1452">
      <c r="A1452" s="2">
        <f ca="1">DATE(2005,02,01)</f>
        <v>0</v>
      </c>
      <c r="B1452" s="2">
        <f ca="1">DATE(2005,02,10)</f>
        <v>0</v>
      </c>
      <c r="C1452" s="1" t="s">
        <v>9702</v>
      </c>
      <c r="D1452" s="3">
        <v>4924</v>
      </c>
      <c r="E1452" s="1" t="s">
        <v>43</v>
      </c>
      <c r="F1452" s="1" t="s">
        <v>9703</v>
      </c>
      <c r="G1452" s="1" t="s">
        <v>4145</v>
      </c>
      <c r="H1452" s="4">
        <v>1.575</v>
      </c>
      <c r="I1452" s="8">
        <v>7</v>
      </c>
      <c r="J1452" s="5">
        <v>45</v>
      </c>
      <c r="K1452" s="4">
        <v>22.5</v>
      </c>
      <c r="L1452" s="1" t="s">
        <v>85</v>
      </c>
      <c r="M1452" s="1" t="s">
        <v>47</v>
      </c>
      <c r="N1452" s="3">
        <v>431291103</v>
      </c>
      <c r="O1452" s="1" t="s">
        <v>48</v>
      </c>
      <c r="P1452" s="1" t="s">
        <v>5955</v>
      </c>
      <c r="Q1452" s="4">
        <v>1.3779999999999999</v>
      </c>
      <c r="R1452" s="4">
        <v>1.4219999999999999</v>
      </c>
      <c r="S1452" s="8">
        <v>4.2000000000000002</v>
      </c>
      <c r="T1452" s="1" t="s">
        <v>50</v>
      </c>
      <c r="U1452" s="1"/>
      <c r="V1452" s="1"/>
      <c r="W1452" s="7">
        <v>2000000</v>
      </c>
      <c r="X1452" s="1"/>
      <c r="Y1452" s="7">
        <v>2000000</v>
      </c>
      <c r="Z1452" s="1"/>
      <c r="AA1452" s="2">
        <f ca="1">DATE(2005,08,09)</f>
        <v>0</v>
      </c>
      <c r="AB1452" s="1"/>
      <c r="AC1452" s="3">
        <v>180</v>
      </c>
      <c r="AD1452" s="1"/>
      <c r="AE1452" s="1" t="s">
        <v>51</v>
      </c>
      <c r="AF1452" s="1" t="s">
        <v>51</v>
      </c>
      <c r="AG1452" s="1" t="s">
        <v>51</v>
      </c>
      <c r="AH1452" s="1"/>
      <c r="AI1452" s="1"/>
      <c r="AJ1452" s="3">
        <v>1</v>
      </c>
      <c r="AK1452" s="1" t="s">
        <v>110</v>
      </c>
      <c r="AL1452" s="3">
        <v>3</v>
      </c>
      <c r="AM1452" s="8">
        <v>29.050000000000001</v>
      </c>
      <c r="AN1452" s="1"/>
      <c r="AO1452" s="1" t="s">
        <v>9704</v>
      </c>
      <c r="AP1452" s="1" t="s">
        <v>9705</v>
      </c>
      <c r="AQ1452" s="1" t="s">
        <v>9706</v>
      </c>
      <c r="AR1452" s="1" t="s">
        <v>5955</v>
      </c>
    </row>
    <row r="1453">
      <c r="A1453" s="2">
        <f ca="1">DATE(2004,11,24)</f>
        <v>0</v>
      </c>
      <c r="B1453" s="2">
        <f ca="1">DATE(2005,02,10)</f>
        <v>0</v>
      </c>
      <c r="C1453" s="1" t="s">
        <v>9707</v>
      </c>
      <c r="D1453" s="3">
        <v>2816</v>
      </c>
      <c r="E1453" s="1" t="s">
        <v>43</v>
      </c>
      <c r="F1453" s="1" t="s">
        <v>9708</v>
      </c>
      <c r="G1453" s="1" t="s">
        <v>9709</v>
      </c>
      <c r="H1453" s="4">
        <v>1.0349999999999999</v>
      </c>
      <c r="I1453" s="4">
        <v>4.5</v>
      </c>
      <c r="J1453" s="9">
        <v>1385.2000000000001</v>
      </c>
      <c r="K1453" s="4">
        <v>23</v>
      </c>
      <c r="L1453" s="1" t="s">
        <v>46</v>
      </c>
      <c r="M1453" s="1" t="s">
        <v>47</v>
      </c>
      <c r="N1453" s="3">
        <v>447011107</v>
      </c>
      <c r="O1453" s="1" t="s">
        <v>108</v>
      </c>
      <c r="P1453" s="1" t="s">
        <v>9710</v>
      </c>
      <c r="Q1453" s="4">
        <v>1.3260000000000001</v>
      </c>
      <c r="R1453" s="4">
        <v>0.78300000000000003</v>
      </c>
      <c r="S1453" s="10">
        <v>2.3913000000000002</v>
      </c>
      <c r="T1453" s="1" t="s">
        <v>50</v>
      </c>
      <c r="U1453" s="1"/>
      <c r="V1453" s="1"/>
      <c r="W1453" s="1"/>
      <c r="X1453" s="9">
        <v>1610</v>
      </c>
      <c r="Y1453" s="7">
        <v>55681819</v>
      </c>
      <c r="Z1453" s="7">
        <v>4545455</v>
      </c>
      <c r="AA1453" s="1" t="s">
        <v>9711</v>
      </c>
      <c r="AB1453" s="1" t="s">
        <v>9712</v>
      </c>
      <c r="AC1453" s="1" t="s">
        <v>7759</v>
      </c>
      <c r="AD1453" s="1" t="s">
        <v>9713</v>
      </c>
      <c r="AE1453" s="1" t="s">
        <v>51</v>
      </c>
      <c r="AF1453" s="1" t="s">
        <v>51</v>
      </c>
      <c r="AG1453" s="1" t="s">
        <v>51</v>
      </c>
      <c r="AH1453" s="1"/>
      <c r="AI1453" s="1" t="s">
        <v>9714</v>
      </c>
      <c r="AJ1453" s="3">
        <v>4</v>
      </c>
      <c r="AK1453" s="1" t="s">
        <v>1209</v>
      </c>
      <c r="AL1453" s="3">
        <v>12</v>
      </c>
      <c r="AM1453" s="8">
        <v>24.5</v>
      </c>
      <c r="AN1453" s="1"/>
      <c r="AO1453" s="1" t="s">
        <v>9715</v>
      </c>
      <c r="AP1453" s="1" t="s">
        <v>9716</v>
      </c>
      <c r="AQ1453" s="1" t="s">
        <v>9717</v>
      </c>
      <c r="AR1453" s="1" t="s">
        <v>9718</v>
      </c>
    </row>
    <row r="1454">
      <c r="A1454" s="2">
        <f ca="1">DATE(2004,11,15)</f>
        <v>0</v>
      </c>
      <c r="B1454" s="2">
        <f ca="1">DATE(2005,02,10)</f>
        <v>0</v>
      </c>
      <c r="C1454" s="1" t="s">
        <v>9719</v>
      </c>
      <c r="D1454" s="3">
        <v>4213</v>
      </c>
      <c r="E1454" s="1" t="s">
        <v>43</v>
      </c>
      <c r="F1454" s="1" t="s">
        <v>9720</v>
      </c>
      <c r="G1454" s="1" t="s">
        <v>2582</v>
      </c>
      <c r="H1454" s="4">
        <v>1.3999999999999999</v>
      </c>
      <c r="I1454" s="8">
        <v>7</v>
      </c>
      <c r="J1454" s="5">
        <v>106</v>
      </c>
      <c r="K1454" s="4">
        <v>20</v>
      </c>
      <c r="L1454" s="1" t="s">
        <v>46</v>
      </c>
      <c r="M1454" s="1" t="s">
        <v>47</v>
      </c>
      <c r="N1454" s="1" t="s">
        <v>9721</v>
      </c>
      <c r="O1454" s="1" t="s">
        <v>48</v>
      </c>
      <c r="P1454" s="1" t="s">
        <v>9722</v>
      </c>
      <c r="Q1454" s="1" t="s">
        <v>145</v>
      </c>
      <c r="R1454" s="1" t="s">
        <v>145</v>
      </c>
      <c r="S1454" s="8">
        <v>4.0999999999999996</v>
      </c>
      <c r="T1454" s="1" t="s">
        <v>50</v>
      </c>
      <c r="U1454" s="1"/>
      <c r="V1454" s="1"/>
      <c r="W1454" s="1"/>
      <c r="X1454" s="5">
        <v>115</v>
      </c>
      <c r="Y1454" s="7">
        <v>5300000</v>
      </c>
      <c r="Z1454" s="1"/>
      <c r="AA1454" s="2">
        <f ca="1">DATE(2005,08,09)</f>
        <v>0</v>
      </c>
      <c r="AB1454" s="4">
        <v>65.409999999999997</v>
      </c>
      <c r="AC1454" s="3">
        <v>180</v>
      </c>
      <c r="AD1454" s="8">
        <v>10022500</v>
      </c>
      <c r="AE1454" s="1" t="s">
        <v>51</v>
      </c>
      <c r="AF1454" s="1" t="s">
        <v>51</v>
      </c>
      <c r="AG1454" s="1" t="s">
        <v>51</v>
      </c>
      <c r="AH1454" s="1"/>
      <c r="AI1454" s="1"/>
      <c r="AJ1454" s="3">
        <v>1</v>
      </c>
      <c r="AK1454" s="1" t="s">
        <v>52</v>
      </c>
      <c r="AL1454" s="3">
        <v>3</v>
      </c>
      <c r="AM1454" s="8">
        <v>21.850000000000001</v>
      </c>
      <c r="AN1454" s="1"/>
      <c r="AO1454" s="1" t="s">
        <v>9723</v>
      </c>
      <c r="AP1454" s="1" t="s">
        <v>2582</v>
      </c>
      <c r="AQ1454" s="1" t="s">
        <v>9724</v>
      </c>
      <c r="AR1454" s="1" t="s">
        <v>9725</v>
      </c>
    </row>
    <row r="1455">
      <c r="A1455" s="2">
        <f ca="1">DATE(2004,09,23)</f>
        <v>0</v>
      </c>
      <c r="B1455" s="2">
        <f ca="1">DATE(2005,02,11)</f>
        <v>0</v>
      </c>
      <c r="C1455" s="1" t="s">
        <v>9726</v>
      </c>
      <c r="D1455" s="3">
        <v>2834</v>
      </c>
      <c r="E1455" s="1" t="s">
        <v>43</v>
      </c>
      <c r="F1455" s="1" t="s">
        <v>9727</v>
      </c>
      <c r="G1455" s="1" t="s">
        <v>9728</v>
      </c>
      <c r="H1455" s="4">
        <v>0.69999999999999996</v>
      </c>
      <c r="I1455" s="8">
        <v>7</v>
      </c>
      <c r="J1455" s="5">
        <v>15</v>
      </c>
      <c r="K1455" s="4">
        <v>10</v>
      </c>
      <c r="L1455" s="1" t="s">
        <v>46</v>
      </c>
      <c r="M1455" s="1" t="s">
        <v>47</v>
      </c>
      <c r="N1455" s="3">
        <v>141607101</v>
      </c>
      <c r="O1455" s="1" t="s">
        <v>77</v>
      </c>
      <c r="P1455" s="1" t="s">
        <v>9729</v>
      </c>
      <c r="Q1455" s="1" t="s">
        <v>145</v>
      </c>
      <c r="R1455" s="1" t="s">
        <v>145</v>
      </c>
      <c r="S1455" s="8">
        <v>7</v>
      </c>
      <c r="T1455" s="1" t="s">
        <v>50</v>
      </c>
      <c r="U1455" s="8">
        <v>10</v>
      </c>
      <c r="V1455" s="8">
        <v>10</v>
      </c>
      <c r="W1455" s="7">
        <v>2000000</v>
      </c>
      <c r="X1455" s="5">
        <v>20</v>
      </c>
      <c r="Y1455" s="7">
        <v>1500000</v>
      </c>
      <c r="Z1455" s="1"/>
      <c r="AA1455" s="1" t="s">
        <v>9730</v>
      </c>
      <c r="AB1455" s="1" t="s">
        <v>9731</v>
      </c>
      <c r="AC1455" s="1" t="s">
        <v>9732</v>
      </c>
      <c r="AD1455" s="1" t="s">
        <v>9733</v>
      </c>
      <c r="AE1455" s="1" t="s">
        <v>51</v>
      </c>
      <c r="AF1455" s="1" t="s">
        <v>51</v>
      </c>
      <c r="AG1455" s="1" t="s">
        <v>51</v>
      </c>
      <c r="AH1455" s="1"/>
      <c r="AI1455" s="1"/>
      <c r="AJ1455" s="3">
        <v>1</v>
      </c>
      <c r="AK1455" s="1" t="s">
        <v>52</v>
      </c>
      <c r="AL1455" s="3">
        <v>1</v>
      </c>
      <c r="AM1455" s="8">
        <v>11.85</v>
      </c>
      <c r="AN1455" s="1"/>
      <c r="AO1455" s="1" t="s">
        <v>9728</v>
      </c>
      <c r="AP1455" s="1" t="s">
        <v>9728</v>
      </c>
      <c r="AQ1455" s="1" t="s">
        <v>9728</v>
      </c>
      <c r="AR1455" s="1" t="s">
        <v>9729</v>
      </c>
    </row>
    <row r="1456">
      <c r="A1456" s="2">
        <f ca="1">DATE(2004,11,12)</f>
        <v>0</v>
      </c>
      <c r="B1456" s="2">
        <f ca="1">DATE(2005,02,11)</f>
        <v>0</v>
      </c>
      <c r="C1456" s="1" t="s">
        <v>9734</v>
      </c>
      <c r="D1456" s="3">
        <v>7375</v>
      </c>
      <c r="E1456" s="1" t="s">
        <v>43</v>
      </c>
      <c r="F1456" s="1" t="s">
        <v>9735</v>
      </c>
      <c r="G1456" s="1" t="s">
        <v>5379</v>
      </c>
      <c r="H1456" s="4">
        <v>0.41899999999999998</v>
      </c>
      <c r="I1456" s="4">
        <v>6.5</v>
      </c>
      <c r="J1456" s="5">
        <v>23.199999999999999</v>
      </c>
      <c r="K1456" s="4">
        <v>6.4500000000000002</v>
      </c>
      <c r="L1456" s="1" t="s">
        <v>46</v>
      </c>
      <c r="M1456" s="1" t="s">
        <v>47</v>
      </c>
      <c r="N1456" s="1" t="s">
        <v>9736</v>
      </c>
      <c r="O1456" s="1" t="s">
        <v>87</v>
      </c>
      <c r="P1456" s="1" t="s">
        <v>9737</v>
      </c>
      <c r="Q1456" s="1" t="s">
        <v>145</v>
      </c>
      <c r="R1456" s="1" t="s">
        <v>145</v>
      </c>
      <c r="S1456" s="8">
        <v>4</v>
      </c>
      <c r="T1456" s="1" t="s">
        <v>50</v>
      </c>
      <c r="U1456" s="8">
        <v>7</v>
      </c>
      <c r="V1456" s="8">
        <v>5</v>
      </c>
      <c r="W1456" s="7">
        <v>3325000</v>
      </c>
      <c r="X1456" s="5">
        <v>20</v>
      </c>
      <c r="Y1456" s="7">
        <v>3600000</v>
      </c>
      <c r="Z1456" s="1"/>
      <c r="AA1456" s="1" t="s">
        <v>9738</v>
      </c>
      <c r="AB1456" s="1" t="s">
        <v>9739</v>
      </c>
      <c r="AC1456" s="1" t="s">
        <v>6689</v>
      </c>
      <c r="AD1456" s="1" t="s">
        <v>9740</v>
      </c>
      <c r="AE1456" s="1" t="s">
        <v>51</v>
      </c>
      <c r="AF1456" s="1" t="s">
        <v>51</v>
      </c>
      <c r="AG1456" s="1" t="s">
        <v>51</v>
      </c>
      <c r="AH1456" s="1"/>
      <c r="AI1456" s="1"/>
      <c r="AJ1456" s="3">
        <v>1</v>
      </c>
      <c r="AK1456" s="1" t="s">
        <v>52</v>
      </c>
      <c r="AL1456" s="3">
        <v>1</v>
      </c>
      <c r="AM1456" s="8">
        <v>5.7999999999999998</v>
      </c>
      <c r="AN1456" s="1"/>
      <c r="AO1456" s="1" t="s">
        <v>9741</v>
      </c>
      <c r="AP1456" s="1" t="s">
        <v>5379</v>
      </c>
      <c r="AQ1456" s="1" t="s">
        <v>5379</v>
      </c>
      <c r="AR1456" s="1" t="s">
        <v>5380</v>
      </c>
    </row>
    <row r="1457">
      <c r="A1457" s="2">
        <f ca="1">DATE(2004,12,06)</f>
        <v>0</v>
      </c>
      <c r="B1457" s="2">
        <f ca="1">DATE(2005,02,14)</f>
        <v>0</v>
      </c>
      <c r="C1457" s="1" t="s">
        <v>9742</v>
      </c>
      <c r="D1457" s="3">
        <v>1221</v>
      </c>
      <c r="E1457" s="1" t="s">
        <v>43</v>
      </c>
      <c r="F1457" s="1" t="s">
        <v>9743</v>
      </c>
      <c r="G1457" s="1" t="s">
        <v>9160</v>
      </c>
      <c r="H1457" s="4">
        <v>1.2350000000000001</v>
      </c>
      <c r="I1457" s="4">
        <v>6.5</v>
      </c>
      <c r="J1457" s="5">
        <v>560.5</v>
      </c>
      <c r="K1457" s="4">
        <v>19</v>
      </c>
      <c r="L1457" s="1" t="s">
        <v>46</v>
      </c>
      <c r="M1457" s="1" t="s">
        <v>47</v>
      </c>
      <c r="N1457" s="1" t="s">
        <v>9744</v>
      </c>
      <c r="O1457" s="1" t="s">
        <v>108</v>
      </c>
      <c r="P1457" s="1" t="s">
        <v>9745</v>
      </c>
      <c r="Q1457" s="4">
        <v>1.2889999999999999</v>
      </c>
      <c r="R1457" s="4">
        <v>1</v>
      </c>
      <c r="S1457" s="6">
        <v>4.2105300000000003</v>
      </c>
      <c r="T1457" s="1" t="s">
        <v>50</v>
      </c>
      <c r="U1457" s="1"/>
      <c r="V1457" s="1"/>
      <c r="W1457" s="1"/>
      <c r="X1457" s="5">
        <v>250</v>
      </c>
      <c r="Y1457" s="7">
        <v>29500000</v>
      </c>
      <c r="Z1457" s="1"/>
      <c r="AA1457" s="2">
        <f ca="1">DATE(2005,08,13)</f>
        <v>0</v>
      </c>
      <c r="AB1457" s="4">
        <v>52.582000000000001</v>
      </c>
      <c r="AC1457" s="3">
        <v>180</v>
      </c>
      <c r="AD1457" s="8">
        <v>32712580</v>
      </c>
      <c r="AE1457" s="1" t="s">
        <v>51</v>
      </c>
      <c r="AF1457" s="1" t="s">
        <v>51</v>
      </c>
      <c r="AG1457" s="1" t="s">
        <v>51</v>
      </c>
      <c r="AH1457" s="1"/>
      <c r="AI1457" s="1"/>
      <c r="AJ1457" s="3">
        <v>2</v>
      </c>
      <c r="AK1457" s="1" t="s">
        <v>89</v>
      </c>
      <c r="AL1457" s="3">
        <v>7</v>
      </c>
      <c r="AM1457" s="1"/>
      <c r="AN1457" s="1"/>
      <c r="AO1457" s="1" t="s">
        <v>9746</v>
      </c>
      <c r="AP1457" s="1" t="s">
        <v>9747</v>
      </c>
      <c r="AQ1457" s="1" t="s">
        <v>9748</v>
      </c>
      <c r="AR1457" s="1" t="s">
        <v>9745</v>
      </c>
    </row>
    <row r="1458">
      <c r="A1458" s="2">
        <f ca="1">DATE(2004,08,17)</f>
        <v>0</v>
      </c>
      <c r="B1458" s="2">
        <f ca="1">DATE(2005,02,14)</f>
        <v>0</v>
      </c>
      <c r="C1458" s="1" t="s">
        <v>9749</v>
      </c>
      <c r="D1458" s="3">
        <v>6726</v>
      </c>
      <c r="E1458" s="1" t="s">
        <v>43</v>
      </c>
      <c r="F1458" s="1" t="s">
        <v>9750</v>
      </c>
      <c r="G1458" s="1" t="s">
        <v>9751</v>
      </c>
      <c r="H1458" s="4">
        <v>0.56999999999999995</v>
      </c>
      <c r="I1458" s="8">
        <v>9.5</v>
      </c>
      <c r="J1458" s="5">
        <v>28.800000000000001</v>
      </c>
      <c r="K1458" s="4">
        <v>6</v>
      </c>
      <c r="L1458" s="1" t="s">
        <v>46</v>
      </c>
      <c r="M1458" s="1" t="s">
        <v>47</v>
      </c>
      <c r="N1458" s="1"/>
      <c r="O1458" s="1" t="s">
        <v>77</v>
      </c>
      <c r="P1458" s="1" t="s">
        <v>9752</v>
      </c>
      <c r="Q1458" s="1" t="s">
        <v>145</v>
      </c>
      <c r="R1458" s="1" t="s">
        <v>145</v>
      </c>
      <c r="S1458" s="8">
        <v>4</v>
      </c>
      <c r="T1458" s="1" t="s">
        <v>50</v>
      </c>
      <c r="U1458" s="8">
        <v>6</v>
      </c>
      <c r="V1458" s="8">
        <v>6</v>
      </c>
      <c r="W1458" s="7">
        <v>4000000</v>
      </c>
      <c r="X1458" s="5">
        <v>24</v>
      </c>
      <c r="Y1458" s="7">
        <v>4800000</v>
      </c>
      <c r="Z1458" s="1"/>
      <c r="AA1458" s="2">
        <f ca="1">DATE(2005,08,13)</f>
        <v>0</v>
      </c>
      <c r="AB1458" s="4">
        <v>17.241</v>
      </c>
      <c r="AC1458" s="3">
        <v>180</v>
      </c>
      <c r="AD1458" s="8">
        <v>1000000</v>
      </c>
      <c r="AE1458" s="1" t="s">
        <v>51</v>
      </c>
      <c r="AF1458" s="1" t="s">
        <v>51</v>
      </c>
      <c r="AG1458" s="1" t="s">
        <v>51</v>
      </c>
      <c r="AH1458" s="1"/>
      <c r="AI1458" s="1"/>
      <c r="AJ1458" s="3">
        <v>2</v>
      </c>
      <c r="AK1458" s="1" t="s">
        <v>89</v>
      </c>
      <c r="AL1458" s="3">
        <v>2</v>
      </c>
      <c r="AM1458" s="8">
        <v>6.5800000000000001</v>
      </c>
      <c r="AN1458" s="1"/>
      <c r="AO1458" s="1" t="s">
        <v>9753</v>
      </c>
      <c r="AP1458" s="1" t="s">
        <v>9754</v>
      </c>
      <c r="AQ1458" s="1" t="s">
        <v>9755</v>
      </c>
      <c r="AR1458" s="1" t="s">
        <v>9756</v>
      </c>
    </row>
    <row r="1459">
      <c r="A1459" s="2">
        <f ca="1">DATE(2004,08,13)</f>
        <v>0</v>
      </c>
      <c r="B1459" s="2">
        <f ca="1">DATE(2005,02,14)</f>
        <v>0</v>
      </c>
      <c r="C1459" s="1" t="s">
        <v>9757</v>
      </c>
      <c r="D1459" s="3">
        <v>6798</v>
      </c>
      <c r="E1459" s="1" t="s">
        <v>43</v>
      </c>
      <c r="F1459" s="1" t="s">
        <v>9758</v>
      </c>
      <c r="G1459" s="1" t="s">
        <v>84</v>
      </c>
      <c r="H1459" s="4">
        <v>0.40500000000000003</v>
      </c>
      <c r="I1459" s="4">
        <v>6</v>
      </c>
      <c r="J1459" s="5">
        <v>386</v>
      </c>
      <c r="K1459" s="4">
        <v>6.75</v>
      </c>
      <c r="L1459" s="1" t="s">
        <v>46</v>
      </c>
      <c r="M1459" s="1" t="s">
        <v>47</v>
      </c>
      <c r="N1459" s="1" t="s">
        <v>9759</v>
      </c>
      <c r="O1459" s="1" t="s">
        <v>108</v>
      </c>
      <c r="P1459" s="1" t="s">
        <v>9760</v>
      </c>
      <c r="Q1459" s="4">
        <v>1.1850000000000001</v>
      </c>
      <c r="R1459" s="4">
        <v>1.2589999999999999</v>
      </c>
      <c r="S1459" s="6">
        <v>3.5555599999999998</v>
      </c>
      <c r="T1459" s="1" t="s">
        <v>50</v>
      </c>
      <c r="U1459" s="1"/>
      <c r="V1459" s="1"/>
      <c r="W1459" s="1"/>
      <c r="X1459" s="5">
        <v>500</v>
      </c>
      <c r="Y1459" s="7">
        <v>52500000</v>
      </c>
      <c r="Z1459" s="7">
        <v>4689693</v>
      </c>
      <c r="AA1459" s="1" t="s">
        <v>9761</v>
      </c>
      <c r="AB1459" s="1" t="s">
        <v>9762</v>
      </c>
      <c r="AC1459" s="1" t="s">
        <v>7759</v>
      </c>
      <c r="AD1459" s="1" t="s">
        <v>9763</v>
      </c>
      <c r="AE1459" s="1" t="s">
        <v>51</v>
      </c>
      <c r="AF1459" s="1" t="s">
        <v>51</v>
      </c>
      <c r="AG1459" s="1" t="s">
        <v>51</v>
      </c>
      <c r="AH1459" s="1"/>
      <c r="AI1459" s="1"/>
      <c r="AJ1459" s="3">
        <v>1</v>
      </c>
      <c r="AK1459" s="1" t="s">
        <v>52</v>
      </c>
      <c r="AL1459" s="3">
        <v>5</v>
      </c>
      <c r="AM1459" s="8">
        <v>6.75</v>
      </c>
      <c r="AN1459" s="1"/>
      <c r="AO1459" s="1" t="s">
        <v>9764</v>
      </c>
      <c r="AP1459" s="1" t="s">
        <v>84</v>
      </c>
      <c r="AQ1459" s="1" t="s">
        <v>9765</v>
      </c>
      <c r="AR1459" s="1" t="s">
        <v>9760</v>
      </c>
    </row>
    <row r="1460">
      <c r="A1460" s="2">
        <f ca="1">DATE(2004,07,16)</f>
        <v>0</v>
      </c>
      <c r="B1460" s="2">
        <f ca="1">DATE(2005,02,14)</f>
        <v>0</v>
      </c>
      <c r="C1460" s="1" t="s">
        <v>9766</v>
      </c>
      <c r="D1460" s="3">
        <v>7375</v>
      </c>
      <c r="E1460" s="1" t="s">
        <v>43</v>
      </c>
      <c r="F1460" s="1" t="s">
        <v>9767</v>
      </c>
      <c r="G1460" s="1" t="s">
        <v>1056</v>
      </c>
      <c r="H1460" s="4">
        <v>0.63</v>
      </c>
      <c r="I1460" s="4">
        <v>7</v>
      </c>
      <c r="J1460" s="5">
        <v>28.100000000000001</v>
      </c>
      <c r="K1460" s="4">
        <v>9</v>
      </c>
      <c r="L1460" s="1" t="s">
        <v>46</v>
      </c>
      <c r="M1460" s="1" t="s">
        <v>47</v>
      </c>
      <c r="N1460" s="1" t="s">
        <v>9768</v>
      </c>
      <c r="O1460" s="1" t="s">
        <v>48</v>
      </c>
      <c r="P1460" s="1" t="s">
        <v>9769</v>
      </c>
      <c r="Q1460" s="4">
        <v>1.389</v>
      </c>
      <c r="R1460" s="4">
        <v>1.389</v>
      </c>
      <c r="S1460" s="6">
        <v>4.2222200000000001</v>
      </c>
      <c r="T1460" s="1" t="s">
        <v>50</v>
      </c>
      <c r="U1460" s="1"/>
      <c r="V1460" s="1"/>
      <c r="W1460" s="1"/>
      <c r="X1460" s="5">
        <v>57.5</v>
      </c>
      <c r="Y1460" s="7">
        <v>3125000</v>
      </c>
      <c r="Z1460" s="1"/>
      <c r="AA1460" s="2">
        <f ca="1">DATE(2005,08,13)</f>
        <v>0</v>
      </c>
      <c r="AB1460" s="4">
        <v>55.984000000000002</v>
      </c>
      <c r="AC1460" s="3">
        <v>180</v>
      </c>
      <c r="AD1460" s="8">
        <v>4009544</v>
      </c>
      <c r="AE1460" s="1" t="s">
        <v>51</v>
      </c>
      <c r="AF1460" s="1" t="s">
        <v>51</v>
      </c>
      <c r="AG1460" s="1" t="s">
        <v>47</v>
      </c>
      <c r="AH1460" s="1"/>
      <c r="AI1460" s="1"/>
      <c r="AJ1460" s="3">
        <v>1</v>
      </c>
      <c r="AK1460" s="1" t="s">
        <v>52</v>
      </c>
      <c r="AL1460" s="3">
        <v>3</v>
      </c>
      <c r="AM1460" s="8">
        <v>8.75</v>
      </c>
      <c r="AN1460" s="1"/>
      <c r="AO1460" s="1" t="s">
        <v>9770</v>
      </c>
      <c r="AP1460" s="1" t="s">
        <v>1056</v>
      </c>
      <c r="AQ1460" s="1" t="s">
        <v>9771</v>
      </c>
      <c r="AR1460" s="1" t="s">
        <v>9772</v>
      </c>
    </row>
    <row r="1461">
      <c r="A1461" s="1"/>
      <c r="B1461" s="2">
        <f ca="1">DATE(2005,02,14)</f>
        <v>0</v>
      </c>
      <c r="C1461" s="1" t="s">
        <v>9773</v>
      </c>
      <c r="D1461" s="3">
        <v>6021</v>
      </c>
      <c r="E1461" s="1" t="s">
        <v>43</v>
      </c>
      <c r="F1461" s="1" t="s">
        <v>9774</v>
      </c>
      <c r="G1461" s="1" t="s">
        <v>2371</v>
      </c>
      <c r="H1461" s="1" t="s">
        <v>57</v>
      </c>
      <c r="I1461" s="1" t="s">
        <v>57</v>
      </c>
      <c r="J1461" s="5">
        <v>80.599999999999994</v>
      </c>
      <c r="K1461" s="4">
        <v>38</v>
      </c>
      <c r="L1461" s="1" t="s">
        <v>46</v>
      </c>
      <c r="M1461" s="1" t="s">
        <v>47</v>
      </c>
      <c r="N1461" s="3">
        <v>740367107</v>
      </c>
      <c r="O1461" s="1" t="s">
        <v>48</v>
      </c>
      <c r="P1461" s="1" t="s">
        <v>9775</v>
      </c>
      <c r="Q1461" s="1"/>
      <c r="R1461" s="1"/>
      <c r="S1461" s="1"/>
      <c r="T1461" s="1" t="s">
        <v>50</v>
      </c>
      <c r="U1461" s="1"/>
      <c r="V1461" s="1"/>
      <c r="W1461" s="1"/>
      <c r="X1461" s="5">
        <v>20</v>
      </c>
      <c r="Y1461" s="7">
        <v>800000</v>
      </c>
      <c r="Z1461" s="7">
        <v>1320000</v>
      </c>
      <c r="AA1461" s="1"/>
      <c r="AB1461" s="1"/>
      <c r="AC1461" s="1"/>
      <c r="AD1461" s="1"/>
      <c r="AE1461" s="1" t="s">
        <v>51</v>
      </c>
      <c r="AF1461" s="1" t="s">
        <v>51</v>
      </c>
      <c r="AG1461" s="1" t="s">
        <v>51</v>
      </c>
      <c r="AH1461" s="1"/>
      <c r="AI1461" s="1"/>
      <c r="AJ1461" s="3">
        <v>1</v>
      </c>
      <c r="AK1461" s="1" t="s">
        <v>52</v>
      </c>
      <c r="AL1461" s="3">
        <v>3</v>
      </c>
      <c r="AM1461" s="8">
        <v>42</v>
      </c>
      <c r="AN1461" s="1"/>
      <c r="AO1461" s="1" t="s">
        <v>9776</v>
      </c>
      <c r="AP1461" s="1" t="s">
        <v>2371</v>
      </c>
      <c r="AQ1461" s="1" t="s">
        <v>9777</v>
      </c>
      <c r="AR1461" s="1" t="s">
        <v>9778</v>
      </c>
    </row>
    <row r="1462">
      <c r="A1462" s="2">
        <f ca="1">DATE(2004,09,03)</f>
        <v>0</v>
      </c>
      <c r="B1462" s="2">
        <f ca="1">DATE(2005,02,14)</f>
        <v>0</v>
      </c>
      <c r="C1462" s="1" t="s">
        <v>9779</v>
      </c>
      <c r="D1462" s="3">
        <v>3536</v>
      </c>
      <c r="E1462" s="1" t="s">
        <v>43</v>
      </c>
      <c r="F1462" s="1" t="s">
        <v>9780</v>
      </c>
      <c r="G1462" s="1" t="s">
        <v>9781</v>
      </c>
      <c r="H1462" s="4">
        <v>0.41999999999999998</v>
      </c>
      <c r="I1462" s="8">
        <v>7</v>
      </c>
      <c r="J1462" s="5">
        <v>15</v>
      </c>
      <c r="K1462" s="4">
        <v>6</v>
      </c>
      <c r="L1462" s="1" t="s">
        <v>46</v>
      </c>
      <c r="M1462" s="1" t="s">
        <v>47</v>
      </c>
      <c r="N1462" s="1" t="s">
        <v>9782</v>
      </c>
      <c r="O1462" s="1" t="s">
        <v>87</v>
      </c>
      <c r="P1462" s="1" t="s">
        <v>9783</v>
      </c>
      <c r="Q1462" s="1" t="s">
        <v>145</v>
      </c>
      <c r="R1462" s="1" t="s">
        <v>145</v>
      </c>
      <c r="S1462" s="8">
        <v>4.25</v>
      </c>
      <c r="T1462" s="1" t="s">
        <v>50</v>
      </c>
      <c r="U1462" s="1"/>
      <c r="V1462" s="1"/>
      <c r="W1462" s="1"/>
      <c r="X1462" s="1"/>
      <c r="Y1462" s="7">
        <v>2500000</v>
      </c>
      <c r="Z1462" s="1"/>
      <c r="AA1462" s="2">
        <f ca="1">DATE(2005,11,11)</f>
        <v>0</v>
      </c>
      <c r="AB1462" s="4">
        <v>44.444000000000003</v>
      </c>
      <c r="AC1462" s="3">
        <v>270</v>
      </c>
      <c r="AD1462" s="8">
        <v>2000000</v>
      </c>
      <c r="AE1462" s="1" t="s">
        <v>51</v>
      </c>
      <c r="AF1462" s="1" t="s">
        <v>51</v>
      </c>
      <c r="AG1462" s="1" t="s">
        <v>51</v>
      </c>
      <c r="AH1462" s="1"/>
      <c r="AI1462" s="1"/>
      <c r="AJ1462" s="3">
        <v>1</v>
      </c>
      <c r="AK1462" s="1" t="s">
        <v>52</v>
      </c>
      <c r="AL1462" s="3">
        <v>1</v>
      </c>
      <c r="AM1462" s="8">
        <v>6.9000000000000004</v>
      </c>
      <c r="AN1462" s="1"/>
      <c r="AO1462" s="1" t="s">
        <v>9781</v>
      </c>
      <c r="AP1462" s="1" t="s">
        <v>9781</v>
      </c>
      <c r="AQ1462" s="1" t="s">
        <v>9781</v>
      </c>
      <c r="AR1462" s="1" t="s">
        <v>9783</v>
      </c>
    </row>
    <row r="1463">
      <c r="A1463" s="2">
        <f ca="1">DATE(2004,11,22)</f>
        <v>0</v>
      </c>
      <c r="B1463" s="2">
        <f ca="1">DATE(2005,02,15)</f>
        <v>0</v>
      </c>
      <c r="C1463" s="1" t="s">
        <v>9784</v>
      </c>
      <c r="D1463" s="3">
        <v>7374</v>
      </c>
      <c r="E1463" s="1" t="s">
        <v>43</v>
      </c>
      <c r="F1463" s="1" t="s">
        <v>9785</v>
      </c>
      <c r="G1463" s="1" t="s">
        <v>9786</v>
      </c>
      <c r="H1463" s="4">
        <v>0.90000000000000002</v>
      </c>
      <c r="I1463" s="4">
        <v>5</v>
      </c>
      <c r="J1463" s="5">
        <v>720</v>
      </c>
      <c r="K1463" s="4">
        <v>18</v>
      </c>
      <c r="L1463" s="1" t="s">
        <v>46</v>
      </c>
      <c r="M1463" s="1" t="s">
        <v>47</v>
      </c>
      <c r="N1463" s="1" t="s">
        <v>9787</v>
      </c>
      <c r="O1463" s="1" t="s">
        <v>108</v>
      </c>
      <c r="P1463" s="1" t="s">
        <v>9788</v>
      </c>
      <c r="Q1463" s="4">
        <v>1</v>
      </c>
      <c r="R1463" s="4">
        <v>1</v>
      </c>
      <c r="S1463" s="8">
        <v>3</v>
      </c>
      <c r="T1463" s="1" t="s">
        <v>50</v>
      </c>
      <c r="U1463" s="1"/>
      <c r="V1463" s="1"/>
      <c r="W1463" s="1"/>
      <c r="X1463" s="9">
        <v>1000</v>
      </c>
      <c r="Y1463" s="1"/>
      <c r="Z1463" s="7">
        <v>40000000</v>
      </c>
      <c r="AA1463" s="1" t="s">
        <v>9789</v>
      </c>
      <c r="AB1463" s="1" t="s">
        <v>9790</v>
      </c>
      <c r="AC1463" s="1" t="s">
        <v>7759</v>
      </c>
      <c r="AD1463" s="1" t="s">
        <v>9791</v>
      </c>
      <c r="AE1463" s="1" t="s">
        <v>51</v>
      </c>
      <c r="AF1463" s="1" t="s">
        <v>51</v>
      </c>
      <c r="AG1463" s="1" t="s">
        <v>51</v>
      </c>
      <c r="AH1463" s="1" t="s">
        <v>9792</v>
      </c>
      <c r="AI1463" s="1" t="s">
        <v>9793</v>
      </c>
      <c r="AJ1463" s="3">
        <v>3</v>
      </c>
      <c r="AK1463" s="1" t="s">
        <v>110</v>
      </c>
      <c r="AL1463" s="3">
        <v>10</v>
      </c>
      <c r="AM1463" s="8">
        <v>17.100000000000001</v>
      </c>
      <c r="AN1463" s="1"/>
      <c r="AO1463" s="1" t="s">
        <v>9794</v>
      </c>
      <c r="AP1463" s="1" t="s">
        <v>9795</v>
      </c>
      <c r="AQ1463" s="1" t="s">
        <v>9796</v>
      </c>
      <c r="AR1463" s="1" t="s">
        <v>9797</v>
      </c>
    </row>
    <row r="1464">
      <c r="A1464" s="2">
        <f ca="1">DATE(2004,11,19)</f>
        <v>0</v>
      </c>
      <c r="B1464" s="2">
        <f ca="1">DATE(2005,02,16)</f>
        <v>0</v>
      </c>
      <c r="C1464" s="1" t="s">
        <v>9798</v>
      </c>
      <c r="D1464" s="3">
        <v>3679</v>
      </c>
      <c r="E1464" s="1" t="s">
        <v>43</v>
      </c>
      <c r="F1464" s="1" t="s">
        <v>9799</v>
      </c>
      <c r="G1464" s="1" t="s">
        <v>796</v>
      </c>
      <c r="H1464" s="4">
        <v>1.0800000000000001</v>
      </c>
      <c r="I1464" s="4">
        <v>6</v>
      </c>
      <c r="J1464" s="5">
        <v>495</v>
      </c>
      <c r="K1464" s="4">
        <v>18</v>
      </c>
      <c r="L1464" s="1" t="s">
        <v>152</v>
      </c>
      <c r="M1464" s="1" t="s">
        <v>47</v>
      </c>
      <c r="N1464" s="1" t="s">
        <v>9800</v>
      </c>
      <c r="O1464" s="1" t="s">
        <v>108</v>
      </c>
      <c r="P1464" s="1" t="s">
        <v>9801</v>
      </c>
      <c r="Q1464" s="1" t="s">
        <v>145</v>
      </c>
      <c r="R1464" s="1" t="s">
        <v>145</v>
      </c>
      <c r="S1464" s="6">
        <v>3.88889</v>
      </c>
      <c r="T1464" s="1" t="s">
        <v>50</v>
      </c>
      <c r="U1464" s="1"/>
      <c r="V1464" s="1"/>
      <c r="W1464" s="1"/>
      <c r="X1464" s="5">
        <v>460</v>
      </c>
      <c r="Y1464" s="7">
        <v>10500000</v>
      </c>
      <c r="Z1464" s="7">
        <v>17000000</v>
      </c>
      <c r="AA1464" s="1" t="s">
        <v>9802</v>
      </c>
      <c r="AB1464" s="1" t="s">
        <v>9803</v>
      </c>
      <c r="AC1464" s="1" t="s">
        <v>7759</v>
      </c>
      <c r="AD1464" s="1" t="s">
        <v>9804</v>
      </c>
      <c r="AE1464" s="1" t="s">
        <v>51</v>
      </c>
      <c r="AF1464" s="1" t="s">
        <v>51</v>
      </c>
      <c r="AG1464" s="1" t="s">
        <v>51</v>
      </c>
      <c r="AH1464" s="1"/>
      <c r="AI1464" s="1"/>
      <c r="AJ1464" s="3">
        <v>1</v>
      </c>
      <c r="AK1464" s="1" t="s">
        <v>89</v>
      </c>
      <c r="AL1464" s="3">
        <v>5</v>
      </c>
      <c r="AM1464" s="8">
        <v>24.300000000000001</v>
      </c>
      <c r="AN1464" s="1"/>
      <c r="AO1464" s="1" t="s">
        <v>9805</v>
      </c>
      <c r="AP1464" s="1" t="s">
        <v>4174</v>
      </c>
      <c r="AQ1464" s="1" t="s">
        <v>9806</v>
      </c>
      <c r="AR1464" s="1" t="s">
        <v>9807</v>
      </c>
    </row>
    <row r="1465">
      <c r="A1465" s="2">
        <f ca="1">DATE(2005,02,02)</f>
        <v>0</v>
      </c>
      <c r="B1465" s="2">
        <f ca="1">DATE(2005,02,17)</f>
        <v>0</v>
      </c>
      <c r="C1465" s="1" t="s">
        <v>9808</v>
      </c>
      <c r="D1465" s="3">
        <v>6726</v>
      </c>
      <c r="E1465" s="1" t="s">
        <v>43</v>
      </c>
      <c r="F1465" s="1" t="s">
        <v>9809</v>
      </c>
      <c r="G1465" s="1" t="s">
        <v>9810</v>
      </c>
      <c r="H1465" s="4">
        <v>0.41999999999999998</v>
      </c>
      <c r="I1465" s="8">
        <v>7</v>
      </c>
      <c r="J1465" s="5">
        <v>48</v>
      </c>
      <c r="K1465" s="4">
        <v>6</v>
      </c>
      <c r="L1465" s="1" t="s">
        <v>46</v>
      </c>
      <c r="M1465" s="1" t="s">
        <v>47</v>
      </c>
      <c r="N1465" s="1"/>
      <c r="O1465" s="1" t="s">
        <v>77</v>
      </c>
      <c r="P1465" s="1" t="s">
        <v>9811</v>
      </c>
      <c r="Q1465" s="1" t="s">
        <v>145</v>
      </c>
      <c r="R1465" s="1" t="s">
        <v>145</v>
      </c>
      <c r="S1465" s="6">
        <v>4.1666699999999999</v>
      </c>
      <c r="T1465" s="1" t="s">
        <v>50</v>
      </c>
      <c r="U1465" s="8">
        <v>12</v>
      </c>
      <c r="V1465" s="8">
        <v>12</v>
      </c>
      <c r="W1465" s="7">
        <v>4000000</v>
      </c>
      <c r="X1465" s="5">
        <v>48</v>
      </c>
      <c r="Y1465" s="7">
        <v>8000000</v>
      </c>
      <c r="Z1465" s="1"/>
      <c r="AA1465" s="2">
        <f ca="1">DATE(2005,11,14)</f>
        <v>0</v>
      </c>
      <c r="AB1465" s="4">
        <v>20</v>
      </c>
      <c r="AC1465" s="3">
        <v>270</v>
      </c>
      <c r="AD1465" s="8">
        <v>2000000</v>
      </c>
      <c r="AE1465" s="1" t="s">
        <v>51</v>
      </c>
      <c r="AF1465" s="1" t="s">
        <v>51</v>
      </c>
      <c r="AG1465" s="1" t="s">
        <v>51</v>
      </c>
      <c r="AH1465" s="1"/>
      <c r="AI1465" s="1"/>
      <c r="AJ1465" s="3">
        <v>1</v>
      </c>
      <c r="AK1465" s="1" t="s">
        <v>52</v>
      </c>
      <c r="AL1465" s="3">
        <v>2</v>
      </c>
      <c r="AM1465" s="8">
        <v>6.3700000000000001</v>
      </c>
      <c r="AN1465" s="1"/>
      <c r="AO1465" s="1" t="s">
        <v>9812</v>
      </c>
      <c r="AP1465" s="1" t="s">
        <v>9810</v>
      </c>
      <c r="AQ1465" s="1" t="s">
        <v>9813</v>
      </c>
      <c r="AR1465" s="1" t="s">
        <v>9811</v>
      </c>
    </row>
    <row r="1466">
      <c r="A1466" s="2">
        <f ca="1">DATE(2005,02,23)</f>
        <v>0</v>
      </c>
      <c r="B1466" s="2">
        <f ca="1">DATE(2005,02,23)</f>
        <v>0</v>
      </c>
      <c r="C1466" s="1" t="s">
        <v>9814</v>
      </c>
      <c r="D1466" s="3">
        <v>6726</v>
      </c>
      <c r="E1466" s="1" t="s">
        <v>43</v>
      </c>
      <c r="F1466" s="1" t="s">
        <v>9815</v>
      </c>
      <c r="G1466" s="1" t="s">
        <v>2705</v>
      </c>
      <c r="H1466" s="4">
        <v>0.67500000000000004</v>
      </c>
      <c r="I1466" s="4">
        <v>4.5</v>
      </c>
      <c r="J1466" s="5">
        <v>181.5</v>
      </c>
      <c r="K1466" s="4">
        <v>15</v>
      </c>
      <c r="L1466" s="1" t="s">
        <v>46</v>
      </c>
      <c r="M1466" s="1" t="s">
        <v>47</v>
      </c>
      <c r="N1466" s="1" t="s">
        <v>9816</v>
      </c>
      <c r="O1466" s="1" t="s">
        <v>108</v>
      </c>
      <c r="P1466" s="1" t="s">
        <v>9817</v>
      </c>
      <c r="Q1466" s="4">
        <v>0.96699999999999997</v>
      </c>
      <c r="R1466" s="4">
        <v>0.53300000000000003</v>
      </c>
      <c r="S1466" s="8">
        <v>3</v>
      </c>
      <c r="T1466" s="1" t="s">
        <v>50</v>
      </c>
      <c r="U1466" s="8">
        <v>15</v>
      </c>
      <c r="V1466" s="8">
        <v>15</v>
      </c>
      <c r="W1466" s="7">
        <v>14000000</v>
      </c>
      <c r="X1466" s="5">
        <v>210</v>
      </c>
      <c r="Y1466" s="7">
        <v>12100000</v>
      </c>
      <c r="Z1466" s="1"/>
      <c r="AA1466" s="2">
        <f ca="1">DATE(2005,08,22)</f>
        <v>0</v>
      </c>
      <c r="AB1466" s="1"/>
      <c r="AC1466" s="3">
        <v>180</v>
      </c>
      <c r="AD1466" s="1"/>
      <c r="AE1466" s="1" t="s">
        <v>51</v>
      </c>
      <c r="AF1466" s="1" t="s">
        <v>51</v>
      </c>
      <c r="AG1466" s="1" t="s">
        <v>51</v>
      </c>
      <c r="AH1466" s="1"/>
      <c r="AI1466" s="1"/>
      <c r="AJ1466" s="3">
        <v>1</v>
      </c>
      <c r="AK1466" s="1" t="s">
        <v>52</v>
      </c>
      <c r="AL1466" s="3">
        <v>10</v>
      </c>
      <c r="AM1466" s="8">
        <v>15.09</v>
      </c>
      <c r="AN1466" s="1"/>
      <c r="AO1466" s="1" t="s">
        <v>9818</v>
      </c>
      <c r="AP1466" s="1" t="s">
        <v>2705</v>
      </c>
      <c r="AQ1466" s="1" t="s">
        <v>9819</v>
      </c>
      <c r="AR1466" s="1" t="s">
        <v>9820</v>
      </c>
    </row>
    <row r="1467">
      <c r="A1467" s="2">
        <f ca="1">DATE(2004,12,07)</f>
        <v>0</v>
      </c>
      <c r="B1467" s="2">
        <f ca="1">DATE(2005,02,23)</f>
        <v>0</v>
      </c>
      <c r="C1467" s="1" t="s">
        <v>9821</v>
      </c>
      <c r="D1467" s="3">
        <v>6726</v>
      </c>
      <c r="E1467" s="1" t="s">
        <v>43</v>
      </c>
      <c r="F1467" s="1" t="s">
        <v>9822</v>
      </c>
      <c r="G1467" s="1" t="s">
        <v>45</v>
      </c>
      <c r="H1467" s="4">
        <v>0.90000000000000002</v>
      </c>
      <c r="I1467" s="4">
        <v>4.5</v>
      </c>
      <c r="J1467" s="5">
        <v>357</v>
      </c>
      <c r="K1467" s="4">
        <v>20</v>
      </c>
      <c r="L1467" s="1" t="s">
        <v>4422</v>
      </c>
      <c r="M1467" s="1" t="s">
        <v>47</v>
      </c>
      <c r="N1467" s="1" t="s">
        <v>9823</v>
      </c>
      <c r="O1467" s="1" t="s">
        <v>108</v>
      </c>
      <c r="P1467" s="1" t="s">
        <v>9824</v>
      </c>
      <c r="Q1467" s="4">
        <v>1</v>
      </c>
      <c r="R1467" s="4">
        <v>0.5</v>
      </c>
      <c r="S1467" s="8">
        <v>3</v>
      </c>
      <c r="T1467" s="1" t="s">
        <v>50</v>
      </c>
      <c r="U1467" s="8">
        <v>20</v>
      </c>
      <c r="V1467" s="8">
        <v>20</v>
      </c>
      <c r="W1467" s="7">
        <v>50000</v>
      </c>
      <c r="X1467" s="5">
        <v>1</v>
      </c>
      <c r="Y1467" s="7">
        <v>17850000</v>
      </c>
      <c r="Z1467" s="1"/>
      <c r="AA1467" s="2">
        <f ca="1">DATE(2005,08,22)</f>
        <v>0</v>
      </c>
      <c r="AB1467" s="1"/>
      <c r="AC1467" s="3">
        <v>180</v>
      </c>
      <c r="AD1467" s="1"/>
      <c r="AE1467" s="1" t="s">
        <v>51</v>
      </c>
      <c r="AF1467" s="1" t="s">
        <v>51</v>
      </c>
      <c r="AG1467" s="1" t="s">
        <v>51</v>
      </c>
      <c r="AH1467" s="1"/>
      <c r="AI1467" s="1"/>
      <c r="AJ1467" s="3">
        <v>1</v>
      </c>
      <c r="AK1467" s="1" t="s">
        <v>89</v>
      </c>
      <c r="AL1467" s="3">
        <v>15</v>
      </c>
      <c r="AM1467" s="8">
        <v>20</v>
      </c>
      <c r="AN1467" s="1"/>
      <c r="AO1467" s="1" t="s">
        <v>9825</v>
      </c>
      <c r="AP1467" s="1" t="s">
        <v>9826</v>
      </c>
      <c r="AQ1467" s="1" t="s">
        <v>9827</v>
      </c>
      <c r="AR1467" s="1" t="s">
        <v>9828</v>
      </c>
    </row>
    <row r="1468">
      <c r="A1468" s="2">
        <f ca="1">DATE(2003,08,21)</f>
        <v>0</v>
      </c>
      <c r="B1468" s="2">
        <f ca="1">DATE(2005,02,23)</f>
        <v>0</v>
      </c>
      <c r="C1468" s="1" t="s">
        <v>9829</v>
      </c>
      <c r="D1468" s="3">
        <v>6726</v>
      </c>
      <c r="E1468" s="1" t="s">
        <v>43</v>
      </c>
      <c r="F1468" s="1" t="s">
        <v>9830</v>
      </c>
      <c r="G1468" s="1" t="s">
        <v>6201</v>
      </c>
      <c r="H1468" s="4">
        <v>1.125</v>
      </c>
      <c r="I1468" s="4">
        <v>4.5</v>
      </c>
      <c r="J1468" s="9">
        <v>2152.5</v>
      </c>
      <c r="K1468" s="4">
        <v>25</v>
      </c>
      <c r="L1468" s="1" t="s">
        <v>4422</v>
      </c>
      <c r="M1468" s="1" t="s">
        <v>47</v>
      </c>
      <c r="N1468" s="1" t="s">
        <v>9831</v>
      </c>
      <c r="O1468" s="1" t="s">
        <v>108</v>
      </c>
      <c r="P1468" s="1" t="s">
        <v>9832</v>
      </c>
      <c r="Q1468" s="4">
        <v>0.93200000000000005</v>
      </c>
      <c r="R1468" s="4">
        <v>0.56000000000000005</v>
      </c>
      <c r="S1468" s="8">
        <v>3</v>
      </c>
      <c r="T1468" s="1" t="s">
        <v>50</v>
      </c>
      <c r="U1468" s="8">
        <v>25</v>
      </c>
      <c r="V1468" s="8">
        <v>25</v>
      </c>
      <c r="W1468" s="1"/>
      <c r="X1468" s="1"/>
      <c r="Y1468" s="7">
        <v>86100000</v>
      </c>
      <c r="Z1468" s="1"/>
      <c r="AA1468" s="2">
        <f ca="1">DATE(2005,08,22)</f>
        <v>0</v>
      </c>
      <c r="AB1468" s="1"/>
      <c r="AC1468" s="3">
        <v>180</v>
      </c>
      <c r="AD1468" s="1"/>
      <c r="AE1468" s="1" t="s">
        <v>51</v>
      </c>
      <c r="AF1468" s="1" t="s">
        <v>51</v>
      </c>
      <c r="AG1468" s="1" t="s">
        <v>51</v>
      </c>
      <c r="AH1468" s="1"/>
      <c r="AI1468" s="1"/>
      <c r="AJ1468" s="3">
        <v>1</v>
      </c>
      <c r="AK1468" s="1" t="s">
        <v>52</v>
      </c>
      <c r="AL1468" s="3">
        <v>24</v>
      </c>
      <c r="AM1468" s="8">
        <v>25.16</v>
      </c>
      <c r="AN1468" s="1"/>
      <c r="AO1468" s="1" t="s">
        <v>9833</v>
      </c>
      <c r="AP1468" s="1" t="s">
        <v>6201</v>
      </c>
      <c r="AQ1468" s="1" t="s">
        <v>9834</v>
      </c>
      <c r="AR1468" s="1" t="s">
        <v>9835</v>
      </c>
    </row>
    <row r="1469">
      <c r="A1469" s="2">
        <f ca="1">DATE(2005,01,24)</f>
        <v>0</v>
      </c>
      <c r="B1469" s="2">
        <f ca="1">DATE(2005,03,03)</f>
        <v>0</v>
      </c>
      <c r="C1469" s="1" t="s">
        <v>9836</v>
      </c>
      <c r="D1469" s="3">
        <v>2834</v>
      </c>
      <c r="E1469" s="1" t="s">
        <v>166</v>
      </c>
      <c r="F1469" s="1" t="s">
        <v>9837</v>
      </c>
      <c r="G1469" s="1" t="s">
        <v>45</v>
      </c>
      <c r="H1469" s="4">
        <v>0.77000000000000002</v>
      </c>
      <c r="I1469" s="4">
        <v>7</v>
      </c>
      <c r="J1469" s="5">
        <v>79.200000000000003</v>
      </c>
      <c r="K1469" s="4">
        <v>11</v>
      </c>
      <c r="L1469" s="1" t="s">
        <v>46</v>
      </c>
      <c r="M1469" s="1" t="s">
        <v>47</v>
      </c>
      <c r="N1469" s="1" t="s">
        <v>9838</v>
      </c>
      <c r="O1469" s="1" t="s">
        <v>48</v>
      </c>
      <c r="P1469" s="1" t="s">
        <v>9839</v>
      </c>
      <c r="Q1469" s="4">
        <v>1.4450000000000001</v>
      </c>
      <c r="R1469" s="4">
        <v>1.389</v>
      </c>
      <c r="S1469" s="6">
        <v>4.1663600000000001</v>
      </c>
      <c r="T1469" s="1" t="s">
        <v>50</v>
      </c>
      <c r="U1469" s="1"/>
      <c r="V1469" s="1"/>
      <c r="W1469" s="1"/>
      <c r="X1469" s="5">
        <v>100</v>
      </c>
      <c r="Y1469" s="7">
        <v>7200000</v>
      </c>
      <c r="Z1469" s="1"/>
      <c r="AA1469" s="2">
        <f ca="1">DATE(2005,08,30)</f>
        <v>0</v>
      </c>
      <c r="AB1469" s="4">
        <v>75.591999999999999</v>
      </c>
      <c r="AC1469" s="3">
        <v>180</v>
      </c>
      <c r="AD1469" s="8">
        <v>25722698</v>
      </c>
      <c r="AE1469" s="1" t="s">
        <v>51</v>
      </c>
      <c r="AF1469" s="1" t="s">
        <v>51</v>
      </c>
      <c r="AG1469" s="1" t="s">
        <v>47</v>
      </c>
      <c r="AH1469" s="1"/>
      <c r="AI1469" s="1"/>
      <c r="AJ1469" s="3">
        <v>1</v>
      </c>
      <c r="AK1469" s="1" t="s">
        <v>52</v>
      </c>
      <c r="AL1469" s="3">
        <v>4</v>
      </c>
      <c r="AM1469" s="8">
        <v>14.789999999999999</v>
      </c>
      <c r="AN1469" s="1"/>
      <c r="AO1469" s="1" t="s">
        <v>9840</v>
      </c>
      <c r="AP1469" s="1" t="s">
        <v>45</v>
      </c>
      <c r="AQ1469" s="1" t="s">
        <v>9841</v>
      </c>
      <c r="AR1469" s="1" t="s">
        <v>9842</v>
      </c>
    </row>
    <row r="1470">
      <c r="A1470" s="2">
        <f ca="1">DATE(2004,07,02)</f>
        <v>0</v>
      </c>
      <c r="B1470" s="2">
        <f ca="1">DATE(2005,03,08)</f>
        <v>0</v>
      </c>
      <c r="C1470" s="1" t="s">
        <v>9843</v>
      </c>
      <c r="D1470" s="3">
        <v>6231</v>
      </c>
      <c r="E1470" s="1" t="s">
        <v>43</v>
      </c>
      <c r="F1470" s="1" t="s">
        <v>9844</v>
      </c>
      <c r="G1470" s="1" t="s">
        <v>9845</v>
      </c>
      <c r="H1470" s="4">
        <v>1.26</v>
      </c>
      <c r="I1470" s="4">
        <v>7</v>
      </c>
      <c r="J1470" s="5">
        <v>180.90000000000001</v>
      </c>
      <c r="K1470" s="4">
        <v>18</v>
      </c>
      <c r="L1470" s="1" t="s">
        <v>152</v>
      </c>
      <c r="M1470" s="1" t="s">
        <v>47</v>
      </c>
      <c r="N1470" s="1" t="s">
        <v>9846</v>
      </c>
      <c r="O1470" s="1" t="s">
        <v>108</v>
      </c>
      <c r="P1470" s="1" t="s">
        <v>9847</v>
      </c>
      <c r="Q1470" s="4">
        <v>1.389</v>
      </c>
      <c r="R1470" s="4">
        <v>1.0560000000000001</v>
      </c>
      <c r="S1470" s="6">
        <v>4.5555599999999998</v>
      </c>
      <c r="T1470" s="1" t="s">
        <v>50</v>
      </c>
      <c r="U1470" s="1"/>
      <c r="V1470" s="1"/>
      <c r="W1470" s="1"/>
      <c r="X1470" s="5">
        <v>100</v>
      </c>
      <c r="Y1470" s="7">
        <v>4000000</v>
      </c>
      <c r="Z1470" s="7">
        <v>6049308</v>
      </c>
      <c r="AA1470" s="1" t="s">
        <v>9848</v>
      </c>
      <c r="AB1470" s="1" t="s">
        <v>9849</v>
      </c>
      <c r="AC1470" s="1" t="s">
        <v>7759</v>
      </c>
      <c r="AD1470" s="1" t="s">
        <v>9850</v>
      </c>
      <c r="AE1470" s="1" t="s">
        <v>51</v>
      </c>
      <c r="AF1470" s="1" t="s">
        <v>51</v>
      </c>
      <c r="AG1470" s="1" t="s">
        <v>51</v>
      </c>
      <c r="AH1470" s="1"/>
      <c r="AI1470" s="1"/>
      <c r="AJ1470" s="3">
        <v>2</v>
      </c>
      <c r="AK1470" s="1" t="s">
        <v>89</v>
      </c>
      <c r="AL1470" s="3">
        <v>7</v>
      </c>
      <c r="AM1470" s="8">
        <v>30.399999999999999</v>
      </c>
      <c r="AN1470" s="1"/>
      <c r="AO1470" s="1" t="s">
        <v>9851</v>
      </c>
      <c r="AP1470" s="1" t="s">
        <v>9852</v>
      </c>
      <c r="AQ1470" s="1" t="s">
        <v>9853</v>
      </c>
      <c r="AR1470" s="1" t="s">
        <v>9854</v>
      </c>
    </row>
    <row r="1471">
      <c r="A1471" s="2">
        <f ca="1">DATE(2005,02,11)</f>
        <v>0</v>
      </c>
      <c r="B1471" s="2">
        <f ca="1">DATE(2005,03,10)</f>
        <v>0</v>
      </c>
      <c r="C1471" s="1" t="s">
        <v>9855</v>
      </c>
      <c r="D1471" s="3">
        <v>3851</v>
      </c>
      <c r="E1471" s="1" t="s">
        <v>934</v>
      </c>
      <c r="F1471" s="1" t="s">
        <v>9856</v>
      </c>
      <c r="G1471" s="1" t="s">
        <v>2938</v>
      </c>
      <c r="H1471" s="4">
        <v>0.97999999999999998</v>
      </c>
      <c r="I1471" s="8">
        <v>7</v>
      </c>
      <c r="J1471" s="5">
        <v>56</v>
      </c>
      <c r="K1471" s="4">
        <v>14</v>
      </c>
      <c r="L1471" s="1" t="s">
        <v>46</v>
      </c>
      <c r="M1471" s="1" t="s">
        <v>47</v>
      </c>
      <c r="N1471" s="1"/>
      <c r="O1471" s="1" t="s">
        <v>48</v>
      </c>
      <c r="P1471" s="1" t="s">
        <v>9857</v>
      </c>
      <c r="Q1471" s="1" t="s">
        <v>145</v>
      </c>
      <c r="R1471" s="1" t="s">
        <v>145</v>
      </c>
      <c r="S1471" s="6">
        <v>3.8571399999999998</v>
      </c>
      <c r="T1471" s="1" t="s">
        <v>50</v>
      </c>
      <c r="U1471" s="8">
        <v>15</v>
      </c>
      <c r="V1471" s="8">
        <v>13</v>
      </c>
      <c r="W1471" s="7">
        <v>4000000</v>
      </c>
      <c r="X1471" s="5">
        <v>56</v>
      </c>
      <c r="Y1471" s="7">
        <v>3400000</v>
      </c>
      <c r="Z1471" s="7">
        <v>600000</v>
      </c>
      <c r="AA1471" s="1" t="s">
        <v>9858</v>
      </c>
      <c r="AB1471" s="1" t="s">
        <v>9859</v>
      </c>
      <c r="AC1471" s="1" t="s">
        <v>7759</v>
      </c>
      <c r="AD1471" s="1" t="s">
        <v>9860</v>
      </c>
      <c r="AE1471" s="1" t="s">
        <v>51</v>
      </c>
      <c r="AF1471" s="1" t="s">
        <v>51</v>
      </c>
      <c r="AG1471" s="1" t="s">
        <v>51</v>
      </c>
      <c r="AH1471" s="1"/>
      <c r="AI1471" s="1"/>
      <c r="AJ1471" s="3">
        <v>1</v>
      </c>
      <c r="AK1471" s="1" t="s">
        <v>89</v>
      </c>
      <c r="AL1471" s="3">
        <v>3</v>
      </c>
      <c r="AM1471" s="8">
        <v>16</v>
      </c>
      <c r="AN1471" s="1"/>
      <c r="AO1471" s="1" t="s">
        <v>9861</v>
      </c>
      <c r="AP1471" s="1" t="s">
        <v>9862</v>
      </c>
      <c r="AQ1471" s="1" t="s">
        <v>9863</v>
      </c>
      <c r="AR1471" s="1" t="s">
        <v>9857</v>
      </c>
    </row>
    <row r="1472">
      <c r="A1472" s="2">
        <f ca="1">DATE(2004,12,16)</f>
        <v>0</v>
      </c>
      <c r="B1472" s="2">
        <f ca="1">DATE(2005,03,14)</f>
        <v>0</v>
      </c>
      <c r="C1472" s="1" t="s">
        <v>9864</v>
      </c>
      <c r="D1472" s="3">
        <v>6021</v>
      </c>
      <c r="E1472" s="1" t="s">
        <v>43</v>
      </c>
      <c r="F1472" s="1" t="s">
        <v>9865</v>
      </c>
      <c r="G1472" s="1" t="s">
        <v>9866</v>
      </c>
      <c r="H1472" s="4">
        <v>0.68999999999999995</v>
      </c>
      <c r="I1472" s="4">
        <v>6</v>
      </c>
      <c r="J1472" s="5">
        <v>35.100000000000001</v>
      </c>
      <c r="K1472" s="4">
        <v>11.5</v>
      </c>
      <c r="L1472" s="1" t="s">
        <v>46</v>
      </c>
      <c r="M1472" s="1" t="s">
        <v>47</v>
      </c>
      <c r="N1472" s="1" t="s">
        <v>9867</v>
      </c>
      <c r="O1472" s="1" t="s">
        <v>48</v>
      </c>
      <c r="P1472" s="1" t="s">
        <v>9868</v>
      </c>
      <c r="Q1472" s="4">
        <v>1.565</v>
      </c>
      <c r="R1472" s="4">
        <v>1.478</v>
      </c>
      <c r="S1472" s="6">
        <v>2.9565199999999998</v>
      </c>
      <c r="T1472" s="1" t="s">
        <v>50</v>
      </c>
      <c r="U1472" s="1"/>
      <c r="V1472" s="1"/>
      <c r="W1472" s="1"/>
      <c r="X1472" s="5">
        <v>23</v>
      </c>
      <c r="Y1472" s="7">
        <v>3052174</v>
      </c>
      <c r="Z1472" s="1"/>
      <c r="AA1472" s="1" t="s">
        <v>9869</v>
      </c>
      <c r="AB1472" s="1" t="s">
        <v>9870</v>
      </c>
      <c r="AC1472" s="1" t="s">
        <v>3966</v>
      </c>
      <c r="AD1472" s="1" t="s">
        <v>9871</v>
      </c>
      <c r="AE1472" s="1" t="s">
        <v>51</v>
      </c>
      <c r="AF1472" s="1" t="s">
        <v>51</v>
      </c>
      <c r="AG1472" s="1" t="s">
        <v>51</v>
      </c>
      <c r="AH1472" s="1"/>
      <c r="AI1472" s="1"/>
      <c r="AJ1472" s="3">
        <v>2</v>
      </c>
      <c r="AK1472" s="1" t="s">
        <v>89</v>
      </c>
      <c r="AL1472" s="3">
        <v>2</v>
      </c>
      <c r="AM1472" s="8">
        <v>11.5</v>
      </c>
      <c r="AN1472" s="1"/>
      <c r="AO1472" s="1" t="s">
        <v>9872</v>
      </c>
      <c r="AP1472" s="1" t="s">
        <v>9873</v>
      </c>
      <c r="AQ1472" s="1" t="s">
        <v>9874</v>
      </c>
      <c r="AR1472" s="1" t="s">
        <v>9875</v>
      </c>
    </row>
    <row r="1473">
      <c r="A1473" s="2">
        <f ca="1">DATE(2004,12,20)</f>
        <v>0</v>
      </c>
      <c r="B1473" s="2">
        <f ca="1">DATE(2005,03,16)</f>
        <v>0</v>
      </c>
      <c r="C1473" s="1" t="s">
        <v>9876</v>
      </c>
      <c r="D1473" s="3">
        <v>4899</v>
      </c>
      <c r="E1473" s="1" t="s">
        <v>43</v>
      </c>
      <c r="F1473" s="1" t="s">
        <v>9877</v>
      </c>
      <c r="G1473" s="1" t="s">
        <v>9878</v>
      </c>
      <c r="H1473" s="4">
        <v>0.74299999999999999</v>
      </c>
      <c r="I1473" s="4">
        <v>4.125</v>
      </c>
      <c r="J1473" s="5">
        <v>900</v>
      </c>
      <c r="K1473" s="4">
        <v>18</v>
      </c>
      <c r="L1473" s="1" t="s">
        <v>46</v>
      </c>
      <c r="M1473" s="1" t="s">
        <v>47</v>
      </c>
      <c r="N1473" s="1" t="s">
        <v>9879</v>
      </c>
      <c r="O1473" s="1" t="s">
        <v>108</v>
      </c>
      <c r="P1473" s="1" t="s">
        <v>9880</v>
      </c>
      <c r="Q1473" s="4">
        <v>0.82499999999999996</v>
      </c>
      <c r="R1473" s="4">
        <v>0.82499999999999996</v>
      </c>
      <c r="S1473" s="4">
        <v>2.4750000000000001</v>
      </c>
      <c r="T1473" s="1" t="s">
        <v>50</v>
      </c>
      <c r="U1473" s="1"/>
      <c r="V1473" s="1"/>
      <c r="W1473" s="1"/>
      <c r="X1473" s="9">
        <v>1120</v>
      </c>
      <c r="Y1473" s="7">
        <v>50000000</v>
      </c>
      <c r="Z1473" s="1"/>
      <c r="AA1473" s="1" t="s">
        <v>9881</v>
      </c>
      <c r="AB1473" s="1" t="s">
        <v>9882</v>
      </c>
      <c r="AC1473" s="1" t="s">
        <v>2068</v>
      </c>
      <c r="AD1473" s="1" t="s">
        <v>9883</v>
      </c>
      <c r="AE1473" s="1" t="s">
        <v>51</v>
      </c>
      <c r="AF1473" s="1" t="s">
        <v>51</v>
      </c>
      <c r="AG1473" s="1" t="s">
        <v>51</v>
      </c>
      <c r="AH1473" s="1"/>
      <c r="AI1473" s="1"/>
      <c r="AJ1473" s="3">
        <v>3</v>
      </c>
      <c r="AK1473" s="1" t="s">
        <v>3985</v>
      </c>
      <c r="AL1473" s="3">
        <v>10</v>
      </c>
      <c r="AM1473" s="8">
        <v>17.350000000000001</v>
      </c>
      <c r="AN1473" s="1"/>
      <c r="AO1473" s="1" t="s">
        <v>9884</v>
      </c>
      <c r="AP1473" s="1" t="s">
        <v>9885</v>
      </c>
      <c r="AQ1473" s="1" t="s">
        <v>9886</v>
      </c>
      <c r="AR1473" s="1" t="s">
        <v>9887</v>
      </c>
    </row>
    <row r="1474">
      <c r="A1474" s="2">
        <f ca="1">DATE(2005,03,01)</f>
        <v>0</v>
      </c>
      <c r="B1474" s="2">
        <f ca="1">DATE(2005,03,17)</f>
        <v>0</v>
      </c>
      <c r="C1474" s="1" t="s">
        <v>9888</v>
      </c>
      <c r="D1474" s="3">
        <v>4412</v>
      </c>
      <c r="E1474" s="1" t="s">
        <v>3764</v>
      </c>
      <c r="F1474" s="1" t="s">
        <v>9889</v>
      </c>
      <c r="G1474" s="1" t="s">
        <v>411</v>
      </c>
      <c r="H1474" s="4">
        <v>1.19</v>
      </c>
      <c r="I1474" s="8">
        <v>7</v>
      </c>
      <c r="J1474" s="5">
        <v>210.40000000000001</v>
      </c>
      <c r="K1474" s="4">
        <v>17</v>
      </c>
      <c r="L1474" s="1" t="s">
        <v>46</v>
      </c>
      <c r="M1474" s="1" t="s">
        <v>47</v>
      </c>
      <c r="N1474" s="1" t="s">
        <v>9890</v>
      </c>
      <c r="O1474" s="1" t="s">
        <v>108</v>
      </c>
      <c r="P1474" s="1" t="s">
        <v>9891</v>
      </c>
      <c r="Q1474" s="4">
        <v>1.3819999999999999</v>
      </c>
      <c r="R1474" s="4">
        <v>1.3819999999999999</v>
      </c>
      <c r="S1474" s="6">
        <v>4.23529</v>
      </c>
      <c r="T1474" s="1" t="s">
        <v>50</v>
      </c>
      <c r="U1474" s="8">
        <v>17</v>
      </c>
      <c r="V1474" s="8">
        <v>15</v>
      </c>
      <c r="W1474" s="7">
        <v>12375000</v>
      </c>
      <c r="X1474" s="5">
        <v>198</v>
      </c>
      <c r="Y1474" s="7">
        <v>12375000</v>
      </c>
      <c r="Z1474" s="1"/>
      <c r="AA1474" s="2">
        <f ca="1">DATE(2005,09,13)</f>
        <v>0</v>
      </c>
      <c r="AB1474" s="4">
        <v>69.063000000000002</v>
      </c>
      <c r="AC1474" s="3">
        <v>180</v>
      </c>
      <c r="AD1474" s="8">
        <v>27625000</v>
      </c>
      <c r="AE1474" s="1" t="s">
        <v>51</v>
      </c>
      <c r="AF1474" s="1" t="s">
        <v>51</v>
      </c>
      <c r="AG1474" s="1" t="s">
        <v>51</v>
      </c>
      <c r="AH1474" s="1"/>
      <c r="AI1474" s="1"/>
      <c r="AJ1474" s="3">
        <v>1</v>
      </c>
      <c r="AK1474" s="1" t="s">
        <v>52</v>
      </c>
      <c r="AL1474" s="3">
        <v>4</v>
      </c>
      <c r="AM1474" s="8">
        <v>17.300000000000001</v>
      </c>
      <c r="AN1474" s="1"/>
      <c r="AO1474" s="1" t="s">
        <v>9892</v>
      </c>
      <c r="AP1474" s="1" t="s">
        <v>411</v>
      </c>
      <c r="AQ1474" s="1" t="s">
        <v>9893</v>
      </c>
      <c r="AR1474" s="1" t="s">
        <v>9891</v>
      </c>
    </row>
    <row r="1475">
      <c r="A1475" s="1"/>
      <c r="B1475" s="2">
        <f ca="1">DATE(2005,03,28)</f>
        <v>0</v>
      </c>
      <c r="C1475" s="1" t="s">
        <v>9894</v>
      </c>
      <c r="D1475" s="3">
        <v>6726</v>
      </c>
      <c r="E1475" s="1" t="s">
        <v>43</v>
      </c>
      <c r="F1475" s="1" t="s">
        <v>9895</v>
      </c>
      <c r="G1475" s="1" t="s">
        <v>45</v>
      </c>
      <c r="H1475" s="4">
        <v>1.125</v>
      </c>
      <c r="I1475" s="4">
        <v>4.5</v>
      </c>
      <c r="J1475" s="5">
        <v>187.5</v>
      </c>
      <c r="K1475" s="4">
        <v>25</v>
      </c>
      <c r="L1475" s="1" t="s">
        <v>4422</v>
      </c>
      <c r="M1475" s="1" t="s">
        <v>47</v>
      </c>
      <c r="N1475" s="1" t="s">
        <v>9896</v>
      </c>
      <c r="O1475" s="1" t="s">
        <v>108</v>
      </c>
      <c r="P1475" s="1" t="s">
        <v>9897</v>
      </c>
      <c r="Q1475" s="1" t="s">
        <v>145</v>
      </c>
      <c r="R1475" s="1" t="s">
        <v>145</v>
      </c>
      <c r="S1475" s="8">
        <v>3</v>
      </c>
      <c r="T1475" s="1" t="s">
        <v>50</v>
      </c>
      <c r="U1475" s="8">
        <v>15</v>
      </c>
      <c r="V1475" s="8">
        <v>15</v>
      </c>
      <c r="W1475" s="7">
        <v>100000</v>
      </c>
      <c r="X1475" s="5">
        <v>1.5</v>
      </c>
      <c r="Y1475" s="7">
        <v>7500000</v>
      </c>
      <c r="Z1475" s="1"/>
      <c r="AA1475" s="2">
        <f ca="1">DATE(2005,09,24)</f>
        <v>0</v>
      </c>
      <c r="AB1475" s="1"/>
      <c r="AC1475" s="3">
        <v>180</v>
      </c>
      <c r="AD1475" s="1"/>
      <c r="AE1475" s="1" t="s">
        <v>51</v>
      </c>
      <c r="AF1475" s="1" t="s">
        <v>51</v>
      </c>
      <c r="AG1475" s="1" t="s">
        <v>51</v>
      </c>
      <c r="AH1475" s="1"/>
      <c r="AI1475" s="1"/>
      <c r="AJ1475" s="3">
        <v>1</v>
      </c>
      <c r="AK1475" s="1" t="s">
        <v>52</v>
      </c>
      <c r="AL1475" s="3">
        <v>15</v>
      </c>
      <c r="AM1475" s="8">
        <v>25</v>
      </c>
      <c r="AN1475" s="1"/>
      <c r="AO1475" s="1" t="s">
        <v>9898</v>
      </c>
      <c r="AP1475" s="1" t="s">
        <v>45</v>
      </c>
      <c r="AQ1475" s="1" t="s">
        <v>9899</v>
      </c>
      <c r="AR1475" s="1" t="s">
        <v>9900</v>
      </c>
    </row>
    <row r="1476">
      <c r="A1476" s="1"/>
      <c r="B1476" s="2">
        <f ca="1">DATE(2005,03,28)</f>
        <v>0</v>
      </c>
      <c r="C1476" s="1" t="s">
        <v>9901</v>
      </c>
      <c r="D1476" s="3">
        <v>6726</v>
      </c>
      <c r="E1476" s="1" t="s">
        <v>43</v>
      </c>
      <c r="F1476" s="1" t="s">
        <v>9902</v>
      </c>
      <c r="G1476" s="1" t="s">
        <v>5704</v>
      </c>
      <c r="H1476" s="4">
        <v>0.90000000000000002</v>
      </c>
      <c r="I1476" s="4">
        <v>4.5</v>
      </c>
      <c r="J1476" s="5">
        <v>300</v>
      </c>
      <c r="K1476" s="4">
        <v>20</v>
      </c>
      <c r="L1476" s="1" t="s">
        <v>46</v>
      </c>
      <c r="M1476" s="1" t="s">
        <v>47</v>
      </c>
      <c r="N1476" s="1" t="s">
        <v>9903</v>
      </c>
      <c r="O1476" s="1" t="s">
        <v>108</v>
      </c>
      <c r="P1476" s="1" t="s">
        <v>9904</v>
      </c>
      <c r="Q1476" s="1" t="s">
        <v>145</v>
      </c>
      <c r="R1476" s="1" t="s">
        <v>145</v>
      </c>
      <c r="S1476" s="8">
        <v>3</v>
      </c>
      <c r="T1476" s="1" t="s">
        <v>50</v>
      </c>
      <c r="U1476" s="8">
        <v>15</v>
      </c>
      <c r="V1476" s="8">
        <v>15</v>
      </c>
      <c r="W1476" s="7">
        <v>66667</v>
      </c>
      <c r="X1476" s="5">
        <v>1</v>
      </c>
      <c r="Y1476" s="7">
        <v>15000000</v>
      </c>
      <c r="Z1476" s="1"/>
      <c r="AA1476" s="2">
        <f ca="1">DATE(2005,09,24)</f>
        <v>0</v>
      </c>
      <c r="AB1476" s="1"/>
      <c r="AC1476" s="3">
        <v>180</v>
      </c>
      <c r="AD1476" s="1"/>
      <c r="AE1476" s="1" t="s">
        <v>51</v>
      </c>
      <c r="AF1476" s="1" t="s">
        <v>51</v>
      </c>
      <c r="AG1476" s="1" t="s">
        <v>51</v>
      </c>
      <c r="AH1476" s="1"/>
      <c r="AI1476" s="1"/>
      <c r="AJ1476" s="3">
        <v>1</v>
      </c>
      <c r="AK1476" s="1" t="s">
        <v>52</v>
      </c>
      <c r="AL1476" s="3">
        <v>12</v>
      </c>
      <c r="AM1476" s="8">
        <v>20</v>
      </c>
      <c r="AN1476" s="1"/>
      <c r="AO1476" s="1" t="s">
        <v>9905</v>
      </c>
      <c r="AP1476" s="1" t="s">
        <v>5704</v>
      </c>
      <c r="AQ1476" s="1" t="s">
        <v>9906</v>
      </c>
      <c r="AR1476" s="1" t="s">
        <v>9907</v>
      </c>
    </row>
    <row r="1477">
      <c r="A1477" s="2">
        <f ca="1">DATE(2004,04,08)</f>
        <v>0</v>
      </c>
      <c r="B1477" s="2">
        <f ca="1">DATE(2005,03,28)</f>
        <v>0</v>
      </c>
      <c r="C1477" s="1" t="s">
        <v>9908</v>
      </c>
      <c r="D1477" s="3">
        <v>6726</v>
      </c>
      <c r="E1477" s="1" t="s">
        <v>43</v>
      </c>
      <c r="F1477" s="1" t="s">
        <v>9909</v>
      </c>
      <c r="G1477" s="1" t="s">
        <v>6201</v>
      </c>
      <c r="H1477" s="4">
        <v>0.90000000000000002</v>
      </c>
      <c r="I1477" s="4">
        <v>4.5</v>
      </c>
      <c r="J1477" s="9">
        <v>1700</v>
      </c>
      <c r="K1477" s="4">
        <v>20</v>
      </c>
      <c r="L1477" s="1" t="s">
        <v>4422</v>
      </c>
      <c r="M1477" s="1" t="s">
        <v>47</v>
      </c>
      <c r="N1477" s="1" t="s">
        <v>9910</v>
      </c>
      <c r="O1477" s="1" t="s">
        <v>108</v>
      </c>
      <c r="P1477" s="1" t="s">
        <v>9911</v>
      </c>
      <c r="Q1477" s="4">
        <v>1</v>
      </c>
      <c r="R1477" s="4">
        <v>0.5</v>
      </c>
      <c r="S1477" s="8">
        <v>3</v>
      </c>
      <c r="T1477" s="1" t="s">
        <v>50</v>
      </c>
      <c r="U1477" s="8">
        <v>15</v>
      </c>
      <c r="V1477" s="8">
        <v>15</v>
      </c>
      <c r="W1477" s="7">
        <v>7000</v>
      </c>
      <c r="X1477" s="5">
        <v>0.10000000000000001</v>
      </c>
      <c r="Y1477" s="7">
        <v>85000000</v>
      </c>
      <c r="Z1477" s="1"/>
      <c r="AA1477" s="2">
        <f ca="1">DATE(2005,09,24)</f>
        <v>0</v>
      </c>
      <c r="AB1477" s="1"/>
      <c r="AC1477" s="3">
        <v>180</v>
      </c>
      <c r="AD1477" s="1"/>
      <c r="AE1477" s="1" t="s">
        <v>51</v>
      </c>
      <c r="AF1477" s="1" t="s">
        <v>51</v>
      </c>
      <c r="AG1477" s="1" t="s">
        <v>51</v>
      </c>
      <c r="AH1477" s="1"/>
      <c r="AI1477" s="1"/>
      <c r="AJ1477" s="3">
        <v>1</v>
      </c>
      <c r="AK1477" s="1" t="s">
        <v>52</v>
      </c>
      <c r="AL1477" s="3">
        <v>20</v>
      </c>
      <c r="AM1477" s="8">
        <v>20.02</v>
      </c>
      <c r="AN1477" s="1"/>
      <c r="AO1477" s="1" t="s">
        <v>9912</v>
      </c>
      <c r="AP1477" s="1" t="s">
        <v>6201</v>
      </c>
      <c r="AQ1477" s="1" t="s">
        <v>9913</v>
      </c>
      <c r="AR1477" s="1" t="s">
        <v>9914</v>
      </c>
    </row>
    <row r="1478">
      <c r="A1478" s="2">
        <f ca="1">DATE(2005,01,25)</f>
        <v>0</v>
      </c>
      <c r="B1478" s="2">
        <f ca="1">DATE(2005,03,28)</f>
        <v>0</v>
      </c>
      <c r="C1478" s="1" t="s">
        <v>9915</v>
      </c>
      <c r="D1478" s="3">
        <v>6726</v>
      </c>
      <c r="E1478" s="1" t="s">
        <v>43</v>
      </c>
      <c r="F1478" s="1" t="s">
        <v>9916</v>
      </c>
      <c r="G1478" s="1" t="s">
        <v>4145</v>
      </c>
      <c r="H1478" s="4">
        <v>0.67500000000000004</v>
      </c>
      <c r="I1478" s="4">
        <v>4.5</v>
      </c>
      <c r="J1478" s="5">
        <v>195</v>
      </c>
      <c r="K1478" s="4">
        <v>15</v>
      </c>
      <c r="L1478" s="1" t="s">
        <v>46</v>
      </c>
      <c r="M1478" s="1" t="s">
        <v>47</v>
      </c>
      <c r="N1478" s="1" t="s">
        <v>9917</v>
      </c>
      <c r="O1478" s="1" t="s">
        <v>108</v>
      </c>
      <c r="P1478" s="1" t="s">
        <v>9918</v>
      </c>
      <c r="Q1478" s="1" t="s">
        <v>145</v>
      </c>
      <c r="R1478" s="1" t="s">
        <v>145</v>
      </c>
      <c r="S1478" s="8">
        <v>3</v>
      </c>
      <c r="T1478" s="1" t="s">
        <v>50</v>
      </c>
      <c r="U1478" s="8">
        <v>15</v>
      </c>
      <c r="V1478" s="8">
        <v>15</v>
      </c>
      <c r="W1478" s="7">
        <v>1000</v>
      </c>
      <c r="X1478" s="5">
        <v>0</v>
      </c>
      <c r="Y1478" s="7">
        <v>13000000</v>
      </c>
      <c r="Z1478" s="1"/>
      <c r="AA1478" s="1"/>
      <c r="AB1478" s="1"/>
      <c r="AC1478" s="1"/>
      <c r="AD1478" s="1"/>
      <c r="AE1478" s="1" t="s">
        <v>51</v>
      </c>
      <c r="AF1478" s="1" t="s">
        <v>51</v>
      </c>
      <c r="AG1478" s="1" t="s">
        <v>51</v>
      </c>
      <c r="AH1478" s="1"/>
      <c r="AI1478" s="1"/>
      <c r="AJ1478" s="3">
        <v>1</v>
      </c>
      <c r="AK1478" s="1" t="s">
        <v>52</v>
      </c>
      <c r="AL1478" s="3">
        <v>16</v>
      </c>
      <c r="AM1478" s="1"/>
      <c r="AN1478" s="1"/>
      <c r="AO1478" s="1" t="s">
        <v>9919</v>
      </c>
      <c r="AP1478" s="1" t="s">
        <v>4145</v>
      </c>
      <c r="AQ1478" s="1" t="s">
        <v>9920</v>
      </c>
      <c r="AR1478" s="1" t="s">
        <v>9921</v>
      </c>
    </row>
    <row r="1479">
      <c r="A1479" s="1"/>
      <c r="B1479" s="2">
        <f ca="1">DATE(2005,03,28)</f>
        <v>0</v>
      </c>
      <c r="C1479" s="1" t="s">
        <v>9922</v>
      </c>
      <c r="D1479" s="3">
        <v>6726</v>
      </c>
      <c r="E1479" s="1" t="s">
        <v>43</v>
      </c>
      <c r="F1479" s="1" t="s">
        <v>9923</v>
      </c>
      <c r="G1479" s="1" t="s">
        <v>45</v>
      </c>
      <c r="H1479" s="4">
        <v>0.90000000000000002</v>
      </c>
      <c r="I1479" s="4">
        <v>4.5</v>
      </c>
      <c r="J1479" s="5">
        <v>312</v>
      </c>
      <c r="K1479" s="4">
        <v>20</v>
      </c>
      <c r="L1479" s="1" t="s">
        <v>46</v>
      </c>
      <c r="M1479" s="1" t="s">
        <v>47</v>
      </c>
      <c r="N1479" s="1" t="s">
        <v>9924</v>
      </c>
      <c r="O1479" s="1" t="s">
        <v>108</v>
      </c>
      <c r="P1479" s="1" t="s">
        <v>9925</v>
      </c>
      <c r="Q1479" s="4">
        <v>1</v>
      </c>
      <c r="R1479" s="4">
        <v>0.5</v>
      </c>
      <c r="S1479" s="8">
        <v>3</v>
      </c>
      <c r="T1479" s="1" t="s">
        <v>50</v>
      </c>
      <c r="U1479" s="8">
        <v>20</v>
      </c>
      <c r="V1479" s="8">
        <v>20</v>
      </c>
      <c r="W1479" s="7">
        <v>1000000</v>
      </c>
      <c r="X1479" s="5">
        <v>20</v>
      </c>
      <c r="Y1479" s="7">
        <v>15600000</v>
      </c>
      <c r="Z1479" s="1"/>
      <c r="AA1479" s="1"/>
      <c r="AB1479" s="1"/>
      <c r="AC1479" s="1"/>
      <c r="AD1479" s="1"/>
      <c r="AE1479" s="1" t="s">
        <v>51</v>
      </c>
      <c r="AF1479" s="1" t="s">
        <v>51</v>
      </c>
      <c r="AG1479" s="1" t="s">
        <v>51</v>
      </c>
      <c r="AH1479" s="1"/>
      <c r="AI1479" s="1"/>
      <c r="AJ1479" s="3">
        <v>1</v>
      </c>
      <c r="AK1479" s="1" t="s">
        <v>52</v>
      </c>
      <c r="AL1479" s="3">
        <v>8</v>
      </c>
      <c r="AM1479" s="8">
        <v>20.02</v>
      </c>
      <c r="AN1479" s="1"/>
      <c r="AO1479" s="1" t="s">
        <v>9926</v>
      </c>
      <c r="AP1479" s="1" t="s">
        <v>45</v>
      </c>
      <c r="AQ1479" s="1" t="s">
        <v>9927</v>
      </c>
      <c r="AR1479" s="1" t="s">
        <v>9928</v>
      </c>
    </row>
    <row r="1480">
      <c r="A1480" s="2">
        <f ca="1">DATE(2005,01,12)</f>
        <v>0</v>
      </c>
      <c r="B1480" s="2">
        <f ca="1">DATE(2005,03,29)</f>
        <v>0</v>
      </c>
      <c r="C1480" s="1" t="s">
        <v>9929</v>
      </c>
      <c r="D1480" s="3">
        <v>6726</v>
      </c>
      <c r="E1480" s="1" t="s">
        <v>43</v>
      </c>
      <c r="F1480" s="1" t="s">
        <v>9930</v>
      </c>
      <c r="G1480" s="1" t="s">
        <v>6201</v>
      </c>
      <c r="H1480" s="4">
        <v>0.90000000000000002</v>
      </c>
      <c r="I1480" s="4">
        <v>4.5</v>
      </c>
      <c r="J1480" s="5">
        <v>332</v>
      </c>
      <c r="K1480" s="4">
        <v>20</v>
      </c>
      <c r="L1480" s="1" t="s">
        <v>4422</v>
      </c>
      <c r="M1480" s="1" t="s">
        <v>47</v>
      </c>
      <c r="N1480" s="1" t="s">
        <v>9931</v>
      </c>
      <c r="O1480" s="1" t="s">
        <v>3689</v>
      </c>
      <c r="P1480" s="1" t="s">
        <v>9932</v>
      </c>
      <c r="Q1480" s="4">
        <v>0.94999999999999996</v>
      </c>
      <c r="R1480" s="4">
        <v>0.55000000000000004</v>
      </c>
      <c r="S1480" s="8">
        <v>3</v>
      </c>
      <c r="T1480" s="1" t="s">
        <v>50</v>
      </c>
      <c r="U1480" s="8">
        <v>20</v>
      </c>
      <c r="V1480" s="8">
        <v>20</v>
      </c>
      <c r="W1480" s="7">
        <v>100000</v>
      </c>
      <c r="X1480" s="5">
        <v>2</v>
      </c>
      <c r="Y1480" s="7">
        <v>16600000</v>
      </c>
      <c r="Z1480" s="1"/>
      <c r="AA1480" s="1"/>
      <c r="AB1480" s="1"/>
      <c r="AC1480" s="1"/>
      <c r="AD1480" s="1"/>
      <c r="AE1480" s="1" t="s">
        <v>51</v>
      </c>
      <c r="AF1480" s="1" t="s">
        <v>51</v>
      </c>
      <c r="AG1480" s="1" t="s">
        <v>51</v>
      </c>
      <c r="AH1480" s="1"/>
      <c r="AI1480" s="1"/>
      <c r="AJ1480" s="3">
        <v>1</v>
      </c>
      <c r="AK1480" s="1" t="s">
        <v>52</v>
      </c>
      <c r="AL1480" s="3">
        <v>13</v>
      </c>
      <c r="AM1480" s="8">
        <v>20.010000000000002</v>
      </c>
      <c r="AN1480" s="1"/>
      <c r="AO1480" s="1" t="s">
        <v>9933</v>
      </c>
      <c r="AP1480" s="1" t="s">
        <v>6201</v>
      </c>
      <c r="AQ1480" s="1" t="s">
        <v>9934</v>
      </c>
      <c r="AR1480" s="1" t="s">
        <v>9935</v>
      </c>
    </row>
    <row r="1481">
      <c r="A1481" s="2">
        <f ca="1">DATE(2005,02,17)</f>
        <v>0</v>
      </c>
      <c r="B1481" s="2">
        <f ca="1">DATE(2005,03,31)</f>
        <v>0</v>
      </c>
      <c r="C1481" s="1" t="s">
        <v>9936</v>
      </c>
      <c r="D1481" s="3">
        <v>7319</v>
      </c>
      <c r="E1481" s="1" t="s">
        <v>43</v>
      </c>
      <c r="F1481" s="1" t="s">
        <v>9937</v>
      </c>
      <c r="G1481" s="1" t="s">
        <v>8935</v>
      </c>
      <c r="H1481" s="4">
        <v>0.83999999999999997</v>
      </c>
      <c r="I1481" s="8">
        <v>7</v>
      </c>
      <c r="J1481" s="5">
        <v>78</v>
      </c>
      <c r="K1481" s="4">
        <v>12</v>
      </c>
      <c r="L1481" s="1" t="s">
        <v>46</v>
      </c>
      <c r="M1481" s="1" t="s">
        <v>47</v>
      </c>
      <c r="N1481" s="1" t="s">
        <v>9938</v>
      </c>
      <c r="O1481" s="1" t="s">
        <v>48</v>
      </c>
      <c r="P1481" s="1" t="s">
        <v>9939</v>
      </c>
      <c r="Q1481" s="4">
        <v>1.3999999999999999</v>
      </c>
      <c r="R1481" s="4">
        <v>1.3999999999999999</v>
      </c>
      <c r="S1481" s="8">
        <v>4.2000000000000002</v>
      </c>
      <c r="T1481" s="1" t="s">
        <v>50</v>
      </c>
      <c r="U1481" s="1"/>
      <c r="V1481" s="1"/>
      <c r="W1481" s="1"/>
      <c r="X1481" s="5">
        <v>92</v>
      </c>
      <c r="Y1481" s="7">
        <v>5649860</v>
      </c>
      <c r="Z1481" s="7">
        <v>850140</v>
      </c>
      <c r="AA1481" s="1" t="s">
        <v>9940</v>
      </c>
      <c r="AB1481" s="1" t="s">
        <v>9941</v>
      </c>
      <c r="AC1481" s="1" t="s">
        <v>2068</v>
      </c>
      <c r="AD1481" s="1" t="s">
        <v>9942</v>
      </c>
      <c r="AE1481" s="1" t="s">
        <v>51</v>
      </c>
      <c r="AF1481" s="1" t="s">
        <v>51</v>
      </c>
      <c r="AG1481" s="1" t="s">
        <v>47</v>
      </c>
      <c r="AH1481" s="1"/>
      <c r="AI1481" s="1"/>
      <c r="AJ1481" s="3">
        <v>2</v>
      </c>
      <c r="AK1481" s="1" t="s">
        <v>89</v>
      </c>
      <c r="AL1481" s="3">
        <v>4</v>
      </c>
      <c r="AM1481" s="8">
        <v>12</v>
      </c>
      <c r="AN1481" s="1"/>
      <c r="AO1481" s="1" t="s">
        <v>9943</v>
      </c>
      <c r="AP1481" s="1" t="s">
        <v>7956</v>
      </c>
      <c r="AQ1481" s="1" t="s">
        <v>9944</v>
      </c>
      <c r="AR1481" s="1" t="s">
        <v>9945</v>
      </c>
    </row>
    <row r="1482">
      <c r="A1482" s="2">
        <f ca="1">DATE(2005,03,16)</f>
        <v>0</v>
      </c>
      <c r="B1482" s="2">
        <f ca="1">DATE(2005,04,05)</f>
        <v>0</v>
      </c>
      <c r="C1482" s="1" t="s">
        <v>9946</v>
      </c>
      <c r="D1482" s="3">
        <v>3743</v>
      </c>
      <c r="E1482" s="1" t="s">
        <v>43</v>
      </c>
      <c r="F1482" s="1" t="s">
        <v>9947</v>
      </c>
      <c r="G1482" s="1" t="s">
        <v>5704</v>
      </c>
      <c r="H1482" s="4">
        <v>1.3300000000000001</v>
      </c>
      <c r="I1482" s="4">
        <v>7</v>
      </c>
      <c r="J1482" s="5">
        <v>161.5</v>
      </c>
      <c r="K1482" s="4">
        <v>19</v>
      </c>
      <c r="L1482" s="1" t="s">
        <v>46</v>
      </c>
      <c r="M1482" s="1" t="s">
        <v>47</v>
      </c>
      <c r="N1482" s="3">
        <v>357023100</v>
      </c>
      <c r="O1482" s="1" t="s">
        <v>48</v>
      </c>
      <c r="P1482" s="1" t="s">
        <v>9948</v>
      </c>
      <c r="Q1482" s="4">
        <v>1.421</v>
      </c>
      <c r="R1482" s="4">
        <v>1.421</v>
      </c>
      <c r="S1482" s="6">
        <v>4.1578900000000001</v>
      </c>
      <c r="T1482" s="1" t="s">
        <v>50</v>
      </c>
      <c r="U1482" s="8">
        <v>18</v>
      </c>
      <c r="V1482" s="8">
        <v>16</v>
      </c>
      <c r="W1482" s="7">
        <v>6000000</v>
      </c>
      <c r="X1482" s="5">
        <v>102</v>
      </c>
      <c r="Y1482" s="7">
        <v>5100000</v>
      </c>
      <c r="Z1482" s="7">
        <v>3400000</v>
      </c>
      <c r="AA1482" s="1" t="s">
        <v>9949</v>
      </c>
      <c r="AB1482" s="1" t="s">
        <v>9950</v>
      </c>
      <c r="AC1482" s="1" t="s">
        <v>7759</v>
      </c>
      <c r="AD1482" s="1" t="s">
        <v>9951</v>
      </c>
      <c r="AE1482" s="1" t="s">
        <v>51</v>
      </c>
      <c r="AF1482" s="1" t="s">
        <v>51</v>
      </c>
      <c r="AG1482" s="1" t="s">
        <v>51</v>
      </c>
      <c r="AH1482" s="1"/>
      <c r="AI1482" s="1"/>
      <c r="AJ1482" s="3">
        <v>1</v>
      </c>
      <c r="AK1482" s="1" t="s">
        <v>52</v>
      </c>
      <c r="AL1482" s="3">
        <v>3</v>
      </c>
      <c r="AM1482" s="8">
        <v>21.030000000000001</v>
      </c>
      <c r="AN1482" s="1"/>
      <c r="AO1482" s="1" t="s">
        <v>9952</v>
      </c>
      <c r="AP1482" s="1" t="s">
        <v>5704</v>
      </c>
      <c r="AQ1482" s="1" t="s">
        <v>9953</v>
      </c>
      <c r="AR1482" s="1" t="s">
        <v>9954</v>
      </c>
    </row>
    <row r="1483">
      <c r="A1483" s="2">
        <f ca="1">DATE(2005,02,28)</f>
        <v>0</v>
      </c>
      <c r="B1483" s="2">
        <f ca="1">DATE(2005,04,12)</f>
        <v>0</v>
      </c>
      <c r="C1483" s="1" t="s">
        <v>9955</v>
      </c>
      <c r="D1483" s="3">
        <v>1311</v>
      </c>
      <c r="E1483" s="1" t="s">
        <v>43</v>
      </c>
      <c r="F1483" s="1" t="s">
        <v>9956</v>
      </c>
      <c r="G1483" s="1" t="s">
        <v>6899</v>
      </c>
      <c r="H1483" s="4">
        <v>0.44</v>
      </c>
      <c r="I1483" s="4">
        <v>8</v>
      </c>
      <c r="J1483" s="5">
        <v>11</v>
      </c>
      <c r="K1483" s="4">
        <v>5.5</v>
      </c>
      <c r="L1483" s="1" t="s">
        <v>46</v>
      </c>
      <c r="M1483" s="1" t="s">
        <v>47</v>
      </c>
      <c r="N1483" s="3">
        <v>693535106</v>
      </c>
      <c r="O1483" s="1" t="s">
        <v>87</v>
      </c>
      <c r="P1483" s="1" t="s">
        <v>7504</v>
      </c>
      <c r="Q1483" s="1" t="s">
        <v>145</v>
      </c>
      <c r="R1483" s="1" t="s">
        <v>145</v>
      </c>
      <c r="S1483" s="6">
        <v>4.7272699999999999</v>
      </c>
      <c r="T1483" s="1" t="s">
        <v>50</v>
      </c>
      <c r="U1483" s="8">
        <v>5.5</v>
      </c>
      <c r="V1483" s="8">
        <v>5.5</v>
      </c>
      <c r="W1483" s="7">
        <v>2000000</v>
      </c>
      <c r="X1483" s="5">
        <v>11</v>
      </c>
      <c r="Y1483" s="7">
        <v>2000000</v>
      </c>
      <c r="Z1483" s="1"/>
      <c r="AA1483" s="1" t="s">
        <v>9957</v>
      </c>
      <c r="AB1483" s="1" t="s">
        <v>9958</v>
      </c>
      <c r="AC1483" s="1" t="s">
        <v>9959</v>
      </c>
      <c r="AD1483" s="1" t="s">
        <v>9960</v>
      </c>
      <c r="AE1483" s="1" t="s">
        <v>51</v>
      </c>
      <c r="AF1483" s="1" t="s">
        <v>51</v>
      </c>
      <c r="AG1483" s="1" t="s">
        <v>51</v>
      </c>
      <c r="AH1483" s="1"/>
      <c r="AI1483" s="1"/>
      <c r="AJ1483" s="3">
        <v>1</v>
      </c>
      <c r="AK1483" s="1" t="s">
        <v>52</v>
      </c>
      <c r="AL1483" s="3">
        <v>1</v>
      </c>
      <c r="AM1483" s="8">
        <v>7.6500000000000004</v>
      </c>
      <c r="AN1483" s="1"/>
      <c r="AO1483" s="1" t="s">
        <v>6899</v>
      </c>
      <c r="AP1483" s="1" t="s">
        <v>6899</v>
      </c>
      <c r="AQ1483" s="1" t="s">
        <v>6899</v>
      </c>
      <c r="AR1483" s="1" t="s">
        <v>6903</v>
      </c>
    </row>
    <row r="1484">
      <c r="A1484" s="2">
        <f ca="1">DATE(2005,02,01)</f>
        <v>0</v>
      </c>
      <c r="B1484" s="2">
        <f ca="1">DATE(2005,04,13)</f>
        <v>0</v>
      </c>
      <c r="C1484" s="1" t="s">
        <v>9961</v>
      </c>
      <c r="D1484" s="3">
        <v>3841</v>
      </c>
      <c r="E1484" s="1" t="s">
        <v>43</v>
      </c>
      <c r="F1484" s="1" t="s">
        <v>9962</v>
      </c>
      <c r="G1484" s="1" t="s">
        <v>7471</v>
      </c>
      <c r="H1484" s="4">
        <v>0.83999999999999997</v>
      </c>
      <c r="I1484" s="8">
        <v>7</v>
      </c>
      <c r="J1484" s="5">
        <v>56.399999999999999</v>
      </c>
      <c r="K1484" s="4">
        <v>12</v>
      </c>
      <c r="L1484" s="1" t="s">
        <v>46</v>
      </c>
      <c r="M1484" s="1" t="s">
        <v>47</v>
      </c>
      <c r="N1484" s="3">
        <v>252131107</v>
      </c>
      <c r="O1484" s="1" t="s">
        <v>48</v>
      </c>
      <c r="P1484" s="1" t="s">
        <v>9963</v>
      </c>
      <c r="Q1484" s="4">
        <v>1.417</v>
      </c>
      <c r="R1484" s="4">
        <v>1.417</v>
      </c>
      <c r="S1484" s="6">
        <v>4.1666699999999999</v>
      </c>
      <c r="T1484" s="1" t="s">
        <v>50</v>
      </c>
      <c r="U1484" s="1"/>
      <c r="V1484" s="1"/>
      <c r="W1484" s="1"/>
      <c r="X1484" s="5">
        <v>70</v>
      </c>
      <c r="Y1484" s="7">
        <v>4700000</v>
      </c>
      <c r="Z1484" s="1"/>
      <c r="AA1484" s="1" t="s">
        <v>9964</v>
      </c>
      <c r="AB1484" s="1" t="s">
        <v>9965</v>
      </c>
      <c r="AC1484" s="1" t="s">
        <v>7561</v>
      </c>
      <c r="AD1484" s="1" t="s">
        <v>9966</v>
      </c>
      <c r="AE1484" s="1" t="s">
        <v>51</v>
      </c>
      <c r="AF1484" s="1" t="s">
        <v>51</v>
      </c>
      <c r="AG1484" s="1" t="s">
        <v>47</v>
      </c>
      <c r="AH1484" s="1"/>
      <c r="AI1484" s="1"/>
      <c r="AJ1484" s="3">
        <v>1</v>
      </c>
      <c r="AK1484" s="1" t="s">
        <v>89</v>
      </c>
      <c r="AL1484" s="3">
        <v>4</v>
      </c>
      <c r="AM1484" s="8">
        <v>11.74</v>
      </c>
      <c r="AN1484" s="1"/>
      <c r="AO1484" s="1" t="s">
        <v>9967</v>
      </c>
      <c r="AP1484" s="1" t="s">
        <v>9968</v>
      </c>
      <c r="AQ1484" s="1" t="s">
        <v>9969</v>
      </c>
      <c r="AR1484" s="1" t="s">
        <v>9963</v>
      </c>
    </row>
    <row r="1485">
      <c r="A1485" s="2">
        <f ca="1">DATE(2004,10,01)</f>
        <v>0</v>
      </c>
      <c r="B1485" s="2">
        <f ca="1">DATE(2005,04,14)</f>
        <v>0</v>
      </c>
      <c r="C1485" s="1" t="s">
        <v>9970</v>
      </c>
      <c r="D1485" s="3">
        <v>5051</v>
      </c>
      <c r="E1485" s="1" t="s">
        <v>43</v>
      </c>
      <c r="F1485" s="1" t="s">
        <v>9971</v>
      </c>
      <c r="G1485" s="1" t="s">
        <v>6466</v>
      </c>
      <c r="H1485" s="4">
        <v>0.67500000000000004</v>
      </c>
      <c r="I1485" s="4">
        <v>6.75</v>
      </c>
      <c r="J1485" s="5">
        <v>176</v>
      </c>
      <c r="K1485" s="4">
        <v>10</v>
      </c>
      <c r="L1485" s="1" t="s">
        <v>46</v>
      </c>
      <c r="M1485" s="1" t="s">
        <v>47</v>
      </c>
      <c r="N1485" s="3">
        <v>480827104</v>
      </c>
      <c r="O1485" s="1" t="s">
        <v>108</v>
      </c>
      <c r="P1485" s="1" t="s">
        <v>9972</v>
      </c>
      <c r="Q1485" s="4">
        <v>1.3500000000000001</v>
      </c>
      <c r="R1485" s="4">
        <v>1.3500000000000001</v>
      </c>
      <c r="S1485" s="8">
        <v>4.0499999999999998</v>
      </c>
      <c r="T1485" s="1" t="s">
        <v>50</v>
      </c>
      <c r="U1485" s="1"/>
      <c r="V1485" s="1"/>
      <c r="W1485" s="1"/>
      <c r="X1485" s="5">
        <v>250</v>
      </c>
      <c r="Y1485" s="7">
        <v>17600000</v>
      </c>
      <c r="Z1485" s="1"/>
      <c r="AA1485" s="2">
        <f ca="1">DATE(2005,10,11)</f>
        <v>0</v>
      </c>
      <c r="AB1485" s="1"/>
      <c r="AC1485" s="3">
        <v>180</v>
      </c>
      <c r="AD1485" s="1"/>
      <c r="AE1485" s="1" t="s">
        <v>51</v>
      </c>
      <c r="AF1485" s="1" t="s">
        <v>51</v>
      </c>
      <c r="AG1485" s="1" t="s">
        <v>51</v>
      </c>
      <c r="AH1485" s="1"/>
      <c r="AI1485" s="1"/>
      <c r="AJ1485" s="3">
        <v>2</v>
      </c>
      <c r="AK1485" s="1" t="s">
        <v>89</v>
      </c>
      <c r="AL1485" s="3">
        <v>6</v>
      </c>
      <c r="AM1485" s="8">
        <v>9</v>
      </c>
      <c r="AN1485" s="1"/>
      <c r="AO1485" s="1" t="s">
        <v>9973</v>
      </c>
      <c r="AP1485" s="1" t="s">
        <v>4535</v>
      </c>
      <c r="AQ1485" s="1" t="s">
        <v>9974</v>
      </c>
      <c r="AR1485" s="1" t="s">
        <v>9975</v>
      </c>
    </row>
    <row r="1486">
      <c r="A1486" s="2">
        <f ca="1">DATE(2004,07,30)</f>
        <v>0</v>
      </c>
      <c r="B1486" s="2">
        <f ca="1">DATE(2005,04,20)</f>
        <v>0</v>
      </c>
      <c r="C1486" s="1" t="s">
        <v>9976</v>
      </c>
      <c r="D1486" s="3">
        <v>6331</v>
      </c>
      <c r="E1486" s="1" t="s">
        <v>43</v>
      </c>
      <c r="F1486" s="1" t="s">
        <v>9977</v>
      </c>
      <c r="G1486" s="1" t="s">
        <v>6201</v>
      </c>
      <c r="H1486" s="4">
        <v>0.83999999999999997</v>
      </c>
      <c r="I1486" s="8">
        <v>7</v>
      </c>
      <c r="J1486" s="5">
        <v>79.799999999999997</v>
      </c>
      <c r="K1486" s="4">
        <v>12</v>
      </c>
      <c r="L1486" s="1" t="s">
        <v>46</v>
      </c>
      <c r="M1486" s="1" t="s">
        <v>47</v>
      </c>
      <c r="N1486" s="1" t="s">
        <v>9978</v>
      </c>
      <c r="O1486" s="1" t="s">
        <v>48</v>
      </c>
      <c r="P1486" s="1" t="s">
        <v>9979</v>
      </c>
      <c r="Q1486" s="4">
        <v>1.3999999999999999</v>
      </c>
      <c r="R1486" s="4">
        <v>1.3999999999999999</v>
      </c>
      <c r="S1486" s="8">
        <v>4.2000000000000002</v>
      </c>
      <c r="T1486" s="1" t="s">
        <v>50</v>
      </c>
      <c r="U1486" s="1"/>
      <c r="V1486" s="1"/>
      <c r="W1486" s="1"/>
      <c r="X1486" s="5">
        <v>75</v>
      </c>
      <c r="Y1486" s="7">
        <v>5985000</v>
      </c>
      <c r="Z1486" s="7">
        <v>665000</v>
      </c>
      <c r="AA1486" s="1" t="s">
        <v>9980</v>
      </c>
      <c r="AB1486" s="1" t="s">
        <v>5265</v>
      </c>
      <c r="AC1486" s="1" t="s">
        <v>7759</v>
      </c>
      <c r="AD1486" s="1" t="s">
        <v>5265</v>
      </c>
      <c r="AE1486" s="1" t="s">
        <v>51</v>
      </c>
      <c r="AF1486" s="1" t="s">
        <v>51</v>
      </c>
      <c r="AG1486" s="1" t="s">
        <v>51</v>
      </c>
      <c r="AH1486" s="1"/>
      <c r="AI1486" s="1"/>
      <c r="AJ1486" s="3">
        <v>1</v>
      </c>
      <c r="AK1486" s="1" t="s">
        <v>52</v>
      </c>
      <c r="AL1486" s="3">
        <v>5</v>
      </c>
      <c r="AM1486" s="8">
        <v>11.810000000000001</v>
      </c>
      <c r="AN1486" s="1"/>
      <c r="AO1486" s="1" t="s">
        <v>9981</v>
      </c>
      <c r="AP1486" s="1" t="s">
        <v>6201</v>
      </c>
      <c r="AQ1486" s="1" t="s">
        <v>9982</v>
      </c>
      <c r="AR1486" s="1" t="s">
        <v>9983</v>
      </c>
    </row>
    <row r="1487">
      <c r="A1487" s="2">
        <f ca="1">DATE(2005,01,10)</f>
        <v>0</v>
      </c>
      <c r="B1487" s="2">
        <f ca="1">DATE(2005,04,25)</f>
        <v>0</v>
      </c>
      <c r="C1487" s="1" t="s">
        <v>9984</v>
      </c>
      <c r="D1487" s="3">
        <v>3714</v>
      </c>
      <c r="E1487" s="1" t="s">
        <v>43</v>
      </c>
      <c r="F1487" s="1" t="s">
        <v>9985</v>
      </c>
      <c r="G1487" s="1" t="s">
        <v>9986</v>
      </c>
      <c r="H1487" s="4">
        <v>0.58499999999999996</v>
      </c>
      <c r="I1487" s="4">
        <v>6.5</v>
      </c>
      <c r="J1487" s="5">
        <v>99</v>
      </c>
      <c r="K1487" s="4">
        <v>9</v>
      </c>
      <c r="L1487" s="1" t="s">
        <v>46</v>
      </c>
      <c r="M1487" s="1" t="s">
        <v>47</v>
      </c>
      <c r="N1487" s="1" t="s">
        <v>9987</v>
      </c>
      <c r="O1487" s="1" t="s">
        <v>108</v>
      </c>
      <c r="P1487" s="1" t="s">
        <v>9988</v>
      </c>
      <c r="Q1487" s="4">
        <v>1.333</v>
      </c>
      <c r="R1487" s="4">
        <v>1.333</v>
      </c>
      <c r="S1487" s="6">
        <v>3.88889</v>
      </c>
      <c r="T1487" s="1" t="s">
        <v>50</v>
      </c>
      <c r="U1487" s="1"/>
      <c r="V1487" s="1"/>
      <c r="W1487" s="1"/>
      <c r="X1487" s="5">
        <v>290</v>
      </c>
      <c r="Y1487" s="7">
        <v>11000000</v>
      </c>
      <c r="Z1487" s="1"/>
      <c r="AA1487" s="1" t="s">
        <v>9989</v>
      </c>
      <c r="AB1487" s="1" t="s">
        <v>9990</v>
      </c>
      <c r="AC1487" s="1" t="s">
        <v>2068</v>
      </c>
      <c r="AD1487" s="1" t="s">
        <v>9991</v>
      </c>
      <c r="AE1487" s="1" t="s">
        <v>51</v>
      </c>
      <c r="AF1487" s="1" t="s">
        <v>51</v>
      </c>
      <c r="AG1487" s="1" t="s">
        <v>51</v>
      </c>
      <c r="AH1487" s="1"/>
      <c r="AI1487" s="1"/>
      <c r="AJ1487" s="3">
        <v>3</v>
      </c>
      <c r="AK1487" s="1" t="s">
        <v>110</v>
      </c>
      <c r="AL1487" s="3">
        <v>5</v>
      </c>
      <c r="AM1487" s="8">
        <v>9</v>
      </c>
      <c r="AN1487" s="1"/>
      <c r="AO1487" s="1" t="s">
        <v>9992</v>
      </c>
      <c r="AP1487" s="1" t="s">
        <v>9993</v>
      </c>
      <c r="AQ1487" s="1" t="s">
        <v>9994</v>
      </c>
      <c r="AR1487" s="1" t="s">
        <v>9995</v>
      </c>
    </row>
    <row r="1488">
      <c r="A1488" s="2">
        <f ca="1">DATE(2005,01,31)</f>
        <v>0</v>
      </c>
      <c r="B1488" s="2">
        <f ca="1">DATE(2005,04,26)</f>
        <v>0</v>
      </c>
      <c r="C1488" s="1" t="s">
        <v>9996</v>
      </c>
      <c r="D1488" s="3">
        <v>6726</v>
      </c>
      <c r="E1488" s="1" t="s">
        <v>43</v>
      </c>
      <c r="F1488" s="1" t="s">
        <v>9997</v>
      </c>
      <c r="G1488" s="1" t="s">
        <v>45</v>
      </c>
      <c r="H1488" s="4">
        <v>0.90000000000000002</v>
      </c>
      <c r="I1488" s="4">
        <v>4.5</v>
      </c>
      <c r="J1488" s="5">
        <v>225</v>
      </c>
      <c r="K1488" s="4">
        <v>20</v>
      </c>
      <c r="L1488" s="1" t="s">
        <v>46</v>
      </c>
      <c r="M1488" s="1" t="s">
        <v>47</v>
      </c>
      <c r="N1488" s="3">
        <v>260582101</v>
      </c>
      <c r="O1488" s="1" t="s">
        <v>108</v>
      </c>
      <c r="P1488" s="1" t="s">
        <v>9998</v>
      </c>
      <c r="Q1488" s="4">
        <v>1</v>
      </c>
      <c r="R1488" s="4">
        <v>0.5</v>
      </c>
      <c r="S1488" s="8">
        <v>3</v>
      </c>
      <c r="T1488" s="1" t="s">
        <v>50</v>
      </c>
      <c r="U1488" s="8">
        <v>20</v>
      </c>
      <c r="V1488" s="8">
        <v>20</v>
      </c>
      <c r="W1488" s="7">
        <v>50000</v>
      </c>
      <c r="X1488" s="5">
        <v>1</v>
      </c>
      <c r="Y1488" s="7">
        <v>11250000</v>
      </c>
      <c r="Z1488" s="1"/>
      <c r="AA1488" s="1"/>
      <c r="AB1488" s="1"/>
      <c r="AC1488" s="1"/>
      <c r="AD1488" s="1"/>
      <c r="AE1488" s="1" t="s">
        <v>51</v>
      </c>
      <c r="AF1488" s="1" t="s">
        <v>51</v>
      </c>
      <c r="AG1488" s="1" t="s">
        <v>51</v>
      </c>
      <c r="AH1488" s="1"/>
      <c r="AI1488" s="1"/>
      <c r="AJ1488" s="3">
        <v>1</v>
      </c>
      <c r="AK1488" s="1" t="s">
        <v>89</v>
      </c>
      <c r="AL1488" s="3">
        <v>10</v>
      </c>
      <c r="AM1488" s="3">
        <v>20</v>
      </c>
      <c r="AN1488" s="3">
        <v>20</v>
      </c>
      <c r="AO1488" s="1" t="s">
        <v>9999</v>
      </c>
      <c r="AP1488" s="1" t="s">
        <v>9419</v>
      </c>
      <c r="AQ1488" s="1" t="s">
        <v>10000</v>
      </c>
      <c r="AR1488" s="1" t="s">
        <v>10001</v>
      </c>
    </row>
    <row r="1489">
      <c r="A1489" s="2">
        <f ca="1">DATE(2004,11,22)</f>
        <v>0</v>
      </c>
      <c r="B1489" s="2">
        <f ca="1">DATE(2005,04,26)</f>
        <v>0</v>
      </c>
      <c r="C1489" s="1" t="s">
        <v>10002</v>
      </c>
      <c r="D1489" s="3">
        <v>6726</v>
      </c>
      <c r="E1489" s="1" t="s">
        <v>43</v>
      </c>
      <c r="F1489" s="1" t="s">
        <v>10003</v>
      </c>
      <c r="G1489" s="1" t="s">
        <v>6201</v>
      </c>
      <c r="H1489" s="4">
        <v>0.90000000000000002</v>
      </c>
      <c r="I1489" s="4">
        <v>4.5</v>
      </c>
      <c r="J1489" s="5">
        <v>450</v>
      </c>
      <c r="K1489" s="4">
        <v>20</v>
      </c>
      <c r="L1489" s="1" t="s">
        <v>4422</v>
      </c>
      <c r="M1489" s="1" t="s">
        <v>47</v>
      </c>
      <c r="N1489" s="1" t="s">
        <v>10004</v>
      </c>
      <c r="O1489" s="1" t="s">
        <v>108</v>
      </c>
      <c r="P1489" s="1" t="s">
        <v>10005</v>
      </c>
      <c r="Q1489" s="1" t="s">
        <v>145</v>
      </c>
      <c r="R1489" s="1" t="s">
        <v>145</v>
      </c>
      <c r="S1489" s="8">
        <v>3</v>
      </c>
      <c r="T1489" s="1" t="s">
        <v>50</v>
      </c>
      <c r="U1489" s="8">
        <v>20</v>
      </c>
      <c r="V1489" s="8">
        <v>20</v>
      </c>
      <c r="W1489" s="7">
        <v>50000</v>
      </c>
      <c r="X1489" s="5">
        <v>1</v>
      </c>
      <c r="Y1489" s="7">
        <v>22500000</v>
      </c>
      <c r="Z1489" s="1"/>
      <c r="AA1489" s="2">
        <f ca="1">DATE(2005,10,23)</f>
        <v>0</v>
      </c>
      <c r="AB1489" s="1"/>
      <c r="AC1489" s="3">
        <v>180</v>
      </c>
      <c r="AD1489" s="1"/>
      <c r="AE1489" s="1" t="s">
        <v>51</v>
      </c>
      <c r="AF1489" s="1" t="s">
        <v>51</v>
      </c>
      <c r="AG1489" s="1" t="s">
        <v>51</v>
      </c>
      <c r="AH1489" s="1"/>
      <c r="AI1489" s="1"/>
      <c r="AJ1489" s="3">
        <v>1</v>
      </c>
      <c r="AK1489" s="1" t="s">
        <v>52</v>
      </c>
      <c r="AL1489" s="3">
        <v>14</v>
      </c>
      <c r="AM1489" s="8">
        <v>20</v>
      </c>
      <c r="AN1489" s="1"/>
      <c r="AO1489" s="1" t="s">
        <v>10006</v>
      </c>
      <c r="AP1489" s="1" t="s">
        <v>6201</v>
      </c>
      <c r="AQ1489" s="1" t="s">
        <v>10007</v>
      </c>
      <c r="AR1489" s="1" t="s">
        <v>10008</v>
      </c>
    </row>
    <row r="1490">
      <c r="A1490" s="2">
        <f ca="1">DATE(2004,12,17)</f>
        <v>0</v>
      </c>
      <c r="B1490" s="2">
        <f ca="1">DATE(2005,04,26)</f>
        <v>0</v>
      </c>
      <c r="C1490" s="1" t="s">
        <v>10009</v>
      </c>
      <c r="D1490" s="3">
        <v>6726</v>
      </c>
      <c r="E1490" s="1" t="s">
        <v>43</v>
      </c>
      <c r="F1490" s="1" t="s">
        <v>10010</v>
      </c>
      <c r="G1490" s="1" t="s">
        <v>45</v>
      </c>
      <c r="H1490" s="4">
        <v>0.90000000000000002</v>
      </c>
      <c r="I1490" s="4">
        <v>4.5</v>
      </c>
      <c r="J1490" s="5">
        <v>107.5</v>
      </c>
      <c r="K1490" s="4">
        <v>20</v>
      </c>
      <c r="L1490" s="1" t="s">
        <v>4422</v>
      </c>
      <c r="M1490" s="1" t="s">
        <v>47</v>
      </c>
      <c r="N1490" s="1" t="s">
        <v>10011</v>
      </c>
      <c r="O1490" s="1" t="s">
        <v>108</v>
      </c>
      <c r="P1490" s="1" t="s">
        <v>10012</v>
      </c>
      <c r="Q1490" s="4">
        <v>1</v>
      </c>
      <c r="R1490" s="4">
        <v>0.5</v>
      </c>
      <c r="S1490" s="8">
        <v>3</v>
      </c>
      <c r="T1490" s="1" t="s">
        <v>50</v>
      </c>
      <c r="U1490" s="8">
        <v>20</v>
      </c>
      <c r="V1490" s="8">
        <v>20</v>
      </c>
      <c r="W1490" s="7">
        <v>50000</v>
      </c>
      <c r="X1490" s="5">
        <v>1</v>
      </c>
      <c r="Y1490" s="7">
        <v>5375000</v>
      </c>
      <c r="Z1490" s="1"/>
      <c r="AA1490" s="2">
        <f ca="1">DATE(2005,10,23)</f>
        <v>0</v>
      </c>
      <c r="AB1490" s="1"/>
      <c r="AC1490" s="3">
        <v>180</v>
      </c>
      <c r="AD1490" s="1"/>
      <c r="AE1490" s="1" t="s">
        <v>51</v>
      </c>
      <c r="AF1490" s="1" t="s">
        <v>51</v>
      </c>
      <c r="AG1490" s="1" t="s">
        <v>51</v>
      </c>
      <c r="AH1490" s="1"/>
      <c r="AI1490" s="1"/>
      <c r="AJ1490" s="3">
        <v>1</v>
      </c>
      <c r="AK1490" s="1" t="s">
        <v>110</v>
      </c>
      <c r="AL1490" s="3">
        <v>16</v>
      </c>
      <c r="AM1490" s="8">
        <v>20</v>
      </c>
      <c r="AN1490" s="1"/>
      <c r="AO1490" s="1" t="s">
        <v>10013</v>
      </c>
      <c r="AP1490" s="1" t="s">
        <v>8466</v>
      </c>
      <c r="AQ1490" s="1" t="s">
        <v>10014</v>
      </c>
      <c r="AR1490" s="1" t="s">
        <v>10015</v>
      </c>
    </row>
    <row r="1491">
      <c r="A1491" s="2">
        <f ca="1">DATE(2005,02,09)</f>
        <v>0</v>
      </c>
      <c r="B1491" s="2">
        <f ca="1">DATE(2005,04,26)</f>
        <v>0</v>
      </c>
      <c r="C1491" s="1" t="s">
        <v>10016</v>
      </c>
      <c r="D1491" s="3">
        <v>6726</v>
      </c>
      <c r="E1491" s="1" t="s">
        <v>43</v>
      </c>
      <c r="F1491" s="1" t="s">
        <v>10017</v>
      </c>
      <c r="G1491" s="1" t="s">
        <v>6201</v>
      </c>
      <c r="H1491" s="4">
        <v>0.90000000000000002</v>
      </c>
      <c r="I1491" s="4">
        <v>4.5</v>
      </c>
      <c r="J1491" s="5">
        <v>110</v>
      </c>
      <c r="K1491" s="4">
        <v>20</v>
      </c>
      <c r="L1491" s="1" t="s">
        <v>46</v>
      </c>
      <c r="M1491" s="1" t="s">
        <v>47</v>
      </c>
      <c r="N1491" s="3">
        <v>558268108</v>
      </c>
      <c r="O1491" s="1" t="s">
        <v>108</v>
      </c>
      <c r="P1491" s="1" t="s">
        <v>10018</v>
      </c>
      <c r="Q1491" s="1" t="s">
        <v>145</v>
      </c>
      <c r="R1491" s="1" t="s">
        <v>145</v>
      </c>
      <c r="S1491" s="8">
        <v>3</v>
      </c>
      <c r="T1491" s="1" t="s">
        <v>50</v>
      </c>
      <c r="U1491" s="8">
        <v>20</v>
      </c>
      <c r="V1491" s="8">
        <v>20</v>
      </c>
      <c r="W1491" s="7">
        <v>50000</v>
      </c>
      <c r="X1491" s="5">
        <v>1</v>
      </c>
      <c r="Y1491" s="7">
        <v>5500000</v>
      </c>
      <c r="Z1491" s="1"/>
      <c r="AA1491" s="2">
        <f ca="1">DATE(2005,10,23)</f>
        <v>0</v>
      </c>
      <c r="AB1491" s="1"/>
      <c r="AC1491" s="3">
        <v>180</v>
      </c>
      <c r="AD1491" s="1"/>
      <c r="AE1491" s="1" t="s">
        <v>51</v>
      </c>
      <c r="AF1491" s="1" t="s">
        <v>51</v>
      </c>
      <c r="AG1491" s="1" t="s">
        <v>51</v>
      </c>
      <c r="AH1491" s="1"/>
      <c r="AI1491" s="1"/>
      <c r="AJ1491" s="3">
        <v>1</v>
      </c>
      <c r="AK1491" s="1" t="s">
        <v>52</v>
      </c>
      <c r="AL1491" s="3">
        <v>7</v>
      </c>
      <c r="AM1491" s="8">
        <v>20</v>
      </c>
      <c r="AN1491" s="1"/>
      <c r="AO1491" s="1" t="s">
        <v>10019</v>
      </c>
      <c r="AP1491" s="1" t="s">
        <v>6201</v>
      </c>
      <c r="AQ1491" s="1" t="s">
        <v>10020</v>
      </c>
      <c r="AR1491" s="1" t="s">
        <v>10021</v>
      </c>
    </row>
    <row r="1492">
      <c r="A1492" s="2">
        <f ca="1">DATE(2005,03,01)</f>
        <v>0</v>
      </c>
      <c r="B1492" s="2">
        <f ca="1">DATE(2005,04,26)</f>
        <v>0</v>
      </c>
      <c r="C1492" s="1" t="s">
        <v>10022</v>
      </c>
      <c r="D1492" s="3">
        <v>6726</v>
      </c>
      <c r="E1492" s="1" t="s">
        <v>43</v>
      </c>
      <c r="F1492" s="1" t="s">
        <v>10023</v>
      </c>
      <c r="G1492" s="1" t="s">
        <v>5704</v>
      </c>
      <c r="H1492" s="4">
        <v>1.125</v>
      </c>
      <c r="I1492" s="4">
        <v>4.5</v>
      </c>
      <c r="J1492" s="5">
        <v>225</v>
      </c>
      <c r="K1492" s="4">
        <v>25</v>
      </c>
      <c r="L1492" s="1" t="s">
        <v>46</v>
      </c>
      <c r="M1492" s="1" t="s">
        <v>47</v>
      </c>
      <c r="N1492" s="1" t="s">
        <v>10024</v>
      </c>
      <c r="O1492" s="1" t="s">
        <v>108</v>
      </c>
      <c r="P1492" s="1" t="s">
        <v>10025</v>
      </c>
      <c r="Q1492" s="1" t="s">
        <v>145</v>
      </c>
      <c r="R1492" s="1" t="s">
        <v>145</v>
      </c>
      <c r="S1492" s="8">
        <v>3</v>
      </c>
      <c r="T1492" s="1" t="s">
        <v>50</v>
      </c>
      <c r="U1492" s="8">
        <v>25</v>
      </c>
      <c r="V1492" s="8">
        <v>25</v>
      </c>
      <c r="W1492" s="7">
        <v>1000</v>
      </c>
      <c r="X1492" s="5">
        <v>0</v>
      </c>
      <c r="Y1492" s="7">
        <v>9000000</v>
      </c>
      <c r="Z1492" s="1"/>
      <c r="AA1492" s="2">
        <f ca="1">DATE(2005,10,23)</f>
        <v>0</v>
      </c>
      <c r="AB1492" s="1"/>
      <c r="AC1492" s="3">
        <v>180</v>
      </c>
      <c r="AD1492" s="1"/>
      <c r="AE1492" s="1" t="s">
        <v>51</v>
      </c>
      <c r="AF1492" s="1" t="s">
        <v>51</v>
      </c>
      <c r="AG1492" s="1" t="s">
        <v>51</v>
      </c>
      <c r="AH1492" s="1"/>
      <c r="AI1492" s="1"/>
      <c r="AJ1492" s="3">
        <v>1</v>
      </c>
      <c r="AK1492" s="1" t="s">
        <v>52</v>
      </c>
      <c r="AL1492" s="3">
        <v>15</v>
      </c>
      <c r="AM1492" s="8">
        <v>25.010000000000002</v>
      </c>
      <c r="AN1492" s="1"/>
      <c r="AO1492" s="1" t="s">
        <v>10026</v>
      </c>
      <c r="AP1492" s="1" t="s">
        <v>5704</v>
      </c>
      <c r="AQ1492" s="1" t="s">
        <v>10027</v>
      </c>
      <c r="AR1492" s="1" t="s">
        <v>10028</v>
      </c>
    </row>
    <row r="1493">
      <c r="A1493" s="2">
        <f ca="1">DATE(2005,02,04)</f>
        <v>0</v>
      </c>
      <c r="B1493" s="2">
        <f ca="1">DATE(2005,04,27)</f>
        <v>0</v>
      </c>
      <c r="C1493" s="1" t="s">
        <v>10029</v>
      </c>
      <c r="D1493" s="3">
        <v>6726</v>
      </c>
      <c r="E1493" s="1" t="s">
        <v>43</v>
      </c>
      <c r="F1493" s="1" t="s">
        <v>10030</v>
      </c>
      <c r="G1493" s="1" t="s">
        <v>45</v>
      </c>
      <c r="H1493" s="4">
        <v>0.90000000000000002</v>
      </c>
      <c r="I1493" s="4">
        <v>4.5</v>
      </c>
      <c r="J1493" s="5">
        <v>305</v>
      </c>
      <c r="K1493" s="4">
        <v>20</v>
      </c>
      <c r="L1493" s="1" t="s">
        <v>4422</v>
      </c>
      <c r="M1493" s="1" t="s">
        <v>47</v>
      </c>
      <c r="N1493" s="1" t="s">
        <v>10031</v>
      </c>
      <c r="O1493" s="1" t="s">
        <v>87</v>
      </c>
      <c r="P1493" s="1" t="s">
        <v>10032</v>
      </c>
      <c r="Q1493" s="4">
        <v>1</v>
      </c>
      <c r="R1493" s="4">
        <v>0.5</v>
      </c>
      <c r="S1493" s="8">
        <v>3</v>
      </c>
      <c r="T1493" s="1" t="s">
        <v>50</v>
      </c>
      <c r="U1493" s="8">
        <v>20</v>
      </c>
      <c r="V1493" s="8">
        <v>20</v>
      </c>
      <c r="W1493" s="7">
        <v>50000</v>
      </c>
      <c r="X1493" s="5">
        <v>1</v>
      </c>
      <c r="Y1493" s="7">
        <v>15250000</v>
      </c>
      <c r="Z1493" s="1"/>
      <c r="AA1493" s="2">
        <f ca="1">DATE(2005,10,24)</f>
        <v>0</v>
      </c>
      <c r="AB1493" s="1"/>
      <c r="AC1493" s="3">
        <v>180</v>
      </c>
      <c r="AD1493" s="1"/>
      <c r="AE1493" s="1" t="s">
        <v>51</v>
      </c>
      <c r="AF1493" s="1" t="s">
        <v>51</v>
      </c>
      <c r="AG1493" s="1" t="s">
        <v>51</v>
      </c>
      <c r="AH1493" s="1"/>
      <c r="AI1493" s="1"/>
      <c r="AJ1493" s="3">
        <v>1</v>
      </c>
      <c r="AK1493" s="1" t="s">
        <v>52</v>
      </c>
      <c r="AL1493" s="3">
        <v>8</v>
      </c>
      <c r="AM1493" s="8">
        <v>20.010000000000002</v>
      </c>
      <c r="AN1493" s="1"/>
      <c r="AO1493" s="1" t="s">
        <v>10033</v>
      </c>
      <c r="AP1493" s="1" t="s">
        <v>45</v>
      </c>
      <c r="AQ1493" s="1" t="s">
        <v>10034</v>
      </c>
      <c r="AR1493" s="1" t="s">
        <v>10035</v>
      </c>
    </row>
    <row r="1494">
      <c r="A1494" s="2">
        <f ca="1">DATE(2005,01,11)</f>
        <v>0</v>
      </c>
      <c r="B1494" s="2">
        <f ca="1">DATE(2005,04,29)</f>
        <v>0</v>
      </c>
      <c r="C1494" s="1" t="s">
        <v>10036</v>
      </c>
      <c r="D1494" s="3">
        <v>3575</v>
      </c>
      <c r="E1494" s="1" t="s">
        <v>43</v>
      </c>
      <c r="F1494" s="1" t="s">
        <v>10037</v>
      </c>
      <c r="G1494" s="1" t="s">
        <v>7342</v>
      </c>
      <c r="H1494" s="4">
        <v>0.625</v>
      </c>
      <c r="I1494" s="4">
        <v>6.25</v>
      </c>
      <c r="J1494" s="5">
        <v>154</v>
      </c>
      <c r="K1494" s="4">
        <v>10</v>
      </c>
      <c r="L1494" s="1" t="s">
        <v>46</v>
      </c>
      <c r="M1494" s="1" t="s">
        <v>47</v>
      </c>
      <c r="N1494" s="1" t="s">
        <v>10038</v>
      </c>
      <c r="O1494" s="1" t="s">
        <v>108</v>
      </c>
      <c r="P1494" s="1" t="s">
        <v>10039</v>
      </c>
      <c r="Q1494" s="4">
        <v>1.27</v>
      </c>
      <c r="R1494" s="4">
        <v>1.23</v>
      </c>
      <c r="S1494" s="8">
        <v>3.75</v>
      </c>
      <c r="T1494" s="1" t="s">
        <v>50</v>
      </c>
      <c r="U1494" s="1"/>
      <c r="V1494" s="1"/>
      <c r="W1494" s="1"/>
      <c r="X1494" s="5">
        <v>230</v>
      </c>
      <c r="Y1494" s="7">
        <v>8500000</v>
      </c>
      <c r="Z1494" s="7">
        <v>6900000</v>
      </c>
      <c r="AA1494" s="2">
        <f ca="1">DATE(2005,10,26)</f>
        <v>0</v>
      </c>
      <c r="AB1494" s="4">
        <v>76.375</v>
      </c>
      <c r="AC1494" s="3">
        <v>180</v>
      </c>
      <c r="AD1494" s="8">
        <v>49685293</v>
      </c>
      <c r="AE1494" s="1" t="s">
        <v>51</v>
      </c>
      <c r="AF1494" s="1" t="s">
        <v>51</v>
      </c>
      <c r="AG1494" s="1" t="s">
        <v>51</v>
      </c>
      <c r="AH1494" s="1"/>
      <c r="AI1494" s="1"/>
      <c r="AJ1494" s="3">
        <v>2</v>
      </c>
      <c r="AK1494" s="1" t="s">
        <v>89</v>
      </c>
      <c r="AL1494" s="3">
        <v>5</v>
      </c>
      <c r="AM1494" s="8">
        <v>10.75</v>
      </c>
      <c r="AN1494" s="1"/>
      <c r="AO1494" s="1" t="s">
        <v>10040</v>
      </c>
      <c r="AP1494" s="1" t="s">
        <v>7345</v>
      </c>
      <c r="AQ1494" s="1" t="s">
        <v>10041</v>
      </c>
      <c r="AR1494" s="1" t="s">
        <v>10042</v>
      </c>
    </row>
    <row r="1495">
      <c r="A1495" s="2">
        <f ca="1">DATE(2004,06,24)</f>
        <v>0</v>
      </c>
      <c r="B1495" s="2">
        <f ca="1">DATE(2005,05,02)</f>
        <v>0</v>
      </c>
      <c r="C1495" s="1" t="s">
        <v>10043</v>
      </c>
      <c r="D1495" s="3">
        <v>2095</v>
      </c>
      <c r="E1495" s="1" t="s">
        <v>43</v>
      </c>
      <c r="F1495" s="1" t="s">
        <v>10044</v>
      </c>
      <c r="G1495" s="1" t="s">
        <v>10045</v>
      </c>
      <c r="H1495" s="4">
        <v>0.40000000000000002</v>
      </c>
      <c r="I1495" s="4">
        <v>8</v>
      </c>
      <c r="J1495" s="5">
        <v>7</v>
      </c>
      <c r="K1495" s="4">
        <v>5</v>
      </c>
      <c r="L1495" s="1" t="s">
        <v>46</v>
      </c>
      <c r="M1495" s="1" t="s">
        <v>47</v>
      </c>
      <c r="N1495" s="3">
        <v>192176105</v>
      </c>
      <c r="O1495" s="1" t="s">
        <v>87</v>
      </c>
      <c r="P1495" s="1" t="s">
        <v>10046</v>
      </c>
      <c r="Q1495" s="1" t="s">
        <v>145</v>
      </c>
      <c r="R1495" s="1" t="s">
        <v>145</v>
      </c>
      <c r="S1495" s="8">
        <v>4.5</v>
      </c>
      <c r="T1495" s="1" t="s">
        <v>50</v>
      </c>
      <c r="U1495" s="8">
        <v>6</v>
      </c>
      <c r="V1495" s="8">
        <v>5</v>
      </c>
      <c r="W1495" s="7">
        <v>1600000</v>
      </c>
      <c r="X1495" s="5">
        <v>8.8000000000000007</v>
      </c>
      <c r="Y1495" s="7">
        <v>1400000</v>
      </c>
      <c r="Z1495" s="1"/>
      <c r="AA1495" s="1" t="s">
        <v>10047</v>
      </c>
      <c r="AB1495" s="1" t="s">
        <v>10048</v>
      </c>
      <c r="AC1495" s="1" t="s">
        <v>10049</v>
      </c>
      <c r="AD1495" s="1" t="s">
        <v>10050</v>
      </c>
      <c r="AE1495" s="1" t="s">
        <v>51</v>
      </c>
      <c r="AF1495" s="1" t="s">
        <v>51</v>
      </c>
      <c r="AG1495" s="1" t="s">
        <v>51</v>
      </c>
      <c r="AH1495" s="1"/>
      <c r="AI1495" s="1"/>
      <c r="AJ1495" s="3">
        <v>1</v>
      </c>
      <c r="AK1495" s="1" t="s">
        <v>52</v>
      </c>
      <c r="AL1495" s="3">
        <v>1</v>
      </c>
      <c r="AM1495" s="8">
        <v>5.2000000000000002</v>
      </c>
      <c r="AN1495" s="1"/>
      <c r="AO1495" s="1" t="s">
        <v>10051</v>
      </c>
      <c r="AP1495" s="1" t="s">
        <v>10045</v>
      </c>
      <c r="AQ1495" s="1" t="s">
        <v>10045</v>
      </c>
      <c r="AR1495" s="1" t="s">
        <v>10052</v>
      </c>
    </row>
    <row r="1496">
      <c r="A1496" s="2">
        <f ca="1">DATE(2004,05,06)</f>
        <v>0</v>
      </c>
      <c r="B1496" s="2">
        <f ca="1">DATE(2005,05,02)</f>
        <v>0</v>
      </c>
      <c r="C1496" s="1" t="s">
        <v>10053</v>
      </c>
      <c r="D1496" s="3">
        <v>6282</v>
      </c>
      <c r="E1496" s="1" t="s">
        <v>43</v>
      </c>
      <c r="F1496" s="1" t="s">
        <v>10054</v>
      </c>
      <c r="G1496" s="1" t="s">
        <v>1624</v>
      </c>
      <c r="H1496" s="4">
        <v>0.37</v>
      </c>
      <c r="I1496" s="4">
        <v>2</v>
      </c>
      <c r="J1496" s="5">
        <v>140.80000000000001</v>
      </c>
      <c r="K1496" s="4">
        <v>18.5</v>
      </c>
      <c r="L1496" s="1" t="s">
        <v>46</v>
      </c>
      <c r="M1496" s="1" t="s">
        <v>47</v>
      </c>
      <c r="N1496" s="3">
        <v>617700109</v>
      </c>
      <c r="O1496" s="1" t="s">
        <v>48</v>
      </c>
      <c r="P1496" s="1" t="s">
        <v>10055</v>
      </c>
      <c r="Q1496" s="4">
        <v>0.40000000000000002</v>
      </c>
      <c r="R1496" s="4">
        <v>0.20000000000000001</v>
      </c>
      <c r="S1496" s="8">
        <v>1</v>
      </c>
      <c r="T1496" s="1" t="s">
        <v>50</v>
      </c>
      <c r="U1496" s="1"/>
      <c r="V1496" s="1"/>
      <c r="W1496" s="1"/>
      <c r="X1496" s="5">
        <v>100</v>
      </c>
      <c r="Y1496" s="1"/>
      <c r="Z1496" s="7">
        <v>7612500</v>
      </c>
      <c r="AA1496" s="1" t="s">
        <v>10056</v>
      </c>
      <c r="AB1496" s="1" t="s">
        <v>10057</v>
      </c>
      <c r="AC1496" s="1" t="s">
        <v>10058</v>
      </c>
      <c r="AD1496" s="1" t="s">
        <v>10059</v>
      </c>
      <c r="AE1496" s="1" t="s">
        <v>51</v>
      </c>
      <c r="AF1496" s="1" t="s">
        <v>51</v>
      </c>
      <c r="AG1496" s="1" t="s">
        <v>47</v>
      </c>
      <c r="AH1496" s="1"/>
      <c r="AI1496" s="1"/>
      <c r="AJ1496" s="3">
        <v>1</v>
      </c>
      <c r="AK1496" s="1" t="s">
        <v>52</v>
      </c>
      <c r="AL1496" s="3">
        <v>1</v>
      </c>
      <c r="AM1496" s="8">
        <v>20.050000000000001</v>
      </c>
      <c r="AN1496" s="1"/>
      <c r="AO1496" s="1" t="s">
        <v>10060</v>
      </c>
      <c r="AP1496" s="1" t="s">
        <v>1624</v>
      </c>
      <c r="AQ1496" s="1" t="s">
        <v>1624</v>
      </c>
      <c r="AR1496" s="1" t="s">
        <v>3906</v>
      </c>
    </row>
    <row r="1497">
      <c r="A1497" s="2">
        <f ca="1">DATE(2005,02,25)</f>
        <v>0</v>
      </c>
      <c r="B1497" s="2">
        <f ca="1">DATE(2005,05,03)</f>
        <v>0</v>
      </c>
      <c r="C1497" s="1" t="s">
        <v>10061</v>
      </c>
      <c r="D1497" s="3">
        <v>6726</v>
      </c>
      <c r="E1497" s="1" t="s">
        <v>43</v>
      </c>
      <c r="F1497" s="1" t="s">
        <v>10062</v>
      </c>
      <c r="G1497" s="1" t="s">
        <v>45</v>
      </c>
      <c r="H1497" s="4">
        <v>0.90000000000000002</v>
      </c>
      <c r="I1497" s="4">
        <v>4.5</v>
      </c>
      <c r="J1497" s="5">
        <v>370</v>
      </c>
      <c r="K1497" s="4">
        <v>20</v>
      </c>
      <c r="L1497" s="1" t="s">
        <v>46</v>
      </c>
      <c r="M1497" s="1" t="s">
        <v>47</v>
      </c>
      <c r="N1497" s="1" t="s">
        <v>10063</v>
      </c>
      <c r="O1497" s="1" t="s">
        <v>108</v>
      </c>
      <c r="P1497" s="1" t="s">
        <v>10064</v>
      </c>
      <c r="Q1497" s="4">
        <v>1</v>
      </c>
      <c r="R1497" s="4">
        <v>0.5</v>
      </c>
      <c r="S1497" s="8">
        <v>3</v>
      </c>
      <c r="T1497" s="1" t="s">
        <v>50</v>
      </c>
      <c r="U1497" s="8">
        <v>20</v>
      </c>
      <c r="V1497" s="8">
        <v>20</v>
      </c>
      <c r="W1497" s="7">
        <v>5750000</v>
      </c>
      <c r="X1497" s="5">
        <v>115</v>
      </c>
      <c r="Y1497" s="7">
        <v>18500000</v>
      </c>
      <c r="Z1497" s="1"/>
      <c r="AA1497" s="1"/>
      <c r="AB1497" s="1"/>
      <c r="AC1497" s="1"/>
      <c r="AD1497" s="1"/>
      <c r="AE1497" s="1" t="s">
        <v>51</v>
      </c>
      <c r="AF1497" s="1" t="s">
        <v>51</v>
      </c>
      <c r="AG1497" s="1" t="s">
        <v>51</v>
      </c>
      <c r="AH1497" s="1"/>
      <c r="AI1497" s="1"/>
      <c r="AJ1497" s="3">
        <v>1</v>
      </c>
      <c r="AK1497" s="1" t="s">
        <v>52</v>
      </c>
      <c r="AL1497" s="3">
        <v>3</v>
      </c>
      <c r="AM1497" s="8">
        <v>20.010000000000002</v>
      </c>
      <c r="AN1497" s="1"/>
      <c r="AO1497" s="1" t="s">
        <v>10065</v>
      </c>
      <c r="AP1497" s="1" t="s">
        <v>45</v>
      </c>
      <c r="AQ1497" s="1" t="s">
        <v>10066</v>
      </c>
      <c r="AR1497" s="1" t="s">
        <v>10067</v>
      </c>
    </row>
    <row r="1498">
      <c r="A1498" s="2">
        <f ca="1">DATE(2004,12,17)</f>
        <v>0</v>
      </c>
      <c r="B1498" s="2">
        <f ca="1">DATE(2005,05,04)</f>
        <v>0</v>
      </c>
      <c r="C1498" s="1" t="s">
        <v>10068</v>
      </c>
      <c r="D1498" s="3">
        <v>6282</v>
      </c>
      <c r="E1498" s="1" t="s">
        <v>43</v>
      </c>
      <c r="F1498" s="1" t="s">
        <v>10069</v>
      </c>
      <c r="G1498" s="1" t="s">
        <v>160</v>
      </c>
      <c r="H1498" s="4">
        <v>1.25</v>
      </c>
      <c r="I1498" s="4">
        <v>5</v>
      </c>
      <c r="J1498" s="5">
        <v>854.60000000000002</v>
      </c>
      <c r="K1498" s="4">
        <v>25</v>
      </c>
      <c r="L1498" s="1" t="s">
        <v>152</v>
      </c>
      <c r="M1498" s="1" t="s">
        <v>47</v>
      </c>
      <c r="N1498" s="1" t="s">
        <v>10070</v>
      </c>
      <c r="O1498" s="1" t="s">
        <v>108</v>
      </c>
      <c r="P1498" s="1" t="s">
        <v>10071</v>
      </c>
      <c r="Q1498" s="4">
        <v>1</v>
      </c>
      <c r="R1498" s="4">
        <v>1</v>
      </c>
      <c r="S1498" s="8">
        <v>3</v>
      </c>
      <c r="T1498" s="1" t="s">
        <v>50</v>
      </c>
      <c r="U1498" s="1"/>
      <c r="V1498" s="1"/>
      <c r="W1498" s="1"/>
      <c r="X1498" s="5">
        <v>850</v>
      </c>
      <c r="Y1498" s="7">
        <v>34183162</v>
      </c>
      <c r="Z1498" s="1"/>
      <c r="AA1498" s="2">
        <f ca="1">DATE(2005,10,31)</f>
        <v>0</v>
      </c>
      <c r="AB1498" s="1"/>
      <c r="AC1498" s="3">
        <v>180</v>
      </c>
      <c r="AD1498" s="1"/>
      <c r="AE1498" s="1" t="s">
        <v>51</v>
      </c>
      <c r="AF1498" s="1" t="s">
        <v>51</v>
      </c>
      <c r="AG1498" s="1" t="s">
        <v>51</v>
      </c>
      <c r="AH1498" s="1"/>
      <c r="AI1498" s="1"/>
      <c r="AJ1498" s="3">
        <v>1</v>
      </c>
      <c r="AK1498" s="1" t="s">
        <v>52</v>
      </c>
      <c r="AL1498" s="3">
        <v>7</v>
      </c>
      <c r="AM1498" s="8">
        <v>24</v>
      </c>
      <c r="AN1498" s="1"/>
      <c r="AO1498" s="1" t="s">
        <v>10072</v>
      </c>
      <c r="AP1498" s="1" t="s">
        <v>160</v>
      </c>
      <c r="AQ1498" s="1" t="s">
        <v>10073</v>
      </c>
      <c r="AR1498" s="1" t="s">
        <v>10074</v>
      </c>
    </row>
    <row r="1499">
      <c r="A1499" s="2">
        <f ca="1">DATE(2004,11,23)</f>
        <v>0</v>
      </c>
      <c r="B1499" s="2">
        <f ca="1">DATE(2005,05,04)</f>
        <v>0</v>
      </c>
      <c r="C1499" s="1" t="s">
        <v>10075</v>
      </c>
      <c r="D1499" s="3">
        <v>4923</v>
      </c>
      <c r="E1499" s="1" t="s">
        <v>517</v>
      </c>
      <c r="F1499" s="1" t="s">
        <v>10076</v>
      </c>
      <c r="G1499" s="1" t="s">
        <v>6201</v>
      </c>
      <c r="H1499" s="4">
        <v>1.458</v>
      </c>
      <c r="I1499" s="4">
        <v>6.625</v>
      </c>
      <c r="J1499" s="5">
        <v>132</v>
      </c>
      <c r="K1499" s="4">
        <v>22</v>
      </c>
      <c r="L1499" s="1" t="s">
        <v>85</v>
      </c>
      <c r="M1499" s="1" t="s">
        <v>47</v>
      </c>
      <c r="N1499" s="1" t="s">
        <v>10077</v>
      </c>
      <c r="O1499" s="1" t="s">
        <v>108</v>
      </c>
      <c r="P1499" s="1" t="s">
        <v>10078</v>
      </c>
      <c r="Q1499" s="1" t="s">
        <v>145</v>
      </c>
      <c r="R1499" s="1" t="s">
        <v>145</v>
      </c>
      <c r="S1499" s="1"/>
      <c r="T1499" s="1" t="s">
        <v>50</v>
      </c>
      <c r="U1499" s="1"/>
      <c r="V1499" s="1"/>
      <c r="W1499" s="7">
        <v>5500000</v>
      </c>
      <c r="X1499" s="1"/>
      <c r="Y1499" s="7">
        <v>6000000</v>
      </c>
      <c r="Z1499" s="1"/>
      <c r="AA1499" s="1" t="s">
        <v>10079</v>
      </c>
      <c r="AB1499" s="1" t="s">
        <v>2067</v>
      </c>
      <c r="AC1499" s="1" t="s">
        <v>2068</v>
      </c>
      <c r="AD1499" s="1" t="s">
        <v>2067</v>
      </c>
      <c r="AE1499" s="1" t="s">
        <v>51</v>
      </c>
      <c r="AF1499" s="1" t="s">
        <v>51</v>
      </c>
      <c r="AG1499" s="1" t="s">
        <v>51</v>
      </c>
      <c r="AH1499" s="1"/>
      <c r="AI1499" s="1"/>
      <c r="AJ1499" s="3">
        <v>1</v>
      </c>
      <c r="AK1499" s="1" t="s">
        <v>89</v>
      </c>
      <c r="AL1499" s="3">
        <v>7</v>
      </c>
      <c r="AM1499" s="8">
        <v>24.800000000000001</v>
      </c>
      <c r="AN1499" s="1"/>
      <c r="AO1499" s="1" t="s">
        <v>10080</v>
      </c>
      <c r="AP1499" s="1" t="s">
        <v>6573</v>
      </c>
      <c r="AQ1499" s="1" t="s">
        <v>10081</v>
      </c>
      <c r="AR1499" s="1" t="s">
        <v>10082</v>
      </c>
    </row>
    <row r="1500">
      <c r="A1500" s="2">
        <f ca="1">DATE(2005,04,07)</f>
        <v>0</v>
      </c>
      <c r="B1500" s="2">
        <f ca="1">DATE(2005,05,05)</f>
        <v>0</v>
      </c>
      <c r="C1500" s="1" t="s">
        <v>10083</v>
      </c>
      <c r="D1500" s="3">
        <v>3663</v>
      </c>
      <c r="E1500" s="1" t="s">
        <v>744</v>
      </c>
      <c r="F1500" s="1" t="s">
        <v>10084</v>
      </c>
      <c r="G1500" s="1" t="s">
        <v>45</v>
      </c>
      <c r="H1500" s="4">
        <v>1.1379999999999999</v>
      </c>
      <c r="I1500" s="8">
        <v>7</v>
      </c>
      <c r="J1500" s="5">
        <v>141.80000000000001</v>
      </c>
      <c r="K1500" s="4">
        <v>16.25</v>
      </c>
      <c r="L1500" s="1" t="s">
        <v>651</v>
      </c>
      <c r="M1500" s="1" t="s">
        <v>47</v>
      </c>
      <c r="N1500" s="3">
        <v>169424108</v>
      </c>
      <c r="O1500" s="1" t="s">
        <v>48</v>
      </c>
      <c r="P1500" s="1" t="s">
        <v>10085</v>
      </c>
      <c r="Q1500" s="1" t="s">
        <v>145</v>
      </c>
      <c r="R1500" s="1" t="s">
        <v>145</v>
      </c>
      <c r="S1500" s="8">
        <v>4.2000000000000002</v>
      </c>
      <c r="T1500" s="1" t="s">
        <v>50</v>
      </c>
      <c r="U1500" s="1"/>
      <c r="V1500" s="1"/>
      <c r="W1500" s="1"/>
      <c r="X1500" s="5">
        <v>150</v>
      </c>
      <c r="Y1500" s="7">
        <v>6143045</v>
      </c>
      <c r="Z1500" s="7">
        <v>2583912</v>
      </c>
      <c r="AA1500" s="2">
        <f ca="1">DATE(2005,11,01)</f>
        <v>0</v>
      </c>
      <c r="AB1500" s="1"/>
      <c r="AC1500" s="3">
        <v>180</v>
      </c>
      <c r="AD1500" s="1"/>
      <c r="AE1500" s="1" t="s">
        <v>47</v>
      </c>
      <c r="AF1500" s="1" t="s">
        <v>51</v>
      </c>
      <c r="AG1500" s="1" t="s">
        <v>47</v>
      </c>
      <c r="AH1500" s="1"/>
      <c r="AI1500" s="1"/>
      <c r="AJ1500" s="3">
        <v>1</v>
      </c>
      <c r="AK1500" s="1" t="s">
        <v>89</v>
      </c>
      <c r="AL1500" s="3">
        <v>3</v>
      </c>
      <c r="AM1500" s="8">
        <v>15.32</v>
      </c>
      <c r="AN1500" s="1"/>
      <c r="AO1500" s="1" t="s">
        <v>10086</v>
      </c>
      <c r="AP1500" s="1" t="s">
        <v>10087</v>
      </c>
      <c r="AQ1500" s="1" t="s">
        <v>10088</v>
      </c>
      <c r="AR1500" s="1" t="s">
        <v>10089</v>
      </c>
    </row>
    <row r="1501">
      <c r="A1501" s="2">
        <f ca="1">DATE(2005,02,17)</f>
        <v>0</v>
      </c>
      <c r="B1501" s="2">
        <f ca="1">DATE(2005,05,05)</f>
        <v>0</v>
      </c>
      <c r="C1501" s="1" t="s">
        <v>10090</v>
      </c>
      <c r="D1501" s="3">
        <v>5699</v>
      </c>
      <c r="E1501" s="1" t="s">
        <v>43</v>
      </c>
      <c r="F1501" s="1" t="s">
        <v>10091</v>
      </c>
      <c r="G1501" s="1" t="s">
        <v>9660</v>
      </c>
      <c r="H1501" s="4">
        <v>1.26</v>
      </c>
      <c r="I1501" s="4">
        <v>7</v>
      </c>
      <c r="J1501" s="5">
        <v>56.299999999999997</v>
      </c>
      <c r="K1501" s="4">
        <v>18</v>
      </c>
      <c r="L1501" s="1" t="s">
        <v>46</v>
      </c>
      <c r="M1501" s="1" t="s">
        <v>47</v>
      </c>
      <c r="N1501" s="3">
        <v>989817101</v>
      </c>
      <c r="O1501" s="1" t="s">
        <v>48</v>
      </c>
      <c r="P1501" s="1" t="s">
        <v>10092</v>
      </c>
      <c r="Q1501" s="4">
        <v>1.444</v>
      </c>
      <c r="R1501" s="4">
        <v>1.389</v>
      </c>
      <c r="S1501" s="6">
        <v>4.1666699999999999</v>
      </c>
      <c r="T1501" s="1" t="s">
        <v>50</v>
      </c>
      <c r="U1501" s="1"/>
      <c r="V1501" s="1"/>
      <c r="W1501" s="1"/>
      <c r="X1501" s="5">
        <v>57.5</v>
      </c>
      <c r="Y1501" s="7">
        <v>1875000</v>
      </c>
      <c r="Z1501" s="7">
        <v>1250000</v>
      </c>
      <c r="AA1501" s="2">
        <f ca="1">DATE(2005,11,01)</f>
        <v>0</v>
      </c>
      <c r="AB1501" s="4">
        <v>76.290000000000006</v>
      </c>
      <c r="AC1501" s="3">
        <v>180</v>
      </c>
      <c r="AD1501" s="8">
        <v>10055261</v>
      </c>
      <c r="AE1501" s="1" t="s">
        <v>51</v>
      </c>
      <c r="AF1501" s="1" t="s">
        <v>51</v>
      </c>
      <c r="AG1501" s="1" t="s">
        <v>51</v>
      </c>
      <c r="AH1501" s="1"/>
      <c r="AI1501" s="1"/>
      <c r="AJ1501" s="3">
        <v>2</v>
      </c>
      <c r="AK1501" s="1" t="s">
        <v>89</v>
      </c>
      <c r="AL1501" s="3">
        <v>3</v>
      </c>
      <c r="AM1501" s="8">
        <v>23.399999999999999</v>
      </c>
      <c r="AN1501" s="1"/>
      <c r="AO1501" s="1" t="s">
        <v>10093</v>
      </c>
      <c r="AP1501" s="1" t="s">
        <v>9668</v>
      </c>
      <c r="AQ1501" s="1" t="s">
        <v>10094</v>
      </c>
      <c r="AR1501" s="1" t="s">
        <v>10095</v>
      </c>
    </row>
    <row r="1502">
      <c r="A1502" s="2">
        <f ca="1">DATE(2004,10,04)</f>
        <v>0</v>
      </c>
      <c r="B1502" s="2">
        <f ca="1">DATE(2005,05,06)</f>
        <v>0</v>
      </c>
      <c r="C1502" s="1" t="s">
        <v>10096</v>
      </c>
      <c r="D1502" s="3">
        <v>1311</v>
      </c>
      <c r="E1502" s="1" t="s">
        <v>43</v>
      </c>
      <c r="F1502" s="1" t="s">
        <v>10097</v>
      </c>
      <c r="G1502" s="1" t="s">
        <v>4327</v>
      </c>
      <c r="H1502" s="4">
        <v>0.91000000000000003</v>
      </c>
      <c r="I1502" s="4">
        <v>7</v>
      </c>
      <c r="J1502" s="5">
        <v>175.5</v>
      </c>
      <c r="K1502" s="4">
        <v>13</v>
      </c>
      <c r="L1502" s="1" t="s">
        <v>46</v>
      </c>
      <c r="M1502" s="1" t="s">
        <v>47</v>
      </c>
      <c r="N1502" s="1" t="s">
        <v>10098</v>
      </c>
      <c r="O1502" s="1" t="s">
        <v>108</v>
      </c>
      <c r="P1502" s="1" t="s">
        <v>10099</v>
      </c>
      <c r="Q1502" s="4">
        <v>1.423</v>
      </c>
      <c r="R1502" s="4">
        <v>1.423</v>
      </c>
      <c r="S1502" s="6">
        <v>4.1538500000000003</v>
      </c>
      <c r="T1502" s="1" t="s">
        <v>50</v>
      </c>
      <c r="U1502" s="1"/>
      <c r="V1502" s="1"/>
      <c r="W1502" s="1"/>
      <c r="X1502" s="5">
        <v>150</v>
      </c>
      <c r="Y1502" s="7">
        <v>12000000</v>
      </c>
      <c r="Z1502" s="7">
        <v>1500000</v>
      </c>
      <c r="AA1502" s="1" t="s">
        <v>10100</v>
      </c>
      <c r="AB1502" s="1" t="s">
        <v>10101</v>
      </c>
      <c r="AC1502" s="1" t="s">
        <v>2068</v>
      </c>
      <c r="AD1502" s="1" t="s">
        <v>10102</v>
      </c>
      <c r="AE1502" s="1" t="s">
        <v>51</v>
      </c>
      <c r="AF1502" s="1" t="s">
        <v>51</v>
      </c>
      <c r="AG1502" s="1" t="s">
        <v>51</v>
      </c>
      <c r="AH1502" s="1"/>
      <c r="AI1502" s="1"/>
      <c r="AJ1502" s="3">
        <v>1</v>
      </c>
      <c r="AK1502" s="1" t="s">
        <v>52</v>
      </c>
      <c r="AL1502" s="3">
        <v>8</v>
      </c>
      <c r="AM1502" s="8">
        <v>12.65</v>
      </c>
      <c r="AN1502" s="1"/>
      <c r="AO1502" s="1" t="s">
        <v>10103</v>
      </c>
      <c r="AP1502" s="1" t="s">
        <v>4327</v>
      </c>
      <c r="AQ1502" s="1" t="s">
        <v>10104</v>
      </c>
      <c r="AR1502" s="1" t="s">
        <v>10105</v>
      </c>
    </row>
    <row r="1503">
      <c r="A1503" s="2">
        <f ca="1">DATE(2005,01,26)</f>
        <v>0</v>
      </c>
      <c r="B1503" s="2">
        <f ca="1">DATE(2005,05,09)</f>
        <v>0</v>
      </c>
      <c r="C1503" s="1" t="s">
        <v>10106</v>
      </c>
      <c r="D1503" s="3">
        <v>4899</v>
      </c>
      <c r="E1503" s="1" t="s">
        <v>517</v>
      </c>
      <c r="F1503" s="1" t="s">
        <v>10107</v>
      </c>
      <c r="G1503" s="1" t="s">
        <v>5387</v>
      </c>
      <c r="H1503" s="4">
        <v>1.073</v>
      </c>
      <c r="I1503" s="4">
        <v>6.5</v>
      </c>
      <c r="J1503" s="5">
        <v>196.40000000000001</v>
      </c>
      <c r="K1503" s="4">
        <v>16.5</v>
      </c>
      <c r="L1503" s="1" t="s">
        <v>46</v>
      </c>
      <c r="M1503" s="1" t="s">
        <v>47</v>
      </c>
      <c r="N1503" s="1" t="s">
        <v>10108</v>
      </c>
      <c r="O1503" s="1" t="s">
        <v>108</v>
      </c>
      <c r="P1503" s="1" t="s">
        <v>10109</v>
      </c>
      <c r="Q1503" s="4">
        <v>1.2729999999999999</v>
      </c>
      <c r="R1503" s="4">
        <v>1.2729999999999999</v>
      </c>
      <c r="S1503" s="8">
        <v>3.8999999999999999</v>
      </c>
      <c r="T1503" s="1" t="s">
        <v>50</v>
      </c>
      <c r="U1503" s="1"/>
      <c r="V1503" s="1"/>
      <c r="W1503" s="1"/>
      <c r="X1503" s="5">
        <v>350</v>
      </c>
      <c r="Y1503" s="7">
        <v>11900000</v>
      </c>
      <c r="Z1503" s="1"/>
      <c r="AA1503" s="1" t="s">
        <v>10110</v>
      </c>
      <c r="AB1503" s="1" t="s">
        <v>10111</v>
      </c>
      <c r="AC1503" s="1" t="s">
        <v>2068</v>
      </c>
      <c r="AD1503" s="1" t="s">
        <v>10112</v>
      </c>
      <c r="AE1503" s="1" t="s">
        <v>51</v>
      </c>
      <c r="AF1503" s="1" t="s">
        <v>51</v>
      </c>
      <c r="AG1503" s="1" t="s">
        <v>51</v>
      </c>
      <c r="AH1503" s="1"/>
      <c r="AI1503" s="1"/>
      <c r="AJ1503" s="3">
        <v>2</v>
      </c>
      <c r="AK1503" s="1" t="s">
        <v>89</v>
      </c>
      <c r="AL1503" s="3">
        <v>6</v>
      </c>
      <c r="AM1503" s="8">
        <v>16.579999999999998</v>
      </c>
      <c r="AN1503" s="1"/>
      <c r="AO1503" s="1" t="s">
        <v>10113</v>
      </c>
      <c r="AP1503" s="1" t="s">
        <v>5392</v>
      </c>
      <c r="AQ1503" s="1" t="s">
        <v>10114</v>
      </c>
      <c r="AR1503" s="1" t="s">
        <v>10115</v>
      </c>
    </row>
    <row r="1504">
      <c r="A1504" s="2">
        <f ca="1">DATE(2005,03,11)</f>
        <v>0</v>
      </c>
      <c r="B1504" s="2">
        <f ca="1">DATE(2005,05,10)</f>
        <v>0</v>
      </c>
      <c r="C1504" s="1" t="s">
        <v>10116</v>
      </c>
      <c r="D1504" s="3">
        <v>3652</v>
      </c>
      <c r="E1504" s="1" t="s">
        <v>43</v>
      </c>
      <c r="F1504" s="1" t="s">
        <v>10117</v>
      </c>
      <c r="G1504" s="1" t="s">
        <v>10118</v>
      </c>
      <c r="H1504" s="4">
        <v>0.80800000000000005</v>
      </c>
      <c r="I1504" s="4">
        <v>4.75</v>
      </c>
      <c r="J1504" s="5">
        <v>554.20000000000005</v>
      </c>
      <c r="K1504" s="4">
        <v>17</v>
      </c>
      <c r="L1504" s="1" t="s">
        <v>46</v>
      </c>
      <c r="M1504" s="1" t="s">
        <v>47</v>
      </c>
      <c r="N1504" s="3">
        <v>934550104</v>
      </c>
      <c r="O1504" s="1" t="s">
        <v>108</v>
      </c>
      <c r="P1504" s="1" t="s">
        <v>10119</v>
      </c>
      <c r="Q1504" s="4">
        <v>0.94999999999999996</v>
      </c>
      <c r="R1504" s="4">
        <v>0.94999999999999996</v>
      </c>
      <c r="S1504" s="8">
        <v>2.8500000000000001</v>
      </c>
      <c r="T1504" s="1" t="s">
        <v>50</v>
      </c>
      <c r="U1504" s="1"/>
      <c r="V1504" s="1"/>
      <c r="W1504" s="1"/>
      <c r="X1504" s="5">
        <v>750</v>
      </c>
      <c r="Y1504" s="7">
        <v>32600000</v>
      </c>
      <c r="Z1504" s="1"/>
      <c r="AA1504" s="2">
        <f ca="1">DATE(2005,11,06)</f>
        <v>0</v>
      </c>
      <c r="AB1504" s="1"/>
      <c r="AC1504" s="3">
        <v>180</v>
      </c>
      <c r="AD1504" s="1"/>
      <c r="AE1504" s="1" t="s">
        <v>51</v>
      </c>
      <c r="AF1504" s="1" t="s">
        <v>51</v>
      </c>
      <c r="AG1504" s="1" t="s">
        <v>51</v>
      </c>
      <c r="AH1504" s="1"/>
      <c r="AI1504" s="1"/>
      <c r="AJ1504" s="3">
        <v>4</v>
      </c>
      <c r="AK1504" s="1" t="s">
        <v>10120</v>
      </c>
      <c r="AL1504" s="3">
        <v>16</v>
      </c>
      <c r="AM1504" s="8">
        <v>16.399999999999999</v>
      </c>
      <c r="AN1504" s="1"/>
      <c r="AO1504" s="1" t="s">
        <v>10121</v>
      </c>
      <c r="AP1504" s="1" t="s">
        <v>10122</v>
      </c>
      <c r="AQ1504" s="1" t="s">
        <v>10123</v>
      </c>
      <c r="AR1504" s="1" t="s">
        <v>10124</v>
      </c>
    </row>
    <row r="1505">
      <c r="A1505" s="2">
        <f ca="1">DATE(2004,06,10)</f>
        <v>0</v>
      </c>
      <c r="B1505" s="2">
        <f ca="1">DATE(2005,05,16)</f>
        <v>0</v>
      </c>
      <c r="C1505" s="1" t="s">
        <v>10125</v>
      </c>
      <c r="D1505" s="3">
        <v>2299</v>
      </c>
      <c r="E1505" s="1" t="s">
        <v>43</v>
      </c>
      <c r="F1505" s="1" t="s">
        <v>10126</v>
      </c>
      <c r="G1505" s="1" t="s">
        <v>8893</v>
      </c>
      <c r="H1505" s="4">
        <v>0.75</v>
      </c>
      <c r="I1505" s="4">
        <v>6.25</v>
      </c>
      <c r="J1505" s="5">
        <v>160.80000000000001</v>
      </c>
      <c r="K1505" s="4">
        <v>12</v>
      </c>
      <c r="L1505" s="1" t="s">
        <v>46</v>
      </c>
      <c r="M1505" s="1" t="s">
        <v>47</v>
      </c>
      <c r="N1505" s="1" t="s">
        <v>10127</v>
      </c>
      <c r="O1505" s="1" t="s">
        <v>108</v>
      </c>
      <c r="P1505" s="1" t="s">
        <v>10128</v>
      </c>
      <c r="Q1505" s="4">
        <v>1.25</v>
      </c>
      <c r="R1505" s="4">
        <v>1.25</v>
      </c>
      <c r="S1505" s="8">
        <v>3.75</v>
      </c>
      <c r="T1505" s="1" t="s">
        <v>50</v>
      </c>
      <c r="U1505" s="1"/>
      <c r="V1505" s="1"/>
      <c r="W1505" s="1"/>
      <c r="X1505" s="5">
        <v>700</v>
      </c>
      <c r="Y1505" s="7">
        <v>13399233</v>
      </c>
      <c r="Z1505" s="1"/>
      <c r="AA1505" s="2">
        <f ca="1">DATE(2005,11,12)</f>
        <v>0</v>
      </c>
      <c r="AB1505" s="4">
        <v>30.584</v>
      </c>
      <c r="AC1505" s="3">
        <v>180</v>
      </c>
      <c r="AD1505" s="8">
        <v>13399233</v>
      </c>
      <c r="AE1505" s="1" t="s">
        <v>51</v>
      </c>
      <c r="AF1505" s="1" t="s">
        <v>51</v>
      </c>
      <c r="AG1505" s="1" t="s">
        <v>51</v>
      </c>
      <c r="AH1505" s="1"/>
      <c r="AI1505" s="1"/>
      <c r="AJ1505" s="3">
        <v>2</v>
      </c>
      <c r="AK1505" s="1" t="s">
        <v>110</v>
      </c>
      <c r="AL1505" s="3">
        <v>5</v>
      </c>
      <c r="AM1505" s="8">
        <v>12</v>
      </c>
      <c r="AN1505" s="1"/>
      <c r="AO1505" s="1" t="s">
        <v>10129</v>
      </c>
      <c r="AP1505" s="1" t="s">
        <v>10130</v>
      </c>
      <c r="AQ1505" s="1" t="s">
        <v>10131</v>
      </c>
      <c r="AR1505" s="1" t="s">
        <v>10132</v>
      </c>
    </row>
    <row r="1506">
      <c r="A1506" s="2">
        <f ca="1">DATE(2005,02,28)</f>
        <v>0</v>
      </c>
      <c r="B1506" s="2">
        <f ca="1">DATE(2005,05,17)</f>
        <v>0</v>
      </c>
      <c r="C1506" s="1" t="s">
        <v>10133</v>
      </c>
      <c r="D1506" s="3">
        <v>5651</v>
      </c>
      <c r="E1506" s="1" t="s">
        <v>43</v>
      </c>
      <c r="F1506" s="1" t="s">
        <v>10134</v>
      </c>
      <c r="G1506" s="1" t="s">
        <v>1056</v>
      </c>
      <c r="H1506" s="4">
        <v>0.97999999999999998</v>
      </c>
      <c r="I1506" s="8">
        <v>7</v>
      </c>
      <c r="J1506" s="5">
        <v>53.899999999999999</v>
      </c>
      <c r="K1506" s="4">
        <v>14</v>
      </c>
      <c r="L1506" s="1" t="s">
        <v>46</v>
      </c>
      <c r="M1506" s="1" t="s">
        <v>47</v>
      </c>
      <c r="N1506" s="1" t="s">
        <v>10135</v>
      </c>
      <c r="O1506" s="1" t="s">
        <v>48</v>
      </c>
      <c r="P1506" s="1" t="s">
        <v>10136</v>
      </c>
      <c r="Q1506" s="1" t="s">
        <v>145</v>
      </c>
      <c r="R1506" s="1" t="s">
        <v>145</v>
      </c>
      <c r="S1506" s="8">
        <v>4.2000000000000002</v>
      </c>
      <c r="T1506" s="1" t="s">
        <v>50</v>
      </c>
      <c r="U1506" s="1"/>
      <c r="V1506" s="1"/>
      <c r="W1506" s="1"/>
      <c r="X1506" s="5">
        <v>57.5</v>
      </c>
      <c r="Y1506" s="7">
        <v>2700000</v>
      </c>
      <c r="Z1506" s="7">
        <v>1150000</v>
      </c>
      <c r="AA1506" s="1" t="s">
        <v>10137</v>
      </c>
      <c r="AB1506" s="1" t="s">
        <v>10138</v>
      </c>
      <c r="AC1506" s="1" t="s">
        <v>7759</v>
      </c>
      <c r="AD1506" s="1" t="s">
        <v>10139</v>
      </c>
      <c r="AE1506" s="1" t="s">
        <v>51</v>
      </c>
      <c r="AF1506" s="1" t="s">
        <v>51</v>
      </c>
      <c r="AG1506" s="1" t="s">
        <v>51</v>
      </c>
      <c r="AH1506" s="1"/>
      <c r="AI1506" s="1"/>
      <c r="AJ1506" s="3">
        <v>1</v>
      </c>
      <c r="AK1506" s="1" t="s">
        <v>52</v>
      </c>
      <c r="AL1506" s="3">
        <v>4</v>
      </c>
      <c r="AM1506" s="8">
        <v>15.890000000000001</v>
      </c>
      <c r="AN1506" s="1"/>
      <c r="AO1506" s="1" t="s">
        <v>10140</v>
      </c>
      <c r="AP1506" s="1" t="s">
        <v>1056</v>
      </c>
      <c r="AQ1506" s="1" t="s">
        <v>10141</v>
      </c>
      <c r="AR1506" s="1" t="s">
        <v>10142</v>
      </c>
    </row>
    <row r="1507">
      <c r="A1507" s="2">
        <f ca="1">DATE(2005,03,09)</f>
        <v>0</v>
      </c>
      <c r="B1507" s="2">
        <f ca="1">DATE(2005,05,24)</f>
        <v>0</v>
      </c>
      <c r="C1507" s="1" t="s">
        <v>10143</v>
      </c>
      <c r="D1507" s="3">
        <v>4612</v>
      </c>
      <c r="E1507" s="1" t="s">
        <v>43</v>
      </c>
      <c r="F1507" s="1" t="s">
        <v>10144</v>
      </c>
      <c r="G1507" s="1" t="s">
        <v>5704</v>
      </c>
      <c r="H1507" s="4">
        <v>1.391</v>
      </c>
      <c r="I1507" s="4">
        <v>6.5</v>
      </c>
      <c r="J1507" s="5">
        <v>71.700000000000003</v>
      </c>
      <c r="K1507" s="8">
        <v>21.399999999999999</v>
      </c>
      <c r="L1507" s="1" t="s">
        <v>85</v>
      </c>
      <c r="M1507" s="1" t="s">
        <v>47</v>
      </c>
      <c r="N1507" s="1" t="s">
        <v>10145</v>
      </c>
      <c r="O1507" s="1" t="s">
        <v>108</v>
      </c>
      <c r="P1507" s="1" t="s">
        <v>10146</v>
      </c>
      <c r="Q1507" s="4">
        <v>1.3080000000000001</v>
      </c>
      <c r="R1507" s="4">
        <v>1.4530000000000001</v>
      </c>
      <c r="S1507" s="6">
        <v>3.7383199999999999</v>
      </c>
      <c r="T1507" s="1" t="s">
        <v>50</v>
      </c>
      <c r="U1507" s="1"/>
      <c r="V1507" s="1"/>
      <c r="W1507" s="7">
        <v>4300000</v>
      </c>
      <c r="X1507" s="1"/>
      <c r="Y1507" s="7">
        <v>3350000</v>
      </c>
      <c r="Z1507" s="1"/>
      <c r="AA1507" s="1" t="s">
        <v>10147</v>
      </c>
      <c r="AB1507" s="1" t="s">
        <v>2067</v>
      </c>
      <c r="AC1507" s="1" t="s">
        <v>2068</v>
      </c>
      <c r="AD1507" s="1" t="s">
        <v>2067</v>
      </c>
      <c r="AE1507" s="1" t="s">
        <v>51</v>
      </c>
      <c r="AF1507" s="1" t="s">
        <v>51</v>
      </c>
      <c r="AG1507" s="1" t="s">
        <v>51</v>
      </c>
      <c r="AH1507" s="1"/>
      <c r="AI1507" s="1"/>
      <c r="AJ1507" s="3">
        <v>1</v>
      </c>
      <c r="AK1507" s="1" t="s">
        <v>52</v>
      </c>
      <c r="AL1507" s="3">
        <v>4</v>
      </c>
      <c r="AM1507" s="8">
        <v>24.510000000000002</v>
      </c>
      <c r="AN1507" s="1"/>
      <c r="AO1507" s="1" t="s">
        <v>10148</v>
      </c>
      <c r="AP1507" s="1" t="s">
        <v>5704</v>
      </c>
      <c r="AQ1507" s="1" t="s">
        <v>10149</v>
      </c>
      <c r="AR1507" s="1" t="s">
        <v>10146</v>
      </c>
    </row>
    <row r="1508">
      <c r="A1508" s="2">
        <f ca="1">DATE(2005,03,14)</f>
        <v>0</v>
      </c>
      <c r="B1508" s="2">
        <f ca="1">DATE(2005,05,25)</f>
        <v>0</v>
      </c>
      <c r="C1508" s="1" t="s">
        <v>10150</v>
      </c>
      <c r="D1508" s="3">
        <v>6726</v>
      </c>
      <c r="E1508" s="1" t="s">
        <v>43</v>
      </c>
      <c r="F1508" s="1" t="s">
        <v>10151</v>
      </c>
      <c r="G1508" s="1" t="s">
        <v>5704</v>
      </c>
      <c r="H1508" s="4">
        <v>1.125</v>
      </c>
      <c r="I1508" s="4">
        <v>4.5</v>
      </c>
      <c r="J1508" s="5">
        <v>300</v>
      </c>
      <c r="K1508" s="4">
        <v>25</v>
      </c>
      <c r="L1508" s="1" t="s">
        <v>46</v>
      </c>
      <c r="M1508" s="1" t="s">
        <v>47</v>
      </c>
      <c r="N1508" s="1" t="s">
        <v>10152</v>
      </c>
      <c r="O1508" s="1" t="s">
        <v>108</v>
      </c>
      <c r="P1508" s="1" t="s">
        <v>10153</v>
      </c>
      <c r="Q1508" s="4">
        <v>0.93999999999999995</v>
      </c>
      <c r="R1508" s="4">
        <v>0.56000000000000005</v>
      </c>
      <c r="S1508" s="8">
        <v>3</v>
      </c>
      <c r="T1508" s="1" t="s">
        <v>50</v>
      </c>
      <c r="U1508" s="8">
        <v>25</v>
      </c>
      <c r="V1508" s="8">
        <v>25</v>
      </c>
      <c r="W1508" s="7">
        <v>100000</v>
      </c>
      <c r="X1508" s="5">
        <v>2.5</v>
      </c>
      <c r="Y1508" s="7">
        <v>12000000</v>
      </c>
      <c r="Z1508" s="1"/>
      <c r="AA1508" s="2">
        <f ca="1">DATE(2005,11,21)</f>
        <v>0</v>
      </c>
      <c r="AB1508" s="1"/>
      <c r="AC1508" s="3">
        <v>180</v>
      </c>
      <c r="AD1508" s="1"/>
      <c r="AE1508" s="1" t="s">
        <v>51</v>
      </c>
      <c r="AF1508" s="1" t="s">
        <v>51</v>
      </c>
      <c r="AG1508" s="1" t="s">
        <v>51</v>
      </c>
      <c r="AH1508" s="1"/>
      <c r="AI1508" s="1"/>
      <c r="AJ1508" s="3">
        <v>1</v>
      </c>
      <c r="AK1508" s="1" t="s">
        <v>52</v>
      </c>
      <c r="AL1508" s="3">
        <v>10</v>
      </c>
      <c r="AM1508" s="1"/>
      <c r="AN1508" s="1"/>
      <c r="AO1508" s="1" t="s">
        <v>10154</v>
      </c>
      <c r="AP1508" s="1" t="s">
        <v>5704</v>
      </c>
      <c r="AQ1508" s="1" t="s">
        <v>10155</v>
      </c>
      <c r="AR1508" s="1" t="s">
        <v>10156</v>
      </c>
    </row>
    <row r="1509">
      <c r="A1509" s="2">
        <f ca="1">DATE(2005,03,01)</f>
        <v>0</v>
      </c>
      <c r="B1509" s="2">
        <f ca="1">DATE(2005,05,25)</f>
        <v>0</v>
      </c>
      <c r="C1509" s="1" t="s">
        <v>10157</v>
      </c>
      <c r="D1509" s="3">
        <v>6798</v>
      </c>
      <c r="E1509" s="1" t="s">
        <v>43</v>
      </c>
      <c r="F1509" s="1" t="s">
        <v>10158</v>
      </c>
      <c r="G1509" s="1" t="s">
        <v>10159</v>
      </c>
      <c r="H1509" s="4">
        <v>0.65600000000000003</v>
      </c>
      <c r="I1509" s="4">
        <v>6.25</v>
      </c>
      <c r="J1509" s="5">
        <v>273.89999999999998</v>
      </c>
      <c r="K1509" s="4">
        <v>10.5</v>
      </c>
      <c r="L1509" s="1" t="s">
        <v>46</v>
      </c>
      <c r="M1509" s="1" t="s">
        <v>47</v>
      </c>
      <c r="N1509" s="3">
        <v>252784301</v>
      </c>
      <c r="O1509" s="1" t="s">
        <v>108</v>
      </c>
      <c r="P1509" s="1" t="s">
        <v>10160</v>
      </c>
      <c r="Q1509" s="4">
        <v>1.25</v>
      </c>
      <c r="R1509" s="8">
        <v>1.25</v>
      </c>
      <c r="S1509" s="6">
        <v>3.75048</v>
      </c>
      <c r="T1509" s="1" t="s">
        <v>50</v>
      </c>
      <c r="U1509" s="1"/>
      <c r="V1509" s="1"/>
      <c r="W1509" s="1"/>
      <c r="X1509" s="5">
        <v>172.5</v>
      </c>
      <c r="Y1509" s="7">
        <v>26087000</v>
      </c>
      <c r="Z1509" s="1"/>
      <c r="AA1509" s="1" t="s">
        <v>10161</v>
      </c>
      <c r="AB1509" s="1" t="s">
        <v>10162</v>
      </c>
      <c r="AC1509" s="1" t="s">
        <v>10163</v>
      </c>
      <c r="AD1509" s="1" t="s">
        <v>10164</v>
      </c>
      <c r="AE1509" s="1" t="s">
        <v>51</v>
      </c>
      <c r="AF1509" s="1" t="s">
        <v>51</v>
      </c>
      <c r="AG1509" s="1" t="s">
        <v>51</v>
      </c>
      <c r="AH1509" s="1"/>
      <c r="AI1509" s="1"/>
      <c r="AJ1509" s="3">
        <v>2</v>
      </c>
      <c r="AK1509" s="1" t="s">
        <v>89</v>
      </c>
      <c r="AL1509" s="3">
        <v>5</v>
      </c>
      <c r="AM1509" s="8">
        <v>10.6</v>
      </c>
      <c r="AN1509" s="1"/>
      <c r="AO1509" s="1" t="s">
        <v>10165</v>
      </c>
      <c r="AP1509" s="1" t="s">
        <v>10166</v>
      </c>
      <c r="AQ1509" s="1" t="s">
        <v>10167</v>
      </c>
      <c r="AR1509" s="1" t="s">
        <v>10160</v>
      </c>
    </row>
    <row r="1510">
      <c r="A1510" s="2">
        <f ca="1">DATE(2005,03,11)</f>
        <v>0</v>
      </c>
      <c r="B1510" s="2">
        <f ca="1">DATE(2005,05,25)</f>
        <v>0</v>
      </c>
      <c r="C1510" s="1" t="s">
        <v>10168</v>
      </c>
      <c r="D1510" s="3">
        <v>6726</v>
      </c>
      <c r="E1510" s="1" t="s">
        <v>43</v>
      </c>
      <c r="F1510" s="1" t="s">
        <v>10169</v>
      </c>
      <c r="G1510" s="1" t="s">
        <v>45</v>
      </c>
      <c r="H1510" s="4">
        <v>0.90000000000000002</v>
      </c>
      <c r="I1510" s="4">
        <v>4.5</v>
      </c>
      <c r="J1510" s="5">
        <v>80</v>
      </c>
      <c r="K1510" s="4">
        <v>20</v>
      </c>
      <c r="L1510" s="1" t="s">
        <v>4422</v>
      </c>
      <c r="M1510" s="1" t="s">
        <v>47</v>
      </c>
      <c r="N1510" s="1" t="s">
        <v>10170</v>
      </c>
      <c r="O1510" s="1" t="s">
        <v>108</v>
      </c>
      <c r="P1510" s="1" t="s">
        <v>10171</v>
      </c>
      <c r="Q1510" s="4">
        <v>1</v>
      </c>
      <c r="R1510" s="4">
        <v>0.5</v>
      </c>
      <c r="S1510" s="8">
        <v>3</v>
      </c>
      <c r="T1510" s="1" t="s">
        <v>50</v>
      </c>
      <c r="U1510" s="8">
        <v>20</v>
      </c>
      <c r="V1510" s="8">
        <v>20</v>
      </c>
      <c r="W1510" s="7">
        <v>1000</v>
      </c>
      <c r="X1510" s="5">
        <v>0</v>
      </c>
      <c r="Y1510" s="7">
        <v>4000000</v>
      </c>
      <c r="Z1510" s="1"/>
      <c r="AA1510" s="2">
        <f ca="1">DATE(2005,11,21)</f>
        <v>0</v>
      </c>
      <c r="AB1510" s="1"/>
      <c r="AC1510" s="3">
        <v>180</v>
      </c>
      <c r="AD1510" s="1"/>
      <c r="AE1510" s="1" t="s">
        <v>51</v>
      </c>
      <c r="AF1510" s="1" t="s">
        <v>51</v>
      </c>
      <c r="AG1510" s="1" t="s">
        <v>51</v>
      </c>
      <c r="AH1510" s="1"/>
      <c r="AI1510" s="1"/>
      <c r="AJ1510" s="3">
        <v>1</v>
      </c>
      <c r="AK1510" s="1" t="s">
        <v>52</v>
      </c>
      <c r="AL1510" s="3">
        <v>11</v>
      </c>
      <c r="AM1510" s="8">
        <v>20.010000000000002</v>
      </c>
      <c r="AN1510" s="1"/>
      <c r="AO1510" s="1" t="s">
        <v>10172</v>
      </c>
      <c r="AP1510" s="1" t="s">
        <v>45</v>
      </c>
      <c r="AQ1510" s="1" t="s">
        <v>10173</v>
      </c>
      <c r="AR1510" s="1" t="s">
        <v>10174</v>
      </c>
    </row>
    <row r="1511">
      <c r="A1511" s="2">
        <f ca="1">DATE(2005,03,18)</f>
        <v>0</v>
      </c>
      <c r="B1511" s="2">
        <f ca="1">DATE(2005,05,25)</f>
        <v>0</v>
      </c>
      <c r="C1511" s="1" t="s">
        <v>10175</v>
      </c>
      <c r="D1511" s="3">
        <v>6726</v>
      </c>
      <c r="E1511" s="1" t="s">
        <v>43</v>
      </c>
      <c r="F1511" s="1" t="s">
        <v>10176</v>
      </c>
      <c r="G1511" s="1" t="s">
        <v>6201</v>
      </c>
      <c r="H1511" s="4">
        <v>0.90000000000000002</v>
      </c>
      <c r="I1511" s="4">
        <v>4.5</v>
      </c>
      <c r="J1511" s="5">
        <v>464</v>
      </c>
      <c r="K1511" s="4">
        <v>20</v>
      </c>
      <c r="L1511" s="1" t="s">
        <v>4422</v>
      </c>
      <c r="M1511" s="1" t="s">
        <v>47</v>
      </c>
      <c r="N1511" s="1" t="s">
        <v>10177</v>
      </c>
      <c r="O1511" s="1" t="s">
        <v>108</v>
      </c>
      <c r="P1511" s="1" t="s">
        <v>10178</v>
      </c>
      <c r="Q1511" s="1" t="s">
        <v>145</v>
      </c>
      <c r="R1511" s="1" t="s">
        <v>145</v>
      </c>
      <c r="S1511" s="8">
        <v>3</v>
      </c>
      <c r="T1511" s="1" t="s">
        <v>50</v>
      </c>
      <c r="U1511" s="8">
        <v>20</v>
      </c>
      <c r="V1511" s="8">
        <v>20</v>
      </c>
      <c r="W1511" s="7">
        <v>4000000</v>
      </c>
      <c r="X1511" s="5">
        <v>80</v>
      </c>
      <c r="Y1511" s="7">
        <v>23200000</v>
      </c>
      <c r="Z1511" s="1"/>
      <c r="AA1511" s="2">
        <f ca="1">DATE(2005,11,21)</f>
        <v>0</v>
      </c>
      <c r="AB1511" s="1"/>
      <c r="AC1511" s="3">
        <v>180</v>
      </c>
      <c r="AD1511" s="1"/>
      <c r="AE1511" s="1" t="s">
        <v>51</v>
      </c>
      <c r="AF1511" s="1" t="s">
        <v>51</v>
      </c>
      <c r="AG1511" s="1" t="s">
        <v>51</v>
      </c>
      <c r="AH1511" s="1"/>
      <c r="AI1511" s="1"/>
      <c r="AJ1511" s="3">
        <v>1</v>
      </c>
      <c r="AK1511" s="1" t="s">
        <v>52</v>
      </c>
      <c r="AL1511" s="3">
        <v>20</v>
      </c>
      <c r="AM1511" s="8">
        <v>20</v>
      </c>
      <c r="AN1511" s="1"/>
      <c r="AO1511" s="1" t="s">
        <v>10179</v>
      </c>
      <c r="AP1511" s="1" t="s">
        <v>6201</v>
      </c>
      <c r="AQ1511" s="1" t="s">
        <v>10180</v>
      </c>
      <c r="AR1511" s="1" t="s">
        <v>10181</v>
      </c>
    </row>
    <row r="1512">
      <c r="A1512" s="2">
        <f ca="1">DATE(2005,03,24)</f>
        <v>0</v>
      </c>
      <c r="B1512" s="2">
        <f ca="1">DATE(2005,05,25)</f>
        <v>0</v>
      </c>
      <c r="C1512" s="1" t="s">
        <v>10182</v>
      </c>
      <c r="D1512" s="3">
        <v>6726</v>
      </c>
      <c r="E1512" s="1" t="s">
        <v>43</v>
      </c>
      <c r="F1512" s="1" t="s">
        <v>10183</v>
      </c>
      <c r="G1512" s="1" t="s">
        <v>45</v>
      </c>
      <c r="H1512" s="4">
        <v>1.125</v>
      </c>
      <c r="I1512" s="4">
        <v>4.5</v>
      </c>
      <c r="J1512" s="5">
        <v>232.5</v>
      </c>
      <c r="K1512" s="4">
        <v>25</v>
      </c>
      <c r="L1512" s="1" t="s">
        <v>46</v>
      </c>
      <c r="M1512" s="1" t="s">
        <v>47</v>
      </c>
      <c r="N1512" s="3">
        <v>722011103</v>
      </c>
      <c r="O1512" s="1" t="s">
        <v>108</v>
      </c>
      <c r="P1512" s="1" t="s">
        <v>10184</v>
      </c>
      <c r="Q1512" s="4">
        <v>1</v>
      </c>
      <c r="R1512" s="4">
        <v>0.5</v>
      </c>
      <c r="S1512" s="8">
        <v>3</v>
      </c>
      <c r="T1512" s="1" t="s">
        <v>50</v>
      </c>
      <c r="U1512" s="8">
        <v>25</v>
      </c>
      <c r="V1512" s="8">
        <v>25</v>
      </c>
      <c r="W1512" s="7">
        <v>1000</v>
      </c>
      <c r="X1512" s="5">
        <v>0</v>
      </c>
      <c r="Y1512" s="7">
        <v>9300000</v>
      </c>
      <c r="Z1512" s="1"/>
      <c r="AA1512" s="2">
        <f ca="1">DATE(2005,11,21)</f>
        <v>0</v>
      </c>
      <c r="AB1512" s="1"/>
      <c r="AC1512" s="3">
        <v>180</v>
      </c>
      <c r="AD1512" s="1"/>
      <c r="AE1512" s="1" t="s">
        <v>51</v>
      </c>
      <c r="AF1512" s="1" t="s">
        <v>51</v>
      </c>
      <c r="AG1512" s="1" t="s">
        <v>51</v>
      </c>
      <c r="AH1512" s="1"/>
      <c r="AI1512" s="1"/>
      <c r="AJ1512" s="3">
        <v>1</v>
      </c>
      <c r="AK1512" s="1" t="s">
        <v>52</v>
      </c>
      <c r="AL1512" s="3">
        <v>11</v>
      </c>
      <c r="AM1512" s="8">
        <v>25.010000000000002</v>
      </c>
      <c r="AN1512" s="1"/>
      <c r="AO1512" s="1" t="s">
        <v>10185</v>
      </c>
      <c r="AP1512" s="1" t="s">
        <v>45</v>
      </c>
      <c r="AQ1512" s="1" t="s">
        <v>10186</v>
      </c>
      <c r="AR1512" s="1" t="s">
        <v>10187</v>
      </c>
    </row>
    <row r="1513">
      <c r="A1513" s="2">
        <f ca="1">DATE(2004,11,12)</f>
        <v>0</v>
      </c>
      <c r="B1513" s="2">
        <f ca="1">DATE(2005,05,25)</f>
        <v>0</v>
      </c>
      <c r="C1513" s="1" t="s">
        <v>10188</v>
      </c>
      <c r="D1513" s="3">
        <v>6726</v>
      </c>
      <c r="E1513" s="1" t="s">
        <v>43</v>
      </c>
      <c r="F1513" s="1" t="s">
        <v>10189</v>
      </c>
      <c r="G1513" s="1" t="s">
        <v>5747</v>
      </c>
      <c r="H1513" s="4">
        <v>0.90000000000000002</v>
      </c>
      <c r="I1513" s="4">
        <v>4.5</v>
      </c>
      <c r="J1513" s="5">
        <v>46</v>
      </c>
      <c r="K1513" s="4">
        <v>20</v>
      </c>
      <c r="L1513" s="1" t="s">
        <v>46</v>
      </c>
      <c r="M1513" s="1" t="s">
        <v>47</v>
      </c>
      <c r="N1513" s="1" t="s">
        <v>10190</v>
      </c>
      <c r="O1513" s="1" t="s">
        <v>3689</v>
      </c>
      <c r="P1513" s="1" t="s">
        <v>10191</v>
      </c>
      <c r="Q1513" s="1" t="s">
        <v>145</v>
      </c>
      <c r="R1513" s="1" t="s">
        <v>145</v>
      </c>
      <c r="S1513" s="8">
        <v>3</v>
      </c>
      <c r="T1513" s="1" t="s">
        <v>50</v>
      </c>
      <c r="U1513" s="8">
        <v>20</v>
      </c>
      <c r="V1513" s="8">
        <v>20</v>
      </c>
      <c r="W1513" s="7">
        <v>2875000</v>
      </c>
      <c r="X1513" s="5">
        <v>57.5</v>
      </c>
      <c r="Y1513" s="7">
        <v>2300000</v>
      </c>
      <c r="Z1513" s="1"/>
      <c r="AA1513" s="1"/>
      <c r="AB1513" s="1"/>
      <c r="AC1513" s="1"/>
      <c r="AD1513" s="1"/>
      <c r="AE1513" s="1" t="s">
        <v>51</v>
      </c>
      <c r="AF1513" s="1" t="s">
        <v>51</v>
      </c>
      <c r="AG1513" s="1" t="s">
        <v>51</v>
      </c>
      <c r="AH1513" s="1"/>
      <c r="AI1513" s="1"/>
      <c r="AJ1513" s="3">
        <v>1</v>
      </c>
      <c r="AK1513" s="1" t="s">
        <v>52</v>
      </c>
      <c r="AL1513" s="3">
        <v>34</v>
      </c>
      <c r="AM1513" s="1"/>
      <c r="AN1513" s="1"/>
      <c r="AO1513" s="1" t="s">
        <v>10192</v>
      </c>
      <c r="AP1513" s="1" t="s">
        <v>5747</v>
      </c>
      <c r="AQ1513" s="1" t="s">
        <v>10193</v>
      </c>
      <c r="AR1513" s="1" t="s">
        <v>10194</v>
      </c>
    </row>
    <row r="1514">
      <c r="A1514" s="2">
        <f ca="1">DATE(2005,03,08)</f>
        <v>0</v>
      </c>
      <c r="B1514" s="2">
        <f ca="1">DATE(2005,05,25)</f>
        <v>0</v>
      </c>
      <c r="C1514" s="1" t="s">
        <v>10195</v>
      </c>
      <c r="D1514" s="3">
        <v>6726</v>
      </c>
      <c r="E1514" s="1" t="s">
        <v>43</v>
      </c>
      <c r="F1514" s="1" t="s">
        <v>10196</v>
      </c>
      <c r="G1514" s="1" t="s">
        <v>10197</v>
      </c>
      <c r="H1514" s="4">
        <v>1.125</v>
      </c>
      <c r="I1514" s="4">
        <v>4.5</v>
      </c>
      <c r="J1514" s="5">
        <v>350</v>
      </c>
      <c r="K1514" s="4">
        <v>25</v>
      </c>
      <c r="L1514" s="1" t="s">
        <v>46</v>
      </c>
      <c r="M1514" s="1" t="s">
        <v>47</v>
      </c>
      <c r="N1514" s="1" t="s">
        <v>10198</v>
      </c>
      <c r="O1514" s="1" t="s">
        <v>108</v>
      </c>
      <c r="P1514" s="1" t="s">
        <v>10199</v>
      </c>
      <c r="Q1514" s="4">
        <v>0.75</v>
      </c>
      <c r="R1514" s="4">
        <v>0.75</v>
      </c>
      <c r="S1514" s="8">
        <v>3</v>
      </c>
      <c r="T1514" s="1" t="s">
        <v>50</v>
      </c>
      <c r="U1514" s="8">
        <v>25</v>
      </c>
      <c r="V1514" s="8">
        <v>25</v>
      </c>
      <c r="W1514" s="7">
        <v>200000</v>
      </c>
      <c r="X1514" s="5">
        <v>5</v>
      </c>
      <c r="Y1514" s="7">
        <v>14000000</v>
      </c>
      <c r="Z1514" s="1"/>
      <c r="AA1514" s="2">
        <f ca="1">DATE(2005,11,21)</f>
        <v>0</v>
      </c>
      <c r="AB1514" s="1"/>
      <c r="AC1514" s="3">
        <v>180</v>
      </c>
      <c r="AD1514" s="1"/>
      <c r="AE1514" s="1" t="s">
        <v>51</v>
      </c>
      <c r="AF1514" s="1" t="s">
        <v>51</v>
      </c>
      <c r="AG1514" s="1" t="s">
        <v>51</v>
      </c>
      <c r="AH1514" s="1"/>
      <c r="AI1514" s="1"/>
      <c r="AJ1514" s="3">
        <v>2</v>
      </c>
      <c r="AK1514" s="1" t="s">
        <v>110</v>
      </c>
      <c r="AL1514" s="3">
        <v>17</v>
      </c>
      <c r="AM1514" s="8">
        <v>25</v>
      </c>
      <c r="AN1514" s="1"/>
      <c r="AO1514" s="1" t="s">
        <v>10200</v>
      </c>
      <c r="AP1514" s="1" t="s">
        <v>10201</v>
      </c>
      <c r="AQ1514" s="1" t="s">
        <v>10202</v>
      </c>
      <c r="AR1514" s="1" t="s">
        <v>10203</v>
      </c>
    </row>
    <row r="1515">
      <c r="A1515" s="2">
        <f ca="1">DATE(2004,06,03)</f>
        <v>0</v>
      </c>
      <c r="B1515" s="2">
        <f ca="1">DATE(2005,05,26)</f>
        <v>0</v>
      </c>
      <c r="C1515" s="1" t="s">
        <v>10204</v>
      </c>
      <c r="D1515" s="3">
        <v>7371</v>
      </c>
      <c r="E1515" s="1" t="s">
        <v>43</v>
      </c>
      <c r="F1515" s="1" t="s">
        <v>10205</v>
      </c>
      <c r="G1515" s="1" t="s">
        <v>8079</v>
      </c>
      <c r="H1515" s="4">
        <v>0.77000000000000002</v>
      </c>
      <c r="I1515" s="4">
        <v>7</v>
      </c>
      <c r="J1515" s="5">
        <v>99</v>
      </c>
      <c r="K1515" s="4">
        <v>11</v>
      </c>
      <c r="L1515" s="1" t="s">
        <v>46</v>
      </c>
      <c r="M1515" s="1" t="s">
        <v>47</v>
      </c>
      <c r="N1515" s="1" t="s">
        <v>10206</v>
      </c>
      <c r="O1515" s="1" t="s">
        <v>48</v>
      </c>
      <c r="P1515" s="1" t="s">
        <v>10207</v>
      </c>
      <c r="Q1515" s="4">
        <v>1.3999999999999999</v>
      </c>
      <c r="R1515" s="4">
        <v>1.3999999999999999</v>
      </c>
      <c r="S1515" s="8">
        <v>4.2000000000000002</v>
      </c>
      <c r="T1515" s="1" t="s">
        <v>50</v>
      </c>
      <c r="U1515" s="1"/>
      <c r="V1515" s="1"/>
      <c r="W1515" s="1"/>
      <c r="X1515" s="5">
        <v>200</v>
      </c>
      <c r="Y1515" s="7">
        <v>9000000</v>
      </c>
      <c r="Z1515" s="1"/>
      <c r="AA1515" s="2">
        <f ca="1">DATE(2005,11,22)</f>
        <v>0</v>
      </c>
      <c r="AB1515" s="4">
        <v>85.984999999999999</v>
      </c>
      <c r="AC1515" s="3">
        <v>180</v>
      </c>
      <c r="AD1515" s="8">
        <v>55997683</v>
      </c>
      <c r="AE1515" s="1" t="s">
        <v>51</v>
      </c>
      <c r="AF1515" s="1" t="s">
        <v>51</v>
      </c>
      <c r="AG1515" s="1" t="s">
        <v>51</v>
      </c>
      <c r="AH1515" s="1"/>
      <c r="AI1515" s="1"/>
      <c r="AJ1515" s="3">
        <v>2</v>
      </c>
      <c r="AK1515" s="1" t="s">
        <v>89</v>
      </c>
      <c r="AL1515" s="3">
        <v>6</v>
      </c>
      <c r="AM1515" s="8">
        <v>11</v>
      </c>
      <c r="AN1515" s="1"/>
      <c r="AO1515" s="1" t="s">
        <v>10208</v>
      </c>
      <c r="AP1515" s="1" t="s">
        <v>8083</v>
      </c>
      <c r="AQ1515" s="1" t="s">
        <v>10209</v>
      </c>
      <c r="AR1515" s="1" t="s">
        <v>10210</v>
      </c>
    </row>
    <row r="1516">
      <c r="A1516" s="2">
        <f ca="1">DATE(2005,01,19)</f>
        <v>0</v>
      </c>
      <c r="B1516" s="2">
        <f ca="1">DATE(2005,06,02)</f>
        <v>0</v>
      </c>
      <c r="C1516" s="1" t="s">
        <v>10211</v>
      </c>
      <c r="D1516" s="3">
        <v>2834</v>
      </c>
      <c r="E1516" s="1" t="s">
        <v>43</v>
      </c>
      <c r="F1516" s="1" t="s">
        <v>10212</v>
      </c>
      <c r="G1516" s="1" t="s">
        <v>796</v>
      </c>
      <c r="H1516" s="4">
        <v>0.73499999999999999</v>
      </c>
      <c r="I1516" s="8">
        <v>7</v>
      </c>
      <c r="J1516" s="5">
        <v>52.5</v>
      </c>
      <c r="K1516" s="4">
        <v>10.5</v>
      </c>
      <c r="L1516" s="1" t="s">
        <v>46</v>
      </c>
      <c r="M1516" s="1" t="s">
        <v>47</v>
      </c>
      <c r="N1516" s="1" t="s">
        <v>10213</v>
      </c>
      <c r="O1516" s="1" t="s">
        <v>48</v>
      </c>
      <c r="P1516" s="1" t="s">
        <v>10214</v>
      </c>
      <c r="Q1516" s="4">
        <v>1.3999999999999999</v>
      </c>
      <c r="R1516" s="4">
        <v>1.3999999999999999</v>
      </c>
      <c r="S1516" s="8">
        <v>4.2000000000000002</v>
      </c>
      <c r="T1516" s="1" t="s">
        <v>50</v>
      </c>
      <c r="U1516" s="1"/>
      <c r="V1516" s="1"/>
      <c r="W1516" s="1"/>
      <c r="X1516" s="5">
        <v>86.299999999999997</v>
      </c>
      <c r="Y1516" s="7">
        <v>5000000</v>
      </c>
      <c r="Z1516" s="1"/>
      <c r="AA1516" s="2">
        <f ca="1">DATE(2005,11,29)</f>
        <v>0</v>
      </c>
      <c r="AB1516" s="4">
        <v>73.995000000000005</v>
      </c>
      <c r="AC1516" s="3">
        <v>180</v>
      </c>
      <c r="AD1516" s="8">
        <v>14227161</v>
      </c>
      <c r="AE1516" s="1" t="s">
        <v>51</v>
      </c>
      <c r="AF1516" s="1" t="s">
        <v>51</v>
      </c>
      <c r="AG1516" s="1" t="s">
        <v>47</v>
      </c>
      <c r="AH1516" s="1"/>
      <c r="AI1516" s="1"/>
      <c r="AJ1516" s="3">
        <v>1</v>
      </c>
      <c r="AK1516" s="1" t="s">
        <v>89</v>
      </c>
      <c r="AL1516" s="3">
        <v>4</v>
      </c>
      <c r="AM1516" s="8">
        <v>10.390000000000001</v>
      </c>
      <c r="AN1516" s="1"/>
      <c r="AO1516" s="1" t="s">
        <v>10215</v>
      </c>
      <c r="AP1516" s="1" t="s">
        <v>10216</v>
      </c>
      <c r="AQ1516" s="1" t="s">
        <v>10217</v>
      </c>
      <c r="AR1516" s="1" t="s">
        <v>10218</v>
      </c>
    </row>
    <row r="1517">
      <c r="A1517" s="2">
        <f ca="1">DATE(2005,05,16)</f>
        <v>0</v>
      </c>
      <c r="B1517" s="2">
        <f ca="1">DATE(2005,06,03)</f>
        <v>0</v>
      </c>
      <c r="C1517" s="1" t="s">
        <v>10219</v>
      </c>
      <c r="D1517" s="3">
        <v>4412</v>
      </c>
      <c r="E1517" s="1" t="s">
        <v>3764</v>
      </c>
      <c r="F1517" s="1" t="s">
        <v>10220</v>
      </c>
      <c r="G1517" s="1" t="s">
        <v>10221</v>
      </c>
      <c r="H1517" s="4">
        <v>0.81299999999999994</v>
      </c>
      <c r="I1517" s="4">
        <v>6.5</v>
      </c>
      <c r="J1517" s="5">
        <v>153</v>
      </c>
      <c r="K1517" s="4">
        <v>12.5</v>
      </c>
      <c r="L1517" s="1" t="s">
        <v>46</v>
      </c>
      <c r="M1517" s="1" t="s">
        <v>47</v>
      </c>
      <c r="N1517" s="1" t="s">
        <v>10222</v>
      </c>
      <c r="O1517" s="1" t="s">
        <v>48</v>
      </c>
      <c r="P1517" s="1" t="s">
        <v>10223</v>
      </c>
      <c r="Q1517" s="4">
        <v>1.3</v>
      </c>
      <c r="R1517" s="4">
        <v>1.3600000000000001</v>
      </c>
      <c r="S1517" s="8">
        <v>3.8399999999999999</v>
      </c>
      <c r="T1517" s="1" t="s">
        <v>50</v>
      </c>
      <c r="U1517" s="8">
        <v>16</v>
      </c>
      <c r="V1517" s="8">
        <v>14</v>
      </c>
      <c r="W1517" s="7">
        <v>15000000</v>
      </c>
      <c r="X1517" s="5">
        <v>225</v>
      </c>
      <c r="Y1517" s="7">
        <v>12240000</v>
      </c>
      <c r="Z1517" s="1"/>
      <c r="AA1517" s="1" t="s">
        <v>10224</v>
      </c>
      <c r="AB1517" s="1" t="s">
        <v>2067</v>
      </c>
      <c r="AC1517" s="1" t="s">
        <v>2068</v>
      </c>
      <c r="AD1517" s="1" t="s">
        <v>2067</v>
      </c>
      <c r="AE1517" s="1" t="s">
        <v>51</v>
      </c>
      <c r="AF1517" s="1" t="s">
        <v>51</v>
      </c>
      <c r="AG1517" s="1" t="s">
        <v>51</v>
      </c>
      <c r="AH1517" s="1"/>
      <c r="AI1517" s="1"/>
      <c r="AJ1517" s="3">
        <v>2</v>
      </c>
      <c r="AK1517" s="1" t="s">
        <v>89</v>
      </c>
      <c r="AL1517" s="3">
        <v>3</v>
      </c>
      <c r="AM1517" s="8">
        <v>12.970000000000001</v>
      </c>
      <c r="AN1517" s="1"/>
      <c r="AO1517" s="1" t="s">
        <v>10225</v>
      </c>
      <c r="AP1517" s="1" t="s">
        <v>10226</v>
      </c>
      <c r="AQ1517" s="1" t="s">
        <v>10227</v>
      </c>
      <c r="AR1517" s="1" t="s">
        <v>10228</v>
      </c>
    </row>
    <row r="1518">
      <c r="A1518" s="2">
        <f ca="1">DATE(2005,02,22)</f>
        <v>0</v>
      </c>
      <c r="B1518" s="2">
        <f ca="1">DATE(2005,06,08)</f>
        <v>0</v>
      </c>
      <c r="C1518" s="1" t="s">
        <v>10229</v>
      </c>
      <c r="D1518" s="3">
        <v>6799</v>
      </c>
      <c r="E1518" s="1" t="s">
        <v>43</v>
      </c>
      <c r="F1518" s="1" t="s">
        <v>10230</v>
      </c>
      <c r="G1518" s="1" t="s">
        <v>10231</v>
      </c>
      <c r="H1518" s="4">
        <v>0.91000000000000003</v>
      </c>
      <c r="I1518" s="4">
        <v>7</v>
      </c>
      <c r="J1518" s="5">
        <v>78</v>
      </c>
      <c r="K1518" s="4">
        <v>13</v>
      </c>
      <c r="L1518" s="1" t="s">
        <v>46</v>
      </c>
      <c r="M1518" s="1" t="s">
        <v>47</v>
      </c>
      <c r="N1518" s="3">
        <v>427096508</v>
      </c>
      <c r="O1518" s="1" t="s">
        <v>48</v>
      </c>
      <c r="P1518" s="1" t="s">
        <v>10232</v>
      </c>
      <c r="Q1518" s="4">
        <v>1.385</v>
      </c>
      <c r="R1518" s="4">
        <v>1.385</v>
      </c>
      <c r="S1518" s="6">
        <v>4.2307699999999997</v>
      </c>
      <c r="T1518" s="1" t="s">
        <v>50</v>
      </c>
      <c r="U1518" s="1"/>
      <c r="V1518" s="1"/>
      <c r="W1518" s="1"/>
      <c r="X1518" s="5">
        <v>60</v>
      </c>
      <c r="Y1518" s="7">
        <v>6000000</v>
      </c>
      <c r="Z1518" s="1"/>
      <c r="AA1518" s="1" t="s">
        <v>10233</v>
      </c>
      <c r="AB1518" s="1" t="s">
        <v>10234</v>
      </c>
      <c r="AC1518" s="1" t="s">
        <v>10235</v>
      </c>
      <c r="AD1518" s="1" t="s">
        <v>10236</v>
      </c>
      <c r="AE1518" s="1" t="s">
        <v>51</v>
      </c>
      <c r="AF1518" s="1" t="s">
        <v>51</v>
      </c>
      <c r="AG1518" s="1" t="s">
        <v>51</v>
      </c>
      <c r="AH1518" s="1"/>
      <c r="AI1518" s="1"/>
      <c r="AJ1518" s="3">
        <v>1</v>
      </c>
      <c r="AK1518" s="1" t="s">
        <v>52</v>
      </c>
      <c r="AL1518" s="3">
        <v>2</v>
      </c>
      <c r="AM1518" s="8">
        <v>12.960000000000001</v>
      </c>
      <c r="AN1518" s="1"/>
      <c r="AO1518" s="1" t="s">
        <v>10237</v>
      </c>
      <c r="AP1518" s="1" t="s">
        <v>10231</v>
      </c>
      <c r="AQ1518" s="1" t="s">
        <v>10238</v>
      </c>
      <c r="AR1518" s="1" t="s">
        <v>10239</v>
      </c>
    </row>
    <row r="1519">
      <c r="A1519" s="2">
        <f ca="1">DATE(2004,11,24)</f>
        <v>0</v>
      </c>
      <c r="B1519" s="2">
        <f ca="1">DATE(2005,06,08)</f>
        <v>0</v>
      </c>
      <c r="C1519" s="1" t="s">
        <v>10240</v>
      </c>
      <c r="D1519" s="3">
        <v>8082</v>
      </c>
      <c r="E1519" s="1" t="s">
        <v>43</v>
      </c>
      <c r="F1519" s="1" t="s">
        <v>10241</v>
      </c>
      <c r="G1519" s="1" t="s">
        <v>3766</v>
      </c>
      <c r="H1519" s="4">
        <v>0.97999999999999998</v>
      </c>
      <c r="I1519" s="8">
        <v>7</v>
      </c>
      <c r="J1519" s="5">
        <v>67.200000000000003</v>
      </c>
      <c r="K1519" s="4">
        <v>14</v>
      </c>
      <c r="L1519" s="1" t="s">
        <v>46</v>
      </c>
      <c r="M1519" s="1" t="s">
        <v>47</v>
      </c>
      <c r="N1519" s="1" t="s">
        <v>10242</v>
      </c>
      <c r="O1519" s="1" t="s">
        <v>48</v>
      </c>
      <c r="P1519" s="1" t="s">
        <v>10243</v>
      </c>
      <c r="Q1519" s="4">
        <v>1.4290000000000001</v>
      </c>
      <c r="R1519" s="4">
        <v>1.4290000000000001</v>
      </c>
      <c r="S1519" s="6">
        <v>4.1428599999999998</v>
      </c>
      <c r="T1519" s="1" t="s">
        <v>50</v>
      </c>
      <c r="U1519" s="1"/>
      <c r="V1519" s="1"/>
      <c r="W1519" s="1"/>
      <c r="X1519" s="5">
        <v>60</v>
      </c>
      <c r="Y1519" s="7">
        <v>3500000</v>
      </c>
      <c r="Z1519" s="7">
        <v>1300000</v>
      </c>
      <c r="AA1519" s="1" t="s">
        <v>10244</v>
      </c>
      <c r="AB1519" s="1" t="s">
        <v>10245</v>
      </c>
      <c r="AC1519" s="1" t="s">
        <v>10246</v>
      </c>
      <c r="AD1519" s="1" t="s">
        <v>10247</v>
      </c>
      <c r="AE1519" s="1" t="s">
        <v>51</v>
      </c>
      <c r="AF1519" s="1" t="s">
        <v>51</v>
      </c>
      <c r="AG1519" s="1" t="s">
        <v>47</v>
      </c>
      <c r="AH1519" s="1"/>
      <c r="AI1519" s="1"/>
      <c r="AJ1519" s="3">
        <v>1</v>
      </c>
      <c r="AK1519" s="1" t="s">
        <v>52</v>
      </c>
      <c r="AL1519" s="3">
        <v>2</v>
      </c>
      <c r="AM1519" s="8">
        <v>17.100000000000001</v>
      </c>
      <c r="AN1519" s="1"/>
      <c r="AO1519" s="1" t="s">
        <v>10248</v>
      </c>
      <c r="AP1519" s="1" t="s">
        <v>3766</v>
      </c>
      <c r="AQ1519" s="1" t="s">
        <v>10249</v>
      </c>
      <c r="AR1519" s="1" t="s">
        <v>10250</v>
      </c>
    </row>
    <row r="1520">
      <c r="A1520" s="2">
        <f ca="1">DATE(2005,02,04)</f>
        <v>0</v>
      </c>
      <c r="B1520" s="2">
        <f ca="1">DATE(2005,06,09)</f>
        <v>0</v>
      </c>
      <c r="C1520" s="1" t="s">
        <v>10251</v>
      </c>
      <c r="D1520" s="3">
        <v>3571</v>
      </c>
      <c r="E1520" s="1" t="s">
        <v>43</v>
      </c>
      <c r="F1520" s="1" t="s">
        <v>10252</v>
      </c>
      <c r="G1520" s="1" t="s">
        <v>789</v>
      </c>
      <c r="H1520" s="4">
        <v>0.83999999999999997</v>
      </c>
      <c r="I1520" s="8">
        <v>7</v>
      </c>
      <c r="J1520" s="5">
        <v>75</v>
      </c>
      <c r="K1520" s="4">
        <v>12</v>
      </c>
      <c r="L1520" s="1" t="s">
        <v>46</v>
      </c>
      <c r="M1520" s="1" t="s">
        <v>47</v>
      </c>
      <c r="N1520" s="3">
        <v>750077109</v>
      </c>
      <c r="O1520" s="1" t="s">
        <v>48</v>
      </c>
      <c r="P1520" s="1" t="s">
        <v>10253</v>
      </c>
      <c r="Q1520" s="4">
        <v>1.417</v>
      </c>
      <c r="R1520" s="4">
        <v>1.417</v>
      </c>
      <c r="S1520" s="6">
        <v>4.1666699999999999</v>
      </c>
      <c r="T1520" s="1" t="s">
        <v>50</v>
      </c>
      <c r="U1520" s="1"/>
      <c r="V1520" s="1"/>
      <c r="W1520" s="1"/>
      <c r="X1520" s="5">
        <v>85</v>
      </c>
      <c r="Y1520" s="7">
        <v>6250000</v>
      </c>
      <c r="Z1520" s="1"/>
      <c r="AA1520" s="2">
        <f ca="1">DATE(2005,12,06)</f>
        <v>0</v>
      </c>
      <c r="AB1520" s="4">
        <v>68.674000000000007</v>
      </c>
      <c r="AC1520" s="3">
        <v>180</v>
      </c>
      <c r="AD1520" s="8">
        <v>13753830</v>
      </c>
      <c r="AE1520" s="1" t="s">
        <v>51</v>
      </c>
      <c r="AF1520" s="1" t="s">
        <v>51</v>
      </c>
      <c r="AG1520" s="1" t="s">
        <v>51</v>
      </c>
      <c r="AH1520" s="1"/>
      <c r="AI1520" s="1"/>
      <c r="AJ1520" s="3">
        <v>1</v>
      </c>
      <c r="AK1520" s="1" t="s">
        <v>52</v>
      </c>
      <c r="AL1520" s="3">
        <v>4</v>
      </c>
      <c r="AM1520" s="8">
        <v>12.199999999999999</v>
      </c>
      <c r="AN1520" s="1"/>
      <c r="AO1520" s="1" t="s">
        <v>10254</v>
      </c>
      <c r="AP1520" s="1" t="s">
        <v>789</v>
      </c>
      <c r="AQ1520" s="1" t="s">
        <v>10255</v>
      </c>
      <c r="AR1520" s="1" t="s">
        <v>10253</v>
      </c>
    </row>
    <row r="1521">
      <c r="A1521" s="2">
        <f ca="1">DATE(2005,03,11)</f>
        <v>0</v>
      </c>
      <c r="B1521" s="2">
        <f ca="1">DATE(2005,06,13)</f>
        <v>0</v>
      </c>
      <c r="C1521" s="1" t="s">
        <v>10256</v>
      </c>
      <c r="D1521" s="3">
        <v>2011</v>
      </c>
      <c r="E1521" s="1" t="s">
        <v>43</v>
      </c>
      <c r="F1521" s="1" t="s">
        <v>10257</v>
      </c>
      <c r="G1521" s="1" t="s">
        <v>796</v>
      </c>
      <c r="H1521" s="4">
        <v>0.875</v>
      </c>
      <c r="I1521" s="4">
        <v>7</v>
      </c>
      <c r="J1521" s="5">
        <v>123</v>
      </c>
      <c r="K1521" s="4">
        <v>12.5</v>
      </c>
      <c r="L1521" s="1" t="s">
        <v>46</v>
      </c>
      <c r="M1521" s="1" t="s">
        <v>47</v>
      </c>
      <c r="N1521" s="1" t="s">
        <v>10258</v>
      </c>
      <c r="O1521" s="1" t="s">
        <v>48</v>
      </c>
      <c r="P1521" s="1" t="s">
        <v>10259</v>
      </c>
      <c r="Q1521" s="1" t="s">
        <v>145</v>
      </c>
      <c r="R1521" s="1" t="s">
        <v>145</v>
      </c>
      <c r="S1521" s="4">
        <v>4.5519999999999996</v>
      </c>
      <c r="T1521" s="1" t="s">
        <v>50</v>
      </c>
      <c r="U1521" s="1"/>
      <c r="V1521" s="1"/>
      <c r="W1521" s="1"/>
      <c r="X1521" s="5">
        <v>100</v>
      </c>
      <c r="Y1521" s="1"/>
      <c r="Z1521" s="7">
        <v>9842460</v>
      </c>
      <c r="AA1521" s="1" t="s">
        <v>10260</v>
      </c>
      <c r="AB1521" s="1" t="s">
        <v>10261</v>
      </c>
      <c r="AC1521" s="1" t="s">
        <v>7405</v>
      </c>
      <c r="AD1521" s="1" t="s">
        <v>10262</v>
      </c>
      <c r="AE1521" s="1" t="s">
        <v>51</v>
      </c>
      <c r="AF1521" s="1" t="s">
        <v>51</v>
      </c>
      <c r="AG1521" s="1" t="s">
        <v>51</v>
      </c>
      <c r="AH1521" s="1"/>
      <c r="AI1521" s="1"/>
      <c r="AJ1521" s="3">
        <v>1</v>
      </c>
      <c r="AK1521" s="1" t="s">
        <v>52</v>
      </c>
      <c r="AL1521" s="3">
        <v>4</v>
      </c>
      <c r="AM1521" s="8">
        <v>12.5</v>
      </c>
      <c r="AN1521" s="1"/>
      <c r="AO1521" s="1" t="s">
        <v>10263</v>
      </c>
      <c r="AP1521" s="1" t="s">
        <v>796</v>
      </c>
      <c r="AQ1521" s="1" t="s">
        <v>10264</v>
      </c>
      <c r="AR1521" s="1" t="s">
        <v>10265</v>
      </c>
    </row>
    <row r="1522">
      <c r="A1522" s="2">
        <f ca="1">DATE(2005,04,05)</f>
        <v>0</v>
      </c>
      <c r="B1522" s="2">
        <f ca="1">DATE(2005,06,16)</f>
        <v>0</v>
      </c>
      <c r="C1522" s="1" t="s">
        <v>10266</v>
      </c>
      <c r="D1522" s="3">
        <v>3841</v>
      </c>
      <c r="E1522" s="1" t="s">
        <v>43</v>
      </c>
      <c r="F1522" s="1" t="s">
        <v>10267</v>
      </c>
      <c r="G1522" s="1" t="s">
        <v>10268</v>
      </c>
      <c r="H1522" s="4">
        <v>0.69999999999999996</v>
      </c>
      <c r="I1522" s="4">
        <v>5</v>
      </c>
      <c r="J1522" s="5">
        <v>164.69999999999999</v>
      </c>
      <c r="K1522" s="4">
        <v>14</v>
      </c>
      <c r="L1522" s="1" t="s">
        <v>46</v>
      </c>
      <c r="M1522" s="1" t="s">
        <v>47</v>
      </c>
      <c r="N1522" s="1" t="s">
        <v>10269</v>
      </c>
      <c r="O1522" s="1" t="s">
        <v>48</v>
      </c>
      <c r="P1522" s="1" t="s">
        <v>10270</v>
      </c>
      <c r="Q1522" s="4">
        <v>1</v>
      </c>
      <c r="R1522" s="4">
        <v>1</v>
      </c>
      <c r="S1522" s="8">
        <v>3</v>
      </c>
      <c r="T1522" s="1" t="s">
        <v>50</v>
      </c>
      <c r="U1522" s="1"/>
      <c r="V1522" s="1"/>
      <c r="W1522" s="1"/>
      <c r="X1522" s="5">
        <v>230</v>
      </c>
      <c r="Y1522" s="7">
        <v>11765000</v>
      </c>
      <c r="Z1522" s="1"/>
      <c r="AA1522" s="2">
        <f ca="1">DATE(2005,12,13)</f>
        <v>0</v>
      </c>
      <c r="AB1522" s="4">
        <v>1.508</v>
      </c>
      <c r="AC1522" s="3">
        <v>180</v>
      </c>
      <c r="AD1522" s="8">
        <v>737647</v>
      </c>
      <c r="AE1522" s="1" t="s">
        <v>51</v>
      </c>
      <c r="AF1522" s="1" t="s">
        <v>51</v>
      </c>
      <c r="AG1522" s="1" t="s">
        <v>51</v>
      </c>
      <c r="AH1522" s="1"/>
      <c r="AI1522" s="1"/>
      <c r="AJ1522" s="3">
        <v>2</v>
      </c>
      <c r="AK1522" s="1" t="s">
        <v>89</v>
      </c>
      <c r="AL1522" s="3">
        <v>4</v>
      </c>
      <c r="AM1522" s="8">
        <v>14.15</v>
      </c>
      <c r="AN1522" s="1"/>
      <c r="AO1522" s="1" t="s">
        <v>10271</v>
      </c>
      <c r="AP1522" s="1" t="s">
        <v>10272</v>
      </c>
      <c r="AQ1522" s="1" t="s">
        <v>10273</v>
      </c>
      <c r="AR1522" s="1" t="s">
        <v>10270</v>
      </c>
    </row>
    <row r="1523">
      <c r="A1523" s="2">
        <f ca="1">DATE(2005,01,24)</f>
        <v>0</v>
      </c>
      <c r="B1523" s="2">
        <f ca="1">DATE(2005,06,16)</f>
        <v>0</v>
      </c>
      <c r="C1523" s="1" t="s">
        <v>10274</v>
      </c>
      <c r="D1523" s="3">
        <v>2836</v>
      </c>
      <c r="E1523" s="1" t="s">
        <v>10275</v>
      </c>
      <c r="F1523" s="1" t="s">
        <v>10276</v>
      </c>
      <c r="G1523" s="1" t="s">
        <v>10277</v>
      </c>
      <c r="H1523" s="4">
        <v>0.67500000000000004</v>
      </c>
      <c r="I1523" s="4">
        <v>7.5</v>
      </c>
      <c r="J1523" s="5">
        <v>21.600000000000001</v>
      </c>
      <c r="K1523" s="4">
        <v>9</v>
      </c>
      <c r="L1523" s="1" t="s">
        <v>651</v>
      </c>
      <c r="M1523" s="1" t="s">
        <v>47</v>
      </c>
      <c r="N1523" s="1" t="s">
        <v>10278</v>
      </c>
      <c r="O1523" s="1" t="s">
        <v>87</v>
      </c>
      <c r="P1523" s="1" t="s">
        <v>10279</v>
      </c>
      <c r="Q1523" s="1" t="s">
        <v>145</v>
      </c>
      <c r="R1523" s="1" t="s">
        <v>145</v>
      </c>
      <c r="S1523" s="8">
        <v>4</v>
      </c>
      <c r="T1523" s="1" t="s">
        <v>50</v>
      </c>
      <c r="U1523" s="8">
        <v>11</v>
      </c>
      <c r="V1523" s="8">
        <v>9</v>
      </c>
      <c r="W1523" s="7">
        <v>2700000</v>
      </c>
      <c r="X1523" s="5">
        <v>27</v>
      </c>
      <c r="Y1523" s="7">
        <v>2400000</v>
      </c>
      <c r="Z1523" s="1"/>
      <c r="AA1523" s="1" t="s">
        <v>10280</v>
      </c>
      <c r="AB1523" s="1" t="s">
        <v>10281</v>
      </c>
      <c r="AC1523" s="1" t="s">
        <v>10282</v>
      </c>
      <c r="AD1523" s="1" t="s">
        <v>10283</v>
      </c>
      <c r="AE1523" s="1" t="s">
        <v>47</v>
      </c>
      <c r="AF1523" s="1" t="s">
        <v>51</v>
      </c>
      <c r="AG1523" s="1" t="s">
        <v>51</v>
      </c>
      <c r="AH1523" s="1"/>
      <c r="AI1523" s="1"/>
      <c r="AJ1523" s="3">
        <v>1</v>
      </c>
      <c r="AK1523" s="1" t="s">
        <v>52</v>
      </c>
      <c r="AL1523" s="3">
        <v>2</v>
      </c>
      <c r="AM1523" s="8">
        <v>8.9000000000000004</v>
      </c>
      <c r="AN1523" s="1"/>
      <c r="AO1523" s="1" t="s">
        <v>10284</v>
      </c>
      <c r="AP1523" s="1" t="s">
        <v>10277</v>
      </c>
      <c r="AQ1523" s="1" t="s">
        <v>10285</v>
      </c>
      <c r="AR1523" s="1" t="s">
        <v>10286</v>
      </c>
    </row>
    <row r="1524">
      <c r="A1524" s="2">
        <f ca="1">DATE(2005,03,04)</f>
        <v>0</v>
      </c>
      <c r="B1524" s="2">
        <f ca="1">DATE(2005,06,16)</f>
        <v>0</v>
      </c>
      <c r="C1524" s="1" t="s">
        <v>10287</v>
      </c>
      <c r="D1524" s="3">
        <v>3841</v>
      </c>
      <c r="E1524" s="1" t="s">
        <v>43</v>
      </c>
      <c r="F1524" s="1" t="s">
        <v>10288</v>
      </c>
      <c r="G1524" s="1" t="s">
        <v>4145</v>
      </c>
      <c r="H1524" s="4">
        <v>0.77000000000000002</v>
      </c>
      <c r="I1524" s="4">
        <v>7</v>
      </c>
      <c r="J1524" s="5">
        <v>35.799999999999997</v>
      </c>
      <c r="K1524" s="4">
        <v>11</v>
      </c>
      <c r="L1524" s="1" t="s">
        <v>46</v>
      </c>
      <c r="M1524" s="1" t="s">
        <v>47</v>
      </c>
      <c r="N1524" s="1" t="s">
        <v>10289</v>
      </c>
      <c r="O1524" s="1" t="s">
        <v>48</v>
      </c>
      <c r="P1524" s="1" t="s">
        <v>10290</v>
      </c>
      <c r="Q1524" s="4">
        <v>1.1819999999999999</v>
      </c>
      <c r="R1524" s="4">
        <v>1.7270000000000001</v>
      </c>
      <c r="S1524" s="6">
        <v>4.09091</v>
      </c>
      <c r="T1524" s="1" t="s">
        <v>50</v>
      </c>
      <c r="U1524" s="1"/>
      <c r="V1524" s="1"/>
      <c r="W1524" s="1"/>
      <c r="X1524" s="5">
        <v>57.5</v>
      </c>
      <c r="Y1524" s="7">
        <v>3250000</v>
      </c>
      <c r="Z1524" s="1"/>
      <c r="AA1524" s="2">
        <f ca="1">DATE(2005,12,13)</f>
        <v>0</v>
      </c>
      <c r="AB1524" s="4">
        <v>49.683999999999998</v>
      </c>
      <c r="AC1524" s="3">
        <v>180</v>
      </c>
      <c r="AD1524" s="8">
        <v>6802246</v>
      </c>
      <c r="AE1524" s="1" t="s">
        <v>51</v>
      </c>
      <c r="AF1524" s="1" t="s">
        <v>51</v>
      </c>
      <c r="AG1524" s="1" t="s">
        <v>47</v>
      </c>
      <c r="AH1524" s="1"/>
      <c r="AI1524" s="1"/>
      <c r="AJ1524" s="3">
        <v>1</v>
      </c>
      <c r="AK1524" s="1" t="s">
        <v>52</v>
      </c>
      <c r="AL1524" s="3">
        <v>2</v>
      </c>
      <c r="AM1524" s="8">
        <v>11.01</v>
      </c>
      <c r="AN1524" s="1"/>
      <c r="AO1524" s="1" t="s">
        <v>10291</v>
      </c>
      <c r="AP1524" s="1" t="s">
        <v>4145</v>
      </c>
      <c r="AQ1524" s="1" t="s">
        <v>10292</v>
      </c>
      <c r="AR1524" s="1" t="s">
        <v>4150</v>
      </c>
    </row>
    <row r="1525">
      <c r="A1525" s="2">
        <f ca="1">DATE(2005,02,02)</f>
        <v>0</v>
      </c>
      <c r="B1525" s="2">
        <f ca="1">DATE(2005,06,20)</f>
        <v>0</v>
      </c>
      <c r="C1525" s="1" t="s">
        <v>10293</v>
      </c>
      <c r="D1525" s="3">
        <v>5984</v>
      </c>
      <c r="E1525" s="1" t="s">
        <v>43</v>
      </c>
      <c r="F1525" s="1" t="s">
        <v>10294</v>
      </c>
      <c r="G1525" s="1" t="s">
        <v>813</v>
      </c>
      <c r="H1525" s="4">
        <v>1.575</v>
      </c>
      <c r="I1525" s="8">
        <v>7</v>
      </c>
      <c r="J1525" s="5">
        <v>76.5</v>
      </c>
      <c r="K1525" s="4">
        <v>22.5</v>
      </c>
      <c r="L1525" s="1" t="s">
        <v>85</v>
      </c>
      <c r="M1525" s="1" t="s">
        <v>47</v>
      </c>
      <c r="N1525" s="1" t="s">
        <v>10295</v>
      </c>
      <c r="O1525" s="1" t="s">
        <v>48</v>
      </c>
      <c r="P1525" s="1" t="s">
        <v>10296</v>
      </c>
      <c r="Q1525" s="4">
        <v>1.3999999999999999</v>
      </c>
      <c r="R1525" s="4">
        <v>1.3999999999999999</v>
      </c>
      <c r="S1525" s="8">
        <v>4</v>
      </c>
      <c r="T1525" s="1" t="s">
        <v>50</v>
      </c>
      <c r="U1525" s="1"/>
      <c r="V1525" s="1"/>
      <c r="W1525" s="7">
        <v>3400000</v>
      </c>
      <c r="X1525" s="1"/>
      <c r="Y1525" s="7">
        <v>3400000</v>
      </c>
      <c r="Z1525" s="1"/>
      <c r="AA1525" s="2">
        <f ca="1">DATE(2005,12,17)</f>
        <v>0</v>
      </c>
      <c r="AB1525" s="1"/>
      <c r="AC1525" s="3">
        <v>180</v>
      </c>
      <c r="AD1525" s="1"/>
      <c r="AE1525" s="1" t="s">
        <v>51</v>
      </c>
      <c r="AF1525" s="1" t="s">
        <v>51</v>
      </c>
      <c r="AG1525" s="1" t="s">
        <v>51</v>
      </c>
      <c r="AH1525" s="1"/>
      <c r="AI1525" s="1"/>
      <c r="AJ1525" s="3">
        <v>1</v>
      </c>
      <c r="AK1525" s="1" t="s">
        <v>89</v>
      </c>
      <c r="AL1525" s="3">
        <v>4</v>
      </c>
      <c r="AM1525" s="8">
        <v>27.829999999999998</v>
      </c>
      <c r="AN1525" s="1"/>
      <c r="AO1525" s="1" t="s">
        <v>10297</v>
      </c>
      <c r="AP1525" s="1" t="s">
        <v>10298</v>
      </c>
      <c r="AQ1525" s="1" t="s">
        <v>10299</v>
      </c>
      <c r="AR1525" s="1" t="s">
        <v>10296</v>
      </c>
    </row>
    <row r="1526">
      <c r="A1526" s="2">
        <f ca="1">DATE(2004,12,02)</f>
        <v>0</v>
      </c>
      <c r="B1526" s="2">
        <f ca="1">DATE(2005,06,20)</f>
        <v>0</v>
      </c>
      <c r="C1526" s="1" t="s">
        <v>10300</v>
      </c>
      <c r="D1526" s="3">
        <v>2086</v>
      </c>
      <c r="E1526" s="1" t="s">
        <v>43</v>
      </c>
      <c r="F1526" s="1" t="s">
        <v>10301</v>
      </c>
      <c r="G1526" s="1" t="s">
        <v>1223</v>
      </c>
      <c r="H1526" s="4">
        <v>0.089999999999999997</v>
      </c>
      <c r="I1526" s="4">
        <v>9</v>
      </c>
      <c r="J1526" s="5">
        <v>2.7000000000000002</v>
      </c>
      <c r="K1526" s="4">
        <v>1</v>
      </c>
      <c r="L1526" s="1" t="s">
        <v>46</v>
      </c>
      <c r="M1526" s="1" t="s">
        <v>47</v>
      </c>
      <c r="N1526" s="1" t="s">
        <v>10302</v>
      </c>
      <c r="O1526" s="1" t="s">
        <v>77</v>
      </c>
      <c r="P1526" s="1" t="s">
        <v>3923</v>
      </c>
      <c r="Q1526" s="1" t="s">
        <v>145</v>
      </c>
      <c r="R1526" s="1" t="s">
        <v>145</v>
      </c>
      <c r="S1526" s="8">
        <v>6</v>
      </c>
      <c r="T1526" s="1" t="s">
        <v>50</v>
      </c>
      <c r="U1526" s="8">
        <v>6.5</v>
      </c>
      <c r="V1526" s="8">
        <v>5.5</v>
      </c>
      <c r="W1526" s="7">
        <v>1500000</v>
      </c>
      <c r="X1526" s="5">
        <v>9</v>
      </c>
      <c r="Y1526" s="7">
        <v>2700000</v>
      </c>
      <c r="Z1526" s="1"/>
      <c r="AA1526" s="1" t="s">
        <v>10303</v>
      </c>
      <c r="AB1526" s="1" t="s">
        <v>10304</v>
      </c>
      <c r="AC1526" s="1" t="s">
        <v>10305</v>
      </c>
      <c r="AD1526" s="1" t="s">
        <v>10306</v>
      </c>
      <c r="AE1526" s="1" t="s">
        <v>51</v>
      </c>
      <c r="AF1526" s="1" t="s">
        <v>51</v>
      </c>
      <c r="AG1526" s="1" t="s">
        <v>51</v>
      </c>
      <c r="AH1526" s="1"/>
      <c r="AI1526" s="1"/>
      <c r="AJ1526" s="3">
        <v>1</v>
      </c>
      <c r="AK1526" s="1" t="s">
        <v>52</v>
      </c>
      <c r="AL1526" s="3">
        <v>1</v>
      </c>
      <c r="AM1526" s="1"/>
      <c r="AN1526" s="1"/>
      <c r="AO1526" s="1" t="s">
        <v>1223</v>
      </c>
      <c r="AP1526" s="1" t="s">
        <v>1223</v>
      </c>
      <c r="AQ1526" s="1" t="s">
        <v>1223</v>
      </c>
      <c r="AR1526" s="1" t="s">
        <v>3923</v>
      </c>
    </row>
    <row r="1527">
      <c r="A1527" s="2">
        <f ca="1">DATE(2005,04,15)</f>
        <v>0</v>
      </c>
      <c r="B1527" s="2">
        <f ca="1">DATE(2005,06,22)</f>
        <v>0</v>
      </c>
      <c r="C1527" s="1" t="s">
        <v>10307</v>
      </c>
      <c r="D1527" s="3">
        <v>5912</v>
      </c>
      <c r="E1527" s="1" t="s">
        <v>43</v>
      </c>
      <c r="F1527" s="1" t="s">
        <v>10308</v>
      </c>
      <c r="G1527" s="1" t="s">
        <v>789</v>
      </c>
      <c r="H1527" s="4">
        <v>0.91000000000000003</v>
      </c>
      <c r="I1527" s="4">
        <v>7</v>
      </c>
      <c r="J1527" s="5">
        <v>52</v>
      </c>
      <c r="K1527" s="4">
        <v>13</v>
      </c>
      <c r="L1527" s="1" t="s">
        <v>46</v>
      </c>
      <c r="M1527" s="1" t="s">
        <v>47</v>
      </c>
      <c r="N1527" s="1" t="s">
        <v>10309</v>
      </c>
      <c r="O1527" s="1" t="s">
        <v>48</v>
      </c>
      <c r="P1527" s="1" t="s">
        <v>10310</v>
      </c>
      <c r="Q1527" s="4">
        <v>1.385</v>
      </c>
      <c r="R1527" s="4">
        <v>1.385</v>
      </c>
      <c r="S1527" s="6">
        <v>4.2307699999999997</v>
      </c>
      <c r="T1527" s="1" t="s">
        <v>50</v>
      </c>
      <c r="U1527" s="1"/>
      <c r="V1527" s="1"/>
      <c r="W1527" s="1"/>
      <c r="X1527" s="5">
        <v>57.5</v>
      </c>
      <c r="Y1527" s="7">
        <v>4000000</v>
      </c>
      <c r="Z1527" s="1"/>
      <c r="AA1527" s="2">
        <f ca="1">DATE(2005,12,19)</f>
        <v>0</v>
      </c>
      <c r="AB1527" s="4">
        <v>56.332999999999998</v>
      </c>
      <c r="AC1527" s="3">
        <v>180</v>
      </c>
      <c r="AD1527" s="8">
        <v>6700800</v>
      </c>
      <c r="AE1527" s="1" t="s">
        <v>51</v>
      </c>
      <c r="AF1527" s="1" t="s">
        <v>51</v>
      </c>
      <c r="AG1527" s="1" t="s">
        <v>47</v>
      </c>
      <c r="AH1527" s="1"/>
      <c r="AI1527" s="1"/>
      <c r="AJ1527" s="3">
        <v>1</v>
      </c>
      <c r="AK1527" s="1" t="s">
        <v>52</v>
      </c>
      <c r="AL1527" s="3">
        <v>3</v>
      </c>
      <c r="AM1527" s="8">
        <v>16.5</v>
      </c>
      <c r="AN1527" s="1"/>
      <c r="AO1527" s="1" t="s">
        <v>10311</v>
      </c>
      <c r="AP1527" s="1" t="s">
        <v>789</v>
      </c>
      <c r="AQ1527" s="1" t="s">
        <v>10312</v>
      </c>
      <c r="AR1527" s="1" t="s">
        <v>10310</v>
      </c>
    </row>
    <row r="1528">
      <c r="A1528" s="2">
        <f ca="1">DATE(2005,02,14)</f>
        <v>0</v>
      </c>
      <c r="B1528" s="2">
        <f ca="1">DATE(2005,06,22)</f>
        <v>0</v>
      </c>
      <c r="C1528" s="1" t="s">
        <v>10313</v>
      </c>
      <c r="D1528" s="3">
        <v>5211</v>
      </c>
      <c r="E1528" s="1" t="s">
        <v>43</v>
      </c>
      <c r="F1528" s="1" t="s">
        <v>10314</v>
      </c>
      <c r="G1528" s="1" t="s">
        <v>8732</v>
      </c>
      <c r="H1528" s="4">
        <v>1.1200000000000001</v>
      </c>
      <c r="I1528" s="4">
        <v>7</v>
      </c>
      <c r="J1528" s="5">
        <v>196</v>
      </c>
      <c r="K1528" s="4">
        <v>16</v>
      </c>
      <c r="L1528" s="1" t="s">
        <v>46</v>
      </c>
      <c r="M1528" s="1" t="s">
        <v>47</v>
      </c>
      <c r="N1528" s="1" t="s">
        <v>10315</v>
      </c>
      <c r="O1528" s="1" t="s">
        <v>48</v>
      </c>
      <c r="P1528" s="1" t="s">
        <v>10316</v>
      </c>
      <c r="Q1528" s="4">
        <v>1.4059999999999999</v>
      </c>
      <c r="R1528" s="4">
        <v>1.4059999999999999</v>
      </c>
      <c r="S1528" s="10">
        <v>4.1875</v>
      </c>
      <c r="T1528" s="1" t="s">
        <v>50</v>
      </c>
      <c r="U1528" s="1"/>
      <c r="V1528" s="1"/>
      <c r="W1528" s="1"/>
      <c r="X1528" s="5">
        <v>275</v>
      </c>
      <c r="Y1528" s="7">
        <v>7500000</v>
      </c>
      <c r="Z1528" s="7">
        <v>4750000</v>
      </c>
      <c r="AA1528" s="1" t="s">
        <v>10317</v>
      </c>
      <c r="AB1528" s="1" t="s">
        <v>10318</v>
      </c>
      <c r="AC1528" s="1" t="s">
        <v>2068</v>
      </c>
      <c r="AD1528" s="1" t="s">
        <v>10319</v>
      </c>
      <c r="AE1528" s="1" t="s">
        <v>51</v>
      </c>
      <c r="AF1528" s="1" t="s">
        <v>51</v>
      </c>
      <c r="AG1528" s="1" t="s">
        <v>51</v>
      </c>
      <c r="AH1528" s="1"/>
      <c r="AI1528" s="1"/>
      <c r="AJ1528" s="3">
        <v>2</v>
      </c>
      <c r="AK1528" s="1" t="s">
        <v>89</v>
      </c>
      <c r="AL1528" s="3">
        <v>5</v>
      </c>
      <c r="AM1528" s="1"/>
      <c r="AN1528" s="1"/>
      <c r="AO1528" s="1" t="s">
        <v>10320</v>
      </c>
      <c r="AP1528" s="1" t="s">
        <v>8737</v>
      </c>
      <c r="AQ1528" s="1" t="s">
        <v>10321</v>
      </c>
      <c r="AR1528" s="1" t="s">
        <v>10322</v>
      </c>
    </row>
    <row r="1529">
      <c r="A1529" s="2">
        <f ca="1">DATE(2005,03,31)</f>
        <v>0</v>
      </c>
      <c r="B1529" s="2">
        <f ca="1">DATE(2005,06,22)</f>
        <v>0</v>
      </c>
      <c r="C1529" s="1" t="s">
        <v>10323</v>
      </c>
      <c r="D1529" s="3">
        <v>6282</v>
      </c>
      <c r="E1529" s="1" t="s">
        <v>43</v>
      </c>
      <c r="F1529" s="1" t="s">
        <v>10324</v>
      </c>
      <c r="G1529" s="1" t="s">
        <v>10325</v>
      </c>
      <c r="H1529" s="4">
        <v>1.05</v>
      </c>
      <c r="I1529" s="4">
        <v>7</v>
      </c>
      <c r="J1529" s="5">
        <v>216</v>
      </c>
      <c r="K1529" s="4">
        <v>15</v>
      </c>
      <c r="L1529" s="1" t="s">
        <v>46</v>
      </c>
      <c r="M1529" s="1" t="s">
        <v>47</v>
      </c>
      <c r="N1529" s="3">
        <v>376546107</v>
      </c>
      <c r="O1529" s="1" t="s">
        <v>48</v>
      </c>
      <c r="P1529" s="1" t="s">
        <v>10326</v>
      </c>
      <c r="Q1529" s="4">
        <v>1.3999999999999999</v>
      </c>
      <c r="R1529" s="4">
        <v>1.3999999999999999</v>
      </c>
      <c r="S1529" s="8">
        <v>4.2000000000000002</v>
      </c>
      <c r="T1529" s="1" t="s">
        <v>50</v>
      </c>
      <c r="U1529" s="8">
        <v>15</v>
      </c>
      <c r="V1529" s="8">
        <v>15</v>
      </c>
      <c r="W1529" s="7">
        <v>12000000</v>
      </c>
      <c r="X1529" s="5">
        <v>180</v>
      </c>
      <c r="Y1529" s="7">
        <v>14400000</v>
      </c>
      <c r="Z1529" s="1"/>
      <c r="AA1529" s="1" t="s">
        <v>10317</v>
      </c>
      <c r="AB1529" s="1" t="s">
        <v>2067</v>
      </c>
      <c r="AC1529" s="1" t="s">
        <v>2068</v>
      </c>
      <c r="AD1529" s="1" t="s">
        <v>2067</v>
      </c>
      <c r="AE1529" s="1" t="s">
        <v>51</v>
      </c>
      <c r="AF1529" s="1" t="s">
        <v>51</v>
      </c>
      <c r="AG1529" s="1" t="s">
        <v>51</v>
      </c>
      <c r="AH1529" s="1"/>
      <c r="AI1529" s="1"/>
      <c r="AJ1529" s="3">
        <v>2</v>
      </c>
      <c r="AK1529" s="1" t="s">
        <v>89</v>
      </c>
      <c r="AL1529" s="3">
        <v>8</v>
      </c>
      <c r="AM1529" s="8">
        <v>15.039999999999999</v>
      </c>
      <c r="AN1529" s="1"/>
      <c r="AO1529" s="1" t="s">
        <v>10327</v>
      </c>
      <c r="AP1529" s="1" t="s">
        <v>6367</v>
      </c>
      <c r="AQ1529" s="1" t="s">
        <v>10328</v>
      </c>
      <c r="AR1529" s="1" t="s">
        <v>10329</v>
      </c>
    </row>
    <row r="1530">
      <c r="A1530" s="2">
        <f ca="1">DATE(2005,03,29)</f>
        <v>0</v>
      </c>
      <c r="B1530" s="2">
        <f ca="1">DATE(2005,06,22)</f>
        <v>0</v>
      </c>
      <c r="C1530" s="1" t="s">
        <v>10330</v>
      </c>
      <c r="D1530" s="3">
        <v>8299</v>
      </c>
      <c r="E1530" s="1" t="s">
        <v>43</v>
      </c>
      <c r="F1530" s="1" t="s">
        <v>10331</v>
      </c>
      <c r="G1530" s="1" t="s">
        <v>45</v>
      </c>
      <c r="H1530" s="4">
        <v>1.3999999999999999</v>
      </c>
      <c r="I1530" s="8">
        <v>7</v>
      </c>
      <c r="J1530" s="5">
        <v>80</v>
      </c>
      <c r="K1530" s="4">
        <v>20</v>
      </c>
      <c r="L1530" s="1" t="s">
        <v>46</v>
      </c>
      <c r="M1530" s="1" t="s">
        <v>47</v>
      </c>
      <c r="N1530" s="3">
        <v>533535100</v>
      </c>
      <c r="O1530" s="1" t="s">
        <v>48</v>
      </c>
      <c r="P1530" s="1" t="s">
        <v>10332</v>
      </c>
      <c r="Q1530" s="4">
        <v>1.3999999999999999</v>
      </c>
      <c r="R1530" s="4">
        <v>1.3999999999999999</v>
      </c>
      <c r="S1530" s="8">
        <v>4.2000000000000002</v>
      </c>
      <c r="T1530" s="1" t="s">
        <v>50</v>
      </c>
      <c r="U1530" s="1"/>
      <c r="V1530" s="1"/>
      <c r="W1530" s="7">
        <v>4000000</v>
      </c>
      <c r="X1530" s="5">
        <v>143.80000000000001</v>
      </c>
      <c r="Y1530" s="7">
        <v>3000000</v>
      </c>
      <c r="Z1530" s="7">
        <v>1000000</v>
      </c>
      <c r="AA1530" s="1" t="s">
        <v>10333</v>
      </c>
      <c r="AB1530" s="1" t="s">
        <v>10334</v>
      </c>
      <c r="AC1530" s="1" t="s">
        <v>7759</v>
      </c>
      <c r="AD1530" s="1" t="s">
        <v>10335</v>
      </c>
      <c r="AE1530" s="1" t="s">
        <v>51</v>
      </c>
      <c r="AF1530" s="1" t="s">
        <v>51</v>
      </c>
      <c r="AG1530" s="1" t="s">
        <v>51</v>
      </c>
      <c r="AH1530" s="1"/>
      <c r="AI1530" s="1"/>
      <c r="AJ1530" s="3">
        <v>1</v>
      </c>
      <c r="AK1530" s="1" t="s">
        <v>52</v>
      </c>
      <c r="AL1530" s="3">
        <v>6</v>
      </c>
      <c r="AM1530" s="8">
        <v>20.170000000000002</v>
      </c>
      <c r="AN1530" s="1"/>
      <c r="AO1530" s="1" t="s">
        <v>10336</v>
      </c>
      <c r="AP1530" s="1" t="s">
        <v>45</v>
      </c>
      <c r="AQ1530" s="1" t="s">
        <v>10337</v>
      </c>
      <c r="AR1530" s="1" t="s">
        <v>10338</v>
      </c>
    </row>
    <row r="1531">
      <c r="A1531" s="2">
        <f ca="1">DATE(2005,04,04)</f>
        <v>0</v>
      </c>
      <c r="B1531" s="2">
        <f ca="1">DATE(2005,06,22)</f>
        <v>0</v>
      </c>
      <c r="C1531" s="1" t="s">
        <v>10339</v>
      </c>
      <c r="D1531" s="3">
        <v>4412</v>
      </c>
      <c r="E1531" s="1" t="s">
        <v>43</v>
      </c>
      <c r="F1531" s="1" t="s">
        <v>10340</v>
      </c>
      <c r="G1531" s="1" t="s">
        <v>10341</v>
      </c>
      <c r="H1531" s="4">
        <v>0.94499999999999995</v>
      </c>
      <c r="I1531" s="8">
        <v>6.75</v>
      </c>
      <c r="J1531" s="5">
        <v>201.59999999999999</v>
      </c>
      <c r="K1531" s="4">
        <v>14</v>
      </c>
      <c r="L1531" s="1" t="s">
        <v>46</v>
      </c>
      <c r="M1531" s="1" t="s">
        <v>47</v>
      </c>
      <c r="N1531" s="1" t="s">
        <v>10342</v>
      </c>
      <c r="O1531" s="1" t="s">
        <v>48</v>
      </c>
      <c r="P1531" s="1" t="s">
        <v>10343</v>
      </c>
      <c r="Q1531" s="4">
        <v>0.92500000000000004</v>
      </c>
      <c r="R1531" s="4">
        <v>0.92500000000000004</v>
      </c>
      <c r="S1531" s="8">
        <v>4</v>
      </c>
      <c r="T1531" s="1" t="s">
        <v>50</v>
      </c>
      <c r="U1531" s="1"/>
      <c r="V1531" s="1"/>
      <c r="W1531" s="1"/>
      <c r="X1531" s="5">
        <v>250</v>
      </c>
      <c r="Y1531" s="7">
        <v>14400000</v>
      </c>
      <c r="Z1531" s="1"/>
      <c r="AA1531" s="2">
        <f ca="1">DATE(2005,12,19)</f>
        <v>0</v>
      </c>
      <c r="AB1531" s="1"/>
      <c r="AC1531" s="3">
        <v>180</v>
      </c>
      <c r="AD1531" s="1"/>
      <c r="AE1531" s="1" t="s">
        <v>51</v>
      </c>
      <c r="AF1531" s="1" t="s">
        <v>51</v>
      </c>
      <c r="AG1531" s="1" t="s">
        <v>51</v>
      </c>
      <c r="AH1531" s="1"/>
      <c r="AI1531" s="1"/>
      <c r="AJ1531" s="3">
        <v>3</v>
      </c>
      <c r="AK1531" s="1" t="s">
        <v>110</v>
      </c>
      <c r="AL1531" s="3">
        <v>4</v>
      </c>
      <c r="AM1531" s="8">
        <v>13.5</v>
      </c>
      <c r="AN1531" s="1"/>
      <c r="AO1531" s="1" t="s">
        <v>10344</v>
      </c>
      <c r="AP1531" s="1" t="s">
        <v>10345</v>
      </c>
      <c r="AQ1531" s="1" t="s">
        <v>10346</v>
      </c>
      <c r="AR1531" s="1" t="s">
        <v>10347</v>
      </c>
    </row>
    <row r="1532">
      <c r="A1532" s="2">
        <f ca="1">DATE(2005,04,15)</f>
        <v>0</v>
      </c>
      <c r="B1532" s="2">
        <f ca="1">DATE(2005,06,23)</f>
        <v>0</v>
      </c>
      <c r="C1532" s="1" t="s">
        <v>10348</v>
      </c>
      <c r="D1532" s="3">
        <v>6798</v>
      </c>
      <c r="E1532" s="1" t="s">
        <v>43</v>
      </c>
      <c r="F1532" s="1" t="s">
        <v>10349</v>
      </c>
      <c r="G1532" s="1" t="s">
        <v>10350</v>
      </c>
      <c r="H1532" s="4">
        <v>1.26</v>
      </c>
      <c r="I1532" s="4">
        <v>5.25</v>
      </c>
      <c r="J1532" s="5">
        <v>800</v>
      </c>
      <c r="K1532" s="4">
        <v>24</v>
      </c>
      <c r="L1532" s="1" t="s">
        <v>46</v>
      </c>
      <c r="M1532" s="1" t="s">
        <v>47</v>
      </c>
      <c r="N1532" s="3">
        <v>482476108</v>
      </c>
      <c r="O1532" s="1" t="s">
        <v>108</v>
      </c>
      <c r="P1532" s="1" t="s">
        <v>10351</v>
      </c>
      <c r="Q1532" s="4">
        <v>1.25</v>
      </c>
      <c r="R1532" s="4">
        <v>0.75</v>
      </c>
      <c r="S1532" s="8">
        <v>3.25</v>
      </c>
      <c r="T1532" s="1" t="s">
        <v>50</v>
      </c>
      <c r="U1532" s="1"/>
      <c r="V1532" s="1"/>
      <c r="W1532" s="1"/>
      <c r="X1532" s="5">
        <v>800</v>
      </c>
      <c r="Y1532" s="7">
        <v>33304584</v>
      </c>
      <c r="Z1532" s="7">
        <v>28750</v>
      </c>
      <c r="AA1532" s="2">
        <f ca="1">DATE(2005,12,20)</f>
        <v>0</v>
      </c>
      <c r="AB1532" s="1"/>
      <c r="AC1532" s="3">
        <v>180</v>
      </c>
      <c r="AD1532" s="1"/>
      <c r="AE1532" s="1" t="s">
        <v>51</v>
      </c>
      <c r="AF1532" s="1" t="s">
        <v>51</v>
      </c>
      <c r="AG1532" s="1" t="s">
        <v>51</v>
      </c>
      <c r="AH1532" s="1"/>
      <c r="AI1532" s="1"/>
      <c r="AJ1532" s="3">
        <v>6</v>
      </c>
      <c r="AK1532" s="1" t="s">
        <v>8132</v>
      </c>
      <c r="AL1532" s="3">
        <v>9</v>
      </c>
      <c r="AM1532" s="5">
        <v>24.5</v>
      </c>
      <c r="AN1532" s="8">
        <v>24.75</v>
      </c>
      <c r="AO1532" s="1" t="s">
        <v>10352</v>
      </c>
      <c r="AP1532" s="1" t="s">
        <v>10353</v>
      </c>
      <c r="AQ1532" s="1" t="s">
        <v>10354</v>
      </c>
      <c r="AR1532" s="1" t="s">
        <v>10355</v>
      </c>
    </row>
    <row r="1533">
      <c r="A1533" s="2">
        <f ca="1">DATE(2005,04,12)</f>
        <v>0</v>
      </c>
      <c r="B1533" s="2">
        <f ca="1">DATE(2005,06,24)</f>
        <v>0</v>
      </c>
      <c r="C1533" s="1" t="s">
        <v>10356</v>
      </c>
      <c r="D1533" s="3">
        <v>7372</v>
      </c>
      <c r="E1533" s="1" t="s">
        <v>43</v>
      </c>
      <c r="F1533" s="1" t="s">
        <v>10357</v>
      </c>
      <c r="G1533" s="1" t="s">
        <v>75</v>
      </c>
      <c r="H1533" s="4">
        <v>0.83999999999999997</v>
      </c>
      <c r="I1533" s="8">
        <v>7</v>
      </c>
      <c r="J1533" s="5">
        <v>60</v>
      </c>
      <c r="K1533" s="4">
        <v>12</v>
      </c>
      <c r="L1533" s="1" t="s">
        <v>46</v>
      </c>
      <c r="M1533" s="1" t="s">
        <v>47</v>
      </c>
      <c r="N1533" s="3">
        <v>488879107</v>
      </c>
      <c r="O1533" s="1" t="s">
        <v>48</v>
      </c>
      <c r="P1533" s="1" t="s">
        <v>10358</v>
      </c>
      <c r="Q1533" s="4">
        <v>1.417</v>
      </c>
      <c r="R1533" s="4">
        <v>1.417</v>
      </c>
      <c r="S1533" s="6">
        <v>4.1666699999999999</v>
      </c>
      <c r="T1533" s="1" t="s">
        <v>50</v>
      </c>
      <c r="U1533" s="1"/>
      <c r="V1533" s="1"/>
      <c r="W1533" s="1"/>
      <c r="X1533" s="5">
        <v>86.299999999999997</v>
      </c>
      <c r="Y1533" s="7">
        <v>5000000</v>
      </c>
      <c r="Z1533" s="1"/>
      <c r="AA1533" s="2">
        <f ca="1">DATE(2005,12,21)</f>
        <v>0</v>
      </c>
      <c r="AB1533" s="4">
        <v>75.790999999999997</v>
      </c>
      <c r="AC1533" s="3">
        <v>180</v>
      </c>
      <c r="AD1533" s="8">
        <v>12653008</v>
      </c>
      <c r="AE1533" s="1" t="s">
        <v>51</v>
      </c>
      <c r="AF1533" s="1" t="s">
        <v>51</v>
      </c>
      <c r="AG1533" s="1" t="s">
        <v>51</v>
      </c>
      <c r="AH1533" s="1"/>
      <c r="AI1533" s="1"/>
      <c r="AJ1533" s="3">
        <v>1</v>
      </c>
      <c r="AK1533" s="1" t="s">
        <v>52</v>
      </c>
      <c r="AL1533" s="3">
        <v>3</v>
      </c>
      <c r="AM1533" s="8">
        <v>12.050000000000001</v>
      </c>
      <c r="AN1533" s="1"/>
      <c r="AO1533" s="1" t="s">
        <v>10359</v>
      </c>
      <c r="AP1533" s="1" t="s">
        <v>75</v>
      </c>
      <c r="AQ1533" s="1" t="s">
        <v>10360</v>
      </c>
      <c r="AR1533" s="1" t="s">
        <v>10361</v>
      </c>
    </row>
    <row r="1534">
      <c r="A1534" s="2">
        <f ca="1">DATE(2005,03,07)</f>
        <v>0</v>
      </c>
      <c r="B1534" s="2">
        <f ca="1">DATE(2005,06,24)</f>
        <v>0</v>
      </c>
      <c r="C1534" s="1" t="s">
        <v>10362</v>
      </c>
      <c r="D1534" s="3">
        <v>4412</v>
      </c>
      <c r="E1534" s="1" t="s">
        <v>517</v>
      </c>
      <c r="F1534" s="1" t="s">
        <v>10363</v>
      </c>
      <c r="G1534" s="1" t="s">
        <v>10364</v>
      </c>
      <c r="H1534" s="4">
        <v>0.69999999999999996</v>
      </c>
      <c r="I1534" s="8">
        <v>7</v>
      </c>
      <c r="J1534" s="5">
        <v>81.599999999999994</v>
      </c>
      <c r="K1534" s="4">
        <v>10</v>
      </c>
      <c r="L1534" s="1" t="s">
        <v>152</v>
      </c>
      <c r="M1534" s="1" t="s">
        <v>47</v>
      </c>
      <c r="N1534" s="1" t="s">
        <v>10365</v>
      </c>
      <c r="O1534" s="1" t="s">
        <v>48</v>
      </c>
      <c r="P1534" s="1" t="s">
        <v>10366</v>
      </c>
      <c r="Q1534" s="4">
        <v>1.3999999999999999</v>
      </c>
      <c r="R1534" s="4">
        <v>1.8999999999999999</v>
      </c>
      <c r="S1534" s="8">
        <v>3.7000000000000002</v>
      </c>
      <c r="T1534" s="1" t="s">
        <v>50</v>
      </c>
      <c r="U1534" s="1"/>
      <c r="V1534" s="1"/>
      <c r="W1534" s="1"/>
      <c r="X1534" s="5">
        <v>125</v>
      </c>
      <c r="Y1534" s="7">
        <v>7000000</v>
      </c>
      <c r="Z1534" s="7">
        <v>1160000</v>
      </c>
      <c r="AA1534" s="2">
        <f ca="1">DATE(2005,12,21)</f>
        <v>0</v>
      </c>
      <c r="AB1534" s="4">
        <v>100</v>
      </c>
      <c r="AC1534" s="3">
        <v>180</v>
      </c>
      <c r="AD1534" s="8">
        <v>27694957</v>
      </c>
      <c r="AE1534" s="1" t="s">
        <v>51</v>
      </c>
      <c r="AF1534" s="1" t="s">
        <v>51</v>
      </c>
      <c r="AG1534" s="1" t="s">
        <v>51</v>
      </c>
      <c r="AH1534" s="1"/>
      <c r="AI1534" s="1"/>
      <c r="AJ1534" s="3">
        <v>2</v>
      </c>
      <c r="AK1534" s="1" t="s">
        <v>89</v>
      </c>
      <c r="AL1534" s="3">
        <v>2</v>
      </c>
      <c r="AM1534" s="1"/>
      <c r="AN1534" s="1"/>
      <c r="AO1534" s="1" t="s">
        <v>10367</v>
      </c>
      <c r="AP1534" s="1" t="s">
        <v>10368</v>
      </c>
      <c r="AQ1534" s="1" t="s">
        <v>10369</v>
      </c>
      <c r="AR1534" s="1" t="s">
        <v>10370</v>
      </c>
    </row>
    <row r="1535">
      <c r="A1535" s="2">
        <f ca="1">DATE(2005,04,01)</f>
        <v>0</v>
      </c>
      <c r="B1535" s="2">
        <f ca="1">DATE(2005,06,27)</f>
        <v>0</v>
      </c>
      <c r="C1535" s="1" t="s">
        <v>10371</v>
      </c>
      <c r="D1535" s="3">
        <v>6726</v>
      </c>
      <c r="E1535" s="1" t="s">
        <v>43</v>
      </c>
      <c r="F1535" s="1" t="s">
        <v>10372</v>
      </c>
      <c r="G1535" s="1" t="s">
        <v>45</v>
      </c>
      <c r="H1535" s="4">
        <v>0.90000000000000002</v>
      </c>
      <c r="I1535" s="4">
        <v>4.5</v>
      </c>
      <c r="J1535" s="9">
        <v>1110</v>
      </c>
      <c r="K1535" s="4">
        <v>20</v>
      </c>
      <c r="L1535" s="1" t="s">
        <v>4422</v>
      </c>
      <c r="M1535" s="1" t="s">
        <v>47</v>
      </c>
      <c r="N1535" s="1" t="s">
        <v>10373</v>
      </c>
      <c r="O1535" s="1" t="s">
        <v>108</v>
      </c>
      <c r="P1535" s="1" t="s">
        <v>10374</v>
      </c>
      <c r="Q1535" s="1" t="s">
        <v>145</v>
      </c>
      <c r="R1535" s="1" t="s">
        <v>145</v>
      </c>
      <c r="S1535" s="8">
        <v>3</v>
      </c>
      <c r="T1535" s="1" t="s">
        <v>50</v>
      </c>
      <c r="U1535" s="8">
        <v>20</v>
      </c>
      <c r="V1535" s="8">
        <v>20</v>
      </c>
      <c r="W1535" s="7">
        <v>50000</v>
      </c>
      <c r="X1535" s="5">
        <v>1</v>
      </c>
      <c r="Y1535" s="7">
        <v>55500000</v>
      </c>
      <c r="Z1535" s="1"/>
      <c r="AA1535" s="2">
        <f ca="1">DATE(2005,12,24)</f>
        <v>0</v>
      </c>
      <c r="AB1535" s="1"/>
      <c r="AC1535" s="3">
        <v>180</v>
      </c>
      <c r="AD1535" s="1"/>
      <c r="AE1535" s="1" t="s">
        <v>51</v>
      </c>
      <c r="AF1535" s="1" t="s">
        <v>51</v>
      </c>
      <c r="AG1535" s="1" t="s">
        <v>51</v>
      </c>
      <c r="AH1535" s="1"/>
      <c r="AI1535" s="1"/>
      <c r="AJ1535" s="3">
        <v>1</v>
      </c>
      <c r="AK1535" s="1" t="s">
        <v>52</v>
      </c>
      <c r="AL1535" s="3">
        <v>20</v>
      </c>
      <c r="AM1535" s="8">
        <v>20</v>
      </c>
      <c r="AN1535" s="1"/>
      <c r="AO1535" s="1" t="s">
        <v>10375</v>
      </c>
      <c r="AP1535" s="1" t="s">
        <v>45</v>
      </c>
      <c r="AQ1535" s="1" t="s">
        <v>10376</v>
      </c>
      <c r="AR1535" s="1" t="s">
        <v>10377</v>
      </c>
    </row>
    <row r="1536">
      <c r="A1536" s="2">
        <f ca="1">DATE(2005,04,18)</f>
        <v>0</v>
      </c>
      <c r="B1536" s="2">
        <f ca="1">DATE(2005,06,27)</f>
        <v>0</v>
      </c>
      <c r="C1536" s="1" t="s">
        <v>10378</v>
      </c>
      <c r="D1536" s="3">
        <v>6726</v>
      </c>
      <c r="E1536" s="1" t="s">
        <v>43</v>
      </c>
      <c r="F1536" s="1" t="s">
        <v>10379</v>
      </c>
      <c r="G1536" s="1" t="s">
        <v>45</v>
      </c>
      <c r="H1536" s="4">
        <v>0.90000000000000002</v>
      </c>
      <c r="I1536" s="4">
        <v>4.5</v>
      </c>
      <c r="J1536" s="5">
        <v>320</v>
      </c>
      <c r="K1536" s="4">
        <v>20</v>
      </c>
      <c r="L1536" s="1" t="s">
        <v>46</v>
      </c>
      <c r="M1536" s="1" t="s">
        <v>47</v>
      </c>
      <c r="N1536" s="1" t="s">
        <v>10380</v>
      </c>
      <c r="O1536" s="1" t="s">
        <v>108</v>
      </c>
      <c r="P1536" s="1" t="s">
        <v>10381</v>
      </c>
      <c r="Q1536" s="4">
        <v>1</v>
      </c>
      <c r="R1536" s="4">
        <v>0.5</v>
      </c>
      <c r="S1536" s="8">
        <v>3</v>
      </c>
      <c r="T1536" s="1" t="s">
        <v>50</v>
      </c>
      <c r="U1536" s="8">
        <v>20</v>
      </c>
      <c r="V1536" s="8">
        <v>20</v>
      </c>
      <c r="W1536" s="7">
        <v>20000000</v>
      </c>
      <c r="X1536" s="5">
        <v>400</v>
      </c>
      <c r="Y1536" s="7">
        <v>16000000</v>
      </c>
      <c r="Z1536" s="1"/>
      <c r="AA1536" s="1"/>
      <c r="AB1536" s="1"/>
      <c r="AC1536" s="1"/>
      <c r="AD1536" s="1"/>
      <c r="AE1536" s="1" t="s">
        <v>51</v>
      </c>
      <c r="AF1536" s="1" t="s">
        <v>51</v>
      </c>
      <c r="AG1536" s="1" t="s">
        <v>51</v>
      </c>
      <c r="AH1536" s="1"/>
      <c r="AI1536" s="1"/>
      <c r="AJ1536" s="3">
        <v>1</v>
      </c>
      <c r="AK1536" s="1" t="s">
        <v>52</v>
      </c>
      <c r="AL1536" s="3">
        <v>5</v>
      </c>
      <c r="AM1536" s="8">
        <v>20</v>
      </c>
      <c r="AN1536" s="1"/>
      <c r="AO1536" s="1" t="s">
        <v>10382</v>
      </c>
      <c r="AP1536" s="1" t="s">
        <v>45</v>
      </c>
      <c r="AQ1536" s="1" t="s">
        <v>10383</v>
      </c>
      <c r="AR1536" s="1" t="s">
        <v>10384</v>
      </c>
    </row>
    <row r="1537">
      <c r="A1537" s="2">
        <f ca="1">DATE(2005,04,11)</f>
        <v>0</v>
      </c>
      <c r="B1537" s="2">
        <f ca="1">DATE(2005,06,27)</f>
        <v>0</v>
      </c>
      <c r="C1537" s="1" t="s">
        <v>10385</v>
      </c>
      <c r="D1537" s="3">
        <v>6726</v>
      </c>
      <c r="E1537" s="1" t="s">
        <v>43</v>
      </c>
      <c r="F1537" s="1" t="s">
        <v>10386</v>
      </c>
      <c r="G1537" s="1" t="s">
        <v>6201</v>
      </c>
      <c r="H1537" s="4">
        <v>1.125</v>
      </c>
      <c r="I1537" s="4">
        <v>4.5</v>
      </c>
      <c r="J1537" s="5">
        <v>750</v>
      </c>
      <c r="K1537" s="4">
        <v>25</v>
      </c>
      <c r="L1537" s="1" t="s">
        <v>46</v>
      </c>
      <c r="M1537" s="1" t="s">
        <v>47</v>
      </c>
      <c r="N1537" s="1" t="s">
        <v>10387</v>
      </c>
      <c r="O1537" s="1" t="s">
        <v>108</v>
      </c>
      <c r="P1537" s="1" t="s">
        <v>10388</v>
      </c>
      <c r="Q1537" s="4">
        <v>0.93999999999999995</v>
      </c>
      <c r="R1537" s="4">
        <v>0.56000000000000005</v>
      </c>
      <c r="S1537" s="8">
        <v>3</v>
      </c>
      <c r="T1537" s="1" t="s">
        <v>50</v>
      </c>
      <c r="U1537" s="8">
        <v>25</v>
      </c>
      <c r="V1537" s="8">
        <v>25</v>
      </c>
      <c r="W1537" s="7">
        <v>30000000</v>
      </c>
      <c r="X1537" s="5">
        <v>750</v>
      </c>
      <c r="Y1537" s="7">
        <v>30000000</v>
      </c>
      <c r="Z1537" s="1"/>
      <c r="AA1537" s="2">
        <f ca="1">DATE(2005,12,24)</f>
        <v>0</v>
      </c>
      <c r="AB1537" s="1"/>
      <c r="AC1537" s="3">
        <v>180</v>
      </c>
      <c r="AD1537" s="1"/>
      <c r="AE1537" s="1" t="s">
        <v>51</v>
      </c>
      <c r="AF1537" s="1" t="s">
        <v>51</v>
      </c>
      <c r="AG1537" s="1" t="s">
        <v>51</v>
      </c>
      <c r="AH1537" s="1"/>
      <c r="AI1537" s="1"/>
      <c r="AJ1537" s="3">
        <v>1</v>
      </c>
      <c r="AK1537" s="1" t="s">
        <v>52</v>
      </c>
      <c r="AL1537" s="3">
        <v>17</v>
      </c>
      <c r="AM1537" s="8">
        <v>25</v>
      </c>
      <c r="AN1537" s="1"/>
      <c r="AO1537" s="1" t="s">
        <v>10389</v>
      </c>
      <c r="AP1537" s="1" t="s">
        <v>6201</v>
      </c>
      <c r="AQ1537" s="1" t="s">
        <v>10390</v>
      </c>
      <c r="AR1537" s="1" t="s">
        <v>10391</v>
      </c>
    </row>
    <row r="1538">
      <c r="A1538" s="2">
        <f ca="1">DATE(2005,05,23)</f>
        <v>0</v>
      </c>
      <c r="B1538" s="2">
        <f ca="1">DATE(2005,06,27)</f>
        <v>0</v>
      </c>
      <c r="C1538" s="1" t="s">
        <v>10392</v>
      </c>
      <c r="D1538" s="3">
        <v>6726</v>
      </c>
      <c r="E1538" s="1" t="s">
        <v>43</v>
      </c>
      <c r="F1538" s="1" t="s">
        <v>10393</v>
      </c>
      <c r="G1538" s="1" t="s">
        <v>45</v>
      </c>
      <c r="H1538" s="4">
        <v>0.90000000000000002</v>
      </c>
      <c r="I1538" s="4">
        <v>4.5</v>
      </c>
      <c r="J1538" s="5">
        <v>131.5</v>
      </c>
      <c r="K1538" s="4">
        <v>20</v>
      </c>
      <c r="L1538" s="1" t="s">
        <v>46</v>
      </c>
      <c r="M1538" s="1" t="s">
        <v>47</v>
      </c>
      <c r="N1538" s="3">
        <v>521076109</v>
      </c>
      <c r="O1538" s="1" t="s">
        <v>108</v>
      </c>
      <c r="P1538" s="1" t="s">
        <v>10394</v>
      </c>
      <c r="Q1538" s="4">
        <v>1</v>
      </c>
      <c r="R1538" s="4">
        <v>0.5</v>
      </c>
      <c r="S1538" s="8">
        <v>3</v>
      </c>
      <c r="T1538" s="1" t="s">
        <v>50</v>
      </c>
      <c r="U1538" s="8">
        <v>20</v>
      </c>
      <c r="V1538" s="8">
        <v>20</v>
      </c>
      <c r="W1538" s="7">
        <v>100000</v>
      </c>
      <c r="X1538" s="5">
        <v>2</v>
      </c>
      <c r="Y1538" s="7">
        <v>6575000</v>
      </c>
      <c r="Z1538" s="1"/>
      <c r="AA1538" s="2">
        <f ca="1">DATE(2005,12,24)</f>
        <v>0</v>
      </c>
      <c r="AB1538" s="1"/>
      <c r="AC1538" s="3">
        <v>180</v>
      </c>
      <c r="AD1538" s="1"/>
      <c r="AE1538" s="1" t="s">
        <v>51</v>
      </c>
      <c r="AF1538" s="1" t="s">
        <v>51</v>
      </c>
      <c r="AG1538" s="1" t="s">
        <v>51</v>
      </c>
      <c r="AH1538" s="1"/>
      <c r="AI1538" s="1"/>
      <c r="AJ1538" s="3">
        <v>1</v>
      </c>
      <c r="AK1538" s="1" t="s">
        <v>52</v>
      </c>
      <c r="AL1538" s="3">
        <v>10</v>
      </c>
      <c r="AM1538" s="1"/>
      <c r="AN1538" s="1"/>
      <c r="AO1538" s="1" t="s">
        <v>10395</v>
      </c>
      <c r="AP1538" s="1" t="s">
        <v>45</v>
      </c>
      <c r="AQ1538" s="1" t="s">
        <v>10396</v>
      </c>
      <c r="AR1538" s="1" t="s">
        <v>10397</v>
      </c>
    </row>
    <row r="1539">
      <c r="A1539" s="2">
        <f ca="1">DATE(2005,02,09)</f>
        <v>0</v>
      </c>
      <c r="B1539" s="2">
        <f ca="1">DATE(2005,06,28)</f>
        <v>0</v>
      </c>
      <c r="C1539" s="1" t="s">
        <v>10398</v>
      </c>
      <c r="D1539" s="3">
        <v>6798</v>
      </c>
      <c r="E1539" s="1" t="s">
        <v>43</v>
      </c>
      <c r="F1539" s="1" t="s">
        <v>10399</v>
      </c>
      <c r="G1539" s="1" t="s">
        <v>3332</v>
      </c>
      <c r="H1539" s="4">
        <v>0.93799999999999994</v>
      </c>
      <c r="I1539" s="4">
        <v>6.2530000000000001</v>
      </c>
      <c r="J1539" s="5">
        <v>180</v>
      </c>
      <c r="K1539" s="4">
        <v>15</v>
      </c>
      <c r="L1539" s="1" t="s">
        <v>46</v>
      </c>
      <c r="M1539" s="1" t="s">
        <v>47</v>
      </c>
      <c r="N1539" s="3">
        <v>197627102</v>
      </c>
      <c r="O1539" s="1" t="s">
        <v>108</v>
      </c>
      <c r="P1539" s="1" t="s">
        <v>10400</v>
      </c>
      <c r="Q1539" s="4">
        <v>1.2</v>
      </c>
      <c r="R1539" s="4">
        <v>1.3200000000000001</v>
      </c>
      <c r="S1539" s="6">
        <v>3.73333</v>
      </c>
      <c r="T1539" s="1" t="s">
        <v>50</v>
      </c>
      <c r="U1539" s="1"/>
      <c r="V1539" s="1"/>
      <c r="W1539" s="1"/>
      <c r="X1539" s="5">
        <v>184</v>
      </c>
      <c r="Y1539" s="7">
        <v>12000000</v>
      </c>
      <c r="Z1539" s="1"/>
      <c r="AA1539" s="2">
        <f ca="1">DATE(2005,12,25)</f>
        <v>0</v>
      </c>
      <c r="AB1539" s="4">
        <v>6.0510000000000002</v>
      </c>
      <c r="AC1539" s="3">
        <v>180</v>
      </c>
      <c r="AD1539" s="8">
        <v>730001</v>
      </c>
      <c r="AE1539" s="1" t="s">
        <v>51</v>
      </c>
      <c r="AF1539" s="1" t="s">
        <v>51</v>
      </c>
      <c r="AG1539" s="1" t="s">
        <v>51</v>
      </c>
      <c r="AH1539" s="1"/>
      <c r="AI1539" s="1"/>
      <c r="AJ1539" s="3">
        <v>1</v>
      </c>
      <c r="AK1539" s="1" t="s">
        <v>52</v>
      </c>
      <c r="AL1539" s="3">
        <v>7</v>
      </c>
      <c r="AM1539" s="8">
        <v>15.4</v>
      </c>
      <c r="AN1539" s="1"/>
      <c r="AO1539" s="1" t="s">
        <v>10401</v>
      </c>
      <c r="AP1539" s="1" t="s">
        <v>3332</v>
      </c>
      <c r="AQ1539" s="1" t="s">
        <v>10402</v>
      </c>
      <c r="AR1539" s="1" t="s">
        <v>10403</v>
      </c>
    </row>
    <row r="1540">
      <c r="A1540" s="2">
        <f ca="1">DATE(2005,03,14)</f>
        <v>0</v>
      </c>
      <c r="B1540" s="2">
        <f ca="1">DATE(2005,06,28)</f>
        <v>0</v>
      </c>
      <c r="C1540" s="1" t="s">
        <v>10404</v>
      </c>
      <c r="D1540" s="3">
        <v>5661</v>
      </c>
      <c r="E1540" s="1" t="s">
        <v>43</v>
      </c>
      <c r="F1540" s="1" t="s">
        <v>10405</v>
      </c>
      <c r="G1540" s="1" t="s">
        <v>813</v>
      </c>
      <c r="H1540" s="4">
        <v>1.3300000000000001</v>
      </c>
      <c r="I1540" s="4">
        <v>7</v>
      </c>
      <c r="J1540" s="5">
        <v>267.19999999999999</v>
      </c>
      <c r="K1540" s="4">
        <v>19</v>
      </c>
      <c r="L1540" s="1" t="s">
        <v>152</v>
      </c>
      <c r="M1540" s="1" t="s">
        <v>47</v>
      </c>
      <c r="N1540" s="1" t="s">
        <v>10406</v>
      </c>
      <c r="O1540" s="1" t="s">
        <v>108</v>
      </c>
      <c r="P1540" s="1" t="s">
        <v>10407</v>
      </c>
      <c r="Q1540" s="4">
        <v>1.421</v>
      </c>
      <c r="R1540" s="4">
        <v>1.3680000000000001</v>
      </c>
      <c r="S1540" s="6">
        <v>4.2105300000000003</v>
      </c>
      <c r="T1540" s="1" t="s">
        <v>50</v>
      </c>
      <c r="U1540" s="1"/>
      <c r="V1540" s="1"/>
      <c r="W1540" s="1"/>
      <c r="X1540" s="5">
        <v>185</v>
      </c>
      <c r="Y1540" s="7">
        <v>14062500</v>
      </c>
      <c r="Z1540" s="1"/>
      <c r="AA1540" s="2">
        <f ca="1">DATE(2005,12,25)</f>
        <v>0</v>
      </c>
      <c r="AB1540" s="1"/>
      <c r="AC1540" s="3">
        <v>180</v>
      </c>
      <c r="AD1540" s="1"/>
      <c r="AE1540" s="1" t="s">
        <v>51</v>
      </c>
      <c r="AF1540" s="1" t="s">
        <v>51</v>
      </c>
      <c r="AG1540" s="1" t="s">
        <v>51</v>
      </c>
      <c r="AH1540" s="1" t="s">
        <v>10408</v>
      </c>
      <c r="AI1540" s="1" t="s">
        <v>10409</v>
      </c>
      <c r="AJ1540" s="3">
        <v>1</v>
      </c>
      <c r="AK1540" s="1" t="s">
        <v>89</v>
      </c>
      <c r="AL1540" s="3">
        <v>4</v>
      </c>
      <c r="AM1540" s="8">
        <v>24.100000000000001</v>
      </c>
      <c r="AN1540" s="1"/>
      <c r="AO1540" s="1" t="s">
        <v>10410</v>
      </c>
      <c r="AP1540" s="1" t="s">
        <v>4717</v>
      </c>
      <c r="AQ1540" s="1" t="s">
        <v>10411</v>
      </c>
      <c r="AR1540" s="1" t="s">
        <v>10412</v>
      </c>
    </row>
    <row r="1541">
      <c r="A1541" s="2">
        <f ca="1">DATE(2005,04,01)</f>
        <v>0</v>
      </c>
      <c r="B1541" s="2">
        <f ca="1">DATE(2005,06,28)</f>
        <v>0</v>
      </c>
      <c r="C1541" s="1" t="s">
        <v>10413</v>
      </c>
      <c r="D1541" s="3">
        <v>6798</v>
      </c>
      <c r="E1541" s="1" t="s">
        <v>43</v>
      </c>
      <c r="F1541" s="1" t="s">
        <v>10414</v>
      </c>
      <c r="G1541" s="1" t="s">
        <v>10415</v>
      </c>
      <c r="H1541" s="4">
        <v>0.95999999999999996</v>
      </c>
      <c r="I1541" s="4">
        <v>6</v>
      </c>
      <c r="J1541" s="5">
        <v>400</v>
      </c>
      <c r="K1541" s="4">
        <v>16</v>
      </c>
      <c r="L1541" s="1" t="s">
        <v>46</v>
      </c>
      <c r="M1541" s="1" t="s">
        <v>47</v>
      </c>
      <c r="N1541" s="3">
        <v>244572301</v>
      </c>
      <c r="O1541" s="1" t="s">
        <v>108</v>
      </c>
      <c r="P1541" s="1" t="s">
        <v>10416</v>
      </c>
      <c r="Q1541" s="1" t="s">
        <v>145</v>
      </c>
      <c r="R1541" s="1" t="s">
        <v>145</v>
      </c>
      <c r="S1541" s="8">
        <v>3.6000000000000001</v>
      </c>
      <c r="T1541" s="1" t="s">
        <v>50</v>
      </c>
      <c r="U1541" s="1"/>
      <c r="V1541" s="1"/>
      <c r="W1541" s="1"/>
      <c r="X1541" s="5">
        <v>450</v>
      </c>
      <c r="Y1541" s="7">
        <v>24320715</v>
      </c>
      <c r="Z1541" s="7">
        <v>679285</v>
      </c>
      <c r="AA1541" s="1" t="s">
        <v>10417</v>
      </c>
      <c r="AB1541" s="1" t="s">
        <v>2067</v>
      </c>
      <c r="AC1541" s="1" t="s">
        <v>7518</v>
      </c>
      <c r="AD1541" s="1" t="s">
        <v>2067</v>
      </c>
      <c r="AE1541" s="1" t="s">
        <v>51</v>
      </c>
      <c r="AF1541" s="1" t="s">
        <v>51</v>
      </c>
      <c r="AG1541" s="1" t="s">
        <v>51</v>
      </c>
      <c r="AH1541" s="1"/>
      <c r="AI1541" s="1"/>
      <c r="AJ1541" s="3">
        <v>4</v>
      </c>
      <c r="AK1541" s="1" t="s">
        <v>1209</v>
      </c>
      <c r="AL1541" s="3">
        <v>9</v>
      </c>
      <c r="AM1541" s="8">
        <v>16</v>
      </c>
      <c r="AN1541" s="1"/>
      <c r="AO1541" s="1" t="s">
        <v>10418</v>
      </c>
      <c r="AP1541" s="1" t="s">
        <v>10419</v>
      </c>
      <c r="AQ1541" s="1" t="s">
        <v>10420</v>
      </c>
      <c r="AR1541" s="1" t="s">
        <v>10421</v>
      </c>
    </row>
    <row r="1542">
      <c r="A1542" s="2">
        <f ca="1">DATE(2005,03,31)</f>
        <v>0</v>
      </c>
      <c r="B1542" s="2">
        <f ca="1">DATE(2005,06,28)</f>
        <v>0</v>
      </c>
      <c r="C1542" s="1" t="s">
        <v>10422</v>
      </c>
      <c r="D1542" s="3">
        <v>3841</v>
      </c>
      <c r="E1542" s="1" t="s">
        <v>43</v>
      </c>
      <c r="F1542" s="1" t="s">
        <v>10423</v>
      </c>
      <c r="G1542" s="1" t="s">
        <v>10424</v>
      </c>
      <c r="H1542" s="4">
        <v>0.38500000000000001</v>
      </c>
      <c r="I1542" s="4">
        <v>7</v>
      </c>
      <c r="J1542" s="5">
        <v>19.300000000000001</v>
      </c>
      <c r="K1542" s="4">
        <v>5.5</v>
      </c>
      <c r="L1542" s="1" t="s">
        <v>46</v>
      </c>
      <c r="M1542" s="1" t="s">
        <v>47</v>
      </c>
      <c r="N1542" s="3">
        <v>423691104</v>
      </c>
      <c r="O1542" s="1" t="s">
        <v>87</v>
      </c>
      <c r="P1542" s="1" t="s">
        <v>10425</v>
      </c>
      <c r="Q1542" s="1" t="s">
        <v>145</v>
      </c>
      <c r="R1542" s="1" t="s">
        <v>145</v>
      </c>
      <c r="S1542" s="6">
        <v>3.4545499999999998</v>
      </c>
      <c r="T1542" s="1" t="s">
        <v>50</v>
      </c>
      <c r="U1542" s="1"/>
      <c r="V1542" s="1"/>
      <c r="W1542" s="1"/>
      <c r="X1542" s="5">
        <v>34.5</v>
      </c>
      <c r="Y1542" s="7">
        <v>3500000</v>
      </c>
      <c r="Z1542" s="1"/>
      <c r="AA1542" s="2">
        <f ca="1">DATE(2005,12,25)</f>
        <v>0</v>
      </c>
      <c r="AB1542" s="4">
        <v>63.287999999999997</v>
      </c>
      <c r="AC1542" s="3">
        <v>180</v>
      </c>
      <c r="AD1542" s="8">
        <v>6033764</v>
      </c>
      <c r="AE1542" s="1" t="s">
        <v>51</v>
      </c>
      <c r="AF1542" s="1" t="s">
        <v>51</v>
      </c>
      <c r="AG1542" s="1" t="s">
        <v>47</v>
      </c>
      <c r="AH1542" s="1"/>
      <c r="AI1542" s="1"/>
      <c r="AJ1542" s="3">
        <v>2</v>
      </c>
      <c r="AK1542" s="1" t="s">
        <v>89</v>
      </c>
      <c r="AL1542" s="3">
        <v>3</v>
      </c>
      <c r="AM1542" s="8">
        <v>5.5199999999999996</v>
      </c>
      <c r="AN1542" s="1"/>
      <c r="AO1542" s="1" t="s">
        <v>10426</v>
      </c>
      <c r="AP1542" s="1" t="s">
        <v>10427</v>
      </c>
      <c r="AQ1542" s="1" t="s">
        <v>10428</v>
      </c>
      <c r="AR1542" s="1" t="s">
        <v>10425</v>
      </c>
    </row>
    <row r="1543">
      <c r="A1543" s="2">
        <f ca="1">DATE(2005,03,29)</f>
        <v>0</v>
      </c>
      <c r="B1543" s="2">
        <f ca="1">DATE(2005,06,28)</f>
        <v>0</v>
      </c>
      <c r="C1543" s="1" t="s">
        <v>10429</v>
      </c>
      <c r="D1543" s="3">
        <v>4899</v>
      </c>
      <c r="E1543" s="1" t="s">
        <v>43</v>
      </c>
      <c r="F1543" s="1" t="s">
        <v>10430</v>
      </c>
      <c r="G1543" s="1" t="s">
        <v>10431</v>
      </c>
      <c r="H1543" s="4">
        <v>1.3200000000000001</v>
      </c>
      <c r="I1543" s="4">
        <v>6</v>
      </c>
      <c r="J1543" s="5">
        <v>605</v>
      </c>
      <c r="K1543" s="4">
        <v>22</v>
      </c>
      <c r="L1543" s="1" t="s">
        <v>152</v>
      </c>
      <c r="M1543" s="1" t="s">
        <v>47</v>
      </c>
      <c r="N1543" s="1" t="s">
        <v>10432</v>
      </c>
      <c r="O1543" s="1" t="s">
        <v>108</v>
      </c>
      <c r="P1543" s="1" t="s">
        <v>10433</v>
      </c>
      <c r="Q1543" s="4">
        <v>1.236</v>
      </c>
      <c r="R1543" s="4">
        <v>0.90000000000000002</v>
      </c>
      <c r="S1543" s="6">
        <v>3.8636400000000002</v>
      </c>
      <c r="T1543" s="1" t="s">
        <v>50</v>
      </c>
      <c r="U1543" s="1"/>
      <c r="V1543" s="1"/>
      <c r="W1543" s="1"/>
      <c r="X1543" s="5">
        <v>690</v>
      </c>
      <c r="Y1543" s="1"/>
      <c r="Z1543" s="7">
        <v>27500000</v>
      </c>
      <c r="AA1543" s="2">
        <f ca="1">DATE(2005,12,25)</f>
        <v>0</v>
      </c>
      <c r="AB1543" s="4">
        <v>53.985999999999997</v>
      </c>
      <c r="AC1543" s="3">
        <v>180</v>
      </c>
      <c r="AD1543" s="8">
        <v>32263933</v>
      </c>
      <c r="AE1543" s="1" t="s">
        <v>51</v>
      </c>
      <c r="AF1543" s="1" t="s">
        <v>51</v>
      </c>
      <c r="AG1543" s="1" t="s">
        <v>51</v>
      </c>
      <c r="AH1543" s="1"/>
      <c r="AI1543" s="1"/>
      <c r="AJ1543" s="3">
        <v>3</v>
      </c>
      <c r="AK1543" s="1" t="s">
        <v>1209</v>
      </c>
      <c r="AL1543" s="3">
        <v>8</v>
      </c>
      <c r="AM1543" s="8">
        <v>26</v>
      </c>
      <c r="AN1543" s="1"/>
      <c r="AO1543" s="1" t="s">
        <v>10434</v>
      </c>
      <c r="AP1543" s="1" t="s">
        <v>10435</v>
      </c>
      <c r="AQ1543" s="1" t="s">
        <v>10436</v>
      </c>
      <c r="AR1543" s="1" t="s">
        <v>10437</v>
      </c>
    </row>
    <row r="1544">
      <c r="A1544" s="2">
        <f ca="1">DATE(2005,03,17)</f>
        <v>0</v>
      </c>
      <c r="B1544" s="2">
        <f ca="1">DATE(2005,06,28)</f>
        <v>0</v>
      </c>
      <c r="C1544" s="1" t="s">
        <v>10438</v>
      </c>
      <c r="D1544" s="3">
        <v>6726</v>
      </c>
      <c r="E1544" s="1" t="s">
        <v>43</v>
      </c>
      <c r="F1544" s="1" t="s">
        <v>10439</v>
      </c>
      <c r="G1544" s="1" t="s">
        <v>10440</v>
      </c>
      <c r="H1544" s="4">
        <v>0.41999999999999998</v>
      </c>
      <c r="I1544" s="8">
        <v>7</v>
      </c>
      <c r="J1544" s="5">
        <v>120</v>
      </c>
      <c r="K1544" s="4">
        <v>6</v>
      </c>
      <c r="L1544" s="1" t="s">
        <v>46</v>
      </c>
      <c r="M1544" s="1" t="s">
        <v>47</v>
      </c>
      <c r="N1544" s="1"/>
      <c r="O1544" s="1" t="s">
        <v>77</v>
      </c>
      <c r="P1544" s="1" t="s">
        <v>10441</v>
      </c>
      <c r="Q1544" s="1" t="s">
        <v>145</v>
      </c>
      <c r="R1544" s="1" t="s">
        <v>145</v>
      </c>
      <c r="S1544" s="8">
        <v>3</v>
      </c>
      <c r="T1544" s="1" t="s">
        <v>50</v>
      </c>
      <c r="U1544" s="8">
        <v>6</v>
      </c>
      <c r="V1544" s="8">
        <v>6</v>
      </c>
      <c r="W1544" s="7">
        <v>20000000</v>
      </c>
      <c r="X1544" s="5">
        <v>120</v>
      </c>
      <c r="Y1544" s="7">
        <v>20000000</v>
      </c>
      <c r="Z1544" s="1"/>
      <c r="AA1544" s="2">
        <f ca="1">DATE(2006,03,25)</f>
        <v>0</v>
      </c>
      <c r="AB1544" s="4">
        <v>20</v>
      </c>
      <c r="AC1544" s="3">
        <v>270</v>
      </c>
      <c r="AD1544" s="8">
        <v>5000000</v>
      </c>
      <c r="AE1544" s="1" t="s">
        <v>51</v>
      </c>
      <c r="AF1544" s="1" t="s">
        <v>51</v>
      </c>
      <c r="AG1544" s="1" t="s">
        <v>51</v>
      </c>
      <c r="AH1544" s="1"/>
      <c r="AI1544" s="1"/>
      <c r="AJ1544" s="3">
        <v>1</v>
      </c>
      <c r="AK1544" s="1" t="s">
        <v>52</v>
      </c>
      <c r="AL1544" s="3">
        <v>5</v>
      </c>
      <c r="AM1544" s="8">
        <v>6</v>
      </c>
      <c r="AN1544" s="1"/>
      <c r="AO1544" s="1" t="s">
        <v>10442</v>
      </c>
      <c r="AP1544" s="1" t="s">
        <v>10440</v>
      </c>
      <c r="AQ1544" s="1" t="s">
        <v>10443</v>
      </c>
      <c r="AR1544" s="1" t="s">
        <v>10441</v>
      </c>
    </row>
    <row r="1545">
      <c r="A1545" s="2">
        <f ca="1">DATE(2005,05,12)</f>
        <v>0</v>
      </c>
      <c r="B1545" s="2">
        <f ca="1">DATE(2005,06,29)</f>
        <v>0</v>
      </c>
      <c r="C1545" s="1" t="s">
        <v>10444</v>
      </c>
      <c r="D1545" s="3">
        <v>6726</v>
      </c>
      <c r="E1545" s="1" t="s">
        <v>43</v>
      </c>
      <c r="F1545" s="1" t="s">
        <v>10445</v>
      </c>
      <c r="G1545" s="1" t="s">
        <v>7368</v>
      </c>
      <c r="H1545" s="4">
        <v>0.56000000000000005</v>
      </c>
      <c r="I1545" s="4">
        <v>7</v>
      </c>
      <c r="J1545" s="5">
        <v>120</v>
      </c>
      <c r="K1545" s="4">
        <v>8</v>
      </c>
      <c r="L1545" s="1" t="s">
        <v>46</v>
      </c>
      <c r="M1545" s="1" t="s">
        <v>47</v>
      </c>
      <c r="N1545" s="3">
        <v>817628100</v>
      </c>
      <c r="O1545" s="1" t="s">
        <v>87</v>
      </c>
      <c r="P1545" s="1" t="s">
        <v>10446</v>
      </c>
      <c r="Q1545" s="1" t="s">
        <v>145</v>
      </c>
      <c r="R1545" s="1" t="s">
        <v>145</v>
      </c>
      <c r="S1545" s="8">
        <v>2.3999999999999999</v>
      </c>
      <c r="T1545" s="1" t="s">
        <v>50</v>
      </c>
      <c r="U1545" s="8">
        <v>8</v>
      </c>
      <c r="V1545" s="8">
        <v>8</v>
      </c>
      <c r="W1545" s="7">
        <v>15000000</v>
      </c>
      <c r="X1545" s="5">
        <v>120</v>
      </c>
      <c r="Y1545" s="7">
        <v>15000000</v>
      </c>
      <c r="Z1545" s="1"/>
      <c r="AA1545" s="2">
        <f ca="1">DATE(2005,12,26)</f>
        <v>0</v>
      </c>
      <c r="AB1545" s="4">
        <v>20</v>
      </c>
      <c r="AC1545" s="3">
        <v>180</v>
      </c>
      <c r="AD1545" s="8">
        <v>3750000</v>
      </c>
      <c r="AE1545" s="1" t="s">
        <v>51</v>
      </c>
      <c r="AF1545" s="1" t="s">
        <v>51</v>
      </c>
      <c r="AG1545" s="1" t="s">
        <v>51</v>
      </c>
      <c r="AH1545" s="1"/>
      <c r="AI1545" s="1"/>
      <c r="AJ1545" s="3">
        <v>1</v>
      </c>
      <c r="AK1545" s="1" t="s">
        <v>52</v>
      </c>
      <c r="AL1545" s="3">
        <v>1</v>
      </c>
      <c r="AM1545" s="1"/>
      <c r="AN1545" s="1"/>
      <c r="AO1545" s="1" t="s">
        <v>10447</v>
      </c>
      <c r="AP1545" s="1" t="s">
        <v>7368</v>
      </c>
      <c r="AQ1545" s="1" t="s">
        <v>7368</v>
      </c>
      <c r="AR1545" s="1" t="s">
        <v>7372</v>
      </c>
    </row>
    <row r="1546">
      <c r="A1546" s="2">
        <f ca="1">DATE(2005,06,09)</f>
        <v>0</v>
      </c>
      <c r="B1546" s="2">
        <f ca="1">DATE(2005,06,29)</f>
        <v>0</v>
      </c>
      <c r="C1546" s="1" t="s">
        <v>10448</v>
      </c>
      <c r="D1546" s="3">
        <v>3674</v>
      </c>
      <c r="E1546" s="1" t="s">
        <v>2958</v>
      </c>
      <c r="F1546" s="1" t="s">
        <v>10449</v>
      </c>
      <c r="G1546" s="1" t="s">
        <v>5110</v>
      </c>
      <c r="H1546" s="4">
        <v>0.73499999999999999</v>
      </c>
      <c r="I1546" s="8">
        <v>7</v>
      </c>
      <c r="J1546" s="5">
        <v>70.400000000000006</v>
      </c>
      <c r="K1546" s="4">
        <v>10.5</v>
      </c>
      <c r="L1546" s="1" t="s">
        <v>651</v>
      </c>
      <c r="M1546" s="1" t="s">
        <v>47</v>
      </c>
      <c r="N1546" s="1" t="s">
        <v>10450</v>
      </c>
      <c r="O1546" s="1" t="s">
        <v>48</v>
      </c>
      <c r="P1546" s="1" t="s">
        <v>10451</v>
      </c>
      <c r="Q1546" s="4">
        <v>1.405</v>
      </c>
      <c r="R1546" s="4">
        <v>1.405</v>
      </c>
      <c r="S1546" s="6">
        <v>4.19048</v>
      </c>
      <c r="T1546" s="1" t="s">
        <v>50</v>
      </c>
      <c r="U1546" s="1"/>
      <c r="V1546" s="1"/>
      <c r="W1546" s="1"/>
      <c r="X1546" s="5">
        <v>115</v>
      </c>
      <c r="Y1546" s="7">
        <v>4300000</v>
      </c>
      <c r="Z1546" s="7">
        <v>2400000</v>
      </c>
      <c r="AA1546" s="1" t="s">
        <v>10452</v>
      </c>
      <c r="AB1546" s="1" t="s">
        <v>2067</v>
      </c>
      <c r="AC1546" s="1" t="s">
        <v>2068</v>
      </c>
      <c r="AD1546" s="1" t="s">
        <v>2067</v>
      </c>
      <c r="AE1546" s="1" t="s">
        <v>47</v>
      </c>
      <c r="AF1546" s="1" t="s">
        <v>51</v>
      </c>
      <c r="AG1546" s="1" t="s">
        <v>47</v>
      </c>
      <c r="AH1546" s="1"/>
      <c r="AI1546" s="1"/>
      <c r="AJ1546" s="3">
        <v>1</v>
      </c>
      <c r="AK1546" s="1" t="s">
        <v>52</v>
      </c>
      <c r="AL1546" s="3">
        <v>3</v>
      </c>
      <c r="AM1546" s="8">
        <v>10.5</v>
      </c>
      <c r="AN1546" s="1"/>
      <c r="AO1546" s="1" t="s">
        <v>10453</v>
      </c>
      <c r="AP1546" s="1" t="s">
        <v>5110</v>
      </c>
      <c r="AQ1546" s="1" t="s">
        <v>10454</v>
      </c>
      <c r="AR1546" s="1" t="s">
        <v>10455</v>
      </c>
    </row>
    <row r="1547">
      <c r="A1547" s="2">
        <f ca="1">DATE(2005,04,29)</f>
        <v>0</v>
      </c>
      <c r="B1547" s="2">
        <f ca="1">DATE(2005,06,29)</f>
        <v>0</v>
      </c>
      <c r="C1547" s="1" t="s">
        <v>10456</v>
      </c>
      <c r="D1547" s="3">
        <v>2329</v>
      </c>
      <c r="E1547" s="1" t="s">
        <v>43</v>
      </c>
      <c r="F1547" s="1" t="s">
        <v>10457</v>
      </c>
      <c r="G1547" s="1" t="s">
        <v>3332</v>
      </c>
      <c r="H1547" s="4">
        <v>1.3300000000000001</v>
      </c>
      <c r="I1547" s="4">
        <v>7</v>
      </c>
      <c r="J1547" s="5">
        <v>89.099999999999994</v>
      </c>
      <c r="K1547" s="4">
        <v>19</v>
      </c>
      <c r="L1547" s="1" t="s">
        <v>46</v>
      </c>
      <c r="M1547" s="1" t="s">
        <v>47</v>
      </c>
      <c r="N1547" s="1" t="s">
        <v>10458</v>
      </c>
      <c r="O1547" s="1" t="s">
        <v>48</v>
      </c>
      <c r="P1547" s="1" t="s">
        <v>10459</v>
      </c>
      <c r="Q1547" s="4">
        <v>1.526</v>
      </c>
      <c r="R1547" s="4">
        <v>1.526</v>
      </c>
      <c r="S1547" s="6">
        <v>3.9473699999999998</v>
      </c>
      <c r="T1547" s="1" t="s">
        <v>50</v>
      </c>
      <c r="U1547" s="1"/>
      <c r="V1547" s="1"/>
      <c r="W1547" s="1"/>
      <c r="X1547" s="5">
        <v>86.299999999999997</v>
      </c>
      <c r="Y1547" s="7">
        <v>4187500</v>
      </c>
      <c r="Z1547" s="7">
        <v>500000</v>
      </c>
      <c r="AA1547" s="2">
        <f ca="1">DATE(2005,12,26)</f>
        <v>0</v>
      </c>
      <c r="AB1547" s="4">
        <v>79.632999999999996</v>
      </c>
      <c r="AC1547" s="3">
        <v>180</v>
      </c>
      <c r="AD1547" s="8">
        <v>18600751</v>
      </c>
      <c r="AE1547" s="1" t="s">
        <v>51</v>
      </c>
      <c r="AF1547" s="1" t="s">
        <v>51</v>
      </c>
      <c r="AG1547" s="1" t="s">
        <v>51</v>
      </c>
      <c r="AH1547" s="1"/>
      <c r="AI1547" s="1"/>
      <c r="AJ1547" s="3">
        <v>1</v>
      </c>
      <c r="AK1547" s="1" t="s">
        <v>89</v>
      </c>
      <c r="AL1547" s="3">
        <v>3</v>
      </c>
      <c r="AM1547" s="8">
        <v>26.77</v>
      </c>
      <c r="AN1547" s="1"/>
      <c r="AO1547" s="1" t="s">
        <v>10460</v>
      </c>
      <c r="AP1547" s="1" t="s">
        <v>10461</v>
      </c>
      <c r="AQ1547" s="1" t="s">
        <v>10462</v>
      </c>
      <c r="AR1547" s="1" t="s">
        <v>10459</v>
      </c>
    </row>
    <row r="1548">
      <c r="A1548" s="2">
        <f ca="1">DATE(2005,04,28)</f>
        <v>0</v>
      </c>
      <c r="B1548" s="2">
        <f ca="1">DATE(2005,06,29)</f>
        <v>0</v>
      </c>
      <c r="C1548" s="1" t="s">
        <v>10463</v>
      </c>
      <c r="D1548" s="3">
        <v>6022</v>
      </c>
      <c r="E1548" s="1" t="s">
        <v>43</v>
      </c>
      <c r="F1548" s="1" t="s">
        <v>10464</v>
      </c>
      <c r="G1548" s="1" t="s">
        <v>2371</v>
      </c>
      <c r="H1548" s="4">
        <v>1.4299999999999999</v>
      </c>
      <c r="I1548" s="4">
        <v>6.5</v>
      </c>
      <c r="J1548" s="5">
        <v>82.5</v>
      </c>
      <c r="K1548" s="4">
        <v>22</v>
      </c>
      <c r="L1548" s="1" t="s">
        <v>46</v>
      </c>
      <c r="M1548" s="1" t="s">
        <v>47</v>
      </c>
      <c r="N1548" s="3">
        <v>957638109</v>
      </c>
      <c r="O1548" s="1" t="s">
        <v>108</v>
      </c>
      <c r="P1548" s="1" t="s">
        <v>10465</v>
      </c>
      <c r="Q1548" s="1" t="s">
        <v>145</v>
      </c>
      <c r="R1548" s="1" t="s">
        <v>145</v>
      </c>
      <c r="S1548" s="6">
        <v>3.40909</v>
      </c>
      <c r="T1548" s="1" t="s">
        <v>50</v>
      </c>
      <c r="U1548" s="1"/>
      <c r="V1548" s="1"/>
      <c r="W1548" s="1"/>
      <c r="X1548" s="5">
        <v>85</v>
      </c>
      <c r="Y1548" s="7">
        <v>3750000</v>
      </c>
      <c r="Z1548" s="1"/>
      <c r="AA1548" s="2">
        <f ca="1">DATE(2005,12,26)</f>
        <v>0</v>
      </c>
      <c r="AB1548" s="4">
        <v>58.637999999999998</v>
      </c>
      <c r="AC1548" s="3">
        <v>180</v>
      </c>
      <c r="AD1548" s="8">
        <v>12971922</v>
      </c>
      <c r="AE1548" s="1" t="s">
        <v>51</v>
      </c>
      <c r="AF1548" s="1" t="s">
        <v>51</v>
      </c>
      <c r="AG1548" s="1" t="s">
        <v>51</v>
      </c>
      <c r="AH1548" s="1"/>
      <c r="AI1548" s="1"/>
      <c r="AJ1548" s="3">
        <v>1</v>
      </c>
      <c r="AK1548" s="1" t="s">
        <v>52</v>
      </c>
      <c r="AL1548" s="3">
        <v>2</v>
      </c>
      <c r="AM1548" s="8">
        <v>25.399999999999999</v>
      </c>
      <c r="AN1548" s="1"/>
      <c r="AO1548" s="1" t="s">
        <v>10466</v>
      </c>
      <c r="AP1548" s="1" t="s">
        <v>2371</v>
      </c>
      <c r="AQ1548" s="1" t="s">
        <v>10467</v>
      </c>
      <c r="AR1548" s="1" t="s">
        <v>10468</v>
      </c>
    </row>
    <row r="1549">
      <c r="A1549" s="2">
        <f ca="1">DATE(2005,04,27)</f>
        <v>0</v>
      </c>
      <c r="B1549" s="2">
        <f ca="1">DATE(2005,06,30)</f>
        <v>0</v>
      </c>
      <c r="C1549" s="1" t="s">
        <v>10469</v>
      </c>
      <c r="D1549" s="3">
        <v>6726</v>
      </c>
      <c r="E1549" s="1" t="s">
        <v>43</v>
      </c>
      <c r="F1549" s="1" t="s">
        <v>10470</v>
      </c>
      <c r="G1549" s="1" t="s">
        <v>7222</v>
      </c>
      <c r="H1549" s="4">
        <v>0.47999999999999998</v>
      </c>
      <c r="I1549" s="4">
        <v>8</v>
      </c>
      <c r="J1549" s="5">
        <v>72</v>
      </c>
      <c r="K1549" s="4">
        <v>6</v>
      </c>
      <c r="L1549" s="1" t="s">
        <v>46</v>
      </c>
      <c r="M1549" s="1" t="s">
        <v>47</v>
      </c>
      <c r="N1549" s="1" t="s">
        <v>10471</v>
      </c>
      <c r="O1549" s="1" t="s">
        <v>87</v>
      </c>
      <c r="P1549" s="1" t="s">
        <v>10472</v>
      </c>
      <c r="Q1549" s="1" t="s">
        <v>145</v>
      </c>
      <c r="R1549" s="1" t="s">
        <v>145</v>
      </c>
      <c r="S1549" s="8">
        <v>3</v>
      </c>
      <c r="T1549" s="1" t="s">
        <v>50</v>
      </c>
      <c r="U1549" s="8">
        <v>5</v>
      </c>
      <c r="V1549" s="8">
        <v>5</v>
      </c>
      <c r="W1549" s="7">
        <v>12000000</v>
      </c>
      <c r="X1549" s="5">
        <v>60</v>
      </c>
      <c r="Y1549" s="7">
        <v>12000000</v>
      </c>
      <c r="Z1549" s="1"/>
      <c r="AA1549" s="2">
        <f ca="1">DATE(2005,12,27)</f>
        <v>0</v>
      </c>
      <c r="AB1549" s="4">
        <v>20</v>
      </c>
      <c r="AC1549" s="3">
        <v>180</v>
      </c>
      <c r="AD1549" s="8">
        <v>3000000</v>
      </c>
      <c r="AE1549" s="1" t="s">
        <v>51</v>
      </c>
      <c r="AF1549" s="1" t="s">
        <v>51</v>
      </c>
      <c r="AG1549" s="1" t="s">
        <v>51</v>
      </c>
      <c r="AH1549" s="1"/>
      <c r="AI1549" s="1"/>
      <c r="AJ1549" s="3">
        <v>1</v>
      </c>
      <c r="AK1549" s="1" t="s">
        <v>52</v>
      </c>
      <c r="AL1549" s="3">
        <v>2</v>
      </c>
      <c r="AM1549" s="1"/>
      <c r="AN1549" s="1"/>
      <c r="AO1549" s="1" t="s">
        <v>10473</v>
      </c>
      <c r="AP1549" s="1" t="s">
        <v>7222</v>
      </c>
      <c r="AQ1549" s="1" t="s">
        <v>10474</v>
      </c>
      <c r="AR1549" s="1" t="s">
        <v>10475</v>
      </c>
    </row>
    <row r="1550">
      <c r="A1550" s="2">
        <f ca="1">DATE(2004,10,26)</f>
        <v>0</v>
      </c>
      <c r="B1550" s="2">
        <f ca="1">DATE(2005,07,07)</f>
        <v>0</v>
      </c>
      <c r="C1550" s="1" t="s">
        <v>10476</v>
      </c>
      <c r="D1550" s="3">
        <v>6798</v>
      </c>
      <c r="E1550" s="1" t="s">
        <v>43</v>
      </c>
      <c r="F1550" s="1" t="s">
        <v>10477</v>
      </c>
      <c r="G1550" s="1" t="s">
        <v>84</v>
      </c>
      <c r="H1550" s="4">
        <v>0.73499999999999999</v>
      </c>
      <c r="I1550" s="8">
        <v>7</v>
      </c>
      <c r="J1550" s="5">
        <v>126.7</v>
      </c>
      <c r="K1550" s="4">
        <v>10.5</v>
      </c>
      <c r="L1550" s="1" t="s">
        <v>46</v>
      </c>
      <c r="M1550" s="1" t="s">
        <v>47</v>
      </c>
      <c r="N1550" s="1" t="s">
        <v>10478</v>
      </c>
      <c r="O1550" s="1" t="s">
        <v>108</v>
      </c>
      <c r="P1550" s="1" t="s">
        <v>10479</v>
      </c>
      <c r="Q1550" s="4">
        <v>1.381</v>
      </c>
      <c r="R1550" s="4">
        <v>1.4290000000000001</v>
      </c>
      <c r="S1550" s="6">
        <v>4.19048</v>
      </c>
      <c r="T1550" s="1" t="s">
        <v>50</v>
      </c>
      <c r="U1550" s="1"/>
      <c r="V1550" s="1"/>
      <c r="W1550" s="1"/>
      <c r="X1550" s="5">
        <v>250</v>
      </c>
      <c r="Y1550" s="7">
        <v>11365000</v>
      </c>
      <c r="Z1550" s="7">
        <v>701823</v>
      </c>
      <c r="AA1550" s="2">
        <f ca="1">DATE(2006,01,03)</f>
        <v>0</v>
      </c>
      <c r="AB1550" s="1"/>
      <c r="AC1550" s="3">
        <v>180</v>
      </c>
      <c r="AD1550" s="1"/>
      <c r="AE1550" s="1" t="s">
        <v>51</v>
      </c>
      <c r="AF1550" s="1" t="s">
        <v>51</v>
      </c>
      <c r="AG1550" s="1" t="s">
        <v>51</v>
      </c>
      <c r="AH1550" s="1"/>
      <c r="AI1550" s="1"/>
      <c r="AJ1550" s="3">
        <v>1</v>
      </c>
      <c r="AK1550" s="1" t="s">
        <v>89</v>
      </c>
      <c r="AL1550" s="3">
        <v>4</v>
      </c>
      <c r="AM1550" s="8">
        <v>11</v>
      </c>
      <c r="AN1550" s="1"/>
      <c r="AO1550" s="1" t="s">
        <v>10480</v>
      </c>
      <c r="AP1550" s="1" t="s">
        <v>10481</v>
      </c>
      <c r="AQ1550" s="1" t="s">
        <v>10482</v>
      </c>
      <c r="AR1550" s="1" t="s">
        <v>10483</v>
      </c>
    </row>
    <row r="1551">
      <c r="A1551" s="2">
        <f ca="1">DATE(2005,04,04)</f>
        <v>0</v>
      </c>
      <c r="B1551" s="2">
        <f ca="1">DATE(2005,07,08)</f>
        <v>0</v>
      </c>
      <c r="C1551" s="1" t="s">
        <v>10484</v>
      </c>
      <c r="D1551" s="3">
        <v>3663</v>
      </c>
      <c r="E1551" s="1" t="s">
        <v>43</v>
      </c>
      <c r="F1551" s="1" t="s">
        <v>10485</v>
      </c>
      <c r="G1551" s="1" t="s">
        <v>1223</v>
      </c>
      <c r="H1551" s="4">
        <v>0.28999999999999998</v>
      </c>
      <c r="I1551" s="4">
        <v>7.0300000000000002</v>
      </c>
      <c r="J1551" s="5">
        <v>10.699999999999999</v>
      </c>
      <c r="K1551" s="4">
        <v>4.125</v>
      </c>
      <c r="L1551" s="1" t="s">
        <v>46</v>
      </c>
      <c r="M1551" s="1" t="s">
        <v>47</v>
      </c>
      <c r="N1551" s="1" t="s">
        <v>10486</v>
      </c>
      <c r="O1551" s="1" t="s">
        <v>48</v>
      </c>
      <c r="P1551" s="1" t="s">
        <v>10487</v>
      </c>
      <c r="Q1551" s="1" t="s">
        <v>145</v>
      </c>
      <c r="R1551" s="1" t="s">
        <v>145</v>
      </c>
      <c r="S1551" s="8">
        <v>4</v>
      </c>
      <c r="T1551" s="1" t="s">
        <v>50</v>
      </c>
      <c r="U1551" s="1"/>
      <c r="V1551" s="1"/>
      <c r="W1551" s="7">
        <v>1666666</v>
      </c>
      <c r="X1551" s="1"/>
      <c r="Y1551" s="7">
        <v>2600000</v>
      </c>
      <c r="Z1551" s="1"/>
      <c r="AA1551" s="1" t="s">
        <v>10488</v>
      </c>
      <c r="AB1551" s="1" t="s">
        <v>10489</v>
      </c>
      <c r="AC1551" s="1" t="s">
        <v>2068</v>
      </c>
      <c r="AD1551" s="1" t="s">
        <v>10490</v>
      </c>
      <c r="AE1551" s="1" t="s">
        <v>51</v>
      </c>
      <c r="AF1551" s="1" t="s">
        <v>51</v>
      </c>
      <c r="AG1551" s="1" t="s">
        <v>51</v>
      </c>
      <c r="AH1551" s="1"/>
      <c r="AI1551" s="1"/>
      <c r="AJ1551" s="3">
        <v>1</v>
      </c>
      <c r="AK1551" s="1" t="s">
        <v>52</v>
      </c>
      <c r="AL1551" s="3">
        <v>1</v>
      </c>
      <c r="AM1551" s="8">
        <v>4.2999999999999998</v>
      </c>
      <c r="AN1551" s="1"/>
      <c r="AO1551" s="1" t="s">
        <v>10491</v>
      </c>
      <c r="AP1551" s="1" t="s">
        <v>1223</v>
      </c>
      <c r="AQ1551" s="1" t="s">
        <v>1223</v>
      </c>
      <c r="AR1551" s="1" t="s">
        <v>3923</v>
      </c>
    </row>
    <row r="1552">
      <c r="A1552" s="2">
        <f ca="1">DATE(2004,10,25)</f>
        <v>0</v>
      </c>
      <c r="B1552" s="2">
        <f ca="1">DATE(2005,07,11)</f>
        <v>0</v>
      </c>
      <c r="C1552" s="1" t="s">
        <v>10492</v>
      </c>
      <c r="D1552" s="3">
        <v>1041</v>
      </c>
      <c r="E1552" s="1" t="s">
        <v>166</v>
      </c>
      <c r="F1552" s="1" t="s">
        <v>10493</v>
      </c>
      <c r="G1552" s="1" t="s">
        <v>10494</v>
      </c>
      <c r="H1552" s="4">
        <v>0.016</v>
      </c>
      <c r="I1552" s="4">
        <v>8</v>
      </c>
      <c r="J1552" s="5">
        <v>1.6000000000000001</v>
      </c>
      <c r="K1552" s="4">
        <v>0.20000000000000001</v>
      </c>
      <c r="L1552" s="1" t="s">
        <v>31</v>
      </c>
      <c r="M1552" s="1" t="s">
        <v>47</v>
      </c>
      <c r="N1552" s="1" t="s">
        <v>10495</v>
      </c>
      <c r="O1552" s="1" t="s">
        <v>77</v>
      </c>
      <c r="P1552" s="1" t="s">
        <v>10496</v>
      </c>
      <c r="Q1552" s="1"/>
      <c r="R1552" s="1"/>
      <c r="S1552" s="1"/>
      <c r="T1552" s="1" t="s">
        <v>175</v>
      </c>
      <c r="U1552" s="1"/>
      <c r="V1552" s="1"/>
      <c r="W1552" s="1"/>
      <c r="X1552" s="1"/>
      <c r="Y1552" s="7">
        <v>9977500</v>
      </c>
      <c r="Z1552" s="1"/>
      <c r="AA1552" s="1"/>
      <c r="AB1552" s="1"/>
      <c r="AC1552" s="1"/>
      <c r="AD1552" s="1"/>
      <c r="AE1552" s="1"/>
      <c r="AF1552" s="1" t="s">
        <v>51</v>
      </c>
      <c r="AG1552" s="1" t="s">
        <v>51</v>
      </c>
      <c r="AH1552" s="1"/>
      <c r="AI1552" s="1"/>
      <c r="AJ1552" s="3">
        <v>1</v>
      </c>
      <c r="AK1552" s="1" t="s">
        <v>52</v>
      </c>
      <c r="AL1552" s="3">
        <v>1</v>
      </c>
      <c r="AM1552" s="1"/>
      <c r="AN1552" s="1"/>
      <c r="AO1552" s="1" t="s">
        <v>10494</v>
      </c>
      <c r="AP1552" s="1" t="s">
        <v>10494</v>
      </c>
      <c r="AQ1552" s="1" t="s">
        <v>10494</v>
      </c>
      <c r="AR1552" s="1" t="s">
        <v>10496</v>
      </c>
    </row>
    <row r="1553">
      <c r="A1553" s="2">
        <f ca="1">DATE(2005,03,15)</f>
        <v>0</v>
      </c>
      <c r="B1553" s="2">
        <f ca="1">DATE(2005,07,12)</f>
        <v>0</v>
      </c>
      <c r="C1553" s="1" t="s">
        <v>10497</v>
      </c>
      <c r="D1553" s="3">
        <v>6726</v>
      </c>
      <c r="E1553" s="1" t="s">
        <v>934</v>
      </c>
      <c r="F1553" s="1" t="s">
        <v>10498</v>
      </c>
      <c r="G1553" s="1" t="s">
        <v>7222</v>
      </c>
      <c r="H1553" s="4">
        <v>0.54000000000000004</v>
      </c>
      <c r="I1553" s="4">
        <v>9</v>
      </c>
      <c r="J1553" s="5">
        <v>36</v>
      </c>
      <c r="K1553" s="4">
        <v>6</v>
      </c>
      <c r="L1553" s="1" t="s">
        <v>46</v>
      </c>
      <c r="M1553" s="1" t="s">
        <v>47</v>
      </c>
      <c r="N1553" s="1"/>
      <c r="O1553" s="1" t="s">
        <v>77</v>
      </c>
      <c r="P1553" s="1" t="s">
        <v>10499</v>
      </c>
      <c r="Q1553" s="1" t="s">
        <v>145</v>
      </c>
      <c r="R1553" s="1" t="s">
        <v>145</v>
      </c>
      <c r="S1553" s="8">
        <v>3</v>
      </c>
      <c r="T1553" s="1" t="s">
        <v>50</v>
      </c>
      <c r="U1553" s="8">
        <v>6</v>
      </c>
      <c r="V1553" s="8">
        <v>6</v>
      </c>
      <c r="W1553" s="7">
        <v>6000000</v>
      </c>
      <c r="X1553" s="5">
        <v>36</v>
      </c>
      <c r="Y1553" s="7">
        <v>6000000</v>
      </c>
      <c r="Z1553" s="1"/>
      <c r="AA1553" s="2">
        <f ca="1">DATE(2006,02,07)</f>
        <v>0</v>
      </c>
      <c r="AB1553" s="4">
        <v>20</v>
      </c>
      <c r="AC1553" s="3">
        <v>210</v>
      </c>
      <c r="AD1553" s="8">
        <v>1500000</v>
      </c>
      <c r="AE1553" s="1" t="s">
        <v>51</v>
      </c>
      <c r="AF1553" s="1" t="s">
        <v>51</v>
      </c>
      <c r="AG1553" s="1" t="s">
        <v>51</v>
      </c>
      <c r="AH1553" s="1"/>
      <c r="AI1553" s="1"/>
      <c r="AJ1553" s="3">
        <v>1</v>
      </c>
      <c r="AK1553" s="1" t="s">
        <v>52</v>
      </c>
      <c r="AL1553" s="3">
        <v>1</v>
      </c>
      <c r="AM1553" s="1"/>
      <c r="AN1553" s="1"/>
      <c r="AO1553" s="1" t="s">
        <v>10500</v>
      </c>
      <c r="AP1553" s="1" t="s">
        <v>7222</v>
      </c>
      <c r="AQ1553" s="1" t="s">
        <v>7222</v>
      </c>
      <c r="AR1553" s="1" t="s">
        <v>7339</v>
      </c>
    </row>
    <row r="1554">
      <c r="A1554" s="2">
        <f ca="1">DATE(2005,05,04)</f>
        <v>0</v>
      </c>
      <c r="B1554" s="2">
        <f ca="1">DATE(2005,07,12)</f>
        <v>0</v>
      </c>
      <c r="C1554" s="1" t="s">
        <v>10501</v>
      </c>
      <c r="D1554" s="3">
        <v>6726</v>
      </c>
      <c r="E1554" s="1" t="s">
        <v>43</v>
      </c>
      <c r="F1554" s="1" t="s">
        <v>10502</v>
      </c>
      <c r="G1554" s="1" t="s">
        <v>9810</v>
      </c>
      <c r="H1554" s="4">
        <v>0.41999999999999998</v>
      </c>
      <c r="I1554" s="8">
        <v>7</v>
      </c>
      <c r="J1554" s="5">
        <v>48</v>
      </c>
      <c r="K1554" s="4">
        <v>6</v>
      </c>
      <c r="L1554" s="1" t="s">
        <v>46</v>
      </c>
      <c r="M1554" s="1" t="s">
        <v>47</v>
      </c>
      <c r="N1554" s="1" t="s">
        <v>10503</v>
      </c>
      <c r="O1554" s="1" t="s">
        <v>77</v>
      </c>
      <c r="P1554" s="1" t="s">
        <v>10504</v>
      </c>
      <c r="Q1554" s="1" t="s">
        <v>145</v>
      </c>
      <c r="R1554" s="1" t="s">
        <v>145</v>
      </c>
      <c r="S1554" s="6">
        <v>4.1666699999999999</v>
      </c>
      <c r="T1554" s="1" t="s">
        <v>50</v>
      </c>
      <c r="U1554" s="8">
        <v>6</v>
      </c>
      <c r="V1554" s="8">
        <v>6</v>
      </c>
      <c r="W1554" s="7">
        <v>8000000</v>
      </c>
      <c r="X1554" s="5">
        <v>48</v>
      </c>
      <c r="Y1554" s="7">
        <v>8000000</v>
      </c>
      <c r="Z1554" s="1"/>
      <c r="AA1554" s="2">
        <f ca="1">DATE(2006,01,08)</f>
        <v>0</v>
      </c>
      <c r="AB1554" s="4">
        <v>20</v>
      </c>
      <c r="AC1554" s="3">
        <v>180</v>
      </c>
      <c r="AD1554" s="8">
        <v>2000000</v>
      </c>
      <c r="AE1554" s="1" t="s">
        <v>51</v>
      </c>
      <c r="AF1554" s="1" t="s">
        <v>51</v>
      </c>
      <c r="AG1554" s="1" t="s">
        <v>51</v>
      </c>
      <c r="AH1554" s="1"/>
      <c r="AI1554" s="1"/>
      <c r="AJ1554" s="3">
        <v>1</v>
      </c>
      <c r="AK1554" s="1" t="s">
        <v>52</v>
      </c>
      <c r="AL1554" s="3">
        <v>2</v>
      </c>
      <c r="AM1554" s="1"/>
      <c r="AN1554" s="1"/>
      <c r="AO1554" s="1" t="s">
        <v>10505</v>
      </c>
      <c r="AP1554" s="1" t="s">
        <v>9810</v>
      </c>
      <c r="AQ1554" s="1" t="s">
        <v>10506</v>
      </c>
      <c r="AR1554" s="1" t="s">
        <v>10504</v>
      </c>
    </row>
    <row r="1555">
      <c r="A1555" s="2">
        <f ca="1">DATE(2005,04,05)</f>
        <v>0</v>
      </c>
      <c r="B1555" s="2">
        <f ca="1">DATE(2005,07,13)</f>
        <v>0</v>
      </c>
      <c r="C1555" s="1" t="s">
        <v>10507</v>
      </c>
      <c r="D1555" s="3">
        <v>3841</v>
      </c>
      <c r="E1555" s="1" t="s">
        <v>43</v>
      </c>
      <c r="F1555" s="1" t="s">
        <v>10508</v>
      </c>
      <c r="G1555" s="1" t="s">
        <v>1624</v>
      </c>
      <c r="H1555" s="4">
        <v>0.77000000000000002</v>
      </c>
      <c r="I1555" s="4">
        <v>7</v>
      </c>
      <c r="J1555" s="5">
        <v>40.799999999999997</v>
      </c>
      <c r="K1555" s="4">
        <v>11</v>
      </c>
      <c r="L1555" s="1" t="s">
        <v>46</v>
      </c>
      <c r="M1555" s="1" t="s">
        <v>47</v>
      </c>
      <c r="N1555" s="3">
        <v>229016100</v>
      </c>
      <c r="O1555" s="1" t="s">
        <v>48</v>
      </c>
      <c r="P1555" s="1" t="s">
        <v>10509</v>
      </c>
      <c r="Q1555" s="4">
        <v>1.7270000000000001</v>
      </c>
      <c r="R1555" s="4">
        <v>1.8180000000000001</v>
      </c>
      <c r="S1555" s="6">
        <v>3.4545499999999998</v>
      </c>
      <c r="T1555" s="1" t="s">
        <v>50</v>
      </c>
      <c r="U1555" s="1"/>
      <c r="V1555" s="1"/>
      <c r="W1555" s="1"/>
      <c r="X1555" s="5">
        <v>46</v>
      </c>
      <c r="Y1555" s="7">
        <v>3709090</v>
      </c>
      <c r="Z1555" s="1"/>
      <c r="AA1555" s="2">
        <f ca="1">DATE(2006,01,09)</f>
        <v>0</v>
      </c>
      <c r="AB1555" s="4">
        <v>64.950000000000003</v>
      </c>
      <c r="AC1555" s="3">
        <v>180</v>
      </c>
      <c r="AD1555" s="8">
        <v>6883608</v>
      </c>
      <c r="AE1555" s="1" t="s">
        <v>51</v>
      </c>
      <c r="AF1555" s="1" t="s">
        <v>51</v>
      </c>
      <c r="AG1555" s="1" t="s">
        <v>47</v>
      </c>
      <c r="AH1555" s="1"/>
      <c r="AI1555" s="1"/>
      <c r="AJ1555" s="3">
        <v>1</v>
      </c>
      <c r="AK1555" s="1" t="s">
        <v>52</v>
      </c>
      <c r="AL1555" s="3">
        <v>3</v>
      </c>
      <c r="AM1555" s="8">
        <v>10.869999999999999</v>
      </c>
      <c r="AN1555" s="1"/>
      <c r="AO1555" s="1" t="s">
        <v>10510</v>
      </c>
      <c r="AP1555" s="1" t="s">
        <v>1624</v>
      </c>
      <c r="AQ1555" s="1" t="s">
        <v>10511</v>
      </c>
      <c r="AR1555" s="1" t="s">
        <v>10509</v>
      </c>
    </row>
    <row r="1556">
      <c r="A1556" s="2">
        <f ca="1">DATE(2005,06,14)</f>
        <v>0</v>
      </c>
      <c r="B1556" s="2">
        <f ca="1">DATE(2005,07,13)</f>
        <v>0</v>
      </c>
      <c r="C1556" s="1" t="s">
        <v>10512</v>
      </c>
      <c r="D1556" s="3">
        <v>7312</v>
      </c>
      <c r="E1556" s="1" t="s">
        <v>744</v>
      </c>
      <c r="F1556" s="1" t="s">
        <v>10513</v>
      </c>
      <c r="G1556" s="1" t="s">
        <v>160</v>
      </c>
      <c r="H1556" s="4">
        <v>1.19</v>
      </c>
      <c r="I1556" s="8">
        <v>7</v>
      </c>
      <c r="J1556" s="5">
        <v>171.69999999999999</v>
      </c>
      <c r="K1556" s="4">
        <v>17</v>
      </c>
      <c r="L1556" s="1" t="s">
        <v>651</v>
      </c>
      <c r="M1556" s="1" t="s">
        <v>47</v>
      </c>
      <c r="N1556" s="1" t="s">
        <v>10514</v>
      </c>
      <c r="O1556" s="1" t="s">
        <v>48</v>
      </c>
      <c r="P1556" s="1" t="s">
        <v>10515</v>
      </c>
      <c r="Q1556" s="1" t="s">
        <v>145</v>
      </c>
      <c r="R1556" s="1" t="s">
        <v>145</v>
      </c>
      <c r="S1556" s="8">
        <v>4.2000000000000002</v>
      </c>
      <c r="T1556" s="1" t="s">
        <v>50</v>
      </c>
      <c r="U1556" s="1"/>
      <c r="V1556" s="1"/>
      <c r="W1556" s="1"/>
      <c r="X1556" s="5">
        <v>100</v>
      </c>
      <c r="Y1556" s="7">
        <v>7000000</v>
      </c>
      <c r="Z1556" s="7">
        <v>3100000</v>
      </c>
      <c r="AA1556" s="2">
        <f ca="1">DATE(2006,01,09)</f>
        <v>0</v>
      </c>
      <c r="AB1556" s="1"/>
      <c r="AC1556" s="3">
        <v>180</v>
      </c>
      <c r="AD1556" s="1"/>
      <c r="AE1556" s="1" t="s">
        <v>47</v>
      </c>
      <c r="AF1556" s="1" t="s">
        <v>51</v>
      </c>
      <c r="AG1556" s="1" t="s">
        <v>47</v>
      </c>
      <c r="AH1556" s="1"/>
      <c r="AI1556" s="1"/>
      <c r="AJ1556" s="3">
        <v>1</v>
      </c>
      <c r="AK1556" s="1" t="s">
        <v>89</v>
      </c>
      <c r="AL1556" s="3">
        <v>4</v>
      </c>
      <c r="AM1556" s="8">
        <v>20.199999999999999</v>
      </c>
      <c r="AN1556" s="1"/>
      <c r="AO1556" s="1" t="s">
        <v>10516</v>
      </c>
      <c r="AP1556" s="1" t="s">
        <v>3745</v>
      </c>
      <c r="AQ1556" s="1" t="s">
        <v>10517</v>
      </c>
      <c r="AR1556" s="1" t="s">
        <v>10518</v>
      </c>
    </row>
    <row r="1557">
      <c r="A1557" s="2">
        <f ca="1">DATE(2005,03,23)</f>
        <v>0</v>
      </c>
      <c r="B1557" s="2">
        <f ca="1">DATE(2005,07,13)</f>
        <v>0</v>
      </c>
      <c r="C1557" s="1" t="s">
        <v>10519</v>
      </c>
      <c r="D1557" s="3">
        <v>6726</v>
      </c>
      <c r="E1557" s="1" t="s">
        <v>43</v>
      </c>
      <c r="F1557" s="1" t="s">
        <v>10520</v>
      </c>
      <c r="G1557" s="1" t="s">
        <v>10521</v>
      </c>
      <c r="H1557" s="4">
        <v>0.41999999999999998</v>
      </c>
      <c r="I1557" s="8">
        <v>7</v>
      </c>
      <c r="J1557" s="5">
        <v>42</v>
      </c>
      <c r="K1557" s="4">
        <v>6</v>
      </c>
      <c r="L1557" s="1" t="s">
        <v>46</v>
      </c>
      <c r="M1557" s="1" t="s">
        <v>47</v>
      </c>
      <c r="N1557" s="1" t="s">
        <v>10522</v>
      </c>
      <c r="O1557" s="1" t="s">
        <v>77</v>
      </c>
      <c r="P1557" s="1" t="s">
        <v>10523</v>
      </c>
      <c r="Q1557" s="1" t="s">
        <v>145</v>
      </c>
      <c r="R1557" s="1" t="s">
        <v>145</v>
      </c>
      <c r="S1557" s="1"/>
      <c r="T1557" s="1" t="s">
        <v>50</v>
      </c>
      <c r="U1557" s="8">
        <v>5</v>
      </c>
      <c r="V1557" s="8">
        <v>5</v>
      </c>
      <c r="W1557" s="7">
        <v>7000000</v>
      </c>
      <c r="X1557" s="5">
        <v>35</v>
      </c>
      <c r="Y1557" s="7">
        <v>7000000</v>
      </c>
      <c r="Z1557" s="1"/>
      <c r="AA1557" s="2">
        <f ca="1">DATE(2006,03,10)</f>
        <v>0</v>
      </c>
      <c r="AB1557" s="4">
        <v>20</v>
      </c>
      <c r="AC1557" s="3">
        <v>240</v>
      </c>
      <c r="AD1557" s="8">
        <v>1750000</v>
      </c>
      <c r="AE1557" s="1" t="s">
        <v>51</v>
      </c>
      <c r="AF1557" s="1" t="s">
        <v>51</v>
      </c>
      <c r="AG1557" s="1" t="s">
        <v>51</v>
      </c>
      <c r="AH1557" s="1"/>
      <c r="AI1557" s="1"/>
      <c r="AJ1557" s="3">
        <v>1</v>
      </c>
      <c r="AK1557" s="1" t="s">
        <v>52</v>
      </c>
      <c r="AL1557" s="3">
        <v>1</v>
      </c>
      <c r="AM1557" s="1"/>
      <c r="AN1557" s="1"/>
      <c r="AO1557" s="1" t="s">
        <v>10524</v>
      </c>
      <c r="AP1557" s="1" t="s">
        <v>10521</v>
      </c>
      <c r="AQ1557" s="1" t="s">
        <v>10521</v>
      </c>
      <c r="AR1557" s="1" t="s">
        <v>10525</v>
      </c>
    </row>
    <row r="1558">
      <c r="A1558" s="2">
        <f ca="1">DATE(2005,02,14)</f>
        <v>0</v>
      </c>
      <c r="B1558" s="2">
        <f ca="1">DATE(2005,07,13)</f>
        <v>0</v>
      </c>
      <c r="C1558" s="1" t="s">
        <v>10526</v>
      </c>
      <c r="D1558" s="3">
        <v>6141</v>
      </c>
      <c r="E1558" s="1" t="s">
        <v>43</v>
      </c>
      <c r="F1558" s="1" t="s">
        <v>10527</v>
      </c>
      <c r="G1558" s="1" t="s">
        <v>10528</v>
      </c>
      <c r="H1558" s="4">
        <v>1.2430000000000001</v>
      </c>
      <c r="I1558" s="8">
        <v>7</v>
      </c>
      <c r="J1558" s="5">
        <v>216.90000000000001</v>
      </c>
      <c r="K1558" s="4">
        <v>17.75</v>
      </c>
      <c r="L1558" s="1" t="s">
        <v>46</v>
      </c>
      <c r="M1558" s="1" t="s">
        <v>47</v>
      </c>
      <c r="N1558" s="1" t="s">
        <v>10529</v>
      </c>
      <c r="O1558" s="1" t="s">
        <v>108</v>
      </c>
      <c r="P1558" s="1" t="s">
        <v>10530</v>
      </c>
      <c r="Q1558" s="4">
        <v>1.2390000000000001</v>
      </c>
      <c r="R1558" s="4">
        <v>1.292</v>
      </c>
      <c r="S1558" s="6">
        <v>3.7183099999999998</v>
      </c>
      <c r="T1558" s="1" t="s">
        <v>50</v>
      </c>
      <c r="U1558" s="1"/>
      <c r="V1558" s="1"/>
      <c r="W1558" s="1"/>
      <c r="X1558" s="5">
        <v>230</v>
      </c>
      <c r="Y1558" s="7">
        <v>12000000</v>
      </c>
      <c r="Z1558" s="7">
        <v>222399</v>
      </c>
      <c r="AA1558" s="1" t="s">
        <v>10531</v>
      </c>
      <c r="AB1558" s="1" t="s">
        <v>10532</v>
      </c>
      <c r="AC1558" s="1" t="s">
        <v>10533</v>
      </c>
      <c r="AD1558" s="1" t="s">
        <v>10534</v>
      </c>
      <c r="AE1558" s="1" t="s">
        <v>51</v>
      </c>
      <c r="AF1558" s="1" t="s">
        <v>51</v>
      </c>
      <c r="AG1558" s="1" t="s">
        <v>51</v>
      </c>
      <c r="AH1558" s="1"/>
      <c r="AI1558" s="1"/>
      <c r="AJ1558" s="3">
        <v>2</v>
      </c>
      <c r="AK1558" s="1" t="s">
        <v>89</v>
      </c>
      <c r="AL1558" s="3">
        <v>5</v>
      </c>
      <c r="AM1558" s="8">
        <v>18.300000000000001</v>
      </c>
      <c r="AN1558" s="1"/>
      <c r="AO1558" s="1" t="s">
        <v>10535</v>
      </c>
      <c r="AP1558" s="1" t="s">
        <v>10536</v>
      </c>
      <c r="AQ1558" s="1" t="s">
        <v>10537</v>
      </c>
      <c r="AR1558" s="1" t="s">
        <v>10538</v>
      </c>
    </row>
    <row r="1559">
      <c r="A1559" s="2">
        <f ca="1">DATE(2005,03,01)</f>
        <v>0</v>
      </c>
      <c r="B1559" s="2">
        <f ca="1">DATE(2005,07,13)</f>
        <v>0</v>
      </c>
      <c r="C1559" s="1" t="s">
        <v>10539</v>
      </c>
      <c r="D1559" s="3">
        <v>6726</v>
      </c>
      <c r="E1559" s="1" t="s">
        <v>43</v>
      </c>
      <c r="F1559" s="1" t="s">
        <v>10540</v>
      </c>
      <c r="G1559" s="1" t="s">
        <v>8742</v>
      </c>
      <c r="H1559" s="1" t="s">
        <v>57</v>
      </c>
      <c r="I1559" s="1" t="s">
        <v>57</v>
      </c>
      <c r="J1559" s="5">
        <v>12.6</v>
      </c>
      <c r="K1559" s="4">
        <v>10.1</v>
      </c>
      <c r="L1559" s="1" t="s">
        <v>2698</v>
      </c>
      <c r="M1559" s="1" t="s">
        <v>47</v>
      </c>
      <c r="N1559" s="1" t="s">
        <v>10541</v>
      </c>
      <c r="O1559" s="1" t="s">
        <v>77</v>
      </c>
      <c r="P1559" s="1" t="s">
        <v>10542</v>
      </c>
      <c r="Q1559" s="1"/>
      <c r="R1559" s="1"/>
      <c r="S1559" s="1"/>
      <c r="T1559" s="1" t="s">
        <v>50</v>
      </c>
      <c r="U1559" s="8">
        <v>10.1</v>
      </c>
      <c r="V1559" s="8">
        <v>10.1</v>
      </c>
      <c r="W1559" s="7">
        <v>1500000</v>
      </c>
      <c r="X1559" s="5">
        <v>15.199999999999999</v>
      </c>
      <c r="Y1559" s="7">
        <v>1250000</v>
      </c>
      <c r="Z1559" s="1"/>
      <c r="AA1559" s="2">
        <f ca="1">DATE(2006,01,09)</f>
        <v>0</v>
      </c>
      <c r="AB1559" s="4">
        <v>0.0030000000000000001</v>
      </c>
      <c r="AC1559" s="3">
        <v>180</v>
      </c>
      <c r="AD1559" s="8">
        <v>100</v>
      </c>
      <c r="AE1559" s="1" t="s">
        <v>51</v>
      </c>
      <c r="AF1559" s="1" t="s">
        <v>51</v>
      </c>
      <c r="AG1559" s="1" t="s">
        <v>51</v>
      </c>
      <c r="AH1559" s="1"/>
      <c r="AI1559" s="1"/>
      <c r="AJ1559" s="3">
        <v>1</v>
      </c>
      <c r="AK1559" s="1" t="s">
        <v>52</v>
      </c>
      <c r="AL1559" s="3">
        <v>2</v>
      </c>
      <c r="AM1559" s="1"/>
      <c r="AN1559" s="1"/>
      <c r="AO1559" s="1" t="s">
        <v>10543</v>
      </c>
      <c r="AP1559" s="1" t="s">
        <v>8742</v>
      </c>
      <c r="AQ1559" s="1" t="s">
        <v>10544</v>
      </c>
      <c r="AR1559" s="1" t="s">
        <v>10545</v>
      </c>
    </row>
    <row r="1560">
      <c r="A1560" s="2">
        <f ca="1">DATE(2005,03,01)</f>
        <v>0</v>
      </c>
      <c r="B1560" s="2">
        <f ca="1">DATE(2005,07,13)</f>
        <v>0</v>
      </c>
      <c r="C1560" s="1" t="s">
        <v>10539</v>
      </c>
      <c r="D1560" s="3">
        <v>6726</v>
      </c>
      <c r="E1560" s="1" t="s">
        <v>43</v>
      </c>
      <c r="F1560" s="1" t="s">
        <v>10540</v>
      </c>
      <c r="G1560" s="1" t="s">
        <v>8742</v>
      </c>
      <c r="H1560" s="1" t="s">
        <v>57</v>
      </c>
      <c r="I1560" s="1" t="s">
        <v>57</v>
      </c>
      <c r="J1560" s="5">
        <v>2.6000000000000001</v>
      </c>
      <c r="K1560" s="4">
        <v>10.5</v>
      </c>
      <c r="L1560" s="1" t="s">
        <v>46</v>
      </c>
      <c r="M1560" s="1" t="s">
        <v>47</v>
      </c>
      <c r="N1560" s="1"/>
      <c r="O1560" s="1" t="s">
        <v>77</v>
      </c>
      <c r="P1560" s="1" t="s">
        <v>10542</v>
      </c>
      <c r="Q1560" s="1"/>
      <c r="R1560" s="1"/>
      <c r="S1560" s="1"/>
      <c r="T1560" s="1" t="s">
        <v>50</v>
      </c>
      <c r="U1560" s="8">
        <v>10.5</v>
      </c>
      <c r="V1560" s="8">
        <v>10.5</v>
      </c>
      <c r="W1560" s="7">
        <v>1500000</v>
      </c>
      <c r="X1560" s="5">
        <v>15.800000000000001</v>
      </c>
      <c r="Y1560" s="7">
        <v>250000</v>
      </c>
      <c r="Z1560" s="1"/>
      <c r="AA1560" s="2">
        <f ca="1">DATE(2006,01,09)</f>
        <v>0</v>
      </c>
      <c r="AB1560" s="4">
        <v>0.0030000000000000001</v>
      </c>
      <c r="AC1560" s="3">
        <v>180</v>
      </c>
      <c r="AD1560" s="8">
        <v>100</v>
      </c>
      <c r="AE1560" s="1" t="s">
        <v>51</v>
      </c>
      <c r="AF1560" s="1" t="s">
        <v>51</v>
      </c>
      <c r="AG1560" s="1" t="s">
        <v>51</v>
      </c>
      <c r="AH1560" s="1"/>
      <c r="AI1560" s="1"/>
      <c r="AJ1560" s="3">
        <v>1</v>
      </c>
      <c r="AK1560" s="1" t="s">
        <v>52</v>
      </c>
      <c r="AL1560" s="3">
        <v>2</v>
      </c>
      <c r="AM1560" s="8">
        <v>10.4</v>
      </c>
      <c r="AN1560" s="1"/>
      <c r="AO1560" s="1" t="s">
        <v>10543</v>
      </c>
      <c r="AP1560" s="1" t="s">
        <v>8742</v>
      </c>
      <c r="AQ1560" s="1" t="s">
        <v>10544</v>
      </c>
      <c r="AR1560" s="1" t="s">
        <v>10545</v>
      </c>
    </row>
    <row r="1561">
      <c r="A1561" s="2">
        <f ca="1">DATE(2005,04,19)</f>
        <v>0</v>
      </c>
      <c r="B1561" s="2">
        <f ca="1">DATE(2005,07,14)</f>
        <v>0</v>
      </c>
      <c r="C1561" s="1" t="s">
        <v>10546</v>
      </c>
      <c r="D1561" s="3">
        <v>2676</v>
      </c>
      <c r="E1561" s="1" t="s">
        <v>43</v>
      </c>
      <c r="F1561" s="1" t="s">
        <v>10547</v>
      </c>
      <c r="G1561" s="1" t="s">
        <v>10548</v>
      </c>
      <c r="H1561" s="4">
        <v>0.64000000000000001</v>
      </c>
      <c r="I1561" s="4">
        <v>8</v>
      </c>
      <c r="J1561" s="5">
        <v>15</v>
      </c>
      <c r="K1561" s="4">
        <v>8</v>
      </c>
      <c r="L1561" s="1" t="s">
        <v>46</v>
      </c>
      <c r="M1561" s="1" t="s">
        <v>47</v>
      </c>
      <c r="N1561" s="1" t="s">
        <v>10549</v>
      </c>
      <c r="O1561" s="1" t="s">
        <v>3689</v>
      </c>
      <c r="P1561" s="1" t="s">
        <v>10550</v>
      </c>
      <c r="Q1561" s="1" t="s">
        <v>145</v>
      </c>
      <c r="R1561" s="1" t="s">
        <v>145</v>
      </c>
      <c r="S1561" s="8">
        <v>4</v>
      </c>
      <c r="T1561" s="1" t="s">
        <v>50</v>
      </c>
      <c r="U1561" s="8">
        <v>9</v>
      </c>
      <c r="V1561" s="8">
        <v>7</v>
      </c>
      <c r="W1561" s="7">
        <v>1875000</v>
      </c>
      <c r="X1561" s="5">
        <v>15</v>
      </c>
      <c r="Y1561" s="7">
        <v>1875000</v>
      </c>
      <c r="Z1561" s="1"/>
      <c r="AA1561" s="1" t="s">
        <v>10551</v>
      </c>
      <c r="AB1561" s="1" t="s">
        <v>10552</v>
      </c>
      <c r="AC1561" s="1" t="s">
        <v>8939</v>
      </c>
      <c r="AD1561" s="1" t="s">
        <v>10553</v>
      </c>
      <c r="AE1561" s="1" t="s">
        <v>51</v>
      </c>
      <c r="AF1561" s="1" t="s">
        <v>51</v>
      </c>
      <c r="AG1561" s="1" t="s">
        <v>51</v>
      </c>
      <c r="AH1561" s="1"/>
      <c r="AI1561" s="1"/>
      <c r="AJ1561" s="3">
        <v>1</v>
      </c>
      <c r="AK1561" s="1" t="s">
        <v>52</v>
      </c>
      <c r="AL1561" s="3">
        <v>1</v>
      </c>
      <c r="AM1561" s="8">
        <v>8.5</v>
      </c>
      <c r="AN1561" s="1"/>
      <c r="AO1561" s="1" t="s">
        <v>10548</v>
      </c>
      <c r="AP1561" s="1" t="s">
        <v>10548</v>
      </c>
      <c r="AQ1561" s="1" t="s">
        <v>10548</v>
      </c>
      <c r="AR1561" s="1" t="s">
        <v>10550</v>
      </c>
    </row>
    <row r="1562">
      <c r="A1562" s="2">
        <f ca="1">DATE(2005,05,03)</f>
        <v>0</v>
      </c>
      <c r="B1562" s="2">
        <f ca="1">DATE(2005,07,14)</f>
        <v>0</v>
      </c>
      <c r="C1562" s="1" t="s">
        <v>10554</v>
      </c>
      <c r="D1562" s="3">
        <v>4412</v>
      </c>
      <c r="E1562" s="1" t="s">
        <v>3764</v>
      </c>
      <c r="F1562" s="1" t="s">
        <v>10555</v>
      </c>
      <c r="G1562" s="1" t="s">
        <v>7310</v>
      </c>
      <c r="H1562" s="4">
        <v>0.71899999999999997</v>
      </c>
      <c r="I1562" s="4">
        <v>6.25</v>
      </c>
      <c r="J1562" s="5">
        <v>192.09999999999999</v>
      </c>
      <c r="K1562" s="4">
        <v>11.5</v>
      </c>
      <c r="L1562" s="1" t="s">
        <v>46</v>
      </c>
      <c r="M1562" s="1" t="s">
        <v>47</v>
      </c>
      <c r="N1562" s="1" t="s">
        <v>10556</v>
      </c>
      <c r="O1562" s="1" t="s">
        <v>48</v>
      </c>
      <c r="P1562" s="1" t="s">
        <v>10557</v>
      </c>
      <c r="Q1562" s="4">
        <v>1.25</v>
      </c>
      <c r="R1562" s="8">
        <v>1.25</v>
      </c>
      <c r="S1562" s="6">
        <v>3.7504300000000002</v>
      </c>
      <c r="T1562" s="1" t="s">
        <v>50</v>
      </c>
      <c r="U1562" s="1"/>
      <c r="V1562" s="1"/>
      <c r="W1562" s="1"/>
      <c r="X1562" s="5">
        <v>300</v>
      </c>
      <c r="Y1562" s="7">
        <v>16700000</v>
      </c>
      <c r="Z1562" s="1"/>
      <c r="AA1562" s="2">
        <f ca="1">DATE(2006,01,10)</f>
        <v>0</v>
      </c>
      <c r="AB1562" s="4">
        <v>27.452999999999999</v>
      </c>
      <c r="AC1562" s="3">
        <v>180</v>
      </c>
      <c r="AD1562" s="8">
        <v>6319492</v>
      </c>
      <c r="AE1562" s="1" t="s">
        <v>51</v>
      </c>
      <c r="AF1562" s="1" t="s">
        <v>51</v>
      </c>
      <c r="AG1562" s="1" t="s">
        <v>51</v>
      </c>
      <c r="AH1562" s="1"/>
      <c r="AI1562" s="1"/>
      <c r="AJ1562" s="3">
        <v>2</v>
      </c>
      <c r="AK1562" s="1" t="s">
        <v>89</v>
      </c>
      <c r="AL1562" s="3">
        <v>8</v>
      </c>
      <c r="AM1562" s="8">
        <v>11.26</v>
      </c>
      <c r="AN1562" s="1"/>
      <c r="AO1562" s="1" t="s">
        <v>10558</v>
      </c>
      <c r="AP1562" s="1" t="s">
        <v>7314</v>
      </c>
      <c r="AQ1562" s="1" t="s">
        <v>10559</v>
      </c>
      <c r="AR1562" s="1" t="s">
        <v>10560</v>
      </c>
    </row>
    <row r="1563">
      <c r="A1563" s="2">
        <f ca="1">DATE(2005,04,22)</f>
        <v>0</v>
      </c>
      <c r="B1563" s="2">
        <f ca="1">DATE(2005,07,18)</f>
        <v>0</v>
      </c>
      <c r="C1563" s="1" t="s">
        <v>10561</v>
      </c>
      <c r="D1563" s="3">
        <v>3812</v>
      </c>
      <c r="E1563" s="1" t="s">
        <v>43</v>
      </c>
      <c r="F1563" s="1" t="s">
        <v>10562</v>
      </c>
      <c r="G1563" s="1" t="s">
        <v>10563</v>
      </c>
      <c r="H1563" s="4">
        <v>0.54000000000000004</v>
      </c>
      <c r="I1563" s="4">
        <v>9</v>
      </c>
      <c r="J1563" s="5">
        <v>7.2000000000000002</v>
      </c>
      <c r="K1563" s="4">
        <v>6</v>
      </c>
      <c r="L1563" s="1" t="s">
        <v>46</v>
      </c>
      <c r="M1563" s="1" t="s">
        <v>47</v>
      </c>
      <c r="N1563" s="1" t="s">
        <v>10564</v>
      </c>
      <c r="O1563" s="1" t="s">
        <v>48</v>
      </c>
      <c r="P1563" s="1" t="s">
        <v>10565</v>
      </c>
      <c r="Q1563" s="1" t="s">
        <v>145</v>
      </c>
      <c r="R1563" s="1" t="s">
        <v>145</v>
      </c>
      <c r="S1563" s="8">
        <v>5</v>
      </c>
      <c r="T1563" s="1" t="s">
        <v>50</v>
      </c>
      <c r="U1563" s="8">
        <v>7.5</v>
      </c>
      <c r="V1563" s="8">
        <v>6.5</v>
      </c>
      <c r="W1563" s="7">
        <v>1200000</v>
      </c>
      <c r="X1563" s="5">
        <v>8.4000000000000004</v>
      </c>
      <c r="Y1563" s="7">
        <v>1200000</v>
      </c>
      <c r="Z1563" s="1"/>
      <c r="AA1563" s="1" t="s">
        <v>10566</v>
      </c>
      <c r="AB1563" s="1" t="s">
        <v>10567</v>
      </c>
      <c r="AC1563" s="1" t="s">
        <v>10568</v>
      </c>
      <c r="AD1563" s="1" t="s">
        <v>10569</v>
      </c>
      <c r="AE1563" s="1" t="s">
        <v>51</v>
      </c>
      <c r="AF1563" s="1" t="s">
        <v>51</v>
      </c>
      <c r="AG1563" s="1" t="s">
        <v>47</v>
      </c>
      <c r="AH1563" s="1"/>
      <c r="AI1563" s="1"/>
      <c r="AJ1563" s="3">
        <v>3</v>
      </c>
      <c r="AK1563" s="1" t="s">
        <v>110</v>
      </c>
      <c r="AL1563" s="3">
        <v>4</v>
      </c>
      <c r="AM1563" s="1"/>
      <c r="AN1563" s="1"/>
      <c r="AO1563" s="1" t="s">
        <v>10570</v>
      </c>
      <c r="AP1563" s="1" t="s">
        <v>10571</v>
      </c>
      <c r="AQ1563" s="1" t="s">
        <v>10572</v>
      </c>
      <c r="AR1563" s="1" t="s">
        <v>10573</v>
      </c>
    </row>
    <row r="1564">
      <c r="A1564" s="2">
        <f ca="1">DATE(2005,03,25)</f>
        <v>0</v>
      </c>
      <c r="B1564" s="2">
        <f ca="1">DATE(2005,07,20)</f>
        <v>0</v>
      </c>
      <c r="C1564" s="1" t="s">
        <v>10574</v>
      </c>
      <c r="D1564" s="3">
        <v>2834</v>
      </c>
      <c r="E1564" s="1" t="s">
        <v>43</v>
      </c>
      <c r="F1564" s="1" t="s">
        <v>10575</v>
      </c>
      <c r="G1564" s="1" t="s">
        <v>4823</v>
      </c>
      <c r="H1564" s="4">
        <v>1.19</v>
      </c>
      <c r="I1564" s="8">
        <v>7</v>
      </c>
      <c r="J1564" s="5">
        <v>135.19999999999999</v>
      </c>
      <c r="K1564" s="4">
        <v>17</v>
      </c>
      <c r="L1564" s="1" t="s">
        <v>46</v>
      </c>
      <c r="M1564" s="1" t="s">
        <v>47</v>
      </c>
      <c r="N1564" s="1" t="s">
        <v>10576</v>
      </c>
      <c r="O1564" s="1" t="s">
        <v>48</v>
      </c>
      <c r="P1564" s="1" t="s">
        <v>10577</v>
      </c>
      <c r="Q1564" s="4">
        <v>1.4119999999999999</v>
      </c>
      <c r="R1564" s="4">
        <v>1.353</v>
      </c>
      <c r="S1564" s="6">
        <v>4.23529</v>
      </c>
      <c r="T1564" s="1" t="s">
        <v>50</v>
      </c>
      <c r="U1564" s="1"/>
      <c r="V1564" s="1"/>
      <c r="W1564" s="1"/>
      <c r="X1564" s="5">
        <v>125</v>
      </c>
      <c r="Y1564" s="7">
        <v>5697000</v>
      </c>
      <c r="Z1564" s="7">
        <v>2253000</v>
      </c>
      <c r="AA1564" s="1" t="s">
        <v>10578</v>
      </c>
      <c r="AB1564" s="1" t="s">
        <v>10579</v>
      </c>
      <c r="AC1564" s="1" t="s">
        <v>3909</v>
      </c>
      <c r="AD1564" s="1" t="s">
        <v>10580</v>
      </c>
      <c r="AE1564" s="1" t="s">
        <v>51</v>
      </c>
      <c r="AF1564" s="1" t="s">
        <v>51</v>
      </c>
      <c r="AG1564" s="1" t="s">
        <v>47</v>
      </c>
      <c r="AH1564" s="1"/>
      <c r="AI1564" s="1"/>
      <c r="AJ1564" s="3">
        <v>2</v>
      </c>
      <c r="AK1564" s="1" t="s">
        <v>89</v>
      </c>
      <c r="AL1564" s="3">
        <v>4</v>
      </c>
      <c r="AM1564" s="8">
        <v>25.75</v>
      </c>
      <c r="AN1564" s="1"/>
      <c r="AO1564" s="1" t="s">
        <v>10581</v>
      </c>
      <c r="AP1564" s="1" t="s">
        <v>4826</v>
      </c>
      <c r="AQ1564" s="1" t="s">
        <v>10582</v>
      </c>
      <c r="AR1564" s="1" t="s">
        <v>10583</v>
      </c>
    </row>
    <row r="1565">
      <c r="A1565" s="2">
        <f ca="1">DATE(2005,03,25)</f>
        <v>0</v>
      </c>
      <c r="B1565" s="2">
        <f ca="1">DATE(2005,07,20)</f>
        <v>0</v>
      </c>
      <c r="C1565" s="1" t="s">
        <v>10584</v>
      </c>
      <c r="D1565" s="3">
        <v>2068</v>
      </c>
      <c r="E1565" s="1" t="s">
        <v>43</v>
      </c>
      <c r="F1565" s="1" t="s">
        <v>1541</v>
      </c>
      <c r="G1565" s="1" t="s">
        <v>45</v>
      </c>
      <c r="H1565" s="4">
        <v>1.19</v>
      </c>
      <c r="I1565" s="8">
        <v>7</v>
      </c>
      <c r="J1565" s="5">
        <v>102</v>
      </c>
      <c r="K1565" s="4">
        <v>17</v>
      </c>
      <c r="L1565" s="1" t="s">
        <v>46</v>
      </c>
      <c r="M1565" s="1" t="s">
        <v>47</v>
      </c>
      <c r="N1565" s="3">
        <v>252603105</v>
      </c>
      <c r="O1565" s="1" t="s">
        <v>48</v>
      </c>
      <c r="P1565" s="1" t="s">
        <v>10585</v>
      </c>
      <c r="Q1565" s="4">
        <v>1.5880000000000001</v>
      </c>
      <c r="R1565" s="4">
        <v>1.5289999999999999</v>
      </c>
      <c r="S1565" s="6">
        <v>3.8823500000000002</v>
      </c>
      <c r="T1565" s="1" t="s">
        <v>50</v>
      </c>
      <c r="U1565" s="8">
        <v>16</v>
      </c>
      <c r="V1565" s="8">
        <v>14</v>
      </c>
      <c r="W1565" s="7">
        <v>5333333</v>
      </c>
      <c r="X1565" s="5">
        <v>80</v>
      </c>
      <c r="Y1565" s="7">
        <v>6000000</v>
      </c>
      <c r="Z1565" s="1"/>
      <c r="AA1565" s="1" t="s">
        <v>10586</v>
      </c>
      <c r="AB1565" s="1" t="s">
        <v>5265</v>
      </c>
      <c r="AC1565" s="1" t="s">
        <v>8687</v>
      </c>
      <c r="AD1565" s="1" t="s">
        <v>5265</v>
      </c>
      <c r="AE1565" s="1" t="s">
        <v>51</v>
      </c>
      <c r="AF1565" s="1" t="s">
        <v>51</v>
      </c>
      <c r="AG1565" s="1" t="s">
        <v>51</v>
      </c>
      <c r="AH1565" s="1"/>
      <c r="AI1565" s="1"/>
      <c r="AJ1565" s="3">
        <v>1</v>
      </c>
      <c r="AK1565" s="1" t="s">
        <v>52</v>
      </c>
      <c r="AL1565" s="3">
        <v>3</v>
      </c>
      <c r="AM1565" s="8">
        <v>21.050000000000001</v>
      </c>
      <c r="AN1565" s="1"/>
      <c r="AO1565" s="1" t="s">
        <v>10587</v>
      </c>
      <c r="AP1565" s="1" t="s">
        <v>45</v>
      </c>
      <c r="AQ1565" s="1" t="s">
        <v>10588</v>
      </c>
      <c r="AR1565" s="1" t="s">
        <v>10589</v>
      </c>
    </row>
    <row r="1566">
      <c r="A1566" s="2">
        <f ca="1">DATE(2005,06,09)</f>
        <v>0</v>
      </c>
      <c r="B1566" s="2">
        <f ca="1">DATE(2005,07,20)</f>
        <v>0</v>
      </c>
      <c r="C1566" s="1" t="s">
        <v>10590</v>
      </c>
      <c r="D1566" s="3">
        <v>6159</v>
      </c>
      <c r="E1566" s="1" t="s">
        <v>43</v>
      </c>
      <c r="F1566" s="1" t="s">
        <v>10591</v>
      </c>
      <c r="G1566" s="1" t="s">
        <v>3236</v>
      </c>
      <c r="H1566" s="4">
        <v>0.80500000000000005</v>
      </c>
      <c r="I1566" s="4">
        <v>7</v>
      </c>
      <c r="J1566" s="5">
        <v>12.699999999999999</v>
      </c>
      <c r="K1566" s="4">
        <v>11.5</v>
      </c>
      <c r="L1566" s="1" t="s">
        <v>46</v>
      </c>
      <c r="M1566" s="1" t="s">
        <v>47</v>
      </c>
      <c r="N1566" s="3">
        <v>353487200</v>
      </c>
      <c r="O1566" s="1" t="s">
        <v>48</v>
      </c>
      <c r="P1566" s="1" t="s">
        <v>5791</v>
      </c>
      <c r="Q1566" s="1" t="s">
        <v>145</v>
      </c>
      <c r="R1566" s="1" t="s">
        <v>145</v>
      </c>
      <c r="S1566" s="6">
        <v>4.1739100000000002</v>
      </c>
      <c r="T1566" s="1" t="s">
        <v>50</v>
      </c>
      <c r="U1566" s="8">
        <v>12.15</v>
      </c>
      <c r="V1566" s="8">
        <v>12.15</v>
      </c>
      <c r="W1566" s="7">
        <v>1100000</v>
      </c>
      <c r="X1566" s="5">
        <v>13.4</v>
      </c>
      <c r="Y1566" s="7">
        <v>1100000</v>
      </c>
      <c r="Z1566" s="1"/>
      <c r="AA1566" s="1"/>
      <c r="AB1566" s="1"/>
      <c r="AC1566" s="1"/>
      <c r="AD1566" s="1"/>
      <c r="AE1566" s="1" t="s">
        <v>51</v>
      </c>
      <c r="AF1566" s="1" t="s">
        <v>51</v>
      </c>
      <c r="AG1566" s="1" t="s">
        <v>51</v>
      </c>
      <c r="AH1566" s="1"/>
      <c r="AI1566" s="1"/>
      <c r="AJ1566" s="3">
        <v>1</v>
      </c>
      <c r="AK1566" s="1" t="s">
        <v>52</v>
      </c>
      <c r="AL1566" s="3">
        <v>1</v>
      </c>
      <c r="AM1566" s="8">
        <v>11.5</v>
      </c>
      <c r="AN1566" s="1"/>
      <c r="AO1566" s="1" t="s">
        <v>3236</v>
      </c>
      <c r="AP1566" s="1" t="s">
        <v>3236</v>
      </c>
      <c r="AQ1566" s="1" t="s">
        <v>3236</v>
      </c>
      <c r="AR1566" s="1" t="s">
        <v>5791</v>
      </c>
    </row>
    <row r="1567">
      <c r="A1567" s="2">
        <f ca="1">DATE(2004,12,08)</f>
        <v>0</v>
      </c>
      <c r="B1567" s="2">
        <f ca="1">DATE(2005,07,21)</f>
        <v>0</v>
      </c>
      <c r="C1567" s="1" t="s">
        <v>10592</v>
      </c>
      <c r="D1567" s="3">
        <v>4899</v>
      </c>
      <c r="E1567" s="1" t="s">
        <v>43</v>
      </c>
      <c r="F1567" s="1" t="s">
        <v>10593</v>
      </c>
      <c r="G1567" s="1" t="s">
        <v>8935</v>
      </c>
      <c r="H1567" s="4">
        <v>0.81299999999999994</v>
      </c>
      <c r="I1567" s="4">
        <v>6.25</v>
      </c>
      <c r="J1567" s="5">
        <v>203.69999999999999</v>
      </c>
      <c r="K1567" s="4">
        <v>13</v>
      </c>
      <c r="L1567" s="1" t="s">
        <v>46</v>
      </c>
      <c r="M1567" s="1" t="s">
        <v>47</v>
      </c>
      <c r="N1567" s="3">
        <v>209034107</v>
      </c>
      <c r="O1567" s="1" t="s">
        <v>48</v>
      </c>
      <c r="P1567" s="1" t="s">
        <v>10594</v>
      </c>
      <c r="Q1567" s="4">
        <v>1.25</v>
      </c>
      <c r="R1567" s="4">
        <v>1.25</v>
      </c>
      <c r="S1567" s="6">
        <v>3.69231</v>
      </c>
      <c r="T1567" s="1" t="s">
        <v>50</v>
      </c>
      <c r="U1567" s="1"/>
      <c r="V1567" s="1"/>
      <c r="W1567" s="1"/>
      <c r="X1567" s="5">
        <v>400</v>
      </c>
      <c r="Y1567" s="7">
        <v>6000000</v>
      </c>
      <c r="Z1567" s="7">
        <v>9666666</v>
      </c>
      <c r="AA1567" s="1" t="s">
        <v>10595</v>
      </c>
      <c r="AB1567" s="1" t="s">
        <v>10596</v>
      </c>
      <c r="AC1567" s="1" t="s">
        <v>2068</v>
      </c>
      <c r="AD1567" s="1" t="s">
        <v>10597</v>
      </c>
      <c r="AE1567" s="1" t="s">
        <v>51</v>
      </c>
      <c r="AF1567" s="1" t="s">
        <v>51</v>
      </c>
      <c r="AG1567" s="1" t="s">
        <v>51</v>
      </c>
      <c r="AH1567" s="1"/>
      <c r="AI1567" s="1"/>
      <c r="AJ1567" s="3">
        <v>2</v>
      </c>
      <c r="AK1567" s="1" t="s">
        <v>89</v>
      </c>
      <c r="AL1567" s="3">
        <v>6</v>
      </c>
      <c r="AM1567" s="1"/>
      <c r="AN1567" s="1"/>
      <c r="AO1567" s="1" t="s">
        <v>10598</v>
      </c>
      <c r="AP1567" s="1" t="s">
        <v>7956</v>
      </c>
      <c r="AQ1567" s="1" t="s">
        <v>10599</v>
      </c>
      <c r="AR1567" s="1" t="s">
        <v>10600</v>
      </c>
    </row>
    <row r="1568">
      <c r="A1568" s="2">
        <f ca="1">DATE(2005,05,05)</f>
        <v>0</v>
      </c>
      <c r="B1568" s="2">
        <f ca="1">DATE(2005,07,21)</f>
        <v>0</v>
      </c>
      <c r="C1568" s="1" t="s">
        <v>10601</v>
      </c>
      <c r="D1568" s="3">
        <v>3674</v>
      </c>
      <c r="E1568" s="1" t="s">
        <v>43</v>
      </c>
      <c r="F1568" s="1" t="s">
        <v>10602</v>
      </c>
      <c r="G1568" s="1" t="s">
        <v>813</v>
      </c>
      <c r="H1568" s="4">
        <v>1.19</v>
      </c>
      <c r="I1568" s="8">
        <v>7</v>
      </c>
      <c r="J1568" s="5">
        <v>76.5</v>
      </c>
      <c r="K1568" s="4">
        <v>17</v>
      </c>
      <c r="L1568" s="1" t="s">
        <v>46</v>
      </c>
      <c r="M1568" s="1" t="s">
        <v>47</v>
      </c>
      <c r="N1568" s="1" t="s">
        <v>10603</v>
      </c>
      <c r="O1568" s="1" t="s">
        <v>48</v>
      </c>
      <c r="P1568" s="1" t="s">
        <v>10604</v>
      </c>
      <c r="Q1568" s="4">
        <v>1.3999999999999999</v>
      </c>
      <c r="R1568" s="4">
        <v>1.3999999999999999</v>
      </c>
      <c r="S1568" s="8">
        <v>4.2000000000000002</v>
      </c>
      <c r="T1568" s="1" t="s">
        <v>50</v>
      </c>
      <c r="U1568" s="1"/>
      <c r="V1568" s="1"/>
      <c r="W1568" s="1"/>
      <c r="X1568" s="5">
        <v>60</v>
      </c>
      <c r="Y1568" s="7">
        <v>2700000</v>
      </c>
      <c r="Z1568" s="7">
        <v>1800000</v>
      </c>
      <c r="AA1568" s="1" t="s">
        <v>10595</v>
      </c>
      <c r="AB1568" s="1" t="s">
        <v>10605</v>
      </c>
      <c r="AC1568" s="1" t="s">
        <v>8643</v>
      </c>
      <c r="AD1568" s="1" t="s">
        <v>10606</v>
      </c>
      <c r="AE1568" s="1" t="s">
        <v>51</v>
      </c>
      <c r="AF1568" s="1" t="s">
        <v>51</v>
      </c>
      <c r="AG1568" s="1" t="s">
        <v>47</v>
      </c>
      <c r="AH1568" s="1"/>
      <c r="AI1568" s="1"/>
      <c r="AJ1568" s="3">
        <v>1</v>
      </c>
      <c r="AK1568" s="1" t="s">
        <v>52</v>
      </c>
      <c r="AL1568" s="3">
        <v>4</v>
      </c>
      <c r="AM1568" s="8">
        <v>19.399999999999999</v>
      </c>
      <c r="AN1568" s="1"/>
      <c r="AO1568" s="1" t="s">
        <v>10607</v>
      </c>
      <c r="AP1568" s="1" t="s">
        <v>813</v>
      </c>
      <c r="AQ1568" s="1" t="s">
        <v>10608</v>
      </c>
      <c r="AR1568" s="1" t="s">
        <v>10609</v>
      </c>
    </row>
    <row r="1569">
      <c r="A1569" s="2">
        <f ca="1">DATE(2005,05,06)</f>
        <v>0</v>
      </c>
      <c r="B1569" s="2">
        <f ca="1">DATE(2005,07,21)</f>
        <v>0</v>
      </c>
      <c r="C1569" s="1" t="s">
        <v>10610</v>
      </c>
      <c r="D1569" s="3">
        <v>4412</v>
      </c>
      <c r="E1569" s="1" t="s">
        <v>43</v>
      </c>
      <c r="F1569" s="1" t="s">
        <v>10611</v>
      </c>
      <c r="G1569" s="1" t="s">
        <v>10612</v>
      </c>
      <c r="H1569" s="4">
        <v>1.365</v>
      </c>
      <c r="I1569" s="4">
        <v>6.5</v>
      </c>
      <c r="J1569" s="5">
        <v>247</v>
      </c>
      <c r="K1569" s="4">
        <v>21</v>
      </c>
      <c r="L1569" s="1" t="s">
        <v>46</v>
      </c>
      <c r="M1569" s="1" t="s">
        <v>47</v>
      </c>
      <c r="N1569" s="1" t="s">
        <v>10613</v>
      </c>
      <c r="O1569" s="1" t="s">
        <v>108</v>
      </c>
      <c r="P1569" s="1" t="s">
        <v>10614</v>
      </c>
      <c r="Q1569" s="1" t="s">
        <v>145</v>
      </c>
      <c r="R1569" s="1" t="s">
        <v>145</v>
      </c>
      <c r="S1569" s="6">
        <v>3.90476</v>
      </c>
      <c r="T1569" s="1" t="s">
        <v>50</v>
      </c>
      <c r="U1569" s="1"/>
      <c r="V1569" s="1"/>
      <c r="W1569" s="1"/>
      <c r="X1569" s="5">
        <v>350</v>
      </c>
      <c r="Y1569" s="7">
        <v>11760000</v>
      </c>
      <c r="Z1569" s="1"/>
      <c r="AA1569" s="1" t="s">
        <v>10615</v>
      </c>
      <c r="AB1569" s="1" t="s">
        <v>5265</v>
      </c>
      <c r="AC1569" s="1" t="s">
        <v>7759</v>
      </c>
      <c r="AD1569" s="1" t="s">
        <v>5265</v>
      </c>
      <c r="AE1569" s="1" t="s">
        <v>51</v>
      </c>
      <c r="AF1569" s="1" t="s">
        <v>51</v>
      </c>
      <c r="AG1569" s="1" t="s">
        <v>51</v>
      </c>
      <c r="AH1569" s="1"/>
      <c r="AI1569" s="1"/>
      <c r="AJ1569" s="3">
        <v>2</v>
      </c>
      <c r="AK1569" s="1" t="s">
        <v>89</v>
      </c>
      <c r="AL1569" s="3">
        <v>5</v>
      </c>
      <c r="AM1569" s="8">
        <v>21</v>
      </c>
      <c r="AN1569" s="1"/>
      <c r="AO1569" s="1" t="s">
        <v>10616</v>
      </c>
      <c r="AP1569" s="1" t="s">
        <v>10617</v>
      </c>
      <c r="AQ1569" s="1" t="s">
        <v>10618</v>
      </c>
      <c r="AR1569" s="1" t="s">
        <v>10614</v>
      </c>
    </row>
    <row r="1570">
      <c r="A1570" s="2">
        <f ca="1">DATE(2005,04,21)</f>
        <v>0</v>
      </c>
      <c r="B1570" s="2">
        <f ca="1">DATE(2005,07,22)</f>
        <v>0</v>
      </c>
      <c r="C1570" s="1" t="s">
        <v>10619</v>
      </c>
      <c r="D1570" s="3">
        <v>2341</v>
      </c>
      <c r="E1570" s="1" t="s">
        <v>43</v>
      </c>
      <c r="F1570" s="1" t="s">
        <v>10620</v>
      </c>
      <c r="G1570" s="1" t="s">
        <v>10621</v>
      </c>
      <c r="H1570" s="4">
        <v>1.19</v>
      </c>
      <c r="I1570" s="8">
        <v>7</v>
      </c>
      <c r="J1570" s="5">
        <v>217.5</v>
      </c>
      <c r="K1570" s="4">
        <v>17</v>
      </c>
      <c r="L1570" s="1" t="s">
        <v>46</v>
      </c>
      <c r="M1570" s="1" t="s">
        <v>47</v>
      </c>
      <c r="N1570" s="3">
        <v>560305104</v>
      </c>
      <c r="O1570" s="1" t="s">
        <v>108</v>
      </c>
      <c r="P1570" s="1" t="s">
        <v>10622</v>
      </c>
      <c r="Q1570" s="4">
        <v>1.4710000000000001</v>
      </c>
      <c r="R1570" s="4">
        <v>1.4119999999999999</v>
      </c>
      <c r="S1570" s="6">
        <v>4.1176500000000003</v>
      </c>
      <c r="T1570" s="1" t="s">
        <v>50</v>
      </c>
      <c r="U1570" s="1"/>
      <c r="V1570" s="1"/>
      <c r="W1570" s="1"/>
      <c r="X1570" s="5">
        <v>172.5</v>
      </c>
      <c r="Y1570" s="7">
        <v>3375000</v>
      </c>
      <c r="Z1570" s="7">
        <v>9419067</v>
      </c>
      <c r="AA1570" s="2">
        <f ca="1">DATE(2006,01,18)</f>
        <v>0</v>
      </c>
      <c r="AB1570" s="4">
        <v>45.350999999999999</v>
      </c>
      <c r="AC1570" s="3">
        <v>180</v>
      </c>
      <c r="AD1570" s="8">
        <v>10617454</v>
      </c>
      <c r="AE1570" s="1" t="s">
        <v>51</v>
      </c>
      <c r="AF1570" s="1" t="s">
        <v>51</v>
      </c>
      <c r="AG1570" s="1" t="s">
        <v>51</v>
      </c>
      <c r="AH1570" s="1"/>
      <c r="AI1570" s="1"/>
      <c r="AJ1570" s="3">
        <v>2</v>
      </c>
      <c r="AK1570" s="1" t="s">
        <v>89</v>
      </c>
      <c r="AL1570" s="3">
        <v>3</v>
      </c>
      <c r="AM1570" s="8">
        <v>19.850000000000001</v>
      </c>
      <c r="AN1570" s="1"/>
      <c r="AO1570" s="1" t="s">
        <v>10623</v>
      </c>
      <c r="AP1570" s="1" t="s">
        <v>10624</v>
      </c>
      <c r="AQ1570" s="1" t="s">
        <v>10625</v>
      </c>
      <c r="AR1570" s="1" t="s">
        <v>10626</v>
      </c>
    </row>
    <row r="1571">
      <c r="A1571" s="2">
        <f ca="1">DATE(2005,03,29)</f>
        <v>0</v>
      </c>
      <c r="B1571" s="2">
        <f ca="1">DATE(2005,07,25)</f>
        <v>0</v>
      </c>
      <c r="C1571" s="1" t="s">
        <v>10627</v>
      </c>
      <c r="D1571" s="3">
        <v>4911</v>
      </c>
      <c r="E1571" s="1" t="s">
        <v>43</v>
      </c>
      <c r="F1571" s="1" t="s">
        <v>10628</v>
      </c>
      <c r="G1571" s="1" t="s">
        <v>10629</v>
      </c>
      <c r="H1571" s="4">
        <v>0.14399999999999999</v>
      </c>
      <c r="I1571" s="4">
        <v>0.625</v>
      </c>
      <c r="J1571" s="5">
        <v>287.5</v>
      </c>
      <c r="K1571" s="4">
        <v>23</v>
      </c>
      <c r="L1571" s="1" t="s">
        <v>46</v>
      </c>
      <c r="M1571" s="1" t="s">
        <v>47</v>
      </c>
      <c r="N1571" s="3">
        <v>465685105</v>
      </c>
      <c r="O1571" s="1" t="s">
        <v>108</v>
      </c>
      <c r="P1571" s="1" t="s">
        <v>10630</v>
      </c>
      <c r="Q1571" s="4">
        <v>1.2569999999999999</v>
      </c>
      <c r="R1571" s="4">
        <v>1.2569999999999999</v>
      </c>
      <c r="S1571" s="6">
        <v>3.7391299999999998</v>
      </c>
      <c r="T1571" s="1" t="s">
        <v>50</v>
      </c>
      <c r="U1571" s="1"/>
      <c r="V1571" s="1"/>
      <c r="W1571" s="1"/>
      <c r="X1571" s="5">
        <v>300</v>
      </c>
      <c r="Y1571" s="7">
        <v>2500000</v>
      </c>
      <c r="Z1571" s="7">
        <v>10000000</v>
      </c>
      <c r="AA1571" s="2">
        <f ca="1">DATE(2006,01,21)</f>
        <v>0</v>
      </c>
      <c r="AB1571" s="1"/>
      <c r="AC1571" s="3">
        <v>180</v>
      </c>
      <c r="AD1571" s="1"/>
      <c r="AE1571" s="1" t="s">
        <v>51</v>
      </c>
      <c r="AF1571" s="1" t="s">
        <v>51</v>
      </c>
      <c r="AG1571" s="1" t="s">
        <v>51</v>
      </c>
      <c r="AH1571" s="1"/>
      <c r="AI1571" s="1"/>
      <c r="AJ1571" s="3">
        <v>3</v>
      </c>
      <c r="AK1571" s="1" t="s">
        <v>110</v>
      </c>
      <c r="AL1571" s="3">
        <v>5</v>
      </c>
      <c r="AM1571" s="8">
        <v>26.399999999999999</v>
      </c>
      <c r="AN1571" s="1"/>
      <c r="AO1571" s="1" t="s">
        <v>10631</v>
      </c>
      <c r="AP1571" s="1" t="s">
        <v>10632</v>
      </c>
      <c r="AQ1571" s="1" t="s">
        <v>10633</v>
      </c>
      <c r="AR1571" s="1" t="s">
        <v>10634</v>
      </c>
    </row>
    <row r="1572">
      <c r="A1572" s="2">
        <f ca="1">DATE(2005,04,18)</f>
        <v>0</v>
      </c>
      <c r="B1572" s="2">
        <f ca="1">DATE(2005,07,26)</f>
        <v>0</v>
      </c>
      <c r="C1572" s="1" t="s">
        <v>10635</v>
      </c>
      <c r="D1572" s="3">
        <v>1731</v>
      </c>
      <c r="E1572" s="1" t="s">
        <v>43</v>
      </c>
      <c r="F1572" s="1" t="s">
        <v>10636</v>
      </c>
      <c r="G1572" s="1" t="s">
        <v>10637</v>
      </c>
      <c r="H1572" s="4">
        <v>0.97999999999999998</v>
      </c>
      <c r="I1572" s="8">
        <v>7</v>
      </c>
      <c r="J1572" s="5">
        <v>189</v>
      </c>
      <c r="K1572" s="4">
        <v>14</v>
      </c>
      <c r="L1572" s="1" t="s">
        <v>46</v>
      </c>
      <c r="M1572" s="1" t="s">
        <v>47</v>
      </c>
      <c r="N1572" s="3">
        <v>721283109</v>
      </c>
      <c r="O1572" s="1" t="s">
        <v>108</v>
      </c>
      <c r="P1572" s="1" t="s">
        <v>10638</v>
      </c>
      <c r="Q1572" s="4">
        <v>1.3999999999999999</v>
      </c>
      <c r="R1572" s="4">
        <v>1.3999999999999999</v>
      </c>
      <c r="S1572" s="8">
        <v>4.2000000000000002</v>
      </c>
      <c r="T1572" s="1" t="s">
        <v>50</v>
      </c>
      <c r="U1572" s="1"/>
      <c r="V1572" s="1"/>
      <c r="W1572" s="1"/>
      <c r="X1572" s="5">
        <v>230</v>
      </c>
      <c r="Y1572" s="7">
        <v>10000000</v>
      </c>
      <c r="Z1572" s="7">
        <v>3500000</v>
      </c>
      <c r="AA1572" s="1" t="s">
        <v>10639</v>
      </c>
      <c r="AB1572" s="1" t="s">
        <v>5265</v>
      </c>
      <c r="AC1572" s="1" t="s">
        <v>7759</v>
      </c>
      <c r="AD1572" s="1" t="s">
        <v>5265</v>
      </c>
      <c r="AE1572" s="1" t="s">
        <v>51</v>
      </c>
      <c r="AF1572" s="1" t="s">
        <v>51</v>
      </c>
      <c r="AG1572" s="1" t="s">
        <v>51</v>
      </c>
      <c r="AH1572" s="1"/>
      <c r="AI1572" s="1"/>
      <c r="AJ1572" s="3">
        <v>2</v>
      </c>
      <c r="AK1572" s="1" t="s">
        <v>89</v>
      </c>
      <c r="AL1572" s="3">
        <v>4</v>
      </c>
      <c r="AM1572" s="8">
        <v>14.359999999999999</v>
      </c>
      <c r="AN1572" s="1"/>
      <c r="AO1572" s="1" t="s">
        <v>10640</v>
      </c>
      <c r="AP1572" s="1" t="s">
        <v>10641</v>
      </c>
      <c r="AQ1572" s="1" t="s">
        <v>10642</v>
      </c>
      <c r="AR1572" s="1" t="s">
        <v>10643</v>
      </c>
    </row>
    <row r="1573">
      <c r="A1573" s="2">
        <f ca="1">DATE(2005,04,08)</f>
        <v>0</v>
      </c>
      <c r="B1573" s="2">
        <f ca="1">DATE(2005,07,26)</f>
        <v>0</v>
      </c>
      <c r="C1573" s="1" t="s">
        <v>10644</v>
      </c>
      <c r="D1573" s="3">
        <v>6726</v>
      </c>
      <c r="E1573" s="1" t="s">
        <v>43</v>
      </c>
      <c r="F1573" s="1" t="s">
        <v>10645</v>
      </c>
      <c r="G1573" s="1" t="s">
        <v>45</v>
      </c>
      <c r="H1573" s="4">
        <v>0.90000000000000002</v>
      </c>
      <c r="I1573" s="4">
        <v>4.5</v>
      </c>
      <c r="J1573" s="5">
        <v>340</v>
      </c>
      <c r="K1573" s="4">
        <v>20</v>
      </c>
      <c r="L1573" s="1" t="s">
        <v>46</v>
      </c>
      <c r="M1573" s="1" t="s">
        <v>47</v>
      </c>
      <c r="N1573" s="1" t="s">
        <v>10646</v>
      </c>
      <c r="O1573" s="1" t="s">
        <v>108</v>
      </c>
      <c r="P1573" s="1" t="s">
        <v>10647</v>
      </c>
      <c r="Q1573" s="4">
        <v>1</v>
      </c>
      <c r="R1573" s="4">
        <v>0.5</v>
      </c>
      <c r="S1573" s="8">
        <v>3</v>
      </c>
      <c r="T1573" s="1" t="s">
        <v>50</v>
      </c>
      <c r="U1573" s="8">
        <v>20</v>
      </c>
      <c r="V1573" s="8">
        <v>20</v>
      </c>
      <c r="W1573" s="7">
        <v>50000</v>
      </c>
      <c r="X1573" s="5">
        <v>1</v>
      </c>
      <c r="Y1573" s="7">
        <v>17000000</v>
      </c>
      <c r="Z1573" s="1"/>
      <c r="AA1573" s="1"/>
      <c r="AB1573" s="1"/>
      <c r="AC1573" s="1"/>
      <c r="AD1573" s="1"/>
      <c r="AE1573" s="1" t="s">
        <v>51</v>
      </c>
      <c r="AF1573" s="1" t="s">
        <v>51</v>
      </c>
      <c r="AG1573" s="1" t="s">
        <v>51</v>
      </c>
      <c r="AH1573" s="1"/>
      <c r="AI1573" s="1"/>
      <c r="AJ1573" s="3">
        <v>1</v>
      </c>
      <c r="AK1573" s="1" t="s">
        <v>89</v>
      </c>
      <c r="AL1573" s="3">
        <v>9</v>
      </c>
      <c r="AM1573" s="8">
        <v>20</v>
      </c>
      <c r="AN1573" s="1"/>
      <c r="AO1573" s="1" t="s">
        <v>10648</v>
      </c>
      <c r="AP1573" s="1" t="s">
        <v>9419</v>
      </c>
      <c r="AQ1573" s="1" t="s">
        <v>10649</v>
      </c>
      <c r="AR1573" s="1" t="s">
        <v>10650</v>
      </c>
    </row>
    <row r="1574">
      <c r="A1574" s="2">
        <f ca="1">DATE(2005,05,18)</f>
        <v>0</v>
      </c>
      <c r="B1574" s="2">
        <f ca="1">DATE(2005,07,26)</f>
        <v>0</v>
      </c>
      <c r="C1574" s="1" t="s">
        <v>10651</v>
      </c>
      <c r="D1574" s="3">
        <v>6726</v>
      </c>
      <c r="E1574" s="1" t="s">
        <v>43</v>
      </c>
      <c r="F1574" s="1" t="s">
        <v>10652</v>
      </c>
      <c r="G1574" s="1" t="s">
        <v>45</v>
      </c>
      <c r="H1574" s="4">
        <v>0.90000000000000002</v>
      </c>
      <c r="I1574" s="4">
        <v>4.5</v>
      </c>
      <c r="J1574" s="5">
        <v>370</v>
      </c>
      <c r="K1574" s="4">
        <v>20</v>
      </c>
      <c r="L1574" s="1" t="s">
        <v>46</v>
      </c>
      <c r="M1574" s="1" t="s">
        <v>47</v>
      </c>
      <c r="N1574" s="3">
        <v>867037103</v>
      </c>
      <c r="O1574" s="1" t="s">
        <v>108</v>
      </c>
      <c r="P1574" s="1" t="s">
        <v>10653</v>
      </c>
      <c r="Q1574" s="4">
        <v>1</v>
      </c>
      <c r="R1574" s="4">
        <v>0.5</v>
      </c>
      <c r="S1574" s="8">
        <v>3</v>
      </c>
      <c r="T1574" s="1" t="s">
        <v>50</v>
      </c>
      <c r="U1574" s="8">
        <v>20</v>
      </c>
      <c r="V1574" s="8">
        <v>20</v>
      </c>
      <c r="W1574" s="7">
        <v>20000000</v>
      </c>
      <c r="X1574" s="5">
        <v>400</v>
      </c>
      <c r="Y1574" s="7">
        <v>18500000</v>
      </c>
      <c r="Z1574" s="1"/>
      <c r="AA1574" s="2">
        <f ca="1">DATE(2006,01,22)</f>
        <v>0</v>
      </c>
      <c r="AB1574" s="1"/>
      <c r="AC1574" s="3">
        <v>180</v>
      </c>
      <c r="AD1574" s="1"/>
      <c r="AE1574" s="1" t="s">
        <v>51</v>
      </c>
      <c r="AF1574" s="1" t="s">
        <v>51</v>
      </c>
      <c r="AG1574" s="1" t="s">
        <v>51</v>
      </c>
      <c r="AH1574" s="1"/>
      <c r="AI1574" s="1"/>
      <c r="AJ1574" s="3">
        <v>1</v>
      </c>
      <c r="AK1574" s="1" t="s">
        <v>89</v>
      </c>
      <c r="AL1574" s="3">
        <v>15</v>
      </c>
      <c r="AM1574" s="8">
        <v>20.02</v>
      </c>
      <c r="AN1574" s="1"/>
      <c r="AO1574" s="1" t="s">
        <v>10654</v>
      </c>
      <c r="AP1574" s="1" t="s">
        <v>7050</v>
      </c>
      <c r="AQ1574" s="1" t="s">
        <v>10655</v>
      </c>
      <c r="AR1574" s="1" t="s">
        <v>10656</v>
      </c>
    </row>
    <row r="1575">
      <c r="A1575" s="2">
        <f ca="1">DATE(2005,05,12)</f>
        <v>0</v>
      </c>
      <c r="B1575" s="2">
        <f ca="1">DATE(2005,07,27)</f>
        <v>0</v>
      </c>
      <c r="C1575" s="1" t="s">
        <v>10657</v>
      </c>
      <c r="D1575" s="3">
        <v>6726</v>
      </c>
      <c r="E1575" s="1" t="s">
        <v>43</v>
      </c>
      <c r="F1575" s="1" t="s">
        <v>10658</v>
      </c>
      <c r="G1575" s="1" t="s">
        <v>4145</v>
      </c>
      <c r="H1575" s="4">
        <v>0.91000000000000003</v>
      </c>
      <c r="I1575" s="4">
        <v>6.5</v>
      </c>
      <c r="J1575" s="5">
        <v>130.69999999999999</v>
      </c>
      <c r="K1575" s="4">
        <v>14</v>
      </c>
      <c r="L1575" s="1" t="s">
        <v>46</v>
      </c>
      <c r="M1575" s="1" t="s">
        <v>47</v>
      </c>
      <c r="N1575" s="1" t="s">
        <v>10659</v>
      </c>
      <c r="O1575" s="1" t="s">
        <v>48</v>
      </c>
      <c r="P1575" s="1" t="s">
        <v>10660</v>
      </c>
      <c r="Q1575" s="4">
        <v>1.286</v>
      </c>
      <c r="R1575" s="4">
        <v>1.357</v>
      </c>
      <c r="S1575" s="6">
        <v>3.8571399999999998</v>
      </c>
      <c r="T1575" s="1" t="s">
        <v>50</v>
      </c>
      <c r="U1575" s="8">
        <v>16</v>
      </c>
      <c r="V1575" s="8">
        <v>14</v>
      </c>
      <c r="W1575" s="7">
        <v>9333334</v>
      </c>
      <c r="X1575" s="5">
        <v>140</v>
      </c>
      <c r="Y1575" s="7">
        <v>7190477</v>
      </c>
      <c r="Z1575" s="7">
        <v>2142857</v>
      </c>
      <c r="AA1575" s="2">
        <f ca="1">DATE(2006,01,23)</f>
        <v>0</v>
      </c>
      <c r="AB1575" s="4">
        <v>15.446999999999999</v>
      </c>
      <c r="AC1575" s="3">
        <v>180</v>
      </c>
      <c r="AD1575" s="8">
        <v>1705045</v>
      </c>
      <c r="AE1575" s="1" t="s">
        <v>51</v>
      </c>
      <c r="AF1575" s="1" t="s">
        <v>51</v>
      </c>
      <c r="AG1575" s="1" t="s">
        <v>51</v>
      </c>
      <c r="AH1575" s="1"/>
      <c r="AI1575" s="1"/>
      <c r="AJ1575" s="3">
        <v>1</v>
      </c>
      <c r="AK1575" s="1" t="s">
        <v>52</v>
      </c>
      <c r="AL1575" s="3">
        <v>4</v>
      </c>
      <c r="AM1575" s="8">
        <v>14.050000000000001</v>
      </c>
      <c r="AN1575" s="1"/>
      <c r="AO1575" s="1" t="s">
        <v>10661</v>
      </c>
      <c r="AP1575" s="1" t="s">
        <v>4145</v>
      </c>
      <c r="AQ1575" s="1" t="s">
        <v>10662</v>
      </c>
      <c r="AR1575" s="1" t="s">
        <v>10663</v>
      </c>
    </row>
    <row r="1576">
      <c r="A1576" s="2">
        <f ca="1">DATE(2005,05,11)</f>
        <v>0</v>
      </c>
      <c r="B1576" s="2">
        <f ca="1">DATE(2005,07,28)</f>
        <v>0</v>
      </c>
      <c r="C1576" s="1" t="s">
        <v>10664</v>
      </c>
      <c r="D1576" s="3">
        <v>4613</v>
      </c>
      <c r="E1576" s="1" t="s">
        <v>43</v>
      </c>
      <c r="F1576" s="1" t="s">
        <v>10665</v>
      </c>
      <c r="G1576" s="1" t="s">
        <v>10666</v>
      </c>
      <c r="H1576" s="4">
        <v>1.1200000000000001</v>
      </c>
      <c r="I1576" s="4">
        <v>7</v>
      </c>
      <c r="J1576" s="5">
        <v>163.19999999999999</v>
      </c>
      <c r="K1576" s="4">
        <v>16</v>
      </c>
      <c r="L1576" s="1" t="s">
        <v>46</v>
      </c>
      <c r="M1576" s="1" t="s">
        <v>47</v>
      </c>
      <c r="N1576" s="1" t="s">
        <v>10667</v>
      </c>
      <c r="O1576" s="1" t="s">
        <v>108</v>
      </c>
      <c r="P1576" s="1" t="s">
        <v>10668</v>
      </c>
      <c r="Q1576" s="4">
        <v>1.3999999999999999</v>
      </c>
      <c r="R1576" s="4">
        <v>1.3999999999999999</v>
      </c>
      <c r="S1576" s="8">
        <v>4.2000000000000002</v>
      </c>
      <c r="T1576" s="1" t="s">
        <v>50</v>
      </c>
      <c r="U1576" s="1"/>
      <c r="V1576" s="1"/>
      <c r="W1576" s="1"/>
      <c r="X1576" s="5">
        <v>125</v>
      </c>
      <c r="Y1576" s="7">
        <v>10200000</v>
      </c>
      <c r="Z1576" s="1"/>
      <c r="AA1576" s="2">
        <f ca="1">DATE(2006,01,24)</f>
        <v>0</v>
      </c>
      <c r="AB1576" s="4">
        <v>77.433999999999998</v>
      </c>
      <c r="AC1576" s="3">
        <v>180</v>
      </c>
      <c r="AD1576" s="8">
        <v>35001120</v>
      </c>
      <c r="AE1576" s="1" t="s">
        <v>51</v>
      </c>
      <c r="AF1576" s="1" t="s">
        <v>51</v>
      </c>
      <c r="AG1576" s="1" t="s">
        <v>51</v>
      </c>
      <c r="AH1576" s="1"/>
      <c r="AI1576" s="1"/>
      <c r="AJ1576" s="3">
        <v>3</v>
      </c>
      <c r="AK1576" s="1" t="s">
        <v>110</v>
      </c>
      <c r="AL1576" s="3">
        <v>3</v>
      </c>
      <c r="AM1576" s="8">
        <v>17.25</v>
      </c>
      <c r="AN1576" s="1"/>
      <c r="AO1576" s="1" t="s">
        <v>10669</v>
      </c>
      <c r="AP1576" s="1" t="s">
        <v>10670</v>
      </c>
      <c r="AQ1576" s="1" t="s">
        <v>10671</v>
      </c>
      <c r="AR1576" s="1" t="s">
        <v>10672</v>
      </c>
    </row>
    <row r="1577">
      <c r="A1577" s="2">
        <f ca="1">DATE(2005,05,06)</f>
        <v>0</v>
      </c>
      <c r="B1577" s="2">
        <f ca="1">DATE(2005,07,28)</f>
        <v>0</v>
      </c>
      <c r="C1577" s="1" t="s">
        <v>10673</v>
      </c>
      <c r="D1577" s="3">
        <v>6726</v>
      </c>
      <c r="E1577" s="1" t="s">
        <v>43</v>
      </c>
      <c r="F1577" s="1" t="s">
        <v>10674</v>
      </c>
      <c r="G1577" s="1" t="s">
        <v>10277</v>
      </c>
      <c r="H1577" s="4">
        <v>0.64000000000000001</v>
      </c>
      <c r="I1577" s="4">
        <v>8</v>
      </c>
      <c r="J1577" s="5">
        <v>72</v>
      </c>
      <c r="K1577" s="4">
        <v>8</v>
      </c>
      <c r="L1577" s="1" t="s">
        <v>46</v>
      </c>
      <c r="M1577" s="1" t="s">
        <v>47</v>
      </c>
      <c r="N1577" s="1" t="s">
        <v>10675</v>
      </c>
      <c r="O1577" s="1" t="s">
        <v>87</v>
      </c>
      <c r="P1577" s="1" t="s">
        <v>10676</v>
      </c>
      <c r="Q1577" s="1" t="s">
        <v>145</v>
      </c>
      <c r="R1577" s="1" t="s">
        <v>145</v>
      </c>
      <c r="S1577" s="8">
        <v>3</v>
      </c>
      <c r="T1577" s="1" t="s">
        <v>50</v>
      </c>
      <c r="U1577" s="8">
        <v>8</v>
      </c>
      <c r="V1577" s="8">
        <v>8</v>
      </c>
      <c r="W1577" s="7">
        <v>6900000</v>
      </c>
      <c r="X1577" s="5">
        <v>55.200000000000003</v>
      </c>
      <c r="Y1577" s="7">
        <v>9000000</v>
      </c>
      <c r="Z1577" s="1"/>
      <c r="AA1577" s="2">
        <f ca="1">DATE(2006,04,24)</f>
        <v>0</v>
      </c>
      <c r="AB1577" s="4">
        <v>20</v>
      </c>
      <c r="AC1577" s="3">
        <v>270</v>
      </c>
      <c r="AD1577" s="8">
        <v>2250000</v>
      </c>
      <c r="AE1577" s="1" t="s">
        <v>51</v>
      </c>
      <c r="AF1577" s="1" t="s">
        <v>51</v>
      </c>
      <c r="AG1577" s="1" t="s">
        <v>51</v>
      </c>
      <c r="AH1577" s="1"/>
      <c r="AI1577" s="1"/>
      <c r="AJ1577" s="3">
        <v>1</v>
      </c>
      <c r="AK1577" s="1" t="s">
        <v>52</v>
      </c>
      <c r="AL1577" s="3">
        <v>1</v>
      </c>
      <c r="AM1577" s="1"/>
      <c r="AN1577" s="1"/>
      <c r="AO1577" s="1" t="s">
        <v>10677</v>
      </c>
      <c r="AP1577" s="1" t="s">
        <v>10277</v>
      </c>
      <c r="AQ1577" s="1" t="s">
        <v>10277</v>
      </c>
      <c r="AR1577" s="1" t="s">
        <v>10678</v>
      </c>
    </row>
    <row r="1578">
      <c r="A1578" s="2">
        <f ca="1">DATE(2005,05,06)</f>
        <v>0</v>
      </c>
      <c r="B1578" s="2">
        <f ca="1">DATE(2005,07,28)</f>
        <v>0</v>
      </c>
      <c r="C1578" s="1" t="s">
        <v>10679</v>
      </c>
      <c r="D1578" s="3">
        <v>1389</v>
      </c>
      <c r="E1578" s="1" t="s">
        <v>43</v>
      </c>
      <c r="F1578" s="1" t="s">
        <v>10680</v>
      </c>
      <c r="G1578" s="1" t="s">
        <v>10681</v>
      </c>
      <c r="H1578" s="4">
        <v>0.91000000000000003</v>
      </c>
      <c r="I1578" s="4">
        <v>7</v>
      </c>
      <c r="J1578" s="5">
        <v>73.099999999999994</v>
      </c>
      <c r="K1578" s="4">
        <v>13</v>
      </c>
      <c r="L1578" s="1" t="s">
        <v>46</v>
      </c>
      <c r="M1578" s="1" t="s">
        <v>47</v>
      </c>
      <c r="N1578" s="1" t="s">
        <v>10682</v>
      </c>
      <c r="O1578" s="1" t="s">
        <v>48</v>
      </c>
      <c r="P1578" s="1" t="s">
        <v>10683</v>
      </c>
      <c r="Q1578" s="1" t="s">
        <v>145</v>
      </c>
      <c r="R1578" s="1" t="s">
        <v>145</v>
      </c>
      <c r="S1578" s="6">
        <v>4.1538500000000003</v>
      </c>
      <c r="T1578" s="1" t="s">
        <v>50</v>
      </c>
      <c r="U1578" s="1"/>
      <c r="V1578" s="1"/>
      <c r="W1578" s="1"/>
      <c r="X1578" s="5">
        <v>70</v>
      </c>
      <c r="Y1578" s="7">
        <v>4433193</v>
      </c>
      <c r="Z1578" s="7">
        <v>1186807</v>
      </c>
      <c r="AA1578" s="2">
        <f ca="1">DATE(2006,01,24)</f>
        <v>0</v>
      </c>
      <c r="AB1578" s="4">
        <v>69.682000000000002</v>
      </c>
      <c r="AC1578" s="3">
        <v>180</v>
      </c>
      <c r="AD1578" s="8">
        <v>12916667</v>
      </c>
      <c r="AE1578" s="1" t="s">
        <v>51</v>
      </c>
      <c r="AF1578" s="1" t="s">
        <v>51</v>
      </c>
      <c r="AG1578" s="1" t="s">
        <v>51</v>
      </c>
      <c r="AH1578" s="1"/>
      <c r="AI1578" s="1"/>
      <c r="AJ1578" s="3">
        <v>1</v>
      </c>
      <c r="AK1578" s="1" t="s">
        <v>52</v>
      </c>
      <c r="AL1578" s="3">
        <v>4</v>
      </c>
      <c r="AM1578" s="8">
        <v>18.32</v>
      </c>
      <c r="AN1578" s="1"/>
      <c r="AO1578" s="1" t="s">
        <v>10684</v>
      </c>
      <c r="AP1578" s="1" t="s">
        <v>10681</v>
      </c>
      <c r="AQ1578" s="1" t="s">
        <v>10685</v>
      </c>
      <c r="AR1578" s="1" t="s">
        <v>10683</v>
      </c>
    </row>
    <row r="1579">
      <c r="A1579" s="2">
        <f ca="1">DATE(2005,05,17)</f>
        <v>0</v>
      </c>
      <c r="B1579" s="2">
        <f ca="1">DATE(2005,07,29)</f>
        <v>0</v>
      </c>
      <c r="C1579" s="1" t="s">
        <v>10686</v>
      </c>
      <c r="D1579" s="3">
        <v>5941</v>
      </c>
      <c r="E1579" s="1" t="s">
        <v>43</v>
      </c>
      <c r="F1579" s="1" t="s">
        <v>10687</v>
      </c>
      <c r="G1579" s="1" t="s">
        <v>7471</v>
      </c>
      <c r="H1579" s="4">
        <v>0.97999999999999998</v>
      </c>
      <c r="I1579" s="8">
        <v>7</v>
      </c>
      <c r="J1579" s="5">
        <v>55.299999999999997</v>
      </c>
      <c r="K1579" s="4">
        <v>14</v>
      </c>
      <c r="L1579" s="1" t="s">
        <v>46</v>
      </c>
      <c r="M1579" s="1" t="s">
        <v>47</v>
      </c>
      <c r="N1579" s="3">
        <v>381639103</v>
      </c>
      <c r="O1579" s="1" t="s">
        <v>48</v>
      </c>
      <c r="P1579" s="1" t="s">
        <v>10688</v>
      </c>
      <c r="Q1579" s="1" t="s">
        <v>145</v>
      </c>
      <c r="R1579" s="1" t="s">
        <v>145</v>
      </c>
      <c r="S1579" s="6">
        <v>4.1428599999999998</v>
      </c>
      <c r="T1579" s="1" t="s">
        <v>50</v>
      </c>
      <c r="U1579" s="1"/>
      <c r="V1579" s="1"/>
      <c r="W1579" s="1"/>
      <c r="X1579" s="5">
        <v>46</v>
      </c>
      <c r="Y1579" s="7">
        <v>3000000</v>
      </c>
      <c r="Z1579" s="7">
        <v>950000</v>
      </c>
      <c r="AA1579" s="1" t="s">
        <v>10689</v>
      </c>
      <c r="AB1579" s="1" t="s">
        <v>10690</v>
      </c>
      <c r="AC1579" s="1" t="s">
        <v>8939</v>
      </c>
      <c r="AD1579" s="1" t="s">
        <v>10691</v>
      </c>
      <c r="AE1579" s="1" t="s">
        <v>51</v>
      </c>
      <c r="AF1579" s="1" t="s">
        <v>51</v>
      </c>
      <c r="AG1579" s="1" t="s">
        <v>47</v>
      </c>
      <c r="AH1579" s="1"/>
      <c r="AI1579" s="1"/>
      <c r="AJ1579" s="3">
        <v>1</v>
      </c>
      <c r="AK1579" s="1" t="s">
        <v>89</v>
      </c>
      <c r="AL1579" s="3">
        <v>4</v>
      </c>
      <c r="AM1579" s="8">
        <v>18.609999999999999</v>
      </c>
      <c r="AN1579" s="1"/>
      <c r="AO1579" s="1" t="s">
        <v>10692</v>
      </c>
      <c r="AP1579" s="1" t="s">
        <v>10693</v>
      </c>
      <c r="AQ1579" s="1" t="s">
        <v>10694</v>
      </c>
      <c r="AR1579" s="1" t="s">
        <v>10688</v>
      </c>
    </row>
    <row r="1580">
      <c r="A1580" s="2">
        <f ca="1">DATE(2005,04,28)</f>
        <v>0</v>
      </c>
      <c r="B1580" s="2">
        <f ca="1">DATE(2005,08,02)</f>
        <v>0</v>
      </c>
      <c r="C1580" s="1" t="s">
        <v>10695</v>
      </c>
      <c r="D1580" s="3">
        <v>5641</v>
      </c>
      <c r="E1580" s="1" t="s">
        <v>43</v>
      </c>
      <c r="F1580" s="1" t="s">
        <v>10696</v>
      </c>
      <c r="G1580" s="1" t="s">
        <v>4558</v>
      </c>
      <c r="H1580" s="4">
        <v>0.66500000000000004</v>
      </c>
      <c r="I1580" s="4">
        <v>7</v>
      </c>
      <c r="J1580" s="5">
        <v>19</v>
      </c>
      <c r="K1580" s="4">
        <v>9.5</v>
      </c>
      <c r="L1580" s="1" t="s">
        <v>46</v>
      </c>
      <c r="M1580" s="1" t="s">
        <v>47</v>
      </c>
      <c r="N1580" s="1" t="s">
        <v>10697</v>
      </c>
      <c r="O1580" s="1" t="s">
        <v>48</v>
      </c>
      <c r="P1580" s="1" t="s">
        <v>10698</v>
      </c>
      <c r="Q1580" s="1" t="s">
        <v>145</v>
      </c>
      <c r="R1580" s="1" t="s">
        <v>145</v>
      </c>
      <c r="S1580" s="6">
        <v>4.2105300000000003</v>
      </c>
      <c r="T1580" s="1" t="s">
        <v>50</v>
      </c>
      <c r="U1580" s="1"/>
      <c r="V1580" s="1"/>
      <c r="W1580" s="1"/>
      <c r="X1580" s="5">
        <v>17.300000000000001</v>
      </c>
      <c r="Y1580" s="7">
        <v>2000000</v>
      </c>
      <c r="Z1580" s="1"/>
      <c r="AA1580" s="2">
        <f ca="1">DATE(2006,01,29)</f>
        <v>0</v>
      </c>
      <c r="AB1580" s="4">
        <v>55.527000000000001</v>
      </c>
      <c r="AC1580" s="3">
        <v>180</v>
      </c>
      <c r="AD1580" s="8">
        <v>2776517</v>
      </c>
      <c r="AE1580" s="1" t="s">
        <v>51</v>
      </c>
      <c r="AF1580" s="1" t="s">
        <v>51</v>
      </c>
      <c r="AG1580" s="1" t="s">
        <v>51</v>
      </c>
      <c r="AH1580" s="1"/>
      <c r="AI1580" s="1"/>
      <c r="AJ1580" s="3">
        <v>1</v>
      </c>
      <c r="AK1580" s="1" t="s">
        <v>52</v>
      </c>
      <c r="AL1580" s="3">
        <v>2</v>
      </c>
      <c r="AM1580" s="8">
        <v>10.699999999999999</v>
      </c>
      <c r="AN1580" s="1"/>
      <c r="AO1580" s="1" t="s">
        <v>10699</v>
      </c>
      <c r="AP1580" s="1" t="s">
        <v>4558</v>
      </c>
      <c r="AQ1580" s="1" t="s">
        <v>10700</v>
      </c>
      <c r="AR1580" s="1" t="s">
        <v>10701</v>
      </c>
    </row>
    <row r="1581">
      <c r="A1581" s="2">
        <f ca="1">DATE(2005,05,26)</f>
        <v>0</v>
      </c>
      <c r="B1581" s="2">
        <f ca="1">DATE(2005,08,02)</f>
        <v>0</v>
      </c>
      <c r="C1581" s="1" t="s">
        <v>10702</v>
      </c>
      <c r="D1581" s="3">
        <v>7374</v>
      </c>
      <c r="E1581" s="1" t="s">
        <v>6063</v>
      </c>
      <c r="F1581" s="1" t="s">
        <v>10703</v>
      </c>
      <c r="G1581" s="1" t="s">
        <v>10704</v>
      </c>
      <c r="H1581" s="4">
        <v>1.54</v>
      </c>
      <c r="I1581" s="4">
        <v>7</v>
      </c>
      <c r="J1581" s="5">
        <v>225.69999999999999</v>
      </c>
      <c r="K1581" s="4">
        <v>22</v>
      </c>
      <c r="L1581" s="1" t="s">
        <v>46</v>
      </c>
      <c r="M1581" s="1" t="s">
        <v>47</v>
      </c>
      <c r="N1581" s="1" t="s">
        <v>10705</v>
      </c>
      <c r="O1581" s="1" t="s">
        <v>48</v>
      </c>
      <c r="P1581" s="1" t="s">
        <v>10706</v>
      </c>
      <c r="Q1581" s="1" t="s">
        <v>145</v>
      </c>
      <c r="R1581" s="1" t="s">
        <v>145</v>
      </c>
      <c r="S1581" s="6">
        <v>4.5454499999999998</v>
      </c>
      <c r="T1581" s="1" t="s">
        <v>50</v>
      </c>
      <c r="U1581" s="1"/>
      <c r="V1581" s="1"/>
      <c r="W1581" s="1"/>
      <c r="X1581" s="5">
        <v>115</v>
      </c>
      <c r="Y1581" s="1"/>
      <c r="Z1581" s="7">
        <v>10258625</v>
      </c>
      <c r="AA1581" s="1" t="s">
        <v>10707</v>
      </c>
      <c r="AB1581" s="1" t="s">
        <v>10708</v>
      </c>
      <c r="AC1581" s="1" t="s">
        <v>10709</v>
      </c>
      <c r="AD1581" s="1" t="s">
        <v>10710</v>
      </c>
      <c r="AE1581" s="1" t="s">
        <v>51</v>
      </c>
      <c r="AF1581" s="1" t="s">
        <v>51</v>
      </c>
      <c r="AG1581" s="1" t="s">
        <v>51</v>
      </c>
      <c r="AH1581" s="1"/>
      <c r="AI1581" s="1"/>
      <c r="AJ1581" s="3">
        <v>2</v>
      </c>
      <c r="AK1581" s="1" t="s">
        <v>89</v>
      </c>
      <c r="AL1581" s="3">
        <v>5</v>
      </c>
      <c r="AM1581" s="8">
        <v>26.949999999999999</v>
      </c>
      <c r="AN1581" s="1"/>
      <c r="AO1581" s="1" t="s">
        <v>10711</v>
      </c>
      <c r="AP1581" s="1" t="s">
        <v>6680</v>
      </c>
      <c r="AQ1581" s="1" t="s">
        <v>10712</v>
      </c>
      <c r="AR1581" s="1" t="s">
        <v>10713</v>
      </c>
    </row>
    <row r="1582">
      <c r="A1582" s="2">
        <f ca="1">DATE(2004,11,19)</f>
        <v>0</v>
      </c>
      <c r="B1582" s="2">
        <f ca="1">DATE(2005,08,02)</f>
        <v>0</v>
      </c>
      <c r="C1582" s="1" t="s">
        <v>10714</v>
      </c>
      <c r="D1582" s="3">
        <v>7372</v>
      </c>
      <c r="E1582" s="1" t="s">
        <v>43</v>
      </c>
      <c r="F1582" s="1" t="s">
        <v>10715</v>
      </c>
      <c r="G1582" s="1" t="s">
        <v>5110</v>
      </c>
      <c r="H1582" s="4">
        <v>0.69999999999999996</v>
      </c>
      <c r="I1582" s="8">
        <v>7</v>
      </c>
      <c r="J1582" s="5">
        <v>48</v>
      </c>
      <c r="K1582" s="4">
        <v>10</v>
      </c>
      <c r="L1582" s="1" t="s">
        <v>46</v>
      </c>
      <c r="M1582" s="1" t="s">
        <v>47</v>
      </c>
      <c r="N1582" s="3">
        <v>904583101</v>
      </c>
      <c r="O1582" s="1" t="s">
        <v>48</v>
      </c>
      <c r="P1582" s="1" t="s">
        <v>10716</v>
      </c>
      <c r="Q1582" s="1" t="s">
        <v>145</v>
      </c>
      <c r="R1582" s="1" t="s">
        <v>145</v>
      </c>
      <c r="S1582" s="8">
        <v>4.2000000000000002</v>
      </c>
      <c r="T1582" s="1" t="s">
        <v>50</v>
      </c>
      <c r="U1582" s="8">
        <v>11.5</v>
      </c>
      <c r="V1582" s="8">
        <v>9.5</v>
      </c>
      <c r="W1582" s="7">
        <v>4800000</v>
      </c>
      <c r="X1582" s="5">
        <v>50.399999999999999</v>
      </c>
      <c r="Y1582" s="7">
        <v>3750000</v>
      </c>
      <c r="Z1582" s="7">
        <v>1050000</v>
      </c>
      <c r="AA1582" s="2">
        <f ca="1">DATE(2006,01,29)</f>
        <v>0</v>
      </c>
      <c r="AB1582" s="4">
        <v>4.9539999999999997</v>
      </c>
      <c r="AC1582" s="3">
        <v>180</v>
      </c>
      <c r="AD1582" s="8">
        <v>912974</v>
      </c>
      <c r="AE1582" s="1" t="s">
        <v>51</v>
      </c>
      <c r="AF1582" s="1" t="s">
        <v>51</v>
      </c>
      <c r="AG1582" s="1" t="s">
        <v>47</v>
      </c>
      <c r="AH1582" s="1"/>
      <c r="AI1582" s="1"/>
      <c r="AJ1582" s="3">
        <v>1</v>
      </c>
      <c r="AK1582" s="1" t="s">
        <v>52</v>
      </c>
      <c r="AL1582" s="3">
        <v>4</v>
      </c>
      <c r="AM1582" s="8">
        <v>11.710000000000001</v>
      </c>
      <c r="AN1582" s="1"/>
      <c r="AO1582" s="1" t="s">
        <v>10717</v>
      </c>
      <c r="AP1582" s="1" t="s">
        <v>5110</v>
      </c>
      <c r="AQ1582" s="1" t="s">
        <v>10718</v>
      </c>
      <c r="AR1582" s="1" t="s">
        <v>10719</v>
      </c>
    </row>
    <row r="1583">
      <c r="A1583" s="2">
        <f ca="1">DATE(2005,04,04)</f>
        <v>0</v>
      </c>
      <c r="B1583" s="2">
        <f ca="1">DATE(2005,08,03)</f>
        <v>0</v>
      </c>
      <c r="C1583" s="1" t="s">
        <v>10720</v>
      </c>
      <c r="D1583" s="3">
        <v>3674</v>
      </c>
      <c r="E1583" s="1" t="s">
        <v>43</v>
      </c>
      <c r="F1583" s="1" t="s">
        <v>10721</v>
      </c>
      <c r="G1583" s="1" t="s">
        <v>796</v>
      </c>
      <c r="H1583" s="4">
        <v>0.69999999999999996</v>
      </c>
      <c r="I1583" s="8">
        <v>7</v>
      </c>
      <c r="J1583" s="5">
        <v>106</v>
      </c>
      <c r="K1583" s="4">
        <v>10</v>
      </c>
      <c r="L1583" s="1" t="s">
        <v>46</v>
      </c>
      <c r="M1583" s="1" t="s">
        <v>47</v>
      </c>
      <c r="N1583" s="1" t="s">
        <v>10722</v>
      </c>
      <c r="O1583" s="1" t="s">
        <v>48</v>
      </c>
      <c r="P1583" s="1" t="s">
        <v>10723</v>
      </c>
      <c r="Q1583" s="1" t="s">
        <v>145</v>
      </c>
      <c r="R1583" s="1" t="s">
        <v>145</v>
      </c>
      <c r="S1583" s="8">
        <v>4.5</v>
      </c>
      <c r="T1583" s="1" t="s">
        <v>50</v>
      </c>
      <c r="U1583" s="1"/>
      <c r="V1583" s="1"/>
      <c r="W1583" s="1"/>
      <c r="X1583" s="5">
        <v>172.5</v>
      </c>
      <c r="Y1583" s="7">
        <v>9000000</v>
      </c>
      <c r="Z1583" s="7">
        <v>1600000</v>
      </c>
      <c r="AA1583" s="2">
        <f ca="1">DATE(2006,01,30)</f>
        <v>0</v>
      </c>
      <c r="AB1583" s="4">
        <v>74.122</v>
      </c>
      <c r="AC1583" s="3">
        <v>180</v>
      </c>
      <c r="AD1583" s="8">
        <v>30362052</v>
      </c>
      <c r="AE1583" s="1" t="s">
        <v>51</v>
      </c>
      <c r="AF1583" s="1" t="s">
        <v>51</v>
      </c>
      <c r="AG1583" s="1" t="s">
        <v>47</v>
      </c>
      <c r="AH1583" s="1"/>
      <c r="AI1583" s="1"/>
      <c r="AJ1583" s="3">
        <v>1</v>
      </c>
      <c r="AK1583" s="1" t="s">
        <v>52</v>
      </c>
      <c r="AL1583" s="3">
        <v>5</v>
      </c>
      <c r="AM1583" s="8">
        <v>11.869999999999999</v>
      </c>
      <c r="AN1583" s="1"/>
      <c r="AO1583" s="1" t="s">
        <v>10724</v>
      </c>
      <c r="AP1583" s="1" t="s">
        <v>796</v>
      </c>
      <c r="AQ1583" s="1" t="s">
        <v>10725</v>
      </c>
      <c r="AR1583" s="1" t="s">
        <v>10726</v>
      </c>
    </row>
    <row r="1584">
      <c r="A1584" s="2">
        <f ca="1">DATE(2005,04,22)</f>
        <v>0</v>
      </c>
      <c r="B1584" s="2">
        <f ca="1">DATE(2005,08,03)</f>
        <v>0</v>
      </c>
      <c r="C1584" s="1" t="s">
        <v>10727</v>
      </c>
      <c r="D1584" s="3">
        <v>5047</v>
      </c>
      <c r="E1584" s="1" t="s">
        <v>43</v>
      </c>
      <c r="F1584" s="1" t="s">
        <v>10728</v>
      </c>
      <c r="G1584" s="1" t="s">
        <v>1297</v>
      </c>
      <c r="H1584" s="4">
        <v>1.19</v>
      </c>
      <c r="I1584" s="8">
        <v>7</v>
      </c>
      <c r="J1584" s="5">
        <v>73.700000000000003</v>
      </c>
      <c r="K1584" s="4">
        <v>17</v>
      </c>
      <c r="L1584" s="1" t="s">
        <v>46</v>
      </c>
      <c r="M1584" s="1" t="s">
        <v>47</v>
      </c>
      <c r="N1584" s="1" t="s">
        <v>10729</v>
      </c>
      <c r="O1584" s="1" t="s">
        <v>48</v>
      </c>
      <c r="P1584" s="1" t="s">
        <v>7544</v>
      </c>
      <c r="Q1584" s="4">
        <v>1.3999999999999999</v>
      </c>
      <c r="R1584" s="4">
        <v>1.3999999999999999</v>
      </c>
      <c r="S1584" s="8">
        <v>4.2000000000000002</v>
      </c>
      <c r="T1584" s="1" t="s">
        <v>50</v>
      </c>
      <c r="U1584" s="1"/>
      <c r="V1584" s="1"/>
      <c r="W1584" s="1"/>
      <c r="X1584" s="5">
        <v>74.799999999999997</v>
      </c>
      <c r="Y1584" s="7">
        <v>4333334</v>
      </c>
      <c r="Z1584" s="1"/>
      <c r="AA1584" s="1" t="s">
        <v>10730</v>
      </c>
      <c r="AB1584" s="1" t="s">
        <v>10731</v>
      </c>
      <c r="AC1584" s="1" t="s">
        <v>3966</v>
      </c>
      <c r="AD1584" s="1" t="s">
        <v>10732</v>
      </c>
      <c r="AE1584" s="1" t="s">
        <v>51</v>
      </c>
      <c r="AF1584" s="1" t="s">
        <v>51</v>
      </c>
      <c r="AG1584" s="1" t="s">
        <v>51</v>
      </c>
      <c r="AH1584" s="1"/>
      <c r="AI1584" s="1"/>
      <c r="AJ1584" s="3">
        <v>1</v>
      </c>
      <c r="AK1584" s="1" t="s">
        <v>52</v>
      </c>
      <c r="AL1584" s="3">
        <v>3</v>
      </c>
      <c r="AM1584" s="8">
        <v>21.25</v>
      </c>
      <c r="AN1584" s="1"/>
      <c r="AO1584" s="1" t="s">
        <v>10733</v>
      </c>
      <c r="AP1584" s="1" t="s">
        <v>1297</v>
      </c>
      <c r="AQ1584" s="1" t="s">
        <v>10734</v>
      </c>
      <c r="AR1584" s="1" t="s">
        <v>7544</v>
      </c>
    </row>
    <row r="1585">
      <c r="A1585" s="2">
        <f ca="1">DATE(2005,05,10)</f>
        <v>0</v>
      </c>
      <c r="B1585" s="2">
        <f ca="1">DATE(2005,08,03)</f>
        <v>0</v>
      </c>
      <c r="C1585" s="1" t="s">
        <v>10735</v>
      </c>
      <c r="D1585" s="3">
        <v>6331</v>
      </c>
      <c r="E1585" s="1" t="s">
        <v>43</v>
      </c>
      <c r="F1585" s="1" t="s">
        <v>10736</v>
      </c>
      <c r="G1585" s="1" t="s">
        <v>8151</v>
      </c>
      <c r="H1585" s="4">
        <v>0.97999999999999998</v>
      </c>
      <c r="I1585" s="8">
        <v>7</v>
      </c>
      <c r="J1585" s="5">
        <v>84</v>
      </c>
      <c r="K1585" s="4">
        <v>14</v>
      </c>
      <c r="L1585" s="1" t="s">
        <v>46</v>
      </c>
      <c r="M1585" s="1" t="s">
        <v>47</v>
      </c>
      <c r="N1585" s="3">
        <v>760349100</v>
      </c>
      <c r="O1585" s="1" t="s">
        <v>48</v>
      </c>
      <c r="P1585" s="1" t="s">
        <v>10737</v>
      </c>
      <c r="Q1585" s="1" t="s">
        <v>145</v>
      </c>
      <c r="R1585" s="1" t="s">
        <v>145</v>
      </c>
      <c r="S1585" s="8">
        <v>4.5499999999999998</v>
      </c>
      <c r="T1585" s="1" t="s">
        <v>50</v>
      </c>
      <c r="U1585" s="1"/>
      <c r="V1585" s="1"/>
      <c r="W1585" s="1"/>
      <c r="X1585" s="5">
        <v>115</v>
      </c>
      <c r="Y1585" s="7">
        <v>6000000</v>
      </c>
      <c r="Z1585" s="1"/>
      <c r="AA1585" s="2">
        <f ca="1">DATE(2006,01,30)</f>
        <v>0</v>
      </c>
      <c r="AB1585" s="4">
        <v>55.517000000000003</v>
      </c>
      <c r="AC1585" s="3">
        <v>180</v>
      </c>
      <c r="AD1585" s="8">
        <v>7784897</v>
      </c>
      <c r="AE1585" s="1" t="s">
        <v>51</v>
      </c>
      <c r="AF1585" s="1" t="s">
        <v>51</v>
      </c>
      <c r="AG1585" s="1" t="s">
        <v>51</v>
      </c>
      <c r="AH1585" s="1"/>
      <c r="AI1585" s="1"/>
      <c r="AJ1585" s="3">
        <v>2</v>
      </c>
      <c r="AK1585" s="1" t="s">
        <v>89</v>
      </c>
      <c r="AL1585" s="3">
        <v>4</v>
      </c>
      <c r="AM1585" s="8">
        <v>14.01</v>
      </c>
      <c r="AN1585" s="1"/>
      <c r="AO1585" s="1" t="s">
        <v>10738</v>
      </c>
      <c r="AP1585" s="1" t="s">
        <v>8158</v>
      </c>
      <c r="AQ1585" s="1" t="s">
        <v>10739</v>
      </c>
      <c r="AR1585" s="1" t="s">
        <v>10740</v>
      </c>
    </row>
    <row r="1586">
      <c r="A1586" s="2">
        <f ca="1">DATE(2005,04,13)</f>
        <v>0</v>
      </c>
      <c r="B1586" s="2">
        <f ca="1">DATE(2005,08,03)</f>
        <v>0</v>
      </c>
      <c r="C1586" s="1" t="s">
        <v>10741</v>
      </c>
      <c r="D1586" s="3">
        <v>4832</v>
      </c>
      <c r="E1586" s="1" t="s">
        <v>43</v>
      </c>
      <c r="F1586" s="1" t="s">
        <v>10742</v>
      </c>
      <c r="G1586" s="1" t="s">
        <v>5704</v>
      </c>
      <c r="H1586" s="4">
        <v>1.47</v>
      </c>
      <c r="I1586" s="8">
        <v>7</v>
      </c>
      <c r="J1586" s="5">
        <v>249.19999999999999</v>
      </c>
      <c r="K1586" s="4">
        <v>21</v>
      </c>
      <c r="L1586" s="1" t="s">
        <v>152</v>
      </c>
      <c r="M1586" s="1" t="s">
        <v>47</v>
      </c>
      <c r="N1586" s="3">
        <v>981579105</v>
      </c>
      <c r="O1586" s="1" t="s">
        <v>48</v>
      </c>
      <c r="P1586" s="1" t="s">
        <v>10743</v>
      </c>
      <c r="Q1586" s="4">
        <v>1.381</v>
      </c>
      <c r="R1586" s="4">
        <v>1.4290000000000001</v>
      </c>
      <c r="S1586" s="6">
        <v>4.19048</v>
      </c>
      <c r="T1586" s="1" t="s">
        <v>50</v>
      </c>
      <c r="U1586" s="1"/>
      <c r="V1586" s="1"/>
      <c r="W1586" s="1"/>
      <c r="X1586" s="5">
        <v>100</v>
      </c>
      <c r="Y1586" s="7">
        <v>11500000</v>
      </c>
      <c r="Z1586" s="7">
        <v>368400</v>
      </c>
      <c r="AA1586" s="2">
        <f ca="1">DATE(2006,01,30)</f>
        <v>0</v>
      </c>
      <c r="AB1586" s="4">
        <v>14.847</v>
      </c>
      <c r="AC1586" s="3">
        <v>180</v>
      </c>
      <c r="AD1586" s="8">
        <v>5669176</v>
      </c>
      <c r="AE1586" s="1" t="s">
        <v>51</v>
      </c>
      <c r="AF1586" s="1" t="s">
        <v>51</v>
      </c>
      <c r="AG1586" s="1" t="s">
        <v>51</v>
      </c>
      <c r="AH1586" s="1"/>
      <c r="AI1586" s="1"/>
      <c r="AJ1586" s="3">
        <v>1</v>
      </c>
      <c r="AK1586" s="1" t="s">
        <v>52</v>
      </c>
      <c r="AL1586" s="3">
        <v>2</v>
      </c>
      <c r="AM1586" s="8">
        <v>22.359999999999999</v>
      </c>
      <c r="AN1586" s="1"/>
      <c r="AO1586" s="1" t="s">
        <v>10744</v>
      </c>
      <c r="AP1586" s="1" t="s">
        <v>5704</v>
      </c>
      <c r="AQ1586" s="1" t="s">
        <v>10745</v>
      </c>
      <c r="AR1586" s="1" t="s">
        <v>10743</v>
      </c>
    </row>
    <row r="1587">
      <c r="A1587" s="2">
        <f ca="1">DATE(2005,04,28)</f>
        <v>0</v>
      </c>
      <c r="B1587" s="2">
        <f ca="1">DATE(2005,08,04)</f>
        <v>0</v>
      </c>
      <c r="C1587" s="1" t="s">
        <v>10746</v>
      </c>
      <c r="D1587" s="3">
        <v>2834</v>
      </c>
      <c r="E1587" s="1" t="s">
        <v>43</v>
      </c>
      <c r="F1587" s="1" t="s">
        <v>10747</v>
      </c>
      <c r="G1587" s="1" t="s">
        <v>2896</v>
      </c>
      <c r="H1587" s="4">
        <v>0.34999999999999998</v>
      </c>
      <c r="I1587" s="8">
        <v>7</v>
      </c>
      <c r="J1587" s="5">
        <v>32</v>
      </c>
      <c r="K1587" s="4">
        <v>5</v>
      </c>
      <c r="L1587" s="1" t="s">
        <v>46</v>
      </c>
      <c r="M1587" s="1" t="s">
        <v>47</v>
      </c>
      <c r="N1587" s="1" t="s">
        <v>10748</v>
      </c>
      <c r="O1587" s="1" t="s">
        <v>48</v>
      </c>
      <c r="P1587" s="1" t="s">
        <v>10749</v>
      </c>
      <c r="Q1587" s="1" t="s">
        <v>145</v>
      </c>
      <c r="R1587" s="1" t="s">
        <v>145</v>
      </c>
      <c r="S1587" s="8">
        <v>4.2000000000000002</v>
      </c>
      <c r="T1587" s="1" t="s">
        <v>50</v>
      </c>
      <c r="U1587" s="1"/>
      <c r="V1587" s="1"/>
      <c r="W1587" s="1"/>
      <c r="X1587" s="5">
        <v>86.299999999999997</v>
      </c>
      <c r="Y1587" s="7">
        <v>6400000</v>
      </c>
      <c r="Z1587" s="1"/>
      <c r="AA1587" s="2">
        <f ca="1">DATE(2006,01,31)</f>
        <v>0</v>
      </c>
      <c r="AB1587" s="4">
        <v>64.099000000000004</v>
      </c>
      <c r="AC1587" s="3">
        <v>180</v>
      </c>
      <c r="AD1587" s="8">
        <v>11426801</v>
      </c>
      <c r="AE1587" s="1" t="s">
        <v>51</v>
      </c>
      <c r="AF1587" s="1" t="s">
        <v>51</v>
      </c>
      <c r="AG1587" s="1" t="s">
        <v>51</v>
      </c>
      <c r="AH1587" s="1"/>
      <c r="AI1587" s="1"/>
      <c r="AJ1587" s="3">
        <v>1</v>
      </c>
      <c r="AK1587" s="1" t="s">
        <v>89</v>
      </c>
      <c r="AL1587" s="3">
        <v>3</v>
      </c>
      <c r="AM1587" s="8">
        <v>6</v>
      </c>
      <c r="AN1587" s="1"/>
      <c r="AO1587" s="1" t="s">
        <v>10750</v>
      </c>
      <c r="AP1587" s="1" t="s">
        <v>10751</v>
      </c>
      <c r="AQ1587" s="1" t="s">
        <v>10752</v>
      </c>
      <c r="AR1587" s="1" t="s">
        <v>10749</v>
      </c>
    </row>
    <row r="1588">
      <c r="A1588" s="2">
        <f ca="1">DATE(2005,05,16)</f>
        <v>0</v>
      </c>
      <c r="B1588" s="2">
        <f ca="1">DATE(2005,08,04)</f>
        <v>0</v>
      </c>
      <c r="C1588" s="1" t="s">
        <v>10753</v>
      </c>
      <c r="D1588" s="3">
        <v>3511</v>
      </c>
      <c r="E1588" s="1" t="s">
        <v>43</v>
      </c>
      <c r="F1588" s="1" t="s">
        <v>10754</v>
      </c>
      <c r="G1588" s="1" t="s">
        <v>9160</v>
      </c>
      <c r="H1588" s="4">
        <v>1.26</v>
      </c>
      <c r="I1588" s="4">
        <v>6</v>
      </c>
      <c r="J1588" s="5">
        <v>567</v>
      </c>
      <c r="K1588" s="4">
        <v>21</v>
      </c>
      <c r="L1588" s="1" t="s">
        <v>46</v>
      </c>
      <c r="M1588" s="1" t="s">
        <v>47</v>
      </c>
      <c r="N1588" s="3">
        <v>261608103</v>
      </c>
      <c r="O1588" s="1" t="s">
        <v>108</v>
      </c>
      <c r="P1588" s="1" t="s">
        <v>10755</v>
      </c>
      <c r="Q1588" s="1" t="s">
        <v>145</v>
      </c>
      <c r="R1588" s="1" t="s">
        <v>145</v>
      </c>
      <c r="S1588" s="6">
        <v>3.90476</v>
      </c>
      <c r="T1588" s="1" t="s">
        <v>50</v>
      </c>
      <c r="U1588" s="1"/>
      <c r="V1588" s="1"/>
      <c r="W1588" s="1"/>
      <c r="X1588" s="5">
        <v>400</v>
      </c>
      <c r="Y1588" s="7">
        <v>27000000</v>
      </c>
      <c r="Z1588" s="1"/>
      <c r="AA1588" s="1" t="s">
        <v>10756</v>
      </c>
      <c r="AB1588" s="1" t="s">
        <v>10757</v>
      </c>
      <c r="AC1588" s="1" t="s">
        <v>10758</v>
      </c>
      <c r="AD1588" s="1" t="s">
        <v>10759</v>
      </c>
      <c r="AE1588" s="1" t="s">
        <v>51</v>
      </c>
      <c r="AF1588" s="1" t="s">
        <v>51</v>
      </c>
      <c r="AG1588" s="1" t="s">
        <v>51</v>
      </c>
      <c r="AH1588" s="1"/>
      <c r="AI1588" s="1"/>
      <c r="AJ1588" s="3">
        <v>2</v>
      </c>
      <c r="AK1588" s="1" t="s">
        <v>89</v>
      </c>
      <c r="AL1588" s="3">
        <v>9</v>
      </c>
      <c r="AM1588" s="8">
        <v>22.800000000000001</v>
      </c>
      <c r="AN1588" s="1"/>
      <c r="AO1588" s="1" t="s">
        <v>10760</v>
      </c>
      <c r="AP1588" s="1" t="s">
        <v>9747</v>
      </c>
      <c r="AQ1588" s="1" t="s">
        <v>10761</v>
      </c>
      <c r="AR1588" s="1" t="s">
        <v>10762</v>
      </c>
    </row>
    <row r="1589">
      <c r="A1589" s="2">
        <f ca="1">DATE(2005,05,06)</f>
        <v>0</v>
      </c>
      <c r="B1589" s="2">
        <f ca="1">DATE(2005,08,04)</f>
        <v>0</v>
      </c>
      <c r="C1589" s="1" t="s">
        <v>10763</v>
      </c>
      <c r="D1589" s="3">
        <v>4813</v>
      </c>
      <c r="E1589" s="1" t="s">
        <v>43</v>
      </c>
      <c r="F1589" s="1" t="s">
        <v>10764</v>
      </c>
      <c r="G1589" s="1" t="s">
        <v>9549</v>
      </c>
      <c r="H1589" s="4">
        <v>0.97999999999999998</v>
      </c>
      <c r="I1589" s="8">
        <v>7</v>
      </c>
      <c r="J1589" s="5">
        <v>75</v>
      </c>
      <c r="K1589" s="4">
        <v>14</v>
      </c>
      <c r="L1589" s="1" t="s">
        <v>46</v>
      </c>
      <c r="M1589" s="1" t="s">
        <v>47</v>
      </c>
      <c r="N1589" s="3">
        <v>296290109</v>
      </c>
      <c r="O1589" s="1" t="s">
        <v>48</v>
      </c>
      <c r="P1589" s="1" t="s">
        <v>10765</v>
      </c>
      <c r="Q1589" s="4">
        <v>1.3999999999999999</v>
      </c>
      <c r="R1589" s="4">
        <v>1.357</v>
      </c>
      <c r="S1589" s="8">
        <v>4.2000000000000002</v>
      </c>
      <c r="T1589" s="1" t="s">
        <v>50</v>
      </c>
      <c r="U1589" s="1"/>
      <c r="V1589" s="1"/>
      <c r="W1589" s="1"/>
      <c r="X1589" s="5">
        <v>86.299999999999997</v>
      </c>
      <c r="Y1589" s="7">
        <v>5357143</v>
      </c>
      <c r="Z1589" s="1"/>
      <c r="AA1589" s="2">
        <f ca="1">DATE(2006,01,31)</f>
        <v>0</v>
      </c>
      <c r="AB1589" s="4">
        <v>62.444000000000003</v>
      </c>
      <c r="AC1589" s="3">
        <v>180</v>
      </c>
      <c r="AD1589" s="8">
        <v>9130929</v>
      </c>
      <c r="AE1589" s="1" t="s">
        <v>51</v>
      </c>
      <c r="AF1589" s="1" t="s">
        <v>51</v>
      </c>
      <c r="AG1589" s="1" t="s">
        <v>51</v>
      </c>
      <c r="AH1589" s="1"/>
      <c r="AI1589" s="1"/>
      <c r="AJ1589" s="3">
        <v>2</v>
      </c>
      <c r="AK1589" s="1" t="s">
        <v>89</v>
      </c>
      <c r="AL1589" s="3">
        <v>3</v>
      </c>
      <c r="AM1589" s="8">
        <v>13.15</v>
      </c>
      <c r="AN1589" s="1"/>
      <c r="AO1589" s="1" t="s">
        <v>10766</v>
      </c>
      <c r="AP1589" s="1" t="s">
        <v>9555</v>
      </c>
      <c r="AQ1589" s="1" t="s">
        <v>10767</v>
      </c>
      <c r="AR1589" s="1" t="s">
        <v>10765</v>
      </c>
    </row>
    <row r="1590">
      <c r="A1590" s="2">
        <f ca="1">DATE(2005,04,20)</f>
        <v>0</v>
      </c>
      <c r="B1590" s="2">
        <f ca="1">DATE(2005,08,05)</f>
        <v>0</v>
      </c>
      <c r="C1590" s="1" t="s">
        <v>10768</v>
      </c>
      <c r="D1590" s="3">
        <v>3841</v>
      </c>
      <c r="E1590" s="1" t="s">
        <v>43</v>
      </c>
      <c r="F1590" s="1" t="s">
        <v>10769</v>
      </c>
      <c r="G1590" s="1" t="s">
        <v>10770</v>
      </c>
      <c r="H1590" s="4">
        <v>0.83999999999999997</v>
      </c>
      <c r="I1590" s="8">
        <v>7</v>
      </c>
      <c r="J1590" s="5">
        <v>48</v>
      </c>
      <c r="K1590" s="4">
        <v>12</v>
      </c>
      <c r="L1590" s="1" t="s">
        <v>46</v>
      </c>
      <c r="M1590" s="1" t="s">
        <v>47</v>
      </c>
      <c r="N1590" s="1" t="s">
        <v>10771</v>
      </c>
      <c r="O1590" s="1" t="s">
        <v>48</v>
      </c>
      <c r="P1590" s="1" t="s">
        <v>10772</v>
      </c>
      <c r="Q1590" s="4">
        <v>1.417</v>
      </c>
      <c r="R1590" s="4">
        <v>1.417</v>
      </c>
      <c r="S1590" s="6">
        <v>4.1666699999999999</v>
      </c>
      <c r="T1590" s="1" t="s">
        <v>50</v>
      </c>
      <c r="U1590" s="1"/>
      <c r="V1590" s="1"/>
      <c r="W1590" s="1"/>
      <c r="X1590" s="5">
        <v>57.5</v>
      </c>
      <c r="Y1590" s="7">
        <v>4000000</v>
      </c>
      <c r="Z1590" s="1"/>
      <c r="AA1590" s="1" t="s">
        <v>10773</v>
      </c>
      <c r="AB1590" s="1" t="s">
        <v>10774</v>
      </c>
      <c r="AC1590" s="1" t="s">
        <v>8611</v>
      </c>
      <c r="AD1590" s="1" t="s">
        <v>10775</v>
      </c>
      <c r="AE1590" s="1" t="s">
        <v>51</v>
      </c>
      <c r="AF1590" s="1" t="s">
        <v>51</v>
      </c>
      <c r="AG1590" s="1" t="s">
        <v>47</v>
      </c>
      <c r="AH1590" s="1"/>
      <c r="AI1590" s="1"/>
      <c r="AJ1590" s="3">
        <v>2</v>
      </c>
      <c r="AK1590" s="1" t="s">
        <v>89</v>
      </c>
      <c r="AL1590" s="3">
        <v>4</v>
      </c>
      <c r="AM1590" s="1"/>
      <c r="AN1590" s="1"/>
      <c r="AO1590" s="1" t="s">
        <v>10776</v>
      </c>
      <c r="AP1590" s="1" t="s">
        <v>10777</v>
      </c>
      <c r="AQ1590" s="1" t="s">
        <v>10778</v>
      </c>
      <c r="AR1590" s="1" t="s">
        <v>10772</v>
      </c>
    </row>
    <row r="1591">
      <c r="A1591" s="2">
        <f ca="1">DATE(2005,07,12)</f>
        <v>0</v>
      </c>
      <c r="B1591" s="2">
        <f ca="1">DATE(2005,08,05)</f>
        <v>0</v>
      </c>
      <c r="C1591" s="1" t="s">
        <v>10779</v>
      </c>
      <c r="D1591" s="3">
        <v>7375</v>
      </c>
      <c r="E1591" s="1" t="s">
        <v>744</v>
      </c>
      <c r="F1591" s="1" t="s">
        <v>10780</v>
      </c>
      <c r="G1591" s="1" t="s">
        <v>10781</v>
      </c>
      <c r="H1591" s="4">
        <v>1.8899999999999999</v>
      </c>
      <c r="I1591" s="8">
        <v>7</v>
      </c>
      <c r="J1591" s="5">
        <v>109.09999999999999</v>
      </c>
      <c r="K1591" s="4">
        <v>27</v>
      </c>
      <c r="L1591" s="1" t="s">
        <v>651</v>
      </c>
      <c r="M1591" s="1" t="s">
        <v>47</v>
      </c>
      <c r="N1591" s="1" t="s">
        <v>10782</v>
      </c>
      <c r="O1591" s="1" t="s">
        <v>48</v>
      </c>
      <c r="P1591" s="1" t="s">
        <v>10783</v>
      </c>
      <c r="Q1591" s="1" t="s">
        <v>145</v>
      </c>
      <c r="R1591" s="1" t="s">
        <v>145</v>
      </c>
      <c r="S1591" s="8">
        <v>4.2000000000000002</v>
      </c>
      <c r="T1591" s="1" t="s">
        <v>50</v>
      </c>
      <c r="U1591" s="1"/>
      <c r="V1591" s="1"/>
      <c r="W1591" s="1"/>
      <c r="X1591" s="5">
        <v>80</v>
      </c>
      <c r="Y1591" s="7">
        <v>3208696</v>
      </c>
      <c r="Z1591" s="7">
        <v>831706</v>
      </c>
      <c r="AA1591" s="2">
        <f ca="1">DATE(2006,02,01)</f>
        <v>0</v>
      </c>
      <c r="AB1591" s="1"/>
      <c r="AC1591" s="3">
        <v>180</v>
      </c>
      <c r="AD1591" s="1"/>
      <c r="AE1591" s="1" t="s">
        <v>47</v>
      </c>
      <c r="AF1591" s="1" t="s">
        <v>51</v>
      </c>
      <c r="AG1591" s="1" t="s">
        <v>47</v>
      </c>
      <c r="AH1591" s="1"/>
      <c r="AI1591" s="1"/>
      <c r="AJ1591" s="3">
        <v>2</v>
      </c>
      <c r="AK1591" s="1" t="s">
        <v>89</v>
      </c>
      <c r="AL1591" s="3">
        <v>3</v>
      </c>
      <c r="AM1591" s="8">
        <v>122.54000000000001</v>
      </c>
      <c r="AN1591" s="1"/>
      <c r="AO1591" s="1" t="s">
        <v>10784</v>
      </c>
      <c r="AP1591" s="1" t="s">
        <v>10785</v>
      </c>
      <c r="AQ1591" s="1" t="s">
        <v>10786</v>
      </c>
      <c r="AR1591" s="1" t="s">
        <v>10787</v>
      </c>
    </row>
    <row r="1592">
      <c r="A1592" s="2">
        <f ca="1">DATE(2005,04,28)</f>
        <v>0</v>
      </c>
      <c r="B1592" s="2">
        <f ca="1">DATE(2005,08,05)</f>
        <v>0</v>
      </c>
      <c r="C1592" s="1" t="s">
        <v>10788</v>
      </c>
      <c r="D1592" s="3">
        <v>3699</v>
      </c>
      <c r="E1592" s="1" t="s">
        <v>43</v>
      </c>
      <c r="F1592" s="1" t="s">
        <v>10789</v>
      </c>
      <c r="G1592" s="1" t="s">
        <v>7471</v>
      </c>
      <c r="H1592" s="4">
        <v>0.41999999999999998</v>
      </c>
      <c r="I1592" s="8">
        <v>7</v>
      </c>
      <c r="J1592" s="5">
        <v>21</v>
      </c>
      <c r="K1592" s="4">
        <v>6</v>
      </c>
      <c r="L1592" s="1" t="s">
        <v>46</v>
      </c>
      <c r="M1592" s="1" t="s">
        <v>47</v>
      </c>
      <c r="N1592" s="3">
        <v>434712105</v>
      </c>
      <c r="O1592" s="1" t="s">
        <v>48</v>
      </c>
      <c r="P1592" s="1" t="s">
        <v>10790</v>
      </c>
      <c r="Q1592" s="1" t="s">
        <v>145</v>
      </c>
      <c r="R1592" s="1" t="s">
        <v>145</v>
      </c>
      <c r="S1592" s="6">
        <v>4.1666699999999999</v>
      </c>
      <c r="T1592" s="1" t="s">
        <v>50</v>
      </c>
      <c r="U1592" s="1"/>
      <c r="V1592" s="1"/>
      <c r="W1592" s="1"/>
      <c r="X1592" s="5">
        <v>57.5</v>
      </c>
      <c r="Y1592" s="7">
        <v>3500000</v>
      </c>
      <c r="Z1592" s="1"/>
      <c r="AA1592" s="2">
        <f ca="1">DATE(2006,02,01)</f>
        <v>0</v>
      </c>
      <c r="AB1592" s="1" t="s">
        <v>10791</v>
      </c>
      <c r="AC1592" s="1" t="s">
        <v>7109</v>
      </c>
      <c r="AD1592" s="1" t="s">
        <v>10792</v>
      </c>
      <c r="AE1592" s="1" t="s">
        <v>51</v>
      </c>
      <c r="AF1592" s="1" t="s">
        <v>51</v>
      </c>
      <c r="AG1592" s="1" t="s">
        <v>47</v>
      </c>
      <c r="AH1592" s="1"/>
      <c r="AI1592" s="1"/>
      <c r="AJ1592" s="3">
        <v>1</v>
      </c>
      <c r="AK1592" s="1" t="s">
        <v>52</v>
      </c>
      <c r="AL1592" s="3">
        <v>3</v>
      </c>
      <c r="AM1592" s="8">
        <v>5.3600000000000003</v>
      </c>
      <c r="AN1592" s="1"/>
      <c r="AO1592" s="1" t="s">
        <v>10793</v>
      </c>
      <c r="AP1592" s="1" t="s">
        <v>7471</v>
      </c>
      <c r="AQ1592" s="1" t="s">
        <v>10794</v>
      </c>
      <c r="AR1592" s="1" t="s">
        <v>10790</v>
      </c>
    </row>
    <row r="1593">
      <c r="A1593" s="2">
        <f ca="1">DATE(2005,05,03)</f>
        <v>0</v>
      </c>
      <c r="B1593" s="2">
        <f ca="1">DATE(2005,08,08)</f>
        <v>0</v>
      </c>
      <c r="C1593" s="1" t="s">
        <v>10795</v>
      </c>
      <c r="D1593" s="3">
        <v>6331</v>
      </c>
      <c r="E1593" s="1" t="s">
        <v>43</v>
      </c>
      <c r="F1593" s="1" t="s">
        <v>10796</v>
      </c>
      <c r="G1593" s="1" t="s">
        <v>4996</v>
      </c>
      <c r="H1593" s="4">
        <v>1.26</v>
      </c>
      <c r="I1593" s="4">
        <v>7</v>
      </c>
      <c r="J1593" s="5">
        <v>80</v>
      </c>
      <c r="K1593" s="4">
        <v>18</v>
      </c>
      <c r="L1593" s="1" t="s">
        <v>46</v>
      </c>
      <c r="M1593" s="1" t="s">
        <v>47</v>
      </c>
      <c r="N1593" s="3">
        <v>470359100</v>
      </c>
      <c r="O1593" s="1" t="s">
        <v>48</v>
      </c>
      <c r="P1593" s="1" t="s">
        <v>10797</v>
      </c>
      <c r="Q1593" s="1" t="s">
        <v>145</v>
      </c>
      <c r="R1593" s="1" t="s">
        <v>145</v>
      </c>
      <c r="S1593" s="8">
        <v>4.2000000000000002</v>
      </c>
      <c r="T1593" s="1" t="s">
        <v>50</v>
      </c>
      <c r="U1593" s="1"/>
      <c r="V1593" s="1"/>
      <c r="W1593" s="1"/>
      <c r="X1593" s="5">
        <v>80</v>
      </c>
      <c r="Y1593" s="7">
        <v>4444000</v>
      </c>
      <c r="Z1593" s="1"/>
      <c r="AA1593" s="1" t="s">
        <v>10798</v>
      </c>
      <c r="AB1593" s="1" t="s">
        <v>10799</v>
      </c>
      <c r="AC1593" s="1" t="s">
        <v>2068</v>
      </c>
      <c r="AD1593" s="1" t="s">
        <v>10800</v>
      </c>
      <c r="AE1593" s="1" t="s">
        <v>51</v>
      </c>
      <c r="AF1593" s="1" t="s">
        <v>51</v>
      </c>
      <c r="AG1593" s="1" t="s">
        <v>51</v>
      </c>
      <c r="AH1593" s="1"/>
      <c r="AI1593" s="1"/>
      <c r="AJ1593" s="3">
        <v>1</v>
      </c>
      <c r="AK1593" s="1" t="s">
        <v>52</v>
      </c>
      <c r="AL1593" s="3">
        <v>4</v>
      </c>
      <c r="AM1593" s="8">
        <v>20</v>
      </c>
      <c r="AN1593" s="1"/>
      <c r="AO1593" s="1" t="s">
        <v>10801</v>
      </c>
      <c r="AP1593" s="1" t="s">
        <v>4996</v>
      </c>
      <c r="AQ1593" s="1" t="s">
        <v>10802</v>
      </c>
      <c r="AR1593" s="1" t="s">
        <v>10803</v>
      </c>
    </row>
    <row r="1594">
      <c r="A1594" s="2">
        <f ca="1">DATE(2005,05,20)</f>
        <v>0</v>
      </c>
      <c r="B1594" s="2">
        <f ca="1">DATE(2005,08,08)</f>
        <v>0</v>
      </c>
      <c r="C1594" s="1" t="s">
        <v>10804</v>
      </c>
      <c r="D1594" s="3">
        <v>3728</v>
      </c>
      <c r="E1594" s="1" t="s">
        <v>43</v>
      </c>
      <c r="F1594" s="1" t="s">
        <v>10805</v>
      </c>
      <c r="G1594" s="1" t="s">
        <v>5387</v>
      </c>
      <c r="H1594" s="4">
        <v>1.1379999999999999</v>
      </c>
      <c r="I1594" s="4">
        <v>6.5</v>
      </c>
      <c r="J1594" s="5">
        <v>315</v>
      </c>
      <c r="K1594" s="4">
        <v>17.5</v>
      </c>
      <c r="L1594" s="1" t="s">
        <v>46</v>
      </c>
      <c r="M1594" s="1" t="s">
        <v>47</v>
      </c>
      <c r="N1594" s="3">
        <v>482241106</v>
      </c>
      <c r="O1594" s="1" t="s">
        <v>108</v>
      </c>
      <c r="P1594" s="1" t="s">
        <v>10806</v>
      </c>
      <c r="Q1594" s="4">
        <v>1.3</v>
      </c>
      <c r="R1594" s="4">
        <v>1.3</v>
      </c>
      <c r="S1594" s="8">
        <v>3.8999999999999999</v>
      </c>
      <c r="T1594" s="1" t="s">
        <v>50</v>
      </c>
      <c r="U1594" s="1"/>
      <c r="V1594" s="1"/>
      <c r="W1594" s="1"/>
      <c r="X1594" s="5">
        <v>100</v>
      </c>
      <c r="Y1594" s="7">
        <v>18000000</v>
      </c>
      <c r="Z1594" s="1"/>
      <c r="AA1594" s="1" t="s">
        <v>10798</v>
      </c>
      <c r="AB1594" s="1" t="s">
        <v>2067</v>
      </c>
      <c r="AC1594" s="1" t="s">
        <v>2068</v>
      </c>
      <c r="AD1594" s="1" t="s">
        <v>2067</v>
      </c>
      <c r="AE1594" s="1" t="s">
        <v>51</v>
      </c>
      <c r="AF1594" s="1" t="s">
        <v>51</v>
      </c>
      <c r="AG1594" s="1" t="s">
        <v>51</v>
      </c>
      <c r="AH1594" s="1"/>
      <c r="AI1594" s="1"/>
      <c r="AJ1594" s="3">
        <v>2</v>
      </c>
      <c r="AK1594" s="1" t="s">
        <v>89</v>
      </c>
      <c r="AL1594" s="3">
        <v>5</v>
      </c>
      <c r="AM1594" s="8">
        <v>17.399999999999999</v>
      </c>
      <c r="AN1594" s="1"/>
      <c r="AO1594" s="1" t="s">
        <v>10807</v>
      </c>
      <c r="AP1594" s="1" t="s">
        <v>5392</v>
      </c>
      <c r="AQ1594" s="1" t="s">
        <v>10808</v>
      </c>
      <c r="AR1594" s="1" t="s">
        <v>10809</v>
      </c>
    </row>
    <row r="1595">
      <c r="A1595" s="2">
        <f ca="1">DATE(2005,04,25)</f>
        <v>0</v>
      </c>
      <c r="B1595" s="2">
        <f ca="1">DATE(2005,08,08)</f>
        <v>0</v>
      </c>
      <c r="C1595" s="1" t="s">
        <v>10810</v>
      </c>
      <c r="D1595" s="3">
        <v>5812</v>
      </c>
      <c r="E1595" s="1" t="s">
        <v>43</v>
      </c>
      <c r="F1595" s="1" t="s">
        <v>10811</v>
      </c>
      <c r="G1595" s="1" t="s">
        <v>8659</v>
      </c>
      <c r="H1595" s="4">
        <v>1.26</v>
      </c>
      <c r="I1595" s="4">
        <v>7</v>
      </c>
      <c r="J1595" s="5">
        <v>234</v>
      </c>
      <c r="K1595" s="4">
        <v>18</v>
      </c>
      <c r="L1595" s="1" t="s">
        <v>46</v>
      </c>
      <c r="M1595" s="1" t="s">
        <v>47</v>
      </c>
      <c r="N1595" s="3">
        <v>783332109</v>
      </c>
      <c r="O1595" s="1" t="s">
        <v>48</v>
      </c>
      <c r="P1595" s="1" t="s">
        <v>10812</v>
      </c>
      <c r="Q1595" s="1" t="s">
        <v>145</v>
      </c>
      <c r="R1595" s="1" t="s">
        <v>145</v>
      </c>
      <c r="S1595" s="8">
        <v>4.2000000000000002</v>
      </c>
      <c r="T1595" s="1" t="s">
        <v>50</v>
      </c>
      <c r="U1595" s="1"/>
      <c r="V1595" s="1"/>
      <c r="W1595" s="1"/>
      <c r="X1595" s="5">
        <v>235</v>
      </c>
      <c r="Y1595" s="7">
        <v>9375000</v>
      </c>
      <c r="Z1595" s="7">
        <v>3625000</v>
      </c>
      <c r="AA1595" s="1" t="s">
        <v>10813</v>
      </c>
      <c r="AB1595" s="1" t="s">
        <v>5265</v>
      </c>
      <c r="AC1595" s="1" t="s">
        <v>7759</v>
      </c>
      <c r="AD1595" s="1" t="s">
        <v>5265</v>
      </c>
      <c r="AE1595" s="1" t="s">
        <v>51</v>
      </c>
      <c r="AF1595" s="1" t="s">
        <v>51</v>
      </c>
      <c r="AG1595" s="1" t="s">
        <v>51</v>
      </c>
      <c r="AH1595" s="1"/>
      <c r="AI1595" s="1"/>
      <c r="AJ1595" s="3">
        <v>2</v>
      </c>
      <c r="AK1595" s="1" t="s">
        <v>89</v>
      </c>
      <c r="AL1595" s="3">
        <v>7</v>
      </c>
      <c r="AM1595" s="8">
        <v>20.699999999999999</v>
      </c>
      <c r="AN1595" s="1"/>
      <c r="AO1595" s="1" t="s">
        <v>10814</v>
      </c>
      <c r="AP1595" s="1" t="s">
        <v>8665</v>
      </c>
      <c r="AQ1595" s="1" t="s">
        <v>10815</v>
      </c>
      <c r="AR1595" s="1" t="s">
        <v>10816</v>
      </c>
    </row>
    <row r="1596">
      <c r="A1596" s="2">
        <f ca="1">DATE(2005,07,21)</f>
        <v>0</v>
      </c>
      <c r="B1596" s="2">
        <f ca="1">DATE(2005,08,08)</f>
        <v>0</v>
      </c>
      <c r="C1596" s="1" t="s">
        <v>10817</v>
      </c>
      <c r="D1596" s="3">
        <v>4412</v>
      </c>
      <c r="E1596" s="1" t="s">
        <v>845</v>
      </c>
      <c r="F1596" s="1" t="s">
        <v>10818</v>
      </c>
      <c r="G1596" s="1" t="s">
        <v>8893</v>
      </c>
      <c r="H1596" s="4">
        <v>1.26</v>
      </c>
      <c r="I1596" s="4">
        <v>6</v>
      </c>
      <c r="J1596" s="5">
        <v>600</v>
      </c>
      <c r="K1596" s="4">
        <v>21</v>
      </c>
      <c r="L1596" s="1" t="s">
        <v>46</v>
      </c>
      <c r="M1596" s="1" t="s">
        <v>47</v>
      </c>
      <c r="N1596" s="1" t="s">
        <v>10819</v>
      </c>
      <c r="O1596" s="1" t="s">
        <v>108</v>
      </c>
      <c r="P1596" s="1" t="s">
        <v>10820</v>
      </c>
      <c r="Q1596" s="4">
        <v>1.2</v>
      </c>
      <c r="R1596" s="4">
        <v>1.5</v>
      </c>
      <c r="S1596" s="8">
        <v>3.2999999999999998</v>
      </c>
      <c r="T1596" s="1" t="s">
        <v>50</v>
      </c>
      <c r="U1596" s="8">
        <v>22</v>
      </c>
      <c r="V1596" s="8">
        <v>20</v>
      </c>
      <c r="W1596" s="7">
        <v>28570000</v>
      </c>
      <c r="X1596" s="5">
        <v>600</v>
      </c>
      <c r="Y1596" s="7">
        <v>28570000</v>
      </c>
      <c r="Z1596" s="1"/>
      <c r="AA1596" s="2">
        <f ca="1">DATE(2006,02,04)</f>
        <v>0</v>
      </c>
      <c r="AB1596" s="1"/>
      <c r="AC1596" s="3">
        <v>180</v>
      </c>
      <c r="AD1596" s="1"/>
      <c r="AE1596" s="1" t="s">
        <v>51</v>
      </c>
      <c r="AF1596" s="1" t="s">
        <v>51</v>
      </c>
      <c r="AG1596" s="1" t="s">
        <v>51</v>
      </c>
      <c r="AH1596" s="1"/>
      <c r="AI1596" s="1"/>
      <c r="AJ1596" s="3">
        <v>2</v>
      </c>
      <c r="AK1596" s="1" t="s">
        <v>89</v>
      </c>
      <c r="AL1596" s="3">
        <v>9</v>
      </c>
      <c r="AM1596" s="8">
        <v>21.300000000000001</v>
      </c>
      <c r="AN1596" s="1"/>
      <c r="AO1596" s="1" t="s">
        <v>10821</v>
      </c>
      <c r="AP1596" s="1" t="s">
        <v>7744</v>
      </c>
      <c r="AQ1596" s="1" t="s">
        <v>10822</v>
      </c>
      <c r="AR1596" s="1" t="s">
        <v>10823</v>
      </c>
    </row>
    <row r="1597">
      <c r="A1597" s="2">
        <f ca="1">DATE(2005,07,15)</f>
        <v>0</v>
      </c>
      <c r="B1597" s="2">
        <f ca="1">DATE(2005,08,09)</f>
        <v>0</v>
      </c>
      <c r="C1597" s="1" t="s">
        <v>10824</v>
      </c>
      <c r="D1597" s="3">
        <v>3845</v>
      </c>
      <c r="E1597" s="1" t="s">
        <v>744</v>
      </c>
      <c r="F1597" s="1" t="s">
        <v>10825</v>
      </c>
      <c r="G1597" s="1" t="s">
        <v>5704</v>
      </c>
      <c r="H1597" s="4">
        <v>1.05</v>
      </c>
      <c r="I1597" s="4">
        <v>7</v>
      </c>
      <c r="J1597" s="5">
        <v>96</v>
      </c>
      <c r="K1597" s="4">
        <v>15</v>
      </c>
      <c r="L1597" s="1" t="s">
        <v>651</v>
      </c>
      <c r="M1597" s="1" t="s">
        <v>47</v>
      </c>
      <c r="N1597" s="3">
        <v>169483104</v>
      </c>
      <c r="O1597" s="1" t="s">
        <v>48</v>
      </c>
      <c r="P1597" s="1" t="s">
        <v>10826</v>
      </c>
      <c r="Q1597" s="4">
        <v>1.3999999999999999</v>
      </c>
      <c r="R1597" s="4">
        <v>1.3999999999999999</v>
      </c>
      <c r="S1597" s="8">
        <v>4.2000000000000002</v>
      </c>
      <c r="T1597" s="1" t="s">
        <v>50</v>
      </c>
      <c r="U1597" s="8">
        <v>16</v>
      </c>
      <c r="V1597" s="8">
        <v>14</v>
      </c>
      <c r="W1597" s="7">
        <v>5000000</v>
      </c>
      <c r="X1597" s="5">
        <v>75</v>
      </c>
      <c r="Y1597" s="7">
        <v>6400000</v>
      </c>
      <c r="Z1597" s="1"/>
      <c r="AA1597" s="1" t="s">
        <v>10827</v>
      </c>
      <c r="AB1597" s="1" t="s">
        <v>10828</v>
      </c>
      <c r="AC1597" s="1" t="s">
        <v>7405</v>
      </c>
      <c r="AD1597" s="1" t="s">
        <v>10829</v>
      </c>
      <c r="AE1597" s="1" t="s">
        <v>47</v>
      </c>
      <c r="AF1597" s="1" t="s">
        <v>51</v>
      </c>
      <c r="AG1597" s="1" t="s">
        <v>51</v>
      </c>
      <c r="AH1597" s="1"/>
      <c r="AI1597" s="1"/>
      <c r="AJ1597" s="3">
        <v>1</v>
      </c>
      <c r="AK1597" s="1" t="s">
        <v>52</v>
      </c>
      <c r="AL1597" s="3">
        <v>1</v>
      </c>
      <c r="AM1597" s="8">
        <v>16.199999999999999</v>
      </c>
      <c r="AN1597" s="1"/>
      <c r="AO1597" s="1" t="s">
        <v>10830</v>
      </c>
      <c r="AP1597" s="1" t="s">
        <v>5704</v>
      </c>
      <c r="AQ1597" s="1" t="s">
        <v>5704</v>
      </c>
      <c r="AR1597" s="1" t="s">
        <v>9097</v>
      </c>
    </row>
    <row r="1598">
      <c r="A1598" s="2">
        <f ca="1">DATE(2005,04,20)</f>
        <v>0</v>
      </c>
      <c r="B1598" s="2">
        <f ca="1">DATE(2005,08,09)</f>
        <v>0</v>
      </c>
      <c r="C1598" s="1" t="s">
        <v>10831</v>
      </c>
      <c r="D1598" s="3">
        <v>8731</v>
      </c>
      <c r="E1598" s="1" t="s">
        <v>43</v>
      </c>
      <c r="F1598" s="1" t="s">
        <v>10832</v>
      </c>
      <c r="G1598" s="1" t="s">
        <v>45</v>
      </c>
      <c r="H1598" s="4">
        <v>1.1200000000000001</v>
      </c>
      <c r="I1598" s="4">
        <v>7</v>
      </c>
      <c r="J1598" s="5">
        <v>96</v>
      </c>
      <c r="K1598" s="4">
        <v>16</v>
      </c>
      <c r="L1598" s="1" t="s">
        <v>46</v>
      </c>
      <c r="M1598" s="1" t="s">
        <v>47</v>
      </c>
      <c r="N1598" s="1" t="s">
        <v>10833</v>
      </c>
      <c r="O1598" s="1" t="s">
        <v>48</v>
      </c>
      <c r="P1598" s="1" t="s">
        <v>10834</v>
      </c>
      <c r="Q1598" s="4">
        <v>1.4379999999999999</v>
      </c>
      <c r="R1598" s="4">
        <v>1.375</v>
      </c>
      <c r="S1598" s="10">
        <v>4.1875</v>
      </c>
      <c r="T1598" s="1" t="s">
        <v>50</v>
      </c>
      <c r="U1598" s="1"/>
      <c r="V1598" s="1"/>
      <c r="W1598" s="1"/>
      <c r="X1598" s="5">
        <v>115</v>
      </c>
      <c r="Y1598" s="7">
        <v>6000000</v>
      </c>
      <c r="Z1598" s="1"/>
      <c r="AA1598" s="1" t="s">
        <v>10835</v>
      </c>
      <c r="AB1598" s="1" t="s">
        <v>10836</v>
      </c>
      <c r="AC1598" s="1" t="s">
        <v>2068</v>
      </c>
      <c r="AD1598" s="1" t="s">
        <v>10837</v>
      </c>
      <c r="AE1598" s="1" t="s">
        <v>51</v>
      </c>
      <c r="AF1598" s="1" t="s">
        <v>51</v>
      </c>
      <c r="AG1598" s="1" t="s">
        <v>47</v>
      </c>
      <c r="AH1598" s="1"/>
      <c r="AI1598" s="1"/>
      <c r="AJ1598" s="3">
        <v>1</v>
      </c>
      <c r="AK1598" s="1" t="s">
        <v>89</v>
      </c>
      <c r="AL1598" s="3">
        <v>4</v>
      </c>
      <c r="AM1598" s="8">
        <v>18.879999999999999</v>
      </c>
      <c r="AN1598" s="1"/>
      <c r="AO1598" s="1" t="s">
        <v>10838</v>
      </c>
      <c r="AP1598" s="1" t="s">
        <v>3866</v>
      </c>
      <c r="AQ1598" s="1" t="s">
        <v>10839</v>
      </c>
      <c r="AR1598" s="1" t="s">
        <v>10840</v>
      </c>
    </row>
    <row r="1599">
      <c r="A1599" s="2">
        <f ca="1">DATE(2005,06,10)</f>
        <v>0</v>
      </c>
      <c r="B1599" s="2">
        <f ca="1">DATE(2005,08,09)</f>
        <v>0</v>
      </c>
      <c r="C1599" s="1" t="s">
        <v>10841</v>
      </c>
      <c r="D1599" s="3">
        <v>6021</v>
      </c>
      <c r="E1599" s="1" t="s">
        <v>43</v>
      </c>
      <c r="F1599" s="1" t="s">
        <v>10842</v>
      </c>
      <c r="G1599" s="1" t="s">
        <v>4996</v>
      </c>
      <c r="H1599" s="4">
        <v>0.69999999999999996</v>
      </c>
      <c r="I1599" s="8">
        <v>7</v>
      </c>
      <c r="J1599" s="5">
        <v>45</v>
      </c>
      <c r="K1599" s="4">
        <v>10</v>
      </c>
      <c r="L1599" s="1" t="s">
        <v>46</v>
      </c>
      <c r="M1599" s="1" t="s">
        <v>47</v>
      </c>
      <c r="N1599" s="3">
        <v>336312103</v>
      </c>
      <c r="O1599" s="1" t="s">
        <v>48</v>
      </c>
      <c r="P1599" s="1" t="s">
        <v>10843</v>
      </c>
      <c r="Q1599" s="4">
        <v>1.3999999999999999</v>
      </c>
      <c r="R1599" s="4">
        <v>1.3999999999999999</v>
      </c>
      <c r="S1599" s="8">
        <v>4.2000000000000002</v>
      </c>
      <c r="T1599" s="1" t="s">
        <v>50</v>
      </c>
      <c r="U1599" s="1"/>
      <c r="V1599" s="1"/>
      <c r="W1599" s="7">
        <v>4500000</v>
      </c>
      <c r="X1599" s="1"/>
      <c r="Y1599" s="7">
        <v>4500000</v>
      </c>
      <c r="Z1599" s="1"/>
      <c r="AA1599" s="1" t="s">
        <v>10835</v>
      </c>
      <c r="AB1599" s="1" t="s">
        <v>10844</v>
      </c>
      <c r="AC1599" s="1" t="s">
        <v>2068</v>
      </c>
      <c r="AD1599" s="1" t="s">
        <v>10845</v>
      </c>
      <c r="AE1599" s="1" t="s">
        <v>51</v>
      </c>
      <c r="AF1599" s="1" t="s">
        <v>51</v>
      </c>
      <c r="AG1599" s="1" t="s">
        <v>51</v>
      </c>
      <c r="AH1599" s="1"/>
      <c r="AI1599" s="1"/>
      <c r="AJ1599" s="3">
        <v>1</v>
      </c>
      <c r="AK1599" s="1" t="s">
        <v>52</v>
      </c>
      <c r="AL1599" s="3">
        <v>3</v>
      </c>
      <c r="AM1599" s="8">
        <v>10.17</v>
      </c>
      <c r="AN1599" s="1"/>
      <c r="AO1599" s="1" t="s">
        <v>10846</v>
      </c>
      <c r="AP1599" s="1" t="s">
        <v>4996</v>
      </c>
      <c r="AQ1599" s="1" t="s">
        <v>10847</v>
      </c>
      <c r="AR1599" s="1" t="s">
        <v>10848</v>
      </c>
    </row>
    <row r="1600">
      <c r="A1600" s="2">
        <f ca="1">DATE(2005,05,11)</f>
        <v>0</v>
      </c>
      <c r="B1600" s="2">
        <f ca="1">DATE(2005,08,09)</f>
        <v>0</v>
      </c>
      <c r="C1600" s="1" t="s">
        <v>10849</v>
      </c>
      <c r="D1600" s="3">
        <v>3562</v>
      </c>
      <c r="E1600" s="1" t="s">
        <v>43</v>
      </c>
      <c r="F1600" s="1" t="s">
        <v>10850</v>
      </c>
      <c r="G1600" s="1" t="s">
        <v>45</v>
      </c>
      <c r="H1600" s="4">
        <v>0.97799999999999998</v>
      </c>
      <c r="I1600" s="4">
        <v>6.7460000000000004</v>
      </c>
      <c r="J1600" s="5">
        <v>134.69999999999999</v>
      </c>
      <c r="K1600" s="4">
        <v>14.5</v>
      </c>
      <c r="L1600" s="1" t="s">
        <v>46</v>
      </c>
      <c r="M1600" s="1" t="s">
        <v>47</v>
      </c>
      <c r="N1600" s="1" t="s">
        <v>10851</v>
      </c>
      <c r="O1600" s="1" t="s">
        <v>48</v>
      </c>
      <c r="P1600" s="1" t="s">
        <v>10852</v>
      </c>
      <c r="Q1600" s="4">
        <v>1.621</v>
      </c>
      <c r="R1600" s="4">
        <v>1.5169999999999999</v>
      </c>
      <c r="S1600" s="6">
        <v>3.8620700000000001</v>
      </c>
      <c r="T1600" s="1" t="s">
        <v>50</v>
      </c>
      <c r="U1600" s="1"/>
      <c r="V1600" s="1"/>
      <c r="W1600" s="1"/>
      <c r="X1600" s="5">
        <v>143.80000000000001</v>
      </c>
      <c r="Y1600" s="7">
        <v>6273000</v>
      </c>
      <c r="Z1600" s="7">
        <v>3015000</v>
      </c>
      <c r="AA1600" s="1" t="s">
        <v>10853</v>
      </c>
      <c r="AB1600" s="1" t="s">
        <v>5265</v>
      </c>
      <c r="AC1600" s="1" t="s">
        <v>7759</v>
      </c>
      <c r="AD1600" s="1" t="s">
        <v>5265</v>
      </c>
      <c r="AE1600" s="1" t="s">
        <v>51</v>
      </c>
      <c r="AF1600" s="1" t="s">
        <v>51</v>
      </c>
      <c r="AG1600" s="1" t="s">
        <v>51</v>
      </c>
      <c r="AH1600" s="1"/>
      <c r="AI1600" s="1"/>
      <c r="AJ1600" s="3">
        <v>1</v>
      </c>
      <c r="AK1600" s="1" t="s">
        <v>52</v>
      </c>
      <c r="AL1600" s="3">
        <v>3</v>
      </c>
      <c r="AM1600" s="8">
        <v>15.27</v>
      </c>
      <c r="AN1600" s="1"/>
      <c r="AO1600" s="1" t="s">
        <v>10854</v>
      </c>
      <c r="AP1600" s="1" t="s">
        <v>45</v>
      </c>
      <c r="AQ1600" s="1" t="s">
        <v>10855</v>
      </c>
      <c r="AR1600" s="1" t="s">
        <v>10856</v>
      </c>
    </row>
    <row r="1601">
      <c r="A1601" s="2">
        <f ca="1">DATE(2005,02,11)</f>
        <v>0</v>
      </c>
      <c r="B1601" s="2">
        <f ca="1">DATE(2005,08,09)</f>
        <v>0</v>
      </c>
      <c r="C1601" s="1" t="s">
        <v>10857</v>
      </c>
      <c r="D1601" s="3">
        <v>2097</v>
      </c>
      <c r="E1601" s="1" t="s">
        <v>43</v>
      </c>
      <c r="F1601" s="1" t="s">
        <v>10858</v>
      </c>
      <c r="G1601" s="1" t="s">
        <v>10859</v>
      </c>
      <c r="H1601" s="4">
        <v>1.2949999999999999</v>
      </c>
      <c r="I1601" s="8">
        <v>7</v>
      </c>
      <c r="J1601" s="5">
        <v>188.69999999999999</v>
      </c>
      <c r="K1601" s="4">
        <v>18.5</v>
      </c>
      <c r="L1601" s="1" t="s">
        <v>46</v>
      </c>
      <c r="M1601" s="1" t="s">
        <v>47</v>
      </c>
      <c r="N1601" s="1" t="s">
        <v>10860</v>
      </c>
      <c r="O1601" s="1" t="s">
        <v>108</v>
      </c>
      <c r="P1601" s="1" t="s">
        <v>10861</v>
      </c>
      <c r="Q1601" s="4">
        <v>1.405</v>
      </c>
      <c r="R1601" s="4">
        <v>1.3779999999999999</v>
      </c>
      <c r="S1601" s="6">
        <v>4.2162199999999999</v>
      </c>
      <c r="T1601" s="1" t="s">
        <v>50</v>
      </c>
      <c r="U1601" s="1"/>
      <c r="V1601" s="1"/>
      <c r="W1601" s="1"/>
      <c r="X1601" s="5">
        <v>230</v>
      </c>
      <c r="Y1601" s="7">
        <v>6911765</v>
      </c>
      <c r="Z1601" s="7">
        <v>3288235</v>
      </c>
      <c r="AA1601" s="2">
        <f ca="1">DATE(2006,02,05)</f>
        <v>0</v>
      </c>
      <c r="AB1601" s="4">
        <v>52.954000000000001</v>
      </c>
      <c r="AC1601" s="3">
        <v>180</v>
      </c>
      <c r="AD1601" s="8">
        <v>11480742</v>
      </c>
      <c r="AE1601" s="1" t="s">
        <v>51</v>
      </c>
      <c r="AF1601" s="1" t="s">
        <v>51</v>
      </c>
      <c r="AG1601" s="1" t="s">
        <v>51</v>
      </c>
      <c r="AH1601" s="1"/>
      <c r="AI1601" s="1"/>
      <c r="AJ1601" s="3">
        <v>3</v>
      </c>
      <c r="AK1601" s="1" t="s">
        <v>110</v>
      </c>
      <c r="AL1601" s="3">
        <v>5</v>
      </c>
      <c r="AM1601" s="8">
        <v>19.309999999999999</v>
      </c>
      <c r="AN1601" s="1"/>
      <c r="AO1601" s="1" t="s">
        <v>10862</v>
      </c>
      <c r="AP1601" s="1" t="s">
        <v>10863</v>
      </c>
      <c r="AQ1601" s="1" t="s">
        <v>10864</v>
      </c>
      <c r="AR1601" s="1" t="s">
        <v>10865</v>
      </c>
    </row>
    <row r="1602">
      <c r="A1602" s="2">
        <f ca="1">DATE(2005,05,16)</f>
        <v>0</v>
      </c>
      <c r="B1602" s="2">
        <f ca="1">DATE(2005,08,10)</f>
        <v>0</v>
      </c>
      <c r="C1602" s="1" t="s">
        <v>10866</v>
      </c>
      <c r="D1602" s="3">
        <v>2873</v>
      </c>
      <c r="E1602" s="1" t="s">
        <v>43</v>
      </c>
      <c r="F1602" s="1" t="s">
        <v>10867</v>
      </c>
      <c r="G1602" s="1" t="s">
        <v>10704</v>
      </c>
      <c r="H1602" s="4">
        <v>0.92000000000000004</v>
      </c>
      <c r="I1602" s="4">
        <v>5.75</v>
      </c>
      <c r="J1602" s="5">
        <v>660</v>
      </c>
      <c r="K1602" s="4">
        <v>16</v>
      </c>
      <c r="L1602" s="1" t="s">
        <v>46</v>
      </c>
      <c r="M1602" s="1" t="s">
        <v>47</v>
      </c>
      <c r="N1602" s="3">
        <v>125269100</v>
      </c>
      <c r="O1602" s="1" t="s">
        <v>108</v>
      </c>
      <c r="P1602" s="1" t="s">
        <v>10868</v>
      </c>
      <c r="Q1602" s="1" t="s">
        <v>145</v>
      </c>
      <c r="R1602" s="1" t="s">
        <v>145</v>
      </c>
      <c r="S1602" s="8">
        <v>3.4500000000000002</v>
      </c>
      <c r="T1602" s="1" t="s">
        <v>50</v>
      </c>
      <c r="U1602" s="1"/>
      <c r="V1602" s="1"/>
      <c r="W1602" s="1"/>
      <c r="X1602" s="5">
        <v>700</v>
      </c>
      <c r="Y1602" s="7">
        <v>41250000</v>
      </c>
      <c r="Z1602" s="1"/>
      <c r="AA1602" s="2">
        <f ca="1">DATE(2006,02,06)</f>
        <v>0</v>
      </c>
      <c r="AB1602" s="1"/>
      <c r="AC1602" s="3">
        <v>180</v>
      </c>
      <c r="AD1602" s="1"/>
      <c r="AE1602" s="1" t="s">
        <v>51</v>
      </c>
      <c r="AF1602" s="1" t="s">
        <v>51</v>
      </c>
      <c r="AG1602" s="1" t="s">
        <v>51</v>
      </c>
      <c r="AH1602" s="1"/>
      <c r="AI1602" s="1"/>
      <c r="AJ1602" s="3">
        <v>2</v>
      </c>
      <c r="AK1602" s="1" t="s">
        <v>89</v>
      </c>
      <c r="AL1602" s="3">
        <v>7</v>
      </c>
      <c r="AM1602" s="8">
        <v>16.199999999999999</v>
      </c>
      <c r="AN1602" s="1"/>
      <c r="AO1602" s="1" t="s">
        <v>10869</v>
      </c>
      <c r="AP1602" s="1" t="s">
        <v>6680</v>
      </c>
      <c r="AQ1602" s="1" t="s">
        <v>10870</v>
      </c>
      <c r="AR1602" s="1" t="s">
        <v>10871</v>
      </c>
    </row>
    <row r="1603">
      <c r="A1603" s="2">
        <f ca="1">DATE(2004,08,10)</f>
        <v>0</v>
      </c>
      <c r="B1603" s="2">
        <f ca="1">DATE(2005,08,10)</f>
        <v>0</v>
      </c>
      <c r="C1603" s="1" t="s">
        <v>10872</v>
      </c>
      <c r="D1603" s="3">
        <v>7374</v>
      </c>
      <c r="E1603" s="1" t="s">
        <v>43</v>
      </c>
      <c r="F1603" s="1" t="s">
        <v>10873</v>
      </c>
      <c r="G1603" s="1" t="s">
        <v>6201</v>
      </c>
      <c r="H1603" s="4">
        <v>1.26</v>
      </c>
      <c r="I1603" s="4">
        <v>7</v>
      </c>
      <c r="J1603" s="5">
        <v>121.5</v>
      </c>
      <c r="K1603" s="4">
        <v>18</v>
      </c>
      <c r="L1603" s="1" t="s">
        <v>46</v>
      </c>
      <c r="M1603" s="1" t="s">
        <v>47</v>
      </c>
      <c r="N1603" s="1" t="s">
        <v>10874</v>
      </c>
      <c r="O1603" s="1" t="s">
        <v>108</v>
      </c>
      <c r="P1603" s="1" t="s">
        <v>10875</v>
      </c>
      <c r="Q1603" s="4">
        <v>1.3999999999999999</v>
      </c>
      <c r="R1603" s="4">
        <v>1.3999999999999999</v>
      </c>
      <c r="S1603" s="8">
        <v>4.2000000000000002</v>
      </c>
      <c r="T1603" s="1" t="s">
        <v>50</v>
      </c>
      <c r="U1603" s="1"/>
      <c r="V1603" s="1"/>
      <c r="W1603" s="1"/>
      <c r="X1603" s="5">
        <v>75</v>
      </c>
      <c r="Y1603" s="7">
        <v>2622046</v>
      </c>
      <c r="Z1603" s="7">
        <v>4127954</v>
      </c>
      <c r="AA1603" s="1" t="s">
        <v>10876</v>
      </c>
      <c r="AB1603" s="1" t="s">
        <v>10877</v>
      </c>
      <c r="AC1603" s="1" t="s">
        <v>10878</v>
      </c>
      <c r="AD1603" s="1" t="s">
        <v>10879</v>
      </c>
      <c r="AE1603" s="1" t="s">
        <v>51</v>
      </c>
      <c r="AF1603" s="1" t="s">
        <v>51</v>
      </c>
      <c r="AG1603" s="1" t="s">
        <v>47</v>
      </c>
      <c r="AH1603" s="1"/>
      <c r="AI1603" s="1"/>
      <c r="AJ1603" s="3">
        <v>1</v>
      </c>
      <c r="AK1603" s="1" t="s">
        <v>52</v>
      </c>
      <c r="AL1603" s="3">
        <v>6</v>
      </c>
      <c r="AM1603" s="8">
        <v>24.510000000000002</v>
      </c>
      <c r="AN1603" s="1"/>
      <c r="AO1603" s="1" t="s">
        <v>10880</v>
      </c>
      <c r="AP1603" s="1" t="s">
        <v>6201</v>
      </c>
      <c r="AQ1603" s="1" t="s">
        <v>10881</v>
      </c>
      <c r="AR1603" s="1" t="s">
        <v>10882</v>
      </c>
    </row>
    <row r="1604">
      <c r="A1604" s="2">
        <f ca="1">DATE(2005,04,08)</f>
        <v>0</v>
      </c>
      <c r="B1604" s="2">
        <f ca="1">DATE(2005,08,10)</f>
        <v>0</v>
      </c>
      <c r="C1604" s="1" t="s">
        <v>10883</v>
      </c>
      <c r="D1604" s="3">
        <v>6221</v>
      </c>
      <c r="E1604" s="1" t="s">
        <v>43</v>
      </c>
      <c r="F1604" s="1" t="s">
        <v>10884</v>
      </c>
      <c r="G1604" s="1" t="s">
        <v>10885</v>
      </c>
      <c r="H1604" s="4">
        <v>1.3200000000000001</v>
      </c>
      <c r="I1604" s="4">
        <v>6</v>
      </c>
      <c r="J1604" s="5">
        <v>583</v>
      </c>
      <c r="K1604" s="4">
        <v>22</v>
      </c>
      <c r="L1604" s="1" t="s">
        <v>46</v>
      </c>
      <c r="M1604" s="1" t="s">
        <v>47</v>
      </c>
      <c r="N1604" s="1" t="s">
        <v>10886</v>
      </c>
      <c r="O1604" s="1" t="s">
        <v>77</v>
      </c>
      <c r="P1604" s="1" t="s">
        <v>10887</v>
      </c>
      <c r="Q1604" s="4">
        <v>1.3999999999999999</v>
      </c>
      <c r="R1604" s="4">
        <v>1.1499999999999999</v>
      </c>
      <c r="S1604" s="8">
        <v>3.4500000000000002</v>
      </c>
      <c r="T1604" s="1" t="s">
        <v>50</v>
      </c>
      <c r="U1604" s="1"/>
      <c r="V1604" s="1"/>
      <c r="W1604" s="1"/>
      <c r="X1604" s="5">
        <v>575</v>
      </c>
      <c r="Y1604" s="7">
        <v>12500000</v>
      </c>
      <c r="Z1604" s="7">
        <v>14000000</v>
      </c>
      <c r="AA1604" s="2">
        <f ca="1">DATE(2006,02,06)</f>
        <v>0</v>
      </c>
      <c r="AB1604" s="4">
        <v>79.215999999999994</v>
      </c>
      <c r="AC1604" s="3">
        <v>180</v>
      </c>
      <c r="AD1604" s="8">
        <v>101000000</v>
      </c>
      <c r="AE1604" s="1" t="s">
        <v>51</v>
      </c>
      <c r="AF1604" s="1" t="s">
        <v>51</v>
      </c>
      <c r="AG1604" s="1" t="s">
        <v>51</v>
      </c>
      <c r="AH1604" s="1"/>
      <c r="AI1604" s="1"/>
      <c r="AJ1604" s="3">
        <v>3</v>
      </c>
      <c r="AK1604" s="1" t="s">
        <v>110</v>
      </c>
      <c r="AL1604" s="3">
        <v>8</v>
      </c>
      <c r="AM1604" s="8">
        <v>27.48</v>
      </c>
      <c r="AN1604" s="1"/>
      <c r="AO1604" s="1" t="s">
        <v>10888</v>
      </c>
      <c r="AP1604" s="1" t="s">
        <v>10889</v>
      </c>
      <c r="AQ1604" s="1" t="s">
        <v>10890</v>
      </c>
      <c r="AR1604" s="1" t="s">
        <v>10891</v>
      </c>
    </row>
    <row r="1605">
      <c r="A1605" s="2">
        <f ca="1">DATE(2005,05,03)</f>
        <v>0</v>
      </c>
      <c r="B1605" s="2">
        <f ca="1">DATE(2005,08,15)</f>
        <v>0</v>
      </c>
      <c r="C1605" s="1" t="s">
        <v>10892</v>
      </c>
      <c r="D1605" s="3">
        <v>6726</v>
      </c>
      <c r="E1605" s="1" t="s">
        <v>43</v>
      </c>
      <c r="F1605" s="1" t="s">
        <v>10893</v>
      </c>
      <c r="G1605" s="1" t="s">
        <v>9810</v>
      </c>
      <c r="H1605" s="4">
        <v>0.29999999999999999</v>
      </c>
      <c r="I1605" s="4">
        <v>5</v>
      </c>
      <c r="J1605" s="5">
        <v>120</v>
      </c>
      <c r="K1605" s="4">
        <v>6</v>
      </c>
      <c r="L1605" s="1" t="s">
        <v>46</v>
      </c>
      <c r="M1605" s="1" t="s">
        <v>47</v>
      </c>
      <c r="N1605" s="3">
        <v>861575108</v>
      </c>
      <c r="O1605" s="1" t="s">
        <v>77</v>
      </c>
      <c r="P1605" s="1" t="s">
        <v>10894</v>
      </c>
      <c r="Q1605" s="1" t="s">
        <v>145</v>
      </c>
      <c r="R1605" s="1" t="s">
        <v>145</v>
      </c>
      <c r="S1605" s="1"/>
      <c r="T1605" s="1" t="s">
        <v>50</v>
      </c>
      <c r="U1605" s="8">
        <v>6</v>
      </c>
      <c r="V1605" s="8">
        <v>6</v>
      </c>
      <c r="W1605" s="7">
        <v>30000000</v>
      </c>
      <c r="X1605" s="5">
        <v>180</v>
      </c>
      <c r="Y1605" s="7">
        <v>20000000</v>
      </c>
      <c r="Z1605" s="1"/>
      <c r="AA1605" s="2">
        <f ca="1">DATE(2006,08,10)</f>
        <v>0</v>
      </c>
      <c r="AB1605" s="4">
        <v>20</v>
      </c>
      <c r="AC1605" s="3">
        <v>360</v>
      </c>
      <c r="AD1605" s="8">
        <v>5000000</v>
      </c>
      <c r="AE1605" s="1" t="s">
        <v>51</v>
      </c>
      <c r="AF1605" s="1" t="s">
        <v>51</v>
      </c>
      <c r="AG1605" s="1" t="s">
        <v>51</v>
      </c>
      <c r="AH1605" s="1"/>
      <c r="AI1605" s="1"/>
      <c r="AJ1605" s="3">
        <v>1</v>
      </c>
      <c r="AK1605" s="1" t="s">
        <v>52</v>
      </c>
      <c r="AL1605" s="3">
        <v>4</v>
      </c>
      <c r="AM1605" s="1"/>
      <c r="AN1605" s="1"/>
      <c r="AO1605" s="1" t="s">
        <v>10895</v>
      </c>
      <c r="AP1605" s="1" t="s">
        <v>9810</v>
      </c>
      <c r="AQ1605" s="1" t="s">
        <v>10896</v>
      </c>
      <c r="AR1605" s="1" t="s">
        <v>10897</v>
      </c>
    </row>
    <row r="1606">
      <c r="A1606" s="2">
        <f ca="1">DATE(2005,06,01)</f>
        <v>0</v>
      </c>
      <c r="B1606" s="2">
        <f ca="1">DATE(2005,08,16)</f>
        <v>0</v>
      </c>
      <c r="C1606" s="1" t="s">
        <v>10898</v>
      </c>
      <c r="D1606" s="3">
        <v>1381</v>
      </c>
      <c r="E1606" s="1" t="s">
        <v>43</v>
      </c>
      <c r="F1606" s="1" t="s">
        <v>10899</v>
      </c>
      <c r="G1606" s="1" t="s">
        <v>10900</v>
      </c>
      <c r="H1606" s="4">
        <v>1.19</v>
      </c>
      <c r="I1606" s="8">
        <v>7</v>
      </c>
      <c r="J1606" s="5">
        <v>86.700000000000003</v>
      </c>
      <c r="K1606" s="4">
        <v>17</v>
      </c>
      <c r="L1606" s="1" t="s">
        <v>46</v>
      </c>
      <c r="M1606" s="1" t="s">
        <v>47</v>
      </c>
      <c r="N1606" s="3">
        <v>112211107</v>
      </c>
      <c r="O1606" s="1" t="s">
        <v>48</v>
      </c>
      <c r="P1606" s="1" t="s">
        <v>10901</v>
      </c>
      <c r="Q1606" s="1" t="s">
        <v>145</v>
      </c>
      <c r="R1606" s="1" t="s">
        <v>145</v>
      </c>
      <c r="S1606" s="6">
        <v>4.1764700000000001</v>
      </c>
      <c r="T1606" s="1" t="s">
        <v>50</v>
      </c>
      <c r="U1606" s="1"/>
      <c r="V1606" s="1"/>
      <c r="W1606" s="1"/>
      <c r="X1606" s="5">
        <v>75</v>
      </c>
      <c r="Y1606" s="7">
        <v>5100000</v>
      </c>
      <c r="Z1606" s="1"/>
      <c r="AA1606" s="1" t="s">
        <v>10902</v>
      </c>
      <c r="AB1606" s="1" t="s">
        <v>2067</v>
      </c>
      <c r="AC1606" s="1" t="s">
        <v>2068</v>
      </c>
      <c r="AD1606" s="1" t="s">
        <v>2067</v>
      </c>
      <c r="AE1606" s="1" t="s">
        <v>51</v>
      </c>
      <c r="AF1606" s="1" t="s">
        <v>51</v>
      </c>
      <c r="AG1606" s="1" t="s">
        <v>51</v>
      </c>
      <c r="AH1606" s="1"/>
      <c r="AI1606" s="1"/>
      <c r="AJ1606" s="3">
        <v>2</v>
      </c>
      <c r="AK1606" s="1" t="s">
        <v>89</v>
      </c>
      <c r="AL1606" s="3">
        <v>4</v>
      </c>
      <c r="AM1606" s="8">
        <v>18.469999999999999</v>
      </c>
      <c r="AN1606" s="1"/>
      <c r="AO1606" s="1" t="s">
        <v>10903</v>
      </c>
      <c r="AP1606" s="1" t="s">
        <v>10904</v>
      </c>
      <c r="AQ1606" s="1" t="s">
        <v>10905</v>
      </c>
      <c r="AR1606" s="1" t="s">
        <v>10901</v>
      </c>
    </row>
    <row r="1607">
      <c r="A1607" s="2">
        <f ca="1">DATE(2005,06,03)</f>
        <v>0</v>
      </c>
      <c r="B1607" s="2">
        <f ca="1">DATE(2005,08,16)</f>
        <v>0</v>
      </c>
      <c r="C1607" s="1" t="s">
        <v>10906</v>
      </c>
      <c r="D1607" s="3">
        <v>5812</v>
      </c>
      <c r="E1607" s="1" t="s">
        <v>43</v>
      </c>
      <c r="F1607" s="1" t="s">
        <v>10907</v>
      </c>
      <c r="G1607" s="1" t="s">
        <v>10908</v>
      </c>
      <c r="H1607" s="4">
        <v>0.77000000000000002</v>
      </c>
      <c r="I1607" s="4">
        <v>7</v>
      </c>
      <c r="J1607" s="5">
        <v>27.5</v>
      </c>
      <c r="K1607" s="4">
        <v>11</v>
      </c>
      <c r="L1607" s="1" t="s">
        <v>46</v>
      </c>
      <c r="M1607" s="1" t="s">
        <v>47</v>
      </c>
      <c r="N1607" s="1" t="s">
        <v>10909</v>
      </c>
      <c r="O1607" s="1" t="s">
        <v>48</v>
      </c>
      <c r="P1607" s="1" t="s">
        <v>10910</v>
      </c>
      <c r="Q1607" s="4">
        <v>1.3999999999999999</v>
      </c>
      <c r="R1607" s="4">
        <v>1.4179999999999999</v>
      </c>
      <c r="S1607" s="6">
        <v>4.1818200000000001</v>
      </c>
      <c r="T1607" s="1" t="s">
        <v>50</v>
      </c>
      <c r="U1607" s="1"/>
      <c r="V1607" s="1"/>
      <c r="W1607" s="1"/>
      <c r="X1607" s="5">
        <v>29</v>
      </c>
      <c r="Y1607" s="7">
        <v>2500000</v>
      </c>
      <c r="Z1607" s="1"/>
      <c r="AA1607" s="2">
        <f ca="1">DATE(2006,02,12)</f>
        <v>0</v>
      </c>
      <c r="AB1607" s="4">
        <v>51.371000000000002</v>
      </c>
      <c r="AC1607" s="3">
        <v>180</v>
      </c>
      <c r="AD1607" s="8">
        <v>2720900</v>
      </c>
      <c r="AE1607" s="1" t="s">
        <v>51</v>
      </c>
      <c r="AF1607" s="1" t="s">
        <v>51</v>
      </c>
      <c r="AG1607" s="1" t="s">
        <v>51</v>
      </c>
      <c r="AH1607" s="1"/>
      <c r="AI1607" s="1"/>
      <c r="AJ1607" s="3">
        <v>1</v>
      </c>
      <c r="AK1607" s="1" t="s">
        <v>52</v>
      </c>
      <c r="AL1607" s="3">
        <v>2</v>
      </c>
      <c r="AM1607" s="8">
        <v>12.699999999999999</v>
      </c>
      <c r="AN1607" s="1"/>
      <c r="AO1607" s="1" t="s">
        <v>10911</v>
      </c>
      <c r="AP1607" s="1" t="s">
        <v>10908</v>
      </c>
      <c r="AQ1607" s="1" t="s">
        <v>10912</v>
      </c>
      <c r="AR1607" s="1" t="s">
        <v>10910</v>
      </c>
    </row>
    <row r="1608">
      <c r="A1608" s="2">
        <f ca="1">DATE(2005,02,11)</f>
        <v>0</v>
      </c>
      <c r="B1608" s="2">
        <f ca="1">DATE(2005,08,16)</f>
        <v>0</v>
      </c>
      <c r="C1608" s="1" t="s">
        <v>10913</v>
      </c>
      <c r="D1608" s="3">
        <v>2899</v>
      </c>
      <c r="E1608" s="1" t="s">
        <v>43</v>
      </c>
      <c r="F1608" s="1" t="s">
        <v>10914</v>
      </c>
      <c r="G1608" s="1" t="s">
        <v>10915</v>
      </c>
      <c r="H1608" s="4">
        <v>1.05</v>
      </c>
      <c r="I1608" s="4">
        <v>5.25</v>
      </c>
      <c r="J1608" s="5">
        <v>408.19999999999999</v>
      </c>
      <c r="K1608" s="4">
        <v>20</v>
      </c>
      <c r="L1608" s="1" t="s">
        <v>46</v>
      </c>
      <c r="M1608" s="1" t="s">
        <v>47</v>
      </c>
      <c r="N1608" s="3">
        <v>774415103</v>
      </c>
      <c r="O1608" s="1" t="s">
        <v>108</v>
      </c>
      <c r="P1608" s="1" t="s">
        <v>10916</v>
      </c>
      <c r="Q1608" s="4">
        <v>1.05</v>
      </c>
      <c r="R1608" s="4">
        <v>1.05</v>
      </c>
      <c r="S1608" s="8">
        <v>3.1499999999999999</v>
      </c>
      <c r="T1608" s="1" t="s">
        <v>50</v>
      </c>
      <c r="U1608" s="1"/>
      <c r="V1608" s="1"/>
      <c r="W1608" s="1"/>
      <c r="X1608" s="5">
        <v>500</v>
      </c>
      <c r="Y1608" s="7">
        <v>20408163</v>
      </c>
      <c r="Z1608" s="1"/>
      <c r="AA1608" s="1" t="s">
        <v>10902</v>
      </c>
      <c r="AB1608" s="1" t="s">
        <v>10917</v>
      </c>
      <c r="AC1608" s="1" t="s">
        <v>2068</v>
      </c>
      <c r="AD1608" s="1" t="s">
        <v>10918</v>
      </c>
      <c r="AE1608" s="1" t="s">
        <v>51</v>
      </c>
      <c r="AF1608" s="1" t="s">
        <v>51</v>
      </c>
      <c r="AG1608" s="1" t="s">
        <v>51</v>
      </c>
      <c r="AH1608" s="1"/>
      <c r="AI1608" s="1" t="s">
        <v>10919</v>
      </c>
      <c r="AJ1608" s="3">
        <v>4</v>
      </c>
      <c r="AK1608" s="1" t="s">
        <v>1209</v>
      </c>
      <c r="AL1608" s="3">
        <v>7</v>
      </c>
      <c r="AM1608" s="8">
        <v>20</v>
      </c>
      <c r="AN1608" s="1"/>
      <c r="AO1608" s="1" t="s">
        <v>10920</v>
      </c>
      <c r="AP1608" s="1" t="s">
        <v>10921</v>
      </c>
      <c r="AQ1608" s="1" t="s">
        <v>10922</v>
      </c>
      <c r="AR1608" s="1" t="s">
        <v>10923</v>
      </c>
    </row>
    <row r="1609">
      <c r="A1609" s="2">
        <f ca="1">DATE(2005,05,02)</f>
        <v>0</v>
      </c>
      <c r="B1609" s="2">
        <f ca="1">DATE(2005,08,17)</f>
        <v>0</v>
      </c>
      <c r="C1609" s="1" t="s">
        <v>10924</v>
      </c>
      <c r="D1609" s="3">
        <v>6726</v>
      </c>
      <c r="E1609" s="1" t="s">
        <v>43</v>
      </c>
      <c r="F1609" s="1" t="s">
        <v>10925</v>
      </c>
      <c r="G1609" s="1" t="s">
        <v>7222</v>
      </c>
      <c r="H1609" s="4">
        <v>0.47999999999999998</v>
      </c>
      <c r="I1609" s="4">
        <v>8</v>
      </c>
      <c r="J1609" s="5">
        <v>51</v>
      </c>
      <c r="K1609" s="4">
        <v>6</v>
      </c>
      <c r="L1609" s="1" t="s">
        <v>46</v>
      </c>
      <c r="M1609" s="1" t="s">
        <v>47</v>
      </c>
      <c r="N1609" s="3">
        <v>465707107</v>
      </c>
      <c r="O1609" s="1" t="s">
        <v>77</v>
      </c>
      <c r="P1609" s="1" t="s">
        <v>10926</v>
      </c>
      <c r="Q1609" s="1" t="s">
        <v>145</v>
      </c>
      <c r="R1609" s="1" t="s">
        <v>145</v>
      </c>
      <c r="S1609" s="6">
        <v>3.3333300000000001</v>
      </c>
      <c r="T1609" s="1" t="s">
        <v>50</v>
      </c>
      <c r="U1609" s="8">
        <v>6</v>
      </c>
      <c r="V1609" s="8">
        <v>6</v>
      </c>
      <c r="W1609" s="7">
        <v>8000000</v>
      </c>
      <c r="X1609" s="5">
        <v>48</v>
      </c>
      <c r="Y1609" s="7">
        <v>8500000</v>
      </c>
      <c r="Z1609" s="1"/>
      <c r="AA1609" s="2">
        <f ca="1">DATE(2006,02,13)</f>
        <v>0</v>
      </c>
      <c r="AB1609" s="4">
        <v>20</v>
      </c>
      <c r="AC1609" s="3">
        <v>180</v>
      </c>
      <c r="AD1609" s="8">
        <v>2125000</v>
      </c>
      <c r="AE1609" s="1" t="s">
        <v>51</v>
      </c>
      <c r="AF1609" s="1" t="s">
        <v>51</v>
      </c>
      <c r="AG1609" s="1" t="s">
        <v>51</v>
      </c>
      <c r="AH1609" s="1"/>
      <c r="AI1609" s="1"/>
      <c r="AJ1609" s="3">
        <v>1</v>
      </c>
      <c r="AK1609" s="1" t="s">
        <v>52</v>
      </c>
      <c r="AL1609" s="3">
        <v>2</v>
      </c>
      <c r="AM1609" s="1"/>
      <c r="AN1609" s="1"/>
      <c r="AO1609" s="1" t="s">
        <v>10927</v>
      </c>
      <c r="AP1609" s="1" t="s">
        <v>7222</v>
      </c>
      <c r="AQ1609" s="1" t="s">
        <v>10474</v>
      </c>
      <c r="AR1609" s="1" t="s">
        <v>10475</v>
      </c>
    </row>
    <row r="1610">
      <c r="A1610" s="2">
        <f ca="1">DATE(2005,04,29)</f>
        <v>0</v>
      </c>
      <c r="B1610" s="2">
        <f ca="1">DATE(2005,08,17)</f>
        <v>0</v>
      </c>
      <c r="C1610" s="1" t="s">
        <v>10928</v>
      </c>
      <c r="D1610" s="3">
        <v>4922</v>
      </c>
      <c r="E1610" s="1" t="s">
        <v>43</v>
      </c>
      <c r="F1610" s="1" t="s">
        <v>10929</v>
      </c>
      <c r="G1610" s="1" t="s">
        <v>813</v>
      </c>
      <c r="H1610" s="4">
        <v>1.3700000000000001</v>
      </c>
      <c r="I1610" s="4">
        <v>6.3719999999999999</v>
      </c>
      <c r="J1610" s="5">
        <v>107.5</v>
      </c>
      <c r="K1610" s="4">
        <v>21.5</v>
      </c>
      <c r="L1610" s="1" t="s">
        <v>85</v>
      </c>
      <c r="M1610" s="1" t="s">
        <v>47</v>
      </c>
      <c r="N1610" s="1" t="s">
        <v>10930</v>
      </c>
      <c r="O1610" s="1" t="s">
        <v>108</v>
      </c>
      <c r="P1610" s="1" t="s">
        <v>10931</v>
      </c>
      <c r="Q1610" s="1" t="s">
        <v>145</v>
      </c>
      <c r="R1610" s="1" t="s">
        <v>145</v>
      </c>
      <c r="S1610" s="6">
        <v>3.8139500000000002</v>
      </c>
      <c r="T1610" s="1" t="s">
        <v>50</v>
      </c>
      <c r="U1610" s="1"/>
      <c r="V1610" s="1"/>
      <c r="W1610" s="7">
        <v>5000000</v>
      </c>
      <c r="X1610" s="1"/>
      <c r="Y1610" s="7">
        <v>5000000</v>
      </c>
      <c r="Z1610" s="1"/>
      <c r="AA1610" s="1" t="s">
        <v>10932</v>
      </c>
      <c r="AB1610" s="1" t="s">
        <v>5265</v>
      </c>
      <c r="AC1610" s="1" t="s">
        <v>7759</v>
      </c>
      <c r="AD1610" s="1" t="s">
        <v>5265</v>
      </c>
      <c r="AE1610" s="1" t="s">
        <v>51</v>
      </c>
      <c r="AF1610" s="1" t="s">
        <v>51</v>
      </c>
      <c r="AG1610" s="1" t="s">
        <v>51</v>
      </c>
      <c r="AH1610" s="1"/>
      <c r="AI1610" s="1"/>
      <c r="AJ1610" s="3">
        <v>1</v>
      </c>
      <c r="AK1610" s="1" t="s">
        <v>52</v>
      </c>
      <c r="AL1610" s="3">
        <v>4</v>
      </c>
      <c r="AM1610" s="8">
        <v>25.5</v>
      </c>
      <c r="AN1610" s="1"/>
      <c r="AO1610" s="1" t="s">
        <v>10933</v>
      </c>
      <c r="AP1610" s="1" t="s">
        <v>813</v>
      </c>
      <c r="AQ1610" s="1" t="s">
        <v>10934</v>
      </c>
      <c r="AR1610" s="1" t="s">
        <v>10931</v>
      </c>
    </row>
    <row r="1611">
      <c r="A1611" s="2">
        <f ca="1">DATE(2005,04,26)</f>
        <v>0</v>
      </c>
      <c r="B1611" s="2">
        <f ca="1">DATE(2005,08,23)</f>
        <v>0</v>
      </c>
      <c r="C1611" s="1" t="s">
        <v>10935</v>
      </c>
      <c r="D1611" s="3">
        <v>4922</v>
      </c>
      <c r="E1611" s="1" t="s">
        <v>43</v>
      </c>
      <c r="F1611" s="1" t="s">
        <v>10936</v>
      </c>
      <c r="G1611" s="1" t="s">
        <v>10937</v>
      </c>
      <c r="H1611" s="4">
        <v>1.6799999999999999</v>
      </c>
      <c r="I1611" s="4">
        <v>6</v>
      </c>
      <c r="J1611" s="5">
        <v>352.80000000000001</v>
      </c>
      <c r="K1611" s="4">
        <v>28</v>
      </c>
      <c r="L1611" s="1" t="s">
        <v>85</v>
      </c>
      <c r="M1611" s="1" t="s">
        <v>47</v>
      </c>
      <c r="N1611" s="3">
        <v>293716106</v>
      </c>
      <c r="O1611" s="1" t="s">
        <v>108</v>
      </c>
      <c r="P1611" s="1" t="s">
        <v>10938</v>
      </c>
      <c r="Q1611" s="1" t="s">
        <v>145</v>
      </c>
      <c r="R1611" s="1" t="s">
        <v>145</v>
      </c>
      <c r="S1611" s="8">
        <v>3.6000000000000001</v>
      </c>
      <c r="T1611" s="1" t="s">
        <v>50</v>
      </c>
      <c r="U1611" s="1"/>
      <c r="V1611" s="1"/>
      <c r="W1611" s="7">
        <v>14875000</v>
      </c>
      <c r="X1611" s="1"/>
      <c r="Y1611" s="7">
        <v>12600000</v>
      </c>
      <c r="Z1611" s="1"/>
      <c r="AA1611" s="1" t="s">
        <v>10939</v>
      </c>
      <c r="AB1611" s="1" t="s">
        <v>2067</v>
      </c>
      <c r="AC1611" s="1" t="s">
        <v>2068</v>
      </c>
      <c r="AD1611" s="1" t="s">
        <v>2067</v>
      </c>
      <c r="AE1611" s="1" t="s">
        <v>51</v>
      </c>
      <c r="AF1611" s="1" t="s">
        <v>51</v>
      </c>
      <c r="AG1611" s="1" t="s">
        <v>51</v>
      </c>
      <c r="AH1611" s="1"/>
      <c r="AI1611" s="1"/>
      <c r="AJ1611" s="3">
        <v>2</v>
      </c>
      <c r="AK1611" s="1" t="s">
        <v>89</v>
      </c>
      <c r="AL1611" s="3">
        <v>2</v>
      </c>
      <c r="AM1611" s="8">
        <v>32.549999999999997</v>
      </c>
      <c r="AN1611" s="1"/>
      <c r="AO1611" s="1" t="s">
        <v>10940</v>
      </c>
      <c r="AP1611" s="1" t="s">
        <v>10941</v>
      </c>
      <c r="AQ1611" s="1" t="s">
        <v>10942</v>
      </c>
      <c r="AR1611" s="1" t="s">
        <v>10943</v>
      </c>
    </row>
    <row r="1612">
      <c r="A1612" s="2">
        <f ca="1">DATE(2005,08,19)</f>
        <v>0</v>
      </c>
      <c r="B1612" s="2">
        <f ca="1">DATE(2005,08,23)</f>
        <v>0</v>
      </c>
      <c r="C1612" s="1" t="s">
        <v>10944</v>
      </c>
      <c r="D1612" s="3">
        <v>3272</v>
      </c>
      <c r="E1612" s="1" t="s">
        <v>43</v>
      </c>
      <c r="F1612" s="1" t="s">
        <v>10945</v>
      </c>
      <c r="G1612" s="1" t="s">
        <v>10946</v>
      </c>
      <c r="H1612" s="4">
        <v>0.88</v>
      </c>
      <c r="I1612" s="4">
        <v>8</v>
      </c>
      <c r="J1612" s="5">
        <v>17.100000000000001</v>
      </c>
      <c r="K1612" s="4">
        <v>11</v>
      </c>
      <c r="L1612" s="1" t="s">
        <v>46</v>
      </c>
      <c r="M1612" s="1" t="s">
        <v>47</v>
      </c>
      <c r="N1612" s="3">
        <v>755747102</v>
      </c>
      <c r="O1612" s="1" t="s">
        <v>87</v>
      </c>
      <c r="P1612" s="1" t="s">
        <v>10947</v>
      </c>
      <c r="Q1612" s="1" t="s">
        <v>145</v>
      </c>
      <c r="R1612" s="1" t="s">
        <v>145</v>
      </c>
      <c r="S1612" s="1"/>
      <c r="T1612" s="1" t="s">
        <v>50</v>
      </c>
      <c r="U1612" s="8">
        <v>12</v>
      </c>
      <c r="V1612" s="8">
        <v>12</v>
      </c>
      <c r="W1612" s="7">
        <v>1000000</v>
      </c>
      <c r="X1612" s="5">
        <v>12</v>
      </c>
      <c r="Y1612" s="7">
        <v>1550000</v>
      </c>
      <c r="Z1612" s="1"/>
      <c r="AA1612" s="2">
        <f ca="1">DATE(2006,08,18)</f>
        <v>0</v>
      </c>
      <c r="AB1612" s="4">
        <v>56.643000000000001</v>
      </c>
      <c r="AC1612" s="3">
        <v>360</v>
      </c>
      <c r="AD1612" s="8">
        <v>2025000</v>
      </c>
      <c r="AE1612" s="1" t="s">
        <v>51</v>
      </c>
      <c r="AF1612" s="1" t="s">
        <v>51</v>
      </c>
      <c r="AG1612" s="1" t="s">
        <v>51</v>
      </c>
      <c r="AH1612" s="1"/>
      <c r="AI1612" s="1"/>
      <c r="AJ1612" s="3">
        <v>1</v>
      </c>
      <c r="AK1612" s="1" t="s">
        <v>52</v>
      </c>
      <c r="AL1612" s="3">
        <v>2</v>
      </c>
      <c r="AM1612" s="8">
        <v>12.1</v>
      </c>
      <c r="AN1612" s="1"/>
      <c r="AO1612" s="1" t="s">
        <v>10948</v>
      </c>
      <c r="AP1612" s="1" t="s">
        <v>10946</v>
      </c>
      <c r="AQ1612" s="1" t="s">
        <v>10949</v>
      </c>
      <c r="AR1612" s="1" t="s">
        <v>10947</v>
      </c>
    </row>
    <row r="1613">
      <c r="A1613" s="2">
        <f ca="1">DATE(2005,04,18)</f>
        <v>0</v>
      </c>
      <c r="B1613" s="2">
        <f ca="1">DATE(2005,08,25)</f>
        <v>0</v>
      </c>
      <c r="C1613" s="1" t="s">
        <v>10950</v>
      </c>
      <c r="D1613" s="3">
        <v>6726</v>
      </c>
      <c r="E1613" s="1" t="s">
        <v>43</v>
      </c>
      <c r="F1613" s="1" t="s">
        <v>10951</v>
      </c>
      <c r="G1613" s="1" t="s">
        <v>10440</v>
      </c>
      <c r="H1613" s="1" t="s">
        <v>57</v>
      </c>
      <c r="I1613" s="1" t="s">
        <v>57</v>
      </c>
      <c r="J1613" s="5">
        <v>54</v>
      </c>
      <c r="K1613" s="4">
        <v>6</v>
      </c>
      <c r="L1613" s="1" t="s">
        <v>46</v>
      </c>
      <c r="M1613" s="1" t="s">
        <v>47</v>
      </c>
      <c r="N1613" s="1"/>
      <c r="O1613" s="1" t="s">
        <v>77</v>
      </c>
      <c r="P1613" s="1" t="s">
        <v>10952</v>
      </c>
      <c r="Q1613" s="1"/>
      <c r="R1613" s="1"/>
      <c r="S1613" s="1"/>
      <c r="T1613" s="1" t="s">
        <v>50</v>
      </c>
      <c r="U1613" s="8">
        <v>6</v>
      </c>
      <c r="V1613" s="8">
        <v>6</v>
      </c>
      <c r="W1613" s="7">
        <v>15000000</v>
      </c>
      <c r="X1613" s="5">
        <v>90</v>
      </c>
      <c r="Y1613" s="7">
        <v>9000000</v>
      </c>
      <c r="Z1613" s="1"/>
      <c r="AA1613" s="1"/>
      <c r="AB1613" s="1"/>
      <c r="AC1613" s="1"/>
      <c r="AD1613" s="1"/>
      <c r="AE1613" s="1" t="s">
        <v>51</v>
      </c>
      <c r="AF1613" s="1" t="s">
        <v>51</v>
      </c>
      <c r="AG1613" s="1" t="s">
        <v>51</v>
      </c>
      <c r="AH1613" s="1"/>
      <c r="AI1613" s="1"/>
      <c r="AJ1613" s="3">
        <v>1</v>
      </c>
      <c r="AK1613" s="1" t="s">
        <v>52</v>
      </c>
      <c r="AL1613" s="3">
        <v>6</v>
      </c>
      <c r="AM1613" s="1"/>
      <c r="AN1613" s="1"/>
      <c r="AO1613" s="1" t="s">
        <v>10953</v>
      </c>
      <c r="AP1613" s="1" t="s">
        <v>10440</v>
      </c>
      <c r="AQ1613" s="1" t="s">
        <v>10954</v>
      </c>
      <c r="AR1613" s="1" t="s">
        <v>10955</v>
      </c>
    </row>
    <row r="1614">
      <c r="A1614" s="2">
        <f ca="1">DATE(2005,07,06)</f>
        <v>0</v>
      </c>
      <c r="B1614" s="2">
        <f ca="1">DATE(2005,08,25)</f>
        <v>0</v>
      </c>
      <c r="C1614" s="1" t="s">
        <v>10956</v>
      </c>
      <c r="D1614" s="3">
        <v>6726</v>
      </c>
      <c r="E1614" s="1" t="s">
        <v>43</v>
      </c>
      <c r="F1614" s="1" t="s">
        <v>10957</v>
      </c>
      <c r="G1614" s="1" t="s">
        <v>45</v>
      </c>
      <c r="H1614" s="4">
        <v>0.67500000000000004</v>
      </c>
      <c r="I1614" s="4">
        <v>4.5</v>
      </c>
      <c r="J1614" s="5">
        <v>945</v>
      </c>
      <c r="K1614" s="4">
        <v>15</v>
      </c>
      <c r="L1614" s="1" t="s">
        <v>4422</v>
      </c>
      <c r="M1614" s="1" t="s">
        <v>47</v>
      </c>
      <c r="N1614" s="1" t="s">
        <v>10958</v>
      </c>
      <c r="O1614" s="1" t="s">
        <v>108</v>
      </c>
      <c r="P1614" s="1" t="s">
        <v>10959</v>
      </c>
      <c r="Q1614" s="4">
        <v>0.96699999999999997</v>
      </c>
      <c r="R1614" s="4">
        <v>0.53300000000000003</v>
      </c>
      <c r="S1614" s="8">
        <v>3</v>
      </c>
      <c r="T1614" s="1" t="s">
        <v>50</v>
      </c>
      <c r="U1614" s="8">
        <v>15</v>
      </c>
      <c r="V1614" s="8">
        <v>15</v>
      </c>
      <c r="W1614" s="7">
        <v>100000</v>
      </c>
      <c r="X1614" s="5">
        <v>1.5</v>
      </c>
      <c r="Y1614" s="7">
        <v>63000000</v>
      </c>
      <c r="Z1614" s="1"/>
      <c r="AA1614" s="2">
        <f ca="1">DATE(2006,02,21)</f>
        <v>0</v>
      </c>
      <c r="AB1614" s="1"/>
      <c r="AC1614" s="3">
        <v>180</v>
      </c>
      <c r="AD1614" s="1"/>
      <c r="AE1614" s="1" t="s">
        <v>51</v>
      </c>
      <c r="AF1614" s="1" t="s">
        <v>51</v>
      </c>
      <c r="AG1614" s="1" t="s">
        <v>51</v>
      </c>
      <c r="AH1614" s="1"/>
      <c r="AI1614" s="1"/>
      <c r="AJ1614" s="3">
        <v>1</v>
      </c>
      <c r="AK1614" s="1" t="s">
        <v>52</v>
      </c>
      <c r="AL1614" s="3">
        <v>18</v>
      </c>
      <c r="AM1614" s="8">
        <v>15.09</v>
      </c>
      <c r="AN1614" s="1"/>
      <c r="AO1614" s="1" t="s">
        <v>10960</v>
      </c>
      <c r="AP1614" s="1" t="s">
        <v>45</v>
      </c>
      <c r="AQ1614" s="1" t="s">
        <v>10961</v>
      </c>
      <c r="AR1614" s="1" t="s">
        <v>10962</v>
      </c>
    </row>
    <row r="1615">
      <c r="A1615" s="2">
        <f ca="1">DATE(2005,05,11)</f>
        <v>0</v>
      </c>
      <c r="B1615" s="2">
        <f ca="1">DATE(2005,08,25)</f>
        <v>0</v>
      </c>
      <c r="C1615" s="1" t="s">
        <v>10963</v>
      </c>
      <c r="D1615" s="3">
        <v>6726</v>
      </c>
      <c r="E1615" s="1" t="s">
        <v>43</v>
      </c>
      <c r="F1615" s="1" t="s">
        <v>10964</v>
      </c>
      <c r="G1615" s="1" t="s">
        <v>6201</v>
      </c>
      <c r="H1615" s="4">
        <v>1.125</v>
      </c>
      <c r="I1615" s="4">
        <v>4.5</v>
      </c>
      <c r="J1615" s="5">
        <v>425</v>
      </c>
      <c r="K1615" s="4">
        <v>25</v>
      </c>
      <c r="L1615" s="1" t="s">
        <v>46</v>
      </c>
      <c r="M1615" s="1" t="s">
        <v>47</v>
      </c>
      <c r="N1615" s="1" t="s">
        <v>10965</v>
      </c>
      <c r="O1615" s="1" t="s">
        <v>108</v>
      </c>
      <c r="P1615" s="1" t="s">
        <v>10966</v>
      </c>
      <c r="Q1615" s="1" t="s">
        <v>145</v>
      </c>
      <c r="R1615" s="1" t="s">
        <v>145</v>
      </c>
      <c r="S1615" s="8">
        <v>3</v>
      </c>
      <c r="T1615" s="1" t="s">
        <v>50</v>
      </c>
      <c r="U1615" s="8">
        <v>20</v>
      </c>
      <c r="V1615" s="8">
        <v>20</v>
      </c>
      <c r="W1615" s="1"/>
      <c r="X1615" s="5">
        <v>1</v>
      </c>
      <c r="Y1615" s="7">
        <v>17000000</v>
      </c>
      <c r="Z1615" s="1"/>
      <c r="AA1615" s="2">
        <f ca="1">DATE(2006,02,21)</f>
        <v>0</v>
      </c>
      <c r="AB1615" s="1"/>
      <c r="AC1615" s="3">
        <v>180</v>
      </c>
      <c r="AD1615" s="1"/>
      <c r="AE1615" s="1" t="s">
        <v>51</v>
      </c>
      <c r="AF1615" s="1" t="s">
        <v>51</v>
      </c>
      <c r="AG1615" s="1" t="s">
        <v>51</v>
      </c>
      <c r="AH1615" s="1"/>
      <c r="AI1615" s="1"/>
      <c r="AJ1615" s="3">
        <v>1</v>
      </c>
      <c r="AK1615" s="1" t="s">
        <v>52</v>
      </c>
      <c r="AL1615" s="3">
        <v>14</v>
      </c>
      <c r="AM1615" s="8">
        <v>25.010000000000002</v>
      </c>
      <c r="AN1615" s="1"/>
      <c r="AO1615" s="1" t="s">
        <v>10967</v>
      </c>
      <c r="AP1615" s="1" t="s">
        <v>6201</v>
      </c>
      <c r="AQ1615" s="1" t="s">
        <v>10968</v>
      </c>
      <c r="AR1615" s="1" t="s">
        <v>10969</v>
      </c>
    </row>
    <row r="1616">
      <c r="A1616" s="2">
        <f ca="1">DATE(2004,12,10)</f>
        <v>0</v>
      </c>
      <c r="B1616" s="2">
        <f ca="1">DATE(2005,08,25)</f>
        <v>0</v>
      </c>
      <c r="C1616" s="1" t="s">
        <v>10970</v>
      </c>
      <c r="D1616" s="3">
        <v>6726</v>
      </c>
      <c r="E1616" s="1" t="s">
        <v>43</v>
      </c>
      <c r="F1616" s="1" t="s">
        <v>10971</v>
      </c>
      <c r="G1616" s="1" t="s">
        <v>45</v>
      </c>
      <c r="H1616" s="4">
        <v>0.90000000000000002</v>
      </c>
      <c r="I1616" s="4">
        <v>4.5</v>
      </c>
      <c r="J1616" s="5">
        <v>360</v>
      </c>
      <c r="K1616" s="4">
        <v>20</v>
      </c>
      <c r="L1616" s="1" t="s">
        <v>46</v>
      </c>
      <c r="M1616" s="1" t="s">
        <v>47</v>
      </c>
      <c r="N1616" s="1" t="s">
        <v>10972</v>
      </c>
      <c r="O1616" s="1" t="s">
        <v>108</v>
      </c>
      <c r="P1616" s="1" t="s">
        <v>10973</v>
      </c>
      <c r="Q1616" s="4">
        <v>1</v>
      </c>
      <c r="R1616" s="4">
        <v>0.5</v>
      </c>
      <c r="S1616" s="8">
        <v>3</v>
      </c>
      <c r="T1616" s="1" t="s">
        <v>50</v>
      </c>
      <c r="U1616" s="8">
        <v>20</v>
      </c>
      <c r="V1616" s="8">
        <v>20</v>
      </c>
      <c r="W1616" s="7">
        <v>53823</v>
      </c>
      <c r="X1616" s="5">
        <v>1.1000000000000001</v>
      </c>
      <c r="Y1616" s="7">
        <v>18000000</v>
      </c>
      <c r="Z1616" s="1"/>
      <c r="AA1616" s="2">
        <f ca="1">DATE(2006,02,21)</f>
        <v>0</v>
      </c>
      <c r="AB1616" s="1"/>
      <c r="AC1616" s="3">
        <v>180</v>
      </c>
      <c r="AD1616" s="1"/>
      <c r="AE1616" s="1" t="s">
        <v>51</v>
      </c>
      <c r="AF1616" s="1" t="s">
        <v>51</v>
      </c>
      <c r="AG1616" s="1" t="s">
        <v>51</v>
      </c>
      <c r="AH1616" s="1"/>
      <c r="AI1616" s="1"/>
      <c r="AJ1616" s="3">
        <v>1</v>
      </c>
      <c r="AK1616" s="1" t="s">
        <v>52</v>
      </c>
      <c r="AL1616" s="3">
        <v>16</v>
      </c>
      <c r="AM1616" s="8">
        <v>20.010000000000002</v>
      </c>
      <c r="AN1616" s="1"/>
      <c r="AO1616" s="1" t="s">
        <v>10974</v>
      </c>
      <c r="AP1616" s="1" t="s">
        <v>45</v>
      </c>
      <c r="AQ1616" s="1" t="s">
        <v>10975</v>
      </c>
      <c r="AR1616" s="1" t="s">
        <v>10976</v>
      </c>
    </row>
    <row r="1617">
      <c r="A1617" s="2">
        <f ca="1">DATE(2005,04,29)</f>
        <v>0</v>
      </c>
      <c r="B1617" s="2">
        <f ca="1">DATE(2005,09,19)</f>
        <v>0</v>
      </c>
      <c r="C1617" s="1" t="s">
        <v>10977</v>
      </c>
      <c r="D1617" s="3">
        <v>6519</v>
      </c>
      <c r="E1617" s="1" t="s">
        <v>43</v>
      </c>
      <c r="F1617" s="1" t="s">
        <v>10978</v>
      </c>
      <c r="G1617" s="1" t="s">
        <v>10979</v>
      </c>
      <c r="H1617" s="4">
        <v>1.04</v>
      </c>
      <c r="I1617" s="4">
        <v>6.5</v>
      </c>
      <c r="J1617" s="5">
        <v>245.19999999999999</v>
      </c>
      <c r="K1617" s="4">
        <v>16</v>
      </c>
      <c r="L1617" s="1" t="s">
        <v>46</v>
      </c>
      <c r="M1617" s="1" t="s">
        <v>47</v>
      </c>
      <c r="N1617" s="1" t="s">
        <v>10980</v>
      </c>
      <c r="O1617" s="1" t="s">
        <v>48</v>
      </c>
      <c r="P1617" s="1" t="s">
        <v>10981</v>
      </c>
      <c r="Q1617" s="1" t="s">
        <v>145</v>
      </c>
      <c r="R1617" s="1" t="s">
        <v>145</v>
      </c>
      <c r="S1617" s="8">
        <v>3.8999999999999999</v>
      </c>
      <c r="T1617" s="1" t="s">
        <v>50</v>
      </c>
      <c r="U1617" s="1"/>
      <c r="V1617" s="1"/>
      <c r="W1617" s="1"/>
      <c r="X1617" s="5">
        <v>250</v>
      </c>
      <c r="Y1617" s="7">
        <v>14705882</v>
      </c>
      <c r="Z1617" s="7">
        <v>619955</v>
      </c>
      <c r="AA1617" s="1"/>
      <c r="AB1617" s="1" t="s">
        <v>5265</v>
      </c>
      <c r="AC1617" s="1" t="s">
        <v>5265</v>
      </c>
      <c r="AD1617" s="1" t="s">
        <v>5265</v>
      </c>
      <c r="AE1617" s="1" t="s">
        <v>51</v>
      </c>
      <c r="AF1617" s="1" t="s">
        <v>51</v>
      </c>
      <c r="AG1617" s="1" t="s">
        <v>51</v>
      </c>
      <c r="AH1617" s="1"/>
      <c r="AI1617" s="1"/>
      <c r="AJ1617" s="3">
        <v>3</v>
      </c>
      <c r="AK1617" s="1" t="s">
        <v>110</v>
      </c>
      <c r="AL1617" s="3">
        <v>6</v>
      </c>
      <c r="AM1617" s="8">
        <v>15.98</v>
      </c>
      <c r="AN1617" s="1"/>
      <c r="AO1617" s="1" t="s">
        <v>10982</v>
      </c>
      <c r="AP1617" s="1" t="s">
        <v>10983</v>
      </c>
      <c r="AQ1617" s="1" t="s">
        <v>10984</v>
      </c>
      <c r="AR1617" s="1" t="s">
        <v>10985</v>
      </c>
    </row>
    <row r="1618">
      <c r="A1618" s="2">
        <f ca="1">DATE(2005,08,08)</f>
        <v>0</v>
      </c>
      <c r="B1618" s="2">
        <f ca="1">DATE(2005,09,20)</f>
        <v>0</v>
      </c>
      <c r="C1618" s="1" t="s">
        <v>10986</v>
      </c>
      <c r="D1618" s="3">
        <v>6021</v>
      </c>
      <c r="E1618" s="1" t="s">
        <v>43</v>
      </c>
      <c r="F1618" s="1" t="s">
        <v>10987</v>
      </c>
      <c r="G1618" s="1" t="s">
        <v>4327</v>
      </c>
      <c r="H1618" s="4">
        <v>1.1200000000000001</v>
      </c>
      <c r="I1618" s="4">
        <v>7</v>
      </c>
      <c r="J1618" s="5">
        <v>27.199999999999999</v>
      </c>
      <c r="K1618" s="4">
        <v>16</v>
      </c>
      <c r="L1618" s="1" t="s">
        <v>46</v>
      </c>
      <c r="M1618" s="1" t="s">
        <v>47</v>
      </c>
      <c r="N1618" s="1" t="s">
        <v>10988</v>
      </c>
      <c r="O1618" s="1" t="s">
        <v>48</v>
      </c>
      <c r="P1618" s="1" t="s">
        <v>10989</v>
      </c>
      <c r="Q1618" s="1" t="s">
        <v>145</v>
      </c>
      <c r="R1618" s="1" t="s">
        <v>145</v>
      </c>
      <c r="S1618" s="10">
        <v>4.0625</v>
      </c>
      <c r="T1618" s="1" t="s">
        <v>50</v>
      </c>
      <c r="U1618" s="1"/>
      <c r="V1618" s="1"/>
      <c r="W1618" s="1"/>
      <c r="X1618" s="5">
        <v>25</v>
      </c>
      <c r="Y1618" s="7">
        <v>1500000</v>
      </c>
      <c r="Z1618" s="7">
        <v>200000</v>
      </c>
      <c r="AA1618" s="1" t="s">
        <v>10990</v>
      </c>
      <c r="AB1618" s="1" t="s">
        <v>10991</v>
      </c>
      <c r="AC1618" s="1" t="s">
        <v>7759</v>
      </c>
      <c r="AD1618" s="1" t="s">
        <v>10992</v>
      </c>
      <c r="AE1618" s="1" t="s">
        <v>51</v>
      </c>
      <c r="AF1618" s="1" t="s">
        <v>51</v>
      </c>
      <c r="AG1618" s="1" t="s">
        <v>51</v>
      </c>
      <c r="AH1618" s="1"/>
      <c r="AI1618" s="1"/>
      <c r="AJ1618" s="3">
        <v>1</v>
      </c>
      <c r="AK1618" s="1" t="s">
        <v>52</v>
      </c>
      <c r="AL1618" s="3">
        <v>1</v>
      </c>
      <c r="AM1618" s="8">
        <v>16.25</v>
      </c>
      <c r="AN1618" s="1"/>
      <c r="AO1618" s="1" t="s">
        <v>10993</v>
      </c>
      <c r="AP1618" s="1" t="s">
        <v>4327</v>
      </c>
      <c r="AQ1618" s="1" t="s">
        <v>4327</v>
      </c>
      <c r="AR1618" s="1" t="s">
        <v>4328</v>
      </c>
    </row>
    <row r="1619">
      <c r="A1619" s="2">
        <f ca="1">DATE(2004,06,25)</f>
        <v>0</v>
      </c>
      <c r="B1619" s="2">
        <f ca="1">DATE(2005,09,21)</f>
        <v>0</v>
      </c>
      <c r="C1619" s="1" t="s">
        <v>10994</v>
      </c>
      <c r="D1619" s="3">
        <v>3661</v>
      </c>
      <c r="E1619" s="1" t="s">
        <v>43</v>
      </c>
      <c r="F1619" s="1" t="s">
        <v>10995</v>
      </c>
      <c r="G1619" s="1" t="s">
        <v>10937</v>
      </c>
      <c r="H1619" s="4">
        <v>0.83999999999999997</v>
      </c>
      <c r="I1619" s="8">
        <v>7</v>
      </c>
      <c r="J1619" s="5">
        <v>76.799999999999997</v>
      </c>
      <c r="K1619" s="4">
        <v>12</v>
      </c>
      <c r="L1619" s="1" t="s">
        <v>46</v>
      </c>
      <c r="M1619" s="1" t="s">
        <v>47</v>
      </c>
      <c r="N1619" s="1" t="s">
        <v>10996</v>
      </c>
      <c r="O1619" s="1" t="s">
        <v>48</v>
      </c>
      <c r="P1619" s="1" t="s">
        <v>10997</v>
      </c>
      <c r="Q1619" s="1" t="s">
        <v>145</v>
      </c>
      <c r="R1619" s="1" t="s">
        <v>145</v>
      </c>
      <c r="S1619" s="6">
        <v>4.1666699999999999</v>
      </c>
      <c r="T1619" s="1" t="s">
        <v>50</v>
      </c>
      <c r="U1619" s="1"/>
      <c r="V1619" s="1"/>
      <c r="W1619" s="1"/>
      <c r="X1619" s="1"/>
      <c r="Y1619" s="7">
        <v>6400000</v>
      </c>
      <c r="Z1619" s="1"/>
      <c r="AA1619" s="1" t="s">
        <v>10998</v>
      </c>
      <c r="AB1619" s="1" t="s">
        <v>10999</v>
      </c>
      <c r="AC1619" s="1" t="s">
        <v>7759</v>
      </c>
      <c r="AD1619" s="1" t="s">
        <v>11000</v>
      </c>
      <c r="AE1619" s="1" t="s">
        <v>51</v>
      </c>
      <c r="AF1619" s="1" t="s">
        <v>51</v>
      </c>
      <c r="AG1619" s="1" t="s">
        <v>47</v>
      </c>
      <c r="AH1619" s="1"/>
      <c r="AI1619" s="1"/>
      <c r="AJ1619" s="3">
        <v>2</v>
      </c>
      <c r="AK1619" s="1" t="s">
        <v>89</v>
      </c>
      <c r="AL1619" s="3">
        <v>4</v>
      </c>
      <c r="AM1619" s="8">
        <v>13</v>
      </c>
      <c r="AN1619" s="1"/>
      <c r="AO1619" s="1" t="s">
        <v>11001</v>
      </c>
      <c r="AP1619" s="1" t="s">
        <v>10941</v>
      </c>
      <c r="AQ1619" s="1" t="s">
        <v>11002</v>
      </c>
      <c r="AR1619" s="1" t="s">
        <v>11003</v>
      </c>
    </row>
    <row r="1620">
      <c r="A1620" s="2">
        <f ca="1">DATE(2005,03,22)</f>
        <v>0</v>
      </c>
      <c r="B1620" s="2">
        <f ca="1">DATE(2005,09,22)</f>
        <v>0</v>
      </c>
      <c r="C1620" s="1" t="s">
        <v>11004</v>
      </c>
      <c r="D1620" s="3">
        <v>6099</v>
      </c>
      <c r="E1620" s="1" t="s">
        <v>43</v>
      </c>
      <c r="F1620" s="1" t="s">
        <v>11005</v>
      </c>
      <c r="G1620" s="1" t="s">
        <v>7893</v>
      </c>
      <c r="H1620" s="4">
        <v>0.97999999999999998</v>
      </c>
      <c r="I1620" s="8">
        <v>7</v>
      </c>
      <c r="J1620" s="5">
        <v>224.90000000000001</v>
      </c>
      <c r="K1620" s="4">
        <v>14</v>
      </c>
      <c r="L1620" s="1" t="s">
        <v>46</v>
      </c>
      <c r="M1620" s="1" t="s">
        <v>47</v>
      </c>
      <c r="N1620" s="3">
        <v>378967103</v>
      </c>
      <c r="O1620" s="1" t="s">
        <v>108</v>
      </c>
      <c r="P1620" s="1" t="s">
        <v>11006</v>
      </c>
      <c r="Q1620" s="4">
        <v>1.4290000000000001</v>
      </c>
      <c r="R1620" s="4">
        <v>1.286</v>
      </c>
      <c r="S1620" s="6">
        <v>4.2857099999999999</v>
      </c>
      <c r="T1620" s="1" t="s">
        <v>50</v>
      </c>
      <c r="U1620" s="1"/>
      <c r="V1620" s="1"/>
      <c r="W1620" s="1"/>
      <c r="X1620" s="5">
        <v>471.5</v>
      </c>
      <c r="Y1620" s="7">
        <v>9000000</v>
      </c>
      <c r="Z1620" s="7">
        <v>7064157</v>
      </c>
      <c r="AA1620" s="1" t="s">
        <v>11007</v>
      </c>
      <c r="AB1620" s="1" t="s">
        <v>11008</v>
      </c>
      <c r="AC1620" s="1" t="s">
        <v>7759</v>
      </c>
      <c r="AD1620" s="1" t="s">
        <v>11009</v>
      </c>
      <c r="AE1620" s="1" t="s">
        <v>51</v>
      </c>
      <c r="AF1620" s="1" t="s">
        <v>51</v>
      </c>
      <c r="AG1620" s="1" t="s">
        <v>51</v>
      </c>
      <c r="AH1620" s="1"/>
      <c r="AI1620" s="1"/>
      <c r="AJ1620" s="3">
        <v>2</v>
      </c>
      <c r="AK1620" s="1" t="s">
        <v>89</v>
      </c>
      <c r="AL1620" s="3">
        <v>8</v>
      </c>
      <c r="AM1620" s="8">
        <v>14.960000000000001</v>
      </c>
      <c r="AN1620" s="1"/>
      <c r="AO1620" s="1" t="s">
        <v>11010</v>
      </c>
      <c r="AP1620" s="1" t="s">
        <v>4528</v>
      </c>
      <c r="AQ1620" s="1" t="s">
        <v>11011</v>
      </c>
      <c r="AR1620" s="1" t="s">
        <v>11012</v>
      </c>
    </row>
    <row r="1621">
      <c r="A1621" s="2">
        <f ca="1">DATE(2005,01,21)</f>
        <v>0</v>
      </c>
      <c r="B1621" s="2">
        <f ca="1">DATE(2005,09,23)</f>
        <v>0</v>
      </c>
      <c r="C1621" s="1" t="s">
        <v>11013</v>
      </c>
      <c r="D1621" s="3">
        <v>6331</v>
      </c>
      <c r="E1621" s="1" t="s">
        <v>43</v>
      </c>
      <c r="F1621" s="1" t="s">
        <v>11014</v>
      </c>
      <c r="G1621" s="1" t="s">
        <v>6379</v>
      </c>
      <c r="H1621" s="4">
        <v>0.83999999999999997</v>
      </c>
      <c r="I1621" s="8">
        <v>7</v>
      </c>
      <c r="J1621" s="5">
        <v>48</v>
      </c>
      <c r="K1621" s="4">
        <v>12</v>
      </c>
      <c r="L1621" s="1" t="s">
        <v>46</v>
      </c>
      <c r="M1621" s="1" t="s">
        <v>47</v>
      </c>
      <c r="N1621" s="3">
        <v>661696104</v>
      </c>
      <c r="O1621" s="1" t="s">
        <v>48</v>
      </c>
      <c r="P1621" s="1" t="s">
        <v>11015</v>
      </c>
      <c r="Q1621" s="4">
        <v>1.3999999999999999</v>
      </c>
      <c r="R1621" s="4">
        <v>1.5169999999999999</v>
      </c>
      <c r="S1621" s="6">
        <v>4.0833300000000001</v>
      </c>
      <c r="T1621" s="1" t="s">
        <v>50</v>
      </c>
      <c r="U1621" s="1"/>
      <c r="V1621" s="1"/>
      <c r="W1621" s="1"/>
      <c r="X1621" s="5">
        <v>63.299999999999997</v>
      </c>
      <c r="Y1621" s="7">
        <v>4000000</v>
      </c>
      <c r="Z1621" s="1"/>
      <c r="AA1621" s="1" t="s">
        <v>11016</v>
      </c>
      <c r="AB1621" s="1" t="s">
        <v>11017</v>
      </c>
      <c r="AC1621" s="1" t="s">
        <v>2068</v>
      </c>
      <c r="AD1621" s="1" t="s">
        <v>11018</v>
      </c>
      <c r="AE1621" s="1" t="s">
        <v>51</v>
      </c>
      <c r="AF1621" s="1" t="s">
        <v>51</v>
      </c>
      <c r="AG1621" s="1" t="s">
        <v>51</v>
      </c>
      <c r="AH1621" s="1"/>
      <c r="AI1621" s="1"/>
      <c r="AJ1621" s="3">
        <v>1</v>
      </c>
      <c r="AK1621" s="1" t="s">
        <v>52</v>
      </c>
      <c r="AL1621" s="3">
        <v>3</v>
      </c>
      <c r="AM1621" s="8">
        <v>12.029999999999999</v>
      </c>
      <c r="AN1621" s="1"/>
      <c r="AO1621" s="1" t="s">
        <v>11019</v>
      </c>
      <c r="AP1621" s="1" t="s">
        <v>6379</v>
      </c>
      <c r="AQ1621" s="1" t="s">
        <v>11020</v>
      </c>
      <c r="AR1621" s="1" t="s">
        <v>11021</v>
      </c>
    </row>
    <row r="1622">
      <c r="A1622" s="2">
        <f ca="1">DATE(2005,03,01)</f>
        <v>0</v>
      </c>
      <c r="B1622" s="2">
        <f ca="1">DATE(2005,09,26)</f>
        <v>0</v>
      </c>
      <c r="C1622" s="1" t="s">
        <v>11022</v>
      </c>
      <c r="D1622" s="3">
        <v>4412</v>
      </c>
      <c r="E1622" s="1" t="s">
        <v>43</v>
      </c>
      <c r="F1622" s="1" t="s">
        <v>11023</v>
      </c>
      <c r="G1622" s="1" t="s">
        <v>6891</v>
      </c>
      <c r="H1622" s="4">
        <v>0.69999999999999996</v>
      </c>
      <c r="I1622" s="8">
        <v>7</v>
      </c>
      <c r="J1622" s="5">
        <v>125</v>
      </c>
      <c r="K1622" s="4">
        <v>10</v>
      </c>
      <c r="L1622" s="1" t="s">
        <v>46</v>
      </c>
      <c r="M1622" s="1" t="s">
        <v>47</v>
      </c>
      <c r="N1622" s="1" t="s">
        <v>11024</v>
      </c>
      <c r="O1622" s="1" t="s">
        <v>108</v>
      </c>
      <c r="P1622" s="1" t="s">
        <v>11025</v>
      </c>
      <c r="Q1622" s="4">
        <v>1.3999999999999999</v>
      </c>
      <c r="R1622" s="4">
        <v>1.3999999999999999</v>
      </c>
      <c r="S1622" s="8">
        <v>4.2000000000000002</v>
      </c>
      <c r="T1622" s="1" t="s">
        <v>50</v>
      </c>
      <c r="U1622" s="1"/>
      <c r="V1622" s="1"/>
      <c r="W1622" s="1"/>
      <c r="X1622" s="5">
        <v>287.5</v>
      </c>
      <c r="Y1622" s="7">
        <v>12500000</v>
      </c>
      <c r="Z1622" s="1"/>
      <c r="AA1622" s="1" t="s">
        <v>11026</v>
      </c>
      <c r="AB1622" s="1" t="s">
        <v>11027</v>
      </c>
      <c r="AC1622" s="1" t="s">
        <v>11028</v>
      </c>
      <c r="AD1622" s="1" t="s">
        <v>11029</v>
      </c>
      <c r="AE1622" s="1" t="s">
        <v>51</v>
      </c>
      <c r="AF1622" s="1" t="s">
        <v>51</v>
      </c>
      <c r="AG1622" s="1" t="s">
        <v>51</v>
      </c>
      <c r="AH1622" s="1"/>
      <c r="AI1622" s="1"/>
      <c r="AJ1622" s="3">
        <v>2</v>
      </c>
      <c r="AK1622" s="1" t="s">
        <v>89</v>
      </c>
      <c r="AL1622" s="3">
        <v>5</v>
      </c>
      <c r="AM1622" s="8">
        <v>10.75</v>
      </c>
      <c r="AN1622" s="1"/>
      <c r="AO1622" s="1" t="s">
        <v>11030</v>
      </c>
      <c r="AP1622" s="1" t="s">
        <v>6894</v>
      </c>
      <c r="AQ1622" s="1" t="s">
        <v>11031</v>
      </c>
      <c r="AR1622" s="1" t="s">
        <v>11032</v>
      </c>
    </row>
    <row r="1623">
      <c r="A1623" s="2">
        <f ca="1">DATE(2005,04,08)</f>
        <v>0</v>
      </c>
      <c r="B1623" s="2">
        <f ca="1">DATE(2005,09,27)</f>
        <v>0</v>
      </c>
      <c r="C1623" s="1" t="s">
        <v>11033</v>
      </c>
      <c r="D1623" s="3">
        <v>6726</v>
      </c>
      <c r="E1623" s="1" t="s">
        <v>43</v>
      </c>
      <c r="F1623" s="1" t="s">
        <v>11034</v>
      </c>
      <c r="G1623" s="1" t="s">
        <v>11035</v>
      </c>
      <c r="H1623" s="4">
        <v>0.90000000000000002</v>
      </c>
      <c r="I1623" s="4">
        <v>4.5</v>
      </c>
      <c r="J1623" s="9">
        <v>2000</v>
      </c>
      <c r="K1623" s="4">
        <v>20</v>
      </c>
      <c r="L1623" s="1" t="s">
        <v>4422</v>
      </c>
      <c r="M1623" s="1" t="s">
        <v>47</v>
      </c>
      <c r="N1623" s="1" t="s">
        <v>11036</v>
      </c>
      <c r="O1623" s="1" t="s">
        <v>108</v>
      </c>
      <c r="P1623" s="1" t="s">
        <v>11037</v>
      </c>
      <c r="Q1623" s="4">
        <v>1</v>
      </c>
      <c r="R1623" s="4">
        <v>0.5</v>
      </c>
      <c r="S1623" s="8">
        <v>3</v>
      </c>
      <c r="T1623" s="1" t="s">
        <v>50</v>
      </c>
      <c r="U1623" s="8">
        <v>20</v>
      </c>
      <c r="V1623" s="8">
        <v>20</v>
      </c>
      <c r="W1623" s="7">
        <v>50000</v>
      </c>
      <c r="X1623" s="5">
        <v>1</v>
      </c>
      <c r="Y1623" s="7">
        <v>100000000</v>
      </c>
      <c r="Z1623" s="1"/>
      <c r="AA1623" s="2">
        <f ca="1">DATE(2006,03,26)</f>
        <v>0</v>
      </c>
      <c r="AB1623" s="1"/>
      <c r="AC1623" s="3">
        <v>180</v>
      </c>
      <c r="AD1623" s="1"/>
      <c r="AE1623" s="1" t="s">
        <v>51</v>
      </c>
      <c r="AF1623" s="1" t="s">
        <v>51</v>
      </c>
      <c r="AG1623" s="1" t="s">
        <v>51</v>
      </c>
      <c r="AH1623" s="1"/>
      <c r="AI1623" s="1"/>
      <c r="AJ1623" s="3">
        <v>5</v>
      </c>
      <c r="AK1623" s="1" t="s">
        <v>3985</v>
      </c>
      <c r="AL1623" s="3">
        <v>27</v>
      </c>
      <c r="AM1623" s="8">
        <v>20</v>
      </c>
      <c r="AN1623" s="1"/>
      <c r="AO1623" s="1" t="s">
        <v>11038</v>
      </c>
      <c r="AP1623" s="1" t="s">
        <v>11039</v>
      </c>
      <c r="AQ1623" s="1" t="s">
        <v>11040</v>
      </c>
      <c r="AR1623" s="1" t="s">
        <v>11041</v>
      </c>
    </row>
    <row r="1624">
      <c r="A1624" s="2">
        <f ca="1">DATE(2005,07,13)</f>
        <v>0</v>
      </c>
      <c r="B1624" s="2">
        <f ca="1">DATE(2005,09,27)</f>
        <v>0</v>
      </c>
      <c r="C1624" s="1" t="s">
        <v>11042</v>
      </c>
      <c r="D1624" s="3">
        <v>6726</v>
      </c>
      <c r="E1624" s="1" t="s">
        <v>43</v>
      </c>
      <c r="F1624" s="1" t="s">
        <v>11043</v>
      </c>
      <c r="G1624" s="1" t="s">
        <v>45</v>
      </c>
      <c r="H1624" s="4">
        <v>0.90000000000000002</v>
      </c>
      <c r="I1624" s="4">
        <v>4.5</v>
      </c>
      <c r="J1624" s="5">
        <v>185</v>
      </c>
      <c r="K1624" s="4">
        <v>20</v>
      </c>
      <c r="L1624" s="1" t="s">
        <v>46</v>
      </c>
      <c r="M1624" s="1" t="s">
        <v>47</v>
      </c>
      <c r="N1624" s="1" t="s">
        <v>11044</v>
      </c>
      <c r="O1624" s="1" t="s">
        <v>108</v>
      </c>
      <c r="P1624" s="1" t="s">
        <v>11045</v>
      </c>
      <c r="Q1624" s="4">
        <v>1</v>
      </c>
      <c r="R1624" s="4">
        <v>0.5</v>
      </c>
      <c r="S1624" s="8">
        <v>3</v>
      </c>
      <c r="T1624" s="1" t="s">
        <v>50</v>
      </c>
      <c r="U1624" s="8">
        <v>20</v>
      </c>
      <c r="V1624" s="8">
        <v>20</v>
      </c>
      <c r="W1624" s="7">
        <v>50000</v>
      </c>
      <c r="X1624" s="5">
        <v>1</v>
      </c>
      <c r="Y1624" s="7">
        <v>9250000</v>
      </c>
      <c r="Z1624" s="1"/>
      <c r="AA1624" s="1"/>
      <c r="AB1624" s="1"/>
      <c r="AC1624" s="1"/>
      <c r="AD1624" s="1"/>
      <c r="AE1624" s="1" t="s">
        <v>51</v>
      </c>
      <c r="AF1624" s="1" t="s">
        <v>51</v>
      </c>
      <c r="AG1624" s="1" t="s">
        <v>51</v>
      </c>
      <c r="AH1624" s="1"/>
      <c r="AI1624" s="1"/>
      <c r="AJ1624" s="3">
        <v>1</v>
      </c>
      <c r="AK1624" s="1" t="s">
        <v>52</v>
      </c>
      <c r="AL1624" s="3">
        <v>8</v>
      </c>
      <c r="AM1624" s="3">
        <v>20</v>
      </c>
      <c r="AN1624" s="3">
        <v>20</v>
      </c>
      <c r="AO1624" s="1" t="s">
        <v>11046</v>
      </c>
      <c r="AP1624" s="1" t="s">
        <v>45</v>
      </c>
      <c r="AQ1624" s="1" t="s">
        <v>11047</v>
      </c>
      <c r="AR1624" s="1" t="s">
        <v>11048</v>
      </c>
    </row>
    <row r="1625">
      <c r="A1625" s="2">
        <f ca="1">DATE(2005,09,01)</f>
        <v>0</v>
      </c>
      <c r="B1625" s="2">
        <f ca="1">DATE(2005,09,27)</f>
        <v>0</v>
      </c>
      <c r="C1625" s="1" t="s">
        <v>11049</v>
      </c>
      <c r="D1625" s="3">
        <v>3679</v>
      </c>
      <c r="E1625" s="1" t="s">
        <v>934</v>
      </c>
      <c r="F1625" s="1" t="s">
        <v>11050</v>
      </c>
      <c r="G1625" s="1" t="s">
        <v>5704</v>
      </c>
      <c r="H1625" s="4">
        <v>0.84499999999999997</v>
      </c>
      <c r="I1625" s="4">
        <v>6.5</v>
      </c>
      <c r="J1625" s="5">
        <v>62.399999999999999</v>
      </c>
      <c r="K1625" s="4">
        <v>13</v>
      </c>
      <c r="L1625" s="1" t="s">
        <v>46</v>
      </c>
      <c r="M1625" s="1" t="s">
        <v>47</v>
      </c>
      <c r="N1625" s="1"/>
      <c r="O1625" s="1" t="s">
        <v>48</v>
      </c>
      <c r="P1625" s="1" t="s">
        <v>11051</v>
      </c>
      <c r="Q1625" s="1" t="s">
        <v>145</v>
      </c>
      <c r="R1625" s="1" t="s">
        <v>145</v>
      </c>
      <c r="S1625" s="6">
        <v>3.8461500000000002</v>
      </c>
      <c r="T1625" s="1" t="s">
        <v>50</v>
      </c>
      <c r="U1625" s="1"/>
      <c r="V1625" s="1"/>
      <c r="W1625" s="7">
        <v>4800000</v>
      </c>
      <c r="X1625" s="1"/>
      <c r="Y1625" s="7">
        <v>3840000</v>
      </c>
      <c r="Z1625" s="7">
        <v>960000</v>
      </c>
      <c r="AA1625" s="1" t="s">
        <v>11052</v>
      </c>
      <c r="AB1625" s="1" t="s">
        <v>2067</v>
      </c>
      <c r="AC1625" s="1" t="s">
        <v>2068</v>
      </c>
      <c r="AD1625" s="1" t="s">
        <v>2067</v>
      </c>
      <c r="AE1625" s="1" t="s">
        <v>51</v>
      </c>
      <c r="AF1625" s="1" t="s">
        <v>51</v>
      </c>
      <c r="AG1625" s="1" t="s">
        <v>51</v>
      </c>
      <c r="AH1625" s="1"/>
      <c r="AI1625" s="1"/>
      <c r="AJ1625" s="3">
        <v>1</v>
      </c>
      <c r="AK1625" s="1" t="s">
        <v>52</v>
      </c>
      <c r="AL1625" s="3">
        <v>4</v>
      </c>
      <c r="AM1625" s="1"/>
      <c r="AN1625" s="1"/>
      <c r="AO1625" s="1" t="s">
        <v>11053</v>
      </c>
      <c r="AP1625" s="1" t="s">
        <v>5704</v>
      </c>
      <c r="AQ1625" s="1" t="s">
        <v>11054</v>
      </c>
      <c r="AR1625" s="1" t="s">
        <v>11055</v>
      </c>
    </row>
    <row r="1626">
      <c r="A1626" s="2">
        <f ca="1">DATE(2004,12,23)</f>
        <v>0</v>
      </c>
      <c r="B1626" s="2">
        <f ca="1">DATE(2005,09,27)</f>
        <v>0</v>
      </c>
      <c r="C1626" s="1" t="s">
        <v>11056</v>
      </c>
      <c r="D1626" s="3">
        <v>2834</v>
      </c>
      <c r="E1626" s="1" t="s">
        <v>43</v>
      </c>
      <c r="F1626" s="1" t="s">
        <v>11057</v>
      </c>
      <c r="G1626" s="1" t="s">
        <v>11058</v>
      </c>
      <c r="H1626" s="4">
        <v>0.48999999999999999</v>
      </c>
      <c r="I1626" s="8">
        <v>7</v>
      </c>
      <c r="J1626" s="5">
        <v>42</v>
      </c>
      <c r="K1626" s="4">
        <v>7</v>
      </c>
      <c r="L1626" s="1" t="s">
        <v>46</v>
      </c>
      <c r="M1626" s="1" t="s">
        <v>47</v>
      </c>
      <c r="N1626" s="3">
        <v>867328601</v>
      </c>
      <c r="O1626" s="1" t="s">
        <v>48</v>
      </c>
      <c r="P1626" s="1" t="s">
        <v>11059</v>
      </c>
      <c r="Q1626" s="4">
        <v>1.4290000000000001</v>
      </c>
      <c r="R1626" s="4">
        <v>1.714</v>
      </c>
      <c r="S1626" s="6">
        <v>3.8571399999999998</v>
      </c>
      <c r="T1626" s="1" t="s">
        <v>50</v>
      </c>
      <c r="U1626" s="1"/>
      <c r="V1626" s="1"/>
      <c r="W1626" s="1"/>
      <c r="X1626" s="5">
        <v>86.299999999999997</v>
      </c>
      <c r="Y1626" s="7">
        <v>6000000</v>
      </c>
      <c r="Z1626" s="1"/>
      <c r="AA1626" s="1" t="s">
        <v>11060</v>
      </c>
      <c r="AB1626" s="1" t="s">
        <v>11061</v>
      </c>
      <c r="AC1626" s="1" t="s">
        <v>7759</v>
      </c>
      <c r="AD1626" s="1" t="s">
        <v>11062</v>
      </c>
      <c r="AE1626" s="1" t="s">
        <v>51</v>
      </c>
      <c r="AF1626" s="1" t="s">
        <v>51</v>
      </c>
      <c r="AG1626" s="1" t="s">
        <v>47</v>
      </c>
      <c r="AH1626" s="1"/>
      <c r="AI1626" s="1"/>
      <c r="AJ1626" s="3">
        <v>2</v>
      </c>
      <c r="AK1626" s="1" t="s">
        <v>89</v>
      </c>
      <c r="AL1626" s="3">
        <v>3</v>
      </c>
      <c r="AM1626" s="5">
        <v>6.5</v>
      </c>
      <c r="AN1626" s="8">
        <v>7.0899999999999999</v>
      </c>
      <c r="AO1626" s="1" t="s">
        <v>11063</v>
      </c>
      <c r="AP1626" s="1" t="s">
        <v>5971</v>
      </c>
      <c r="AQ1626" s="1" t="s">
        <v>11064</v>
      </c>
      <c r="AR1626" s="1" t="s">
        <v>11059</v>
      </c>
    </row>
    <row r="1627">
      <c r="A1627" s="2">
        <f ca="1">DATE(2005,05,09)</f>
        <v>0</v>
      </c>
      <c r="B1627" s="2">
        <f ca="1">DATE(2005,09,27)</f>
        <v>0</v>
      </c>
      <c r="C1627" s="1" t="s">
        <v>11065</v>
      </c>
      <c r="D1627" s="3">
        <v>7375</v>
      </c>
      <c r="E1627" s="1" t="s">
        <v>43</v>
      </c>
      <c r="F1627" s="1" t="s">
        <v>11066</v>
      </c>
      <c r="G1627" s="1" t="s">
        <v>168</v>
      </c>
      <c r="H1627" s="4">
        <v>0.63</v>
      </c>
      <c r="I1627" s="4">
        <v>7</v>
      </c>
      <c r="J1627" s="5">
        <v>61.200000000000003</v>
      </c>
      <c r="K1627" s="4">
        <v>9</v>
      </c>
      <c r="L1627" s="1" t="s">
        <v>46</v>
      </c>
      <c r="M1627" s="1" t="s">
        <v>47</v>
      </c>
      <c r="N1627" s="3">
        <v>898452107</v>
      </c>
      <c r="O1627" s="1" t="s">
        <v>48</v>
      </c>
      <c r="P1627" s="1" t="s">
        <v>11067</v>
      </c>
      <c r="Q1627" s="1" t="s">
        <v>145</v>
      </c>
      <c r="R1627" s="1" t="s">
        <v>145</v>
      </c>
      <c r="S1627" s="8">
        <v>4.2000000000000002</v>
      </c>
      <c r="T1627" s="1" t="s">
        <v>50</v>
      </c>
      <c r="U1627" s="1"/>
      <c r="V1627" s="1"/>
      <c r="W1627" s="1"/>
      <c r="X1627" s="5">
        <v>80</v>
      </c>
      <c r="Y1627" s="7">
        <v>3400000</v>
      </c>
      <c r="Z1627" s="7">
        <v>3400000</v>
      </c>
      <c r="AA1627" s="1" t="s">
        <v>11060</v>
      </c>
      <c r="AB1627" s="1" t="s">
        <v>11068</v>
      </c>
      <c r="AC1627" s="1" t="s">
        <v>7759</v>
      </c>
      <c r="AD1627" s="1" t="s">
        <v>11069</v>
      </c>
      <c r="AE1627" s="1" t="s">
        <v>51</v>
      </c>
      <c r="AF1627" s="1" t="s">
        <v>51</v>
      </c>
      <c r="AG1627" s="1" t="s">
        <v>51</v>
      </c>
      <c r="AH1627" s="1"/>
      <c r="AI1627" s="1"/>
      <c r="AJ1627" s="3">
        <v>1</v>
      </c>
      <c r="AK1627" s="1" t="s">
        <v>52</v>
      </c>
      <c r="AL1627" s="3">
        <v>4</v>
      </c>
      <c r="AM1627" s="8">
        <v>9</v>
      </c>
      <c r="AN1627" s="1"/>
      <c r="AO1627" s="1" t="s">
        <v>11070</v>
      </c>
      <c r="AP1627" s="1" t="s">
        <v>168</v>
      </c>
      <c r="AQ1627" s="1" t="s">
        <v>11071</v>
      </c>
      <c r="AR1627" s="1" t="s">
        <v>11072</v>
      </c>
    </row>
    <row r="1628">
      <c r="A1628" s="2">
        <f ca="1">DATE(2005,07,19)</f>
        <v>0</v>
      </c>
      <c r="B1628" s="2">
        <f ca="1">DATE(2005,09,28)</f>
        <v>0</v>
      </c>
      <c r="C1628" s="1" t="s">
        <v>11073</v>
      </c>
      <c r="D1628" s="3">
        <v>5812</v>
      </c>
      <c r="E1628" s="1" t="s">
        <v>43</v>
      </c>
      <c r="F1628" s="1" t="s">
        <v>11074</v>
      </c>
      <c r="G1628" s="1" t="s">
        <v>11075</v>
      </c>
      <c r="H1628" s="4">
        <v>0.97999999999999998</v>
      </c>
      <c r="I1628" s="8">
        <v>7</v>
      </c>
      <c r="J1628" s="5">
        <v>75</v>
      </c>
      <c r="K1628" s="4">
        <v>14</v>
      </c>
      <c r="L1628" s="1" t="s">
        <v>46</v>
      </c>
      <c r="M1628" s="1" t="s">
        <v>47</v>
      </c>
      <c r="N1628" s="3">
        <v>142042209</v>
      </c>
      <c r="O1628" s="1" t="s">
        <v>48</v>
      </c>
      <c r="P1628" s="1" t="s">
        <v>11076</v>
      </c>
      <c r="Q1628" s="4">
        <v>1.5</v>
      </c>
      <c r="R1628" s="4">
        <v>1.4290000000000001</v>
      </c>
      <c r="S1628" s="6">
        <v>4.0714300000000003</v>
      </c>
      <c r="T1628" s="1" t="s">
        <v>50</v>
      </c>
      <c r="U1628" s="1"/>
      <c r="V1628" s="1"/>
      <c r="W1628" s="1"/>
      <c r="X1628" s="5">
        <v>90</v>
      </c>
      <c r="Y1628" s="7">
        <v>5358000</v>
      </c>
      <c r="Z1628" s="1"/>
      <c r="AA1628" s="1" t="s">
        <v>11077</v>
      </c>
      <c r="AB1628" s="1" t="s">
        <v>11078</v>
      </c>
      <c r="AC1628" s="1" t="s">
        <v>7759</v>
      </c>
      <c r="AD1628" s="1" t="s">
        <v>11079</v>
      </c>
      <c r="AE1628" s="1" t="s">
        <v>51</v>
      </c>
      <c r="AF1628" s="1" t="s">
        <v>51</v>
      </c>
      <c r="AG1628" s="1" t="s">
        <v>51</v>
      </c>
      <c r="AH1628" s="1"/>
      <c r="AI1628" s="1"/>
      <c r="AJ1628" s="3">
        <v>2</v>
      </c>
      <c r="AK1628" s="1" t="s">
        <v>89</v>
      </c>
      <c r="AL1628" s="3">
        <v>4</v>
      </c>
      <c r="AM1628" s="8">
        <v>13</v>
      </c>
      <c r="AN1628" s="1"/>
      <c r="AO1628" s="1" t="s">
        <v>11080</v>
      </c>
      <c r="AP1628" s="1" t="s">
        <v>11081</v>
      </c>
      <c r="AQ1628" s="1" t="s">
        <v>11082</v>
      </c>
      <c r="AR1628" s="1" t="s">
        <v>11083</v>
      </c>
    </row>
    <row r="1629">
      <c r="A1629" s="2">
        <f ca="1">DATE(2005,07,15)</f>
        <v>0</v>
      </c>
      <c r="B1629" s="2">
        <f ca="1">DATE(2005,09,28)</f>
        <v>0</v>
      </c>
      <c r="C1629" s="1" t="s">
        <v>11084</v>
      </c>
      <c r="D1629" s="3">
        <v>8071</v>
      </c>
      <c r="E1629" s="1" t="s">
        <v>43</v>
      </c>
      <c r="F1629" s="1" t="s">
        <v>11085</v>
      </c>
      <c r="G1629" s="1" t="s">
        <v>7342</v>
      </c>
      <c r="H1629" s="4">
        <v>0.88200000000000001</v>
      </c>
      <c r="I1629" s="4">
        <v>7.3499999999999996</v>
      </c>
      <c r="J1629" s="5">
        <v>60.200000000000003</v>
      </c>
      <c r="K1629" s="4">
        <v>12</v>
      </c>
      <c r="L1629" s="1" t="s">
        <v>46</v>
      </c>
      <c r="M1629" s="1" t="s">
        <v>47</v>
      </c>
      <c r="N1629" s="1" t="s">
        <v>11086</v>
      </c>
      <c r="O1629" s="1" t="s">
        <v>48</v>
      </c>
      <c r="P1629" s="1" t="s">
        <v>11087</v>
      </c>
      <c r="Q1629" s="1" t="s">
        <v>145</v>
      </c>
      <c r="R1629" s="1" t="s">
        <v>145</v>
      </c>
      <c r="S1629" s="6">
        <v>4.4166699999999999</v>
      </c>
      <c r="T1629" s="1" t="s">
        <v>50</v>
      </c>
      <c r="U1629" s="1"/>
      <c r="V1629" s="1"/>
      <c r="W1629" s="1"/>
      <c r="X1629" s="5">
        <v>75</v>
      </c>
      <c r="Y1629" s="7">
        <v>5016722</v>
      </c>
      <c r="Z1629" s="1"/>
      <c r="AA1629" s="1" t="s">
        <v>11077</v>
      </c>
      <c r="AB1629" s="1" t="s">
        <v>11088</v>
      </c>
      <c r="AC1629" s="1" t="s">
        <v>7759</v>
      </c>
      <c r="AD1629" s="1" t="s">
        <v>11089</v>
      </c>
      <c r="AE1629" s="1" t="s">
        <v>51</v>
      </c>
      <c r="AF1629" s="1" t="s">
        <v>51</v>
      </c>
      <c r="AG1629" s="1" t="s">
        <v>47</v>
      </c>
      <c r="AH1629" s="1"/>
      <c r="AI1629" s="1"/>
      <c r="AJ1629" s="3">
        <v>2</v>
      </c>
      <c r="AK1629" s="1" t="s">
        <v>89</v>
      </c>
      <c r="AL1629" s="3">
        <v>5</v>
      </c>
      <c r="AM1629" s="8">
        <v>11.75</v>
      </c>
      <c r="AN1629" s="1"/>
      <c r="AO1629" s="1" t="s">
        <v>11090</v>
      </c>
      <c r="AP1629" s="1" t="s">
        <v>7345</v>
      </c>
      <c r="AQ1629" s="1" t="s">
        <v>11091</v>
      </c>
      <c r="AR1629" s="1" t="s">
        <v>11092</v>
      </c>
    </row>
    <row r="1630">
      <c r="A1630" s="2">
        <f ca="1">DATE(2005,05,10)</f>
        <v>0</v>
      </c>
      <c r="B1630" s="2">
        <f ca="1">DATE(2005,09,28)</f>
        <v>0</v>
      </c>
      <c r="C1630" s="1" t="s">
        <v>11093</v>
      </c>
      <c r="D1630" s="3">
        <v>5171</v>
      </c>
      <c r="E1630" s="1" t="s">
        <v>43</v>
      </c>
      <c r="F1630" s="1" t="s">
        <v>11094</v>
      </c>
      <c r="G1630" s="1" t="s">
        <v>813</v>
      </c>
      <c r="H1630" s="4">
        <v>1.458</v>
      </c>
      <c r="I1630" s="4">
        <v>6.6269999999999998</v>
      </c>
      <c r="J1630" s="5">
        <v>107.8</v>
      </c>
      <c r="K1630" s="4">
        <v>22</v>
      </c>
      <c r="L1630" s="1" t="s">
        <v>85</v>
      </c>
      <c r="M1630" s="1" t="s">
        <v>47</v>
      </c>
      <c r="N1630" s="1" t="s">
        <v>11095</v>
      </c>
      <c r="O1630" s="1" t="s">
        <v>108</v>
      </c>
      <c r="P1630" s="1" t="s">
        <v>11096</v>
      </c>
      <c r="Q1630" s="4">
        <v>1.3360000000000001</v>
      </c>
      <c r="R1630" s="4">
        <v>1.3360000000000001</v>
      </c>
      <c r="S1630" s="6">
        <v>3.9545499999999998</v>
      </c>
      <c r="T1630" s="1" t="s">
        <v>50</v>
      </c>
      <c r="U1630" s="1"/>
      <c r="V1630" s="1"/>
      <c r="W1630" s="7">
        <v>4900000</v>
      </c>
      <c r="X1630" s="1"/>
      <c r="Y1630" s="7">
        <v>4900000</v>
      </c>
      <c r="Z1630" s="1"/>
      <c r="AA1630" s="1" t="s">
        <v>11097</v>
      </c>
      <c r="AB1630" s="1" t="s">
        <v>2067</v>
      </c>
      <c r="AC1630" s="1" t="s">
        <v>2068</v>
      </c>
      <c r="AD1630" s="1" t="s">
        <v>2067</v>
      </c>
      <c r="AE1630" s="1" t="s">
        <v>51</v>
      </c>
      <c r="AF1630" s="1" t="s">
        <v>51</v>
      </c>
      <c r="AG1630" s="1" t="s">
        <v>51</v>
      </c>
      <c r="AH1630" s="1"/>
      <c r="AI1630" s="1"/>
      <c r="AJ1630" s="3">
        <v>1</v>
      </c>
      <c r="AK1630" s="1" t="s">
        <v>89</v>
      </c>
      <c r="AL1630" s="3">
        <v>5</v>
      </c>
      <c r="AM1630" s="8">
        <v>23.699999999999999</v>
      </c>
      <c r="AN1630" s="1"/>
      <c r="AO1630" s="1" t="s">
        <v>11098</v>
      </c>
      <c r="AP1630" s="1" t="s">
        <v>11099</v>
      </c>
      <c r="AQ1630" s="1" t="s">
        <v>11100</v>
      </c>
      <c r="AR1630" s="1" t="s">
        <v>11096</v>
      </c>
    </row>
    <row r="1631">
      <c r="A1631" s="2">
        <f ca="1">DATE(2004,03,31)</f>
        <v>0</v>
      </c>
      <c r="B1631" s="2">
        <f ca="1">DATE(2005,09,28)</f>
        <v>0</v>
      </c>
      <c r="C1631" s="1" t="s">
        <v>11101</v>
      </c>
      <c r="D1631" s="3">
        <v>7372</v>
      </c>
      <c r="E1631" s="1" t="s">
        <v>43</v>
      </c>
      <c r="F1631" s="1" t="s">
        <v>11102</v>
      </c>
      <c r="G1631" s="1" t="s">
        <v>6201</v>
      </c>
      <c r="H1631" s="4">
        <v>0.97999999999999998</v>
      </c>
      <c r="I1631" s="8">
        <v>7</v>
      </c>
      <c r="J1631" s="5">
        <v>93.799999999999997</v>
      </c>
      <c r="K1631" s="4">
        <v>14</v>
      </c>
      <c r="L1631" s="1" t="s">
        <v>152</v>
      </c>
      <c r="M1631" s="1" t="s">
        <v>47</v>
      </c>
      <c r="N1631" s="1" t="s">
        <v>11103</v>
      </c>
      <c r="O1631" s="1" t="s">
        <v>48</v>
      </c>
      <c r="P1631" s="1" t="s">
        <v>11104</v>
      </c>
      <c r="Q1631" s="1" t="s">
        <v>145</v>
      </c>
      <c r="R1631" s="1" t="s">
        <v>145</v>
      </c>
      <c r="S1631" s="8">
        <v>4.2000000000000002</v>
      </c>
      <c r="T1631" s="1" t="s">
        <v>50</v>
      </c>
      <c r="U1631" s="1"/>
      <c r="V1631" s="1"/>
      <c r="W1631" s="1"/>
      <c r="X1631" s="5">
        <v>115</v>
      </c>
      <c r="Y1631" s="7">
        <v>5360000</v>
      </c>
      <c r="Z1631" s="7">
        <v>1340000</v>
      </c>
      <c r="AA1631" s="1" t="s">
        <v>11105</v>
      </c>
      <c r="AB1631" s="1" t="s">
        <v>11106</v>
      </c>
      <c r="AC1631" s="1" t="s">
        <v>8611</v>
      </c>
      <c r="AD1631" s="1" t="s">
        <v>11107</v>
      </c>
      <c r="AE1631" s="1" t="s">
        <v>51</v>
      </c>
      <c r="AF1631" s="1" t="s">
        <v>51</v>
      </c>
      <c r="AG1631" s="1" t="s">
        <v>47</v>
      </c>
      <c r="AH1631" s="1"/>
      <c r="AI1631" s="1"/>
      <c r="AJ1631" s="3">
        <v>1</v>
      </c>
      <c r="AK1631" s="1" t="s">
        <v>110</v>
      </c>
      <c r="AL1631" s="3">
        <v>5</v>
      </c>
      <c r="AM1631" s="8">
        <v>13.6</v>
      </c>
      <c r="AN1631" s="1"/>
      <c r="AO1631" s="1" t="s">
        <v>11108</v>
      </c>
      <c r="AP1631" s="1" t="s">
        <v>11109</v>
      </c>
      <c r="AQ1631" s="1" t="s">
        <v>11110</v>
      </c>
      <c r="AR1631" s="1" t="s">
        <v>11111</v>
      </c>
    </row>
    <row r="1632">
      <c r="A1632" s="2">
        <f ca="1">DATE(2005,05,12)</f>
        <v>0</v>
      </c>
      <c r="B1632" s="2">
        <f ca="1">DATE(2005,09,28)</f>
        <v>0</v>
      </c>
      <c r="C1632" s="1" t="s">
        <v>11112</v>
      </c>
      <c r="D1632" s="3">
        <v>7375</v>
      </c>
      <c r="E1632" s="1" t="s">
        <v>43</v>
      </c>
      <c r="F1632" s="1" t="s">
        <v>11113</v>
      </c>
      <c r="G1632" s="1" t="s">
        <v>9160</v>
      </c>
      <c r="H1632" s="4">
        <v>1.2250000000000001</v>
      </c>
      <c r="I1632" s="4">
        <v>7</v>
      </c>
      <c r="J1632" s="5">
        <v>120.8</v>
      </c>
      <c r="K1632" s="4">
        <v>17.5</v>
      </c>
      <c r="L1632" s="1" t="s">
        <v>152</v>
      </c>
      <c r="M1632" s="1" t="s">
        <v>47</v>
      </c>
      <c r="N1632" s="1" t="s">
        <v>11114</v>
      </c>
      <c r="O1632" s="1" t="s">
        <v>48</v>
      </c>
      <c r="P1632" s="1" t="s">
        <v>11115</v>
      </c>
      <c r="Q1632" s="1" t="s">
        <v>145</v>
      </c>
      <c r="R1632" s="1" t="s">
        <v>145</v>
      </c>
      <c r="S1632" s="8">
        <v>4.2000000000000002</v>
      </c>
      <c r="T1632" s="1" t="s">
        <v>50</v>
      </c>
      <c r="U1632" s="1"/>
      <c r="V1632" s="1"/>
      <c r="W1632" s="1"/>
      <c r="X1632" s="5">
        <v>50</v>
      </c>
      <c r="Y1632" s="7">
        <v>6900000</v>
      </c>
      <c r="Z1632" s="1"/>
      <c r="AA1632" s="1" t="s">
        <v>11116</v>
      </c>
      <c r="AB1632" s="1" t="s">
        <v>11117</v>
      </c>
      <c r="AC1632" s="1" t="s">
        <v>11118</v>
      </c>
      <c r="AD1632" s="1" t="s">
        <v>11119</v>
      </c>
      <c r="AE1632" s="1" t="s">
        <v>51</v>
      </c>
      <c r="AF1632" s="1" t="s">
        <v>51</v>
      </c>
      <c r="AG1632" s="1" t="s">
        <v>51</v>
      </c>
      <c r="AH1632" s="1"/>
      <c r="AI1632" s="1"/>
      <c r="AJ1632" s="3">
        <v>2</v>
      </c>
      <c r="AK1632" s="1" t="s">
        <v>89</v>
      </c>
      <c r="AL1632" s="3">
        <v>3</v>
      </c>
      <c r="AM1632" s="8">
        <v>24.399999999999999</v>
      </c>
      <c r="AN1632" s="1"/>
      <c r="AO1632" s="1" t="s">
        <v>11120</v>
      </c>
      <c r="AP1632" s="1" t="s">
        <v>9747</v>
      </c>
      <c r="AQ1632" s="1" t="s">
        <v>11121</v>
      </c>
      <c r="AR1632" s="1" t="s">
        <v>11122</v>
      </c>
    </row>
    <row r="1633">
      <c r="A1633" s="2">
        <f ca="1">DATE(2005,05,03)</f>
        <v>0</v>
      </c>
      <c r="B1633" s="2">
        <f ca="1">DATE(2005,09,29)</f>
        <v>0</v>
      </c>
      <c r="C1633" s="1" t="s">
        <v>11123</v>
      </c>
      <c r="D1633" s="3">
        <v>2836</v>
      </c>
      <c r="E1633" s="1" t="s">
        <v>43</v>
      </c>
      <c r="F1633" s="1" t="s">
        <v>11124</v>
      </c>
      <c r="G1633" s="1" t="s">
        <v>1624</v>
      </c>
      <c r="H1633" s="4">
        <v>0.73499999999999999</v>
      </c>
      <c r="I1633" s="8">
        <v>7</v>
      </c>
      <c r="J1633" s="5">
        <v>28.899999999999999</v>
      </c>
      <c r="K1633" s="4">
        <v>10.5</v>
      </c>
      <c r="L1633" s="1" t="s">
        <v>46</v>
      </c>
      <c r="M1633" s="1" t="s">
        <v>47</v>
      </c>
      <c r="N1633" s="1" t="s">
        <v>11125</v>
      </c>
      <c r="O1633" s="1" t="s">
        <v>48</v>
      </c>
      <c r="P1633" s="1" t="s">
        <v>11126</v>
      </c>
      <c r="Q1633" s="1" t="s">
        <v>145</v>
      </c>
      <c r="R1633" s="1" t="s">
        <v>145</v>
      </c>
      <c r="S1633" s="6">
        <v>3.09524</v>
      </c>
      <c r="T1633" s="1" t="s">
        <v>50</v>
      </c>
      <c r="U1633" s="1"/>
      <c r="V1633" s="1"/>
      <c r="W1633" s="1"/>
      <c r="X1633" s="5">
        <v>57.5</v>
      </c>
      <c r="Y1633" s="7">
        <v>2750000</v>
      </c>
      <c r="Z1633" s="1"/>
      <c r="AA1633" s="1" t="s">
        <v>11127</v>
      </c>
      <c r="AB1633" s="1" t="s">
        <v>11128</v>
      </c>
      <c r="AC1633" s="1" t="s">
        <v>7759</v>
      </c>
      <c r="AD1633" s="1" t="s">
        <v>11129</v>
      </c>
      <c r="AE1633" s="1" t="s">
        <v>51</v>
      </c>
      <c r="AF1633" s="1" t="s">
        <v>51</v>
      </c>
      <c r="AG1633" s="1" t="s">
        <v>47</v>
      </c>
      <c r="AH1633" s="1"/>
      <c r="AI1633" s="1"/>
      <c r="AJ1633" s="3">
        <v>1</v>
      </c>
      <c r="AK1633" s="1" t="s">
        <v>52</v>
      </c>
      <c r="AL1633" s="3">
        <v>3</v>
      </c>
      <c r="AM1633" s="8">
        <v>9.4900000000000002</v>
      </c>
      <c r="AN1633" s="1"/>
      <c r="AO1633" s="1" t="s">
        <v>11130</v>
      </c>
      <c r="AP1633" s="1" t="s">
        <v>1624</v>
      </c>
      <c r="AQ1633" s="1" t="s">
        <v>11131</v>
      </c>
      <c r="AR1633" s="1" t="s">
        <v>11132</v>
      </c>
    </row>
    <row r="1634">
      <c r="A1634" s="2">
        <f ca="1">DATE(2005,07,21)</f>
        <v>0</v>
      </c>
      <c r="B1634" s="2">
        <f ca="1">DATE(2005,09,29)</f>
        <v>0</v>
      </c>
      <c r="C1634" s="1" t="s">
        <v>11133</v>
      </c>
      <c r="D1634" s="3">
        <v>6712</v>
      </c>
      <c r="E1634" s="1" t="s">
        <v>43</v>
      </c>
      <c r="F1634" s="1" t="s">
        <v>11134</v>
      </c>
      <c r="G1634" s="1" t="s">
        <v>4996</v>
      </c>
      <c r="H1634" s="4">
        <v>1.8200000000000001</v>
      </c>
      <c r="I1634" s="4">
        <v>7</v>
      </c>
      <c r="J1634" s="5">
        <v>49.600000000000001</v>
      </c>
      <c r="K1634" s="4">
        <v>26</v>
      </c>
      <c r="L1634" s="1" t="s">
        <v>46</v>
      </c>
      <c r="M1634" s="1" t="s">
        <v>47</v>
      </c>
      <c r="N1634" s="3">
        <v>857124101</v>
      </c>
      <c r="O1634" s="1" t="s">
        <v>48</v>
      </c>
      <c r="P1634" s="1" t="s">
        <v>11135</v>
      </c>
      <c r="Q1634" s="4">
        <v>1.3999999999999999</v>
      </c>
      <c r="R1634" s="4">
        <v>1.3999999999999999</v>
      </c>
      <c r="S1634" s="8">
        <v>4.2000000000000002</v>
      </c>
      <c r="T1634" s="1" t="s">
        <v>50</v>
      </c>
      <c r="U1634" s="1"/>
      <c r="V1634" s="1"/>
      <c r="W1634" s="1"/>
      <c r="X1634" s="5">
        <v>40</v>
      </c>
      <c r="Y1634" s="7">
        <v>1907692</v>
      </c>
      <c r="Z1634" s="1"/>
      <c r="AA1634" s="1" t="s">
        <v>11136</v>
      </c>
      <c r="AB1634" s="1" t="s">
        <v>11137</v>
      </c>
      <c r="AC1634" s="1" t="s">
        <v>11138</v>
      </c>
      <c r="AD1634" s="1" t="s">
        <v>11139</v>
      </c>
      <c r="AE1634" s="1" t="s">
        <v>51</v>
      </c>
      <c r="AF1634" s="1" t="s">
        <v>51</v>
      </c>
      <c r="AG1634" s="1" t="s">
        <v>51</v>
      </c>
      <c r="AH1634" s="1"/>
      <c r="AI1634" s="1"/>
      <c r="AJ1634" s="3">
        <v>1</v>
      </c>
      <c r="AK1634" s="1" t="s">
        <v>52</v>
      </c>
      <c r="AL1634" s="3">
        <v>2</v>
      </c>
      <c r="AM1634" s="8">
        <v>26</v>
      </c>
      <c r="AN1634" s="1"/>
      <c r="AO1634" s="1" t="s">
        <v>11140</v>
      </c>
      <c r="AP1634" s="1" t="s">
        <v>4996</v>
      </c>
      <c r="AQ1634" s="1" t="s">
        <v>11141</v>
      </c>
      <c r="AR1634" s="1" t="s">
        <v>11142</v>
      </c>
    </row>
    <row r="1635">
      <c r="A1635" s="2">
        <f ca="1">DATE(2005,06,03)</f>
        <v>0</v>
      </c>
      <c r="B1635" s="2">
        <f ca="1">DATE(2005,09,29)</f>
        <v>0</v>
      </c>
      <c r="C1635" s="1" t="s">
        <v>11143</v>
      </c>
      <c r="D1635" s="3">
        <v>2759</v>
      </c>
      <c r="E1635" s="1" t="s">
        <v>510</v>
      </c>
      <c r="F1635" s="1" t="s">
        <v>11144</v>
      </c>
      <c r="G1635" s="1" t="s">
        <v>160</v>
      </c>
      <c r="H1635" s="4">
        <v>0.83999999999999997</v>
      </c>
      <c r="I1635" s="8">
        <v>7</v>
      </c>
      <c r="J1635" s="5">
        <v>120.2</v>
      </c>
      <c r="K1635" s="4">
        <v>12</v>
      </c>
      <c r="L1635" s="1" t="s">
        <v>46</v>
      </c>
      <c r="M1635" s="1" t="s">
        <v>47</v>
      </c>
      <c r="N1635" s="1" t="s">
        <v>11145</v>
      </c>
      <c r="O1635" s="1" t="s">
        <v>48</v>
      </c>
      <c r="P1635" s="1" t="s">
        <v>11146</v>
      </c>
      <c r="Q1635" s="4">
        <v>1.3999999999999999</v>
      </c>
      <c r="R1635" s="4">
        <v>1.3999999999999999</v>
      </c>
      <c r="S1635" s="8">
        <v>4.2000000000000002</v>
      </c>
      <c r="T1635" s="1" t="s">
        <v>50</v>
      </c>
      <c r="U1635" s="1"/>
      <c r="V1635" s="1"/>
      <c r="W1635" s="1"/>
      <c r="X1635" s="5">
        <v>120</v>
      </c>
      <c r="Y1635" s="7">
        <v>5500000</v>
      </c>
      <c r="Z1635" s="7">
        <v>4515930</v>
      </c>
      <c r="AA1635" s="1" t="s">
        <v>11127</v>
      </c>
      <c r="AB1635" s="1" t="s">
        <v>11147</v>
      </c>
      <c r="AC1635" s="1" t="s">
        <v>7759</v>
      </c>
      <c r="AD1635" s="1" t="s">
        <v>11148</v>
      </c>
      <c r="AE1635" s="1" t="s">
        <v>51</v>
      </c>
      <c r="AF1635" s="1" t="s">
        <v>51</v>
      </c>
      <c r="AG1635" s="1" t="s">
        <v>47</v>
      </c>
      <c r="AH1635" s="1"/>
      <c r="AI1635" s="1"/>
      <c r="AJ1635" s="3">
        <v>1</v>
      </c>
      <c r="AK1635" s="1" t="s">
        <v>89</v>
      </c>
      <c r="AL1635" s="3">
        <v>4</v>
      </c>
      <c r="AM1635" s="8">
        <v>15.25</v>
      </c>
      <c r="AN1635" s="1"/>
      <c r="AO1635" s="1" t="s">
        <v>11149</v>
      </c>
      <c r="AP1635" s="1" t="s">
        <v>8409</v>
      </c>
      <c r="AQ1635" s="1" t="s">
        <v>11150</v>
      </c>
      <c r="AR1635" s="1" t="s">
        <v>11146</v>
      </c>
    </row>
    <row r="1636">
      <c r="A1636" s="2">
        <f ca="1">DATE(2005,07,19)</f>
        <v>0</v>
      </c>
      <c r="B1636" s="2">
        <f ca="1">DATE(2005,10,06)</f>
        <v>0</v>
      </c>
      <c r="C1636" s="1" t="s">
        <v>11151</v>
      </c>
      <c r="D1636" s="3">
        <v>4499</v>
      </c>
      <c r="E1636" s="1" t="s">
        <v>43</v>
      </c>
      <c r="F1636" s="1" t="s">
        <v>11152</v>
      </c>
      <c r="G1636" s="1" t="s">
        <v>11153</v>
      </c>
      <c r="H1636" s="4">
        <v>1.468</v>
      </c>
      <c r="I1636" s="4">
        <v>6.9900000000000002</v>
      </c>
      <c r="J1636" s="5">
        <v>173.30000000000001</v>
      </c>
      <c r="K1636" s="4">
        <v>21</v>
      </c>
      <c r="L1636" s="1" t="s">
        <v>46</v>
      </c>
      <c r="M1636" s="1" t="s">
        <v>47</v>
      </c>
      <c r="N1636" s="1" t="s">
        <v>11154</v>
      </c>
      <c r="O1636" s="1" t="s">
        <v>48</v>
      </c>
      <c r="P1636" s="1" t="s">
        <v>11155</v>
      </c>
      <c r="Q1636" s="4">
        <v>1.4290000000000001</v>
      </c>
      <c r="R1636" s="4">
        <v>1.419</v>
      </c>
      <c r="S1636" s="6">
        <v>4.1428599999999998</v>
      </c>
      <c r="T1636" s="1" t="s">
        <v>50</v>
      </c>
      <c r="U1636" s="1"/>
      <c r="V1636" s="1"/>
      <c r="W1636" s="1"/>
      <c r="X1636" s="5">
        <v>201.30000000000001</v>
      </c>
      <c r="Y1636" s="7">
        <v>7500000</v>
      </c>
      <c r="Z1636" s="7">
        <v>750000</v>
      </c>
      <c r="AA1636" s="1" t="s">
        <v>11156</v>
      </c>
      <c r="AB1636" s="1" t="s">
        <v>5265</v>
      </c>
      <c r="AC1636" s="1" t="s">
        <v>7759</v>
      </c>
      <c r="AD1636" s="1" t="s">
        <v>5265</v>
      </c>
      <c r="AE1636" s="1" t="s">
        <v>51</v>
      </c>
      <c r="AF1636" s="1" t="s">
        <v>51</v>
      </c>
      <c r="AG1636" s="1" t="s">
        <v>51</v>
      </c>
      <c r="AH1636" s="1"/>
      <c r="AI1636" s="1"/>
      <c r="AJ1636" s="3">
        <v>2</v>
      </c>
      <c r="AK1636" s="1" t="s">
        <v>89</v>
      </c>
      <c r="AL1636" s="3">
        <v>4</v>
      </c>
      <c r="AM1636" s="8">
        <v>28.300000000000001</v>
      </c>
      <c r="AN1636" s="1"/>
      <c r="AO1636" s="1" t="s">
        <v>11157</v>
      </c>
      <c r="AP1636" s="1" t="s">
        <v>9826</v>
      </c>
      <c r="AQ1636" s="1" t="s">
        <v>11158</v>
      </c>
      <c r="AR1636" s="1" t="s">
        <v>11159</v>
      </c>
    </row>
    <row r="1637">
      <c r="A1637" s="2">
        <f ca="1">DATE(2005,08,29)</f>
        <v>0</v>
      </c>
      <c r="B1637" s="2">
        <f ca="1">DATE(2005,10,06)</f>
        <v>0</v>
      </c>
      <c r="C1637" s="1" t="s">
        <v>11160</v>
      </c>
      <c r="D1637" s="3">
        <v>4412</v>
      </c>
      <c r="E1637" s="1" t="s">
        <v>3764</v>
      </c>
      <c r="F1637" s="1" t="s">
        <v>11161</v>
      </c>
      <c r="G1637" s="1" t="s">
        <v>8214</v>
      </c>
      <c r="H1637" s="4">
        <v>0.87</v>
      </c>
      <c r="I1637" s="4">
        <v>6</v>
      </c>
      <c r="J1637" s="5">
        <v>116</v>
      </c>
      <c r="K1637" s="4">
        <v>14.5</v>
      </c>
      <c r="L1637" s="1" t="s">
        <v>46</v>
      </c>
      <c r="M1637" s="1" t="s">
        <v>47</v>
      </c>
      <c r="N1637" s="1"/>
      <c r="O1637" s="1" t="s">
        <v>48</v>
      </c>
      <c r="P1637" s="1" t="s">
        <v>11162</v>
      </c>
      <c r="Q1637" s="1" t="s">
        <v>145</v>
      </c>
      <c r="R1637" s="1" t="s">
        <v>145</v>
      </c>
      <c r="S1637" s="8">
        <v>3.6000000000000001</v>
      </c>
      <c r="T1637" s="1" t="s">
        <v>50</v>
      </c>
      <c r="U1637" s="8">
        <v>16</v>
      </c>
      <c r="V1637" s="8">
        <v>14</v>
      </c>
      <c r="W1637" s="7">
        <v>7700000</v>
      </c>
      <c r="X1637" s="5">
        <v>115.5</v>
      </c>
      <c r="Y1637" s="7">
        <v>8000000</v>
      </c>
      <c r="Z1637" s="1"/>
      <c r="AA1637" s="1" t="s">
        <v>11163</v>
      </c>
      <c r="AB1637" s="1" t="s">
        <v>11164</v>
      </c>
      <c r="AC1637" s="1" t="s">
        <v>2068</v>
      </c>
      <c r="AD1637" s="1" t="s">
        <v>11165</v>
      </c>
      <c r="AE1637" s="1" t="s">
        <v>51</v>
      </c>
      <c r="AF1637" s="1" t="s">
        <v>51</v>
      </c>
      <c r="AG1637" s="1" t="s">
        <v>51</v>
      </c>
      <c r="AH1637" s="1"/>
      <c r="AI1637" s="1"/>
      <c r="AJ1637" s="3">
        <v>1</v>
      </c>
      <c r="AK1637" s="1" t="s">
        <v>52</v>
      </c>
      <c r="AL1637" s="3">
        <v>5</v>
      </c>
      <c r="AM1637" s="8">
        <v>13.800000000000001</v>
      </c>
      <c r="AN1637" s="1"/>
      <c r="AO1637" s="1" t="s">
        <v>11166</v>
      </c>
      <c r="AP1637" s="1" t="s">
        <v>8214</v>
      </c>
      <c r="AQ1637" s="1" t="s">
        <v>11167</v>
      </c>
      <c r="AR1637" s="1" t="s">
        <v>11168</v>
      </c>
    </row>
    <row r="1638">
      <c r="A1638" s="2">
        <f ca="1">DATE(2005,06,30)</f>
        <v>0</v>
      </c>
      <c r="B1638" s="2">
        <f ca="1">DATE(2005,10,11)</f>
        <v>0</v>
      </c>
      <c r="C1638" s="1" t="s">
        <v>11169</v>
      </c>
      <c r="D1638" s="3">
        <v>7359</v>
      </c>
      <c r="E1638" s="1" t="s">
        <v>43</v>
      </c>
      <c r="F1638" s="1" t="s">
        <v>11170</v>
      </c>
      <c r="G1638" s="1" t="s">
        <v>11171</v>
      </c>
      <c r="H1638" s="4">
        <v>1.26</v>
      </c>
      <c r="I1638" s="4">
        <v>7</v>
      </c>
      <c r="J1638" s="5">
        <v>207</v>
      </c>
      <c r="K1638" s="4">
        <v>18</v>
      </c>
      <c r="L1638" s="1" t="s">
        <v>46</v>
      </c>
      <c r="M1638" s="1" t="s">
        <v>47</v>
      </c>
      <c r="N1638" s="3">
        <v>874083108</v>
      </c>
      <c r="O1638" s="1" t="s">
        <v>108</v>
      </c>
      <c r="P1638" s="1" t="s">
        <v>11172</v>
      </c>
      <c r="Q1638" s="4">
        <v>1.3999999999999999</v>
      </c>
      <c r="R1638" s="4">
        <v>1.3999999999999999</v>
      </c>
      <c r="S1638" s="8">
        <v>4.2000000000000002</v>
      </c>
      <c r="T1638" s="1" t="s">
        <v>50</v>
      </c>
      <c r="U1638" s="1"/>
      <c r="V1638" s="1"/>
      <c r="W1638" s="1"/>
      <c r="X1638" s="5">
        <v>201.30000000000001</v>
      </c>
      <c r="Y1638" s="7">
        <v>11500000</v>
      </c>
      <c r="Z1638" s="1"/>
      <c r="AA1638" s="1" t="s">
        <v>11173</v>
      </c>
      <c r="AB1638" s="1" t="s">
        <v>11174</v>
      </c>
      <c r="AC1638" s="1" t="s">
        <v>7759</v>
      </c>
      <c r="AD1638" s="1" t="s">
        <v>11175</v>
      </c>
      <c r="AE1638" s="1" t="s">
        <v>51</v>
      </c>
      <c r="AF1638" s="1" t="s">
        <v>51</v>
      </c>
      <c r="AG1638" s="1" t="s">
        <v>51</v>
      </c>
      <c r="AH1638" s="1"/>
      <c r="AI1638" s="1"/>
      <c r="AJ1638" s="3">
        <v>3</v>
      </c>
      <c r="AK1638" s="1" t="s">
        <v>110</v>
      </c>
      <c r="AL1638" s="3">
        <v>7</v>
      </c>
      <c r="AM1638" s="8">
        <v>18</v>
      </c>
      <c r="AN1638" s="1"/>
      <c r="AO1638" s="1" t="s">
        <v>11176</v>
      </c>
      <c r="AP1638" s="1" t="s">
        <v>11177</v>
      </c>
      <c r="AQ1638" s="1" t="s">
        <v>11178</v>
      </c>
      <c r="AR1638" s="1" t="s">
        <v>11179</v>
      </c>
    </row>
    <row r="1639">
      <c r="A1639" s="2">
        <f ca="1">DATE(2005,08,04)</f>
        <v>0</v>
      </c>
      <c r="B1639" s="2">
        <f ca="1">DATE(2005,10,13)</f>
        <v>0</v>
      </c>
      <c r="C1639" s="1" t="s">
        <v>11180</v>
      </c>
      <c r="D1639" s="3">
        <v>7372</v>
      </c>
      <c r="E1639" s="1" t="s">
        <v>43</v>
      </c>
      <c r="F1639" s="1" t="s">
        <v>11181</v>
      </c>
      <c r="G1639" s="1" t="s">
        <v>8344</v>
      </c>
      <c r="H1639" s="4">
        <v>0.77000000000000002</v>
      </c>
      <c r="I1639" s="4">
        <v>7</v>
      </c>
      <c r="J1639" s="5">
        <v>22</v>
      </c>
      <c r="K1639" s="4">
        <v>11</v>
      </c>
      <c r="L1639" s="1" t="s">
        <v>46</v>
      </c>
      <c r="M1639" s="1" t="s">
        <v>47</v>
      </c>
      <c r="N1639" s="3">
        <v>730864105</v>
      </c>
      <c r="O1639" s="1" t="s">
        <v>48</v>
      </c>
      <c r="P1639" s="1" t="s">
        <v>8348</v>
      </c>
      <c r="Q1639" s="1" t="s">
        <v>145</v>
      </c>
      <c r="R1639" s="1" t="s">
        <v>145</v>
      </c>
      <c r="S1639" s="6">
        <v>4.1818200000000001</v>
      </c>
      <c r="T1639" s="1" t="s">
        <v>50</v>
      </c>
      <c r="U1639" s="8">
        <v>12</v>
      </c>
      <c r="V1639" s="8">
        <v>10</v>
      </c>
      <c r="W1639" s="7">
        <v>2000000</v>
      </c>
      <c r="X1639" s="5">
        <v>22</v>
      </c>
      <c r="Y1639" s="7">
        <v>2000000</v>
      </c>
      <c r="Z1639" s="1"/>
      <c r="AA1639" s="1" t="s">
        <v>11182</v>
      </c>
      <c r="AB1639" s="1" t="s">
        <v>11183</v>
      </c>
      <c r="AC1639" s="1" t="s">
        <v>8939</v>
      </c>
      <c r="AD1639" s="1" t="s">
        <v>11184</v>
      </c>
      <c r="AE1639" s="1" t="s">
        <v>51</v>
      </c>
      <c r="AF1639" s="1" t="s">
        <v>51</v>
      </c>
      <c r="AG1639" s="1" t="s">
        <v>51</v>
      </c>
      <c r="AH1639" s="1"/>
      <c r="AI1639" s="1"/>
      <c r="AJ1639" s="3">
        <v>1</v>
      </c>
      <c r="AK1639" s="1" t="s">
        <v>52</v>
      </c>
      <c r="AL1639" s="3">
        <v>1</v>
      </c>
      <c r="AM1639" s="8">
        <v>10.25</v>
      </c>
      <c r="AN1639" s="1"/>
      <c r="AO1639" s="1" t="s">
        <v>8344</v>
      </c>
      <c r="AP1639" s="1" t="s">
        <v>8344</v>
      </c>
      <c r="AQ1639" s="1" t="s">
        <v>8344</v>
      </c>
      <c r="AR1639" s="1" t="s">
        <v>8348</v>
      </c>
    </row>
    <row r="1640">
      <c r="A1640" s="2">
        <f ca="1">DATE(2005,09,21)</f>
        <v>0</v>
      </c>
      <c r="B1640" s="2">
        <f ca="1">DATE(2005,10,13)</f>
        <v>0</v>
      </c>
      <c r="C1640" s="1" t="s">
        <v>11185</v>
      </c>
      <c r="D1640" s="3">
        <v>4412</v>
      </c>
      <c r="E1640" s="1" t="s">
        <v>5404</v>
      </c>
      <c r="F1640" s="1" t="s">
        <v>11186</v>
      </c>
      <c r="G1640" s="1" t="s">
        <v>6509</v>
      </c>
      <c r="H1640" s="4">
        <v>0.71999999999999997</v>
      </c>
      <c r="I1640" s="4">
        <v>6</v>
      </c>
      <c r="J1640" s="5">
        <v>192</v>
      </c>
      <c r="K1640" s="4">
        <v>12</v>
      </c>
      <c r="L1640" s="1" t="s">
        <v>46</v>
      </c>
      <c r="M1640" s="1" t="s">
        <v>47</v>
      </c>
      <c r="N1640" s="1" t="s">
        <v>11187</v>
      </c>
      <c r="O1640" s="1" t="s">
        <v>108</v>
      </c>
      <c r="P1640" s="1" t="s">
        <v>11188</v>
      </c>
      <c r="Q1640" s="4">
        <v>1.25</v>
      </c>
      <c r="R1640" s="4">
        <v>1.167</v>
      </c>
      <c r="S1640" s="6">
        <v>3.5833300000000001</v>
      </c>
      <c r="T1640" s="1" t="s">
        <v>50</v>
      </c>
      <c r="U1640" s="8">
        <v>16</v>
      </c>
      <c r="V1640" s="8">
        <v>14</v>
      </c>
      <c r="W1640" s="7">
        <v>20000000</v>
      </c>
      <c r="X1640" s="5">
        <v>300</v>
      </c>
      <c r="Y1640" s="7">
        <v>16000000</v>
      </c>
      <c r="Z1640" s="1"/>
      <c r="AA1640" s="1" t="s">
        <v>11189</v>
      </c>
      <c r="AB1640" s="1" t="s">
        <v>5265</v>
      </c>
      <c r="AC1640" s="1" t="s">
        <v>7759</v>
      </c>
      <c r="AD1640" s="1" t="s">
        <v>5265</v>
      </c>
      <c r="AE1640" s="1" t="s">
        <v>51</v>
      </c>
      <c r="AF1640" s="1" t="s">
        <v>51</v>
      </c>
      <c r="AG1640" s="1" t="s">
        <v>51</v>
      </c>
      <c r="AH1640" s="1"/>
      <c r="AI1640" s="1"/>
      <c r="AJ1640" s="3">
        <v>2</v>
      </c>
      <c r="AK1640" s="1" t="s">
        <v>89</v>
      </c>
      <c r="AL1640" s="3">
        <v>7</v>
      </c>
      <c r="AM1640" s="8">
        <v>12.050000000000001</v>
      </c>
      <c r="AN1640" s="1"/>
      <c r="AO1640" s="1" t="s">
        <v>11190</v>
      </c>
      <c r="AP1640" s="1" t="s">
        <v>6504</v>
      </c>
      <c r="AQ1640" s="1" t="s">
        <v>11191</v>
      </c>
      <c r="AR1640" s="1" t="s">
        <v>11192</v>
      </c>
    </row>
    <row r="1641">
      <c r="A1641" s="2">
        <f ca="1">DATE(2005,05,09)</f>
        <v>0</v>
      </c>
      <c r="B1641" s="2">
        <f ca="1">DATE(2005,10,18)</f>
        <v>0</v>
      </c>
      <c r="C1641" s="1" t="s">
        <v>11193</v>
      </c>
      <c r="D1641" s="3">
        <v>6231</v>
      </c>
      <c r="E1641" s="1" t="s">
        <v>43</v>
      </c>
      <c r="F1641" s="1" t="s">
        <v>11194</v>
      </c>
      <c r="G1641" s="1" t="s">
        <v>6640</v>
      </c>
      <c r="H1641" s="4">
        <v>3.645</v>
      </c>
      <c r="I1641" s="4">
        <v>6.75</v>
      </c>
      <c r="J1641" s="5">
        <v>172.30000000000001</v>
      </c>
      <c r="K1641" s="4">
        <v>54</v>
      </c>
      <c r="L1641" s="1" t="s">
        <v>152</v>
      </c>
      <c r="M1641" s="1" t="s">
        <v>47</v>
      </c>
      <c r="N1641" s="1" t="s">
        <v>11195</v>
      </c>
      <c r="O1641" s="1" t="s">
        <v>108</v>
      </c>
      <c r="P1641" s="1" t="s">
        <v>11196</v>
      </c>
      <c r="Q1641" s="4">
        <v>1.3500000000000001</v>
      </c>
      <c r="R1641" s="4">
        <v>1.3500000000000001</v>
      </c>
      <c r="S1641" s="8">
        <v>4.0499999999999998</v>
      </c>
      <c r="T1641" s="1" t="s">
        <v>50</v>
      </c>
      <c r="U1641" s="1"/>
      <c r="V1641" s="1"/>
      <c r="W1641" s="1"/>
      <c r="X1641" s="5">
        <v>150</v>
      </c>
      <c r="Y1641" s="7">
        <v>2940486</v>
      </c>
      <c r="Z1641" s="7">
        <v>251003</v>
      </c>
      <c r="AA1641" s="1" t="s">
        <v>11197</v>
      </c>
      <c r="AB1641" s="1" t="s">
        <v>5265</v>
      </c>
      <c r="AC1641" s="1" t="s">
        <v>7759</v>
      </c>
      <c r="AD1641" s="1" t="s">
        <v>5265</v>
      </c>
      <c r="AE1641" s="1" t="s">
        <v>51</v>
      </c>
      <c r="AF1641" s="1" t="s">
        <v>51</v>
      </c>
      <c r="AG1641" s="1" t="s">
        <v>51</v>
      </c>
      <c r="AH1641" s="1"/>
      <c r="AI1641" s="1"/>
      <c r="AJ1641" s="3">
        <v>2</v>
      </c>
      <c r="AK1641" s="1" t="s">
        <v>89</v>
      </c>
      <c r="AL1641" s="3">
        <v>5</v>
      </c>
      <c r="AM1641" s="8">
        <v>80.299999999999997</v>
      </c>
      <c r="AN1641" s="1"/>
      <c r="AO1641" s="1" t="s">
        <v>11198</v>
      </c>
      <c r="AP1641" s="1" t="s">
        <v>6644</v>
      </c>
      <c r="AQ1641" s="1" t="s">
        <v>11199</v>
      </c>
      <c r="AR1641" s="1" t="s">
        <v>11200</v>
      </c>
    </row>
    <row r="1642">
      <c r="A1642" s="2">
        <f ca="1">DATE(2005,05,04)</f>
        <v>0</v>
      </c>
      <c r="B1642" s="2">
        <f ca="1">DATE(2005,10,19)</f>
        <v>0</v>
      </c>
      <c r="C1642" s="1" t="s">
        <v>11201</v>
      </c>
      <c r="D1642" s="3">
        <v>6726</v>
      </c>
      <c r="E1642" s="1" t="s">
        <v>43</v>
      </c>
      <c r="F1642" s="1" t="s">
        <v>11202</v>
      </c>
      <c r="G1642" s="1" t="s">
        <v>11203</v>
      </c>
      <c r="H1642" s="4">
        <v>0.29999999999999999</v>
      </c>
      <c r="I1642" s="4">
        <v>5</v>
      </c>
      <c r="J1642" s="5">
        <v>126</v>
      </c>
      <c r="K1642" s="4">
        <v>6</v>
      </c>
      <c r="L1642" s="1" t="s">
        <v>46</v>
      </c>
      <c r="M1642" s="1" t="s">
        <v>47</v>
      </c>
      <c r="N1642" s="3">
        <v>313833105</v>
      </c>
      <c r="O1642" s="1" t="s">
        <v>77</v>
      </c>
      <c r="P1642" s="1" t="s">
        <v>11204</v>
      </c>
      <c r="Q1642" s="1" t="s">
        <v>145</v>
      </c>
      <c r="R1642" s="1" t="s">
        <v>145</v>
      </c>
      <c r="S1642" s="8">
        <v>2</v>
      </c>
      <c r="T1642" s="1" t="s">
        <v>50</v>
      </c>
      <c r="U1642" s="8">
        <v>6</v>
      </c>
      <c r="V1642" s="8">
        <v>6</v>
      </c>
      <c r="W1642" s="7">
        <v>21000000</v>
      </c>
      <c r="X1642" s="5">
        <v>126</v>
      </c>
      <c r="Y1642" s="7">
        <v>21000000</v>
      </c>
      <c r="Z1642" s="1"/>
      <c r="AA1642" s="2">
        <f ca="1">DATE(2006,04,17)</f>
        <v>0</v>
      </c>
      <c r="AB1642" s="4">
        <v>20</v>
      </c>
      <c r="AC1642" s="3">
        <v>180</v>
      </c>
      <c r="AD1642" s="8">
        <v>5250000</v>
      </c>
      <c r="AE1642" s="1" t="s">
        <v>51</v>
      </c>
      <c r="AF1642" s="1" t="s">
        <v>51</v>
      </c>
      <c r="AG1642" s="1" t="s">
        <v>51</v>
      </c>
      <c r="AH1642" s="1"/>
      <c r="AI1642" s="1"/>
      <c r="AJ1642" s="3">
        <v>1</v>
      </c>
      <c r="AK1642" s="1" t="s">
        <v>52</v>
      </c>
      <c r="AL1642" s="3">
        <v>1</v>
      </c>
      <c r="AM1642" s="8">
        <v>6.0099999999999998</v>
      </c>
      <c r="AN1642" s="1"/>
      <c r="AO1642" s="1" t="s">
        <v>11203</v>
      </c>
      <c r="AP1642" s="1" t="s">
        <v>11203</v>
      </c>
      <c r="AQ1642" s="1" t="s">
        <v>11203</v>
      </c>
      <c r="AR1642" s="1" t="s">
        <v>11204</v>
      </c>
    </row>
    <row r="1643">
      <c r="A1643" s="2">
        <f ca="1">DATE(2005,05,17)</f>
        <v>0</v>
      </c>
      <c r="B1643" s="2">
        <f ca="1">DATE(2005,10,20)</f>
        <v>0</v>
      </c>
      <c r="C1643" s="1" t="s">
        <v>11205</v>
      </c>
      <c r="D1643" s="3">
        <v>6726</v>
      </c>
      <c r="E1643" s="1" t="s">
        <v>43</v>
      </c>
      <c r="F1643" s="1" t="s">
        <v>11206</v>
      </c>
      <c r="G1643" s="1" t="s">
        <v>10277</v>
      </c>
      <c r="H1643" s="4">
        <v>0.40000000000000002</v>
      </c>
      <c r="I1643" s="4">
        <v>5</v>
      </c>
      <c r="J1643" s="5">
        <v>48</v>
      </c>
      <c r="K1643" s="4">
        <v>8</v>
      </c>
      <c r="L1643" s="1" t="s">
        <v>46</v>
      </c>
      <c r="M1643" s="1" t="s">
        <v>47</v>
      </c>
      <c r="N1643" s="1" t="s">
        <v>11207</v>
      </c>
      <c r="O1643" s="1" t="s">
        <v>77</v>
      </c>
      <c r="P1643" s="1" t="s">
        <v>11208</v>
      </c>
      <c r="Q1643" s="1" t="s">
        <v>145</v>
      </c>
      <c r="R1643" s="1" t="s">
        <v>145</v>
      </c>
      <c r="S1643" s="8">
        <v>3</v>
      </c>
      <c r="T1643" s="1" t="s">
        <v>50</v>
      </c>
      <c r="U1643" s="8">
        <v>6</v>
      </c>
      <c r="V1643" s="8">
        <v>6</v>
      </c>
      <c r="W1643" s="7">
        <v>12000000</v>
      </c>
      <c r="X1643" s="5">
        <v>72</v>
      </c>
      <c r="Y1643" s="7">
        <v>6000000</v>
      </c>
      <c r="Z1643" s="1"/>
      <c r="AA1643" s="2">
        <f ca="1">DATE(2006,04,18)</f>
        <v>0</v>
      </c>
      <c r="AB1643" s="4">
        <v>20</v>
      </c>
      <c r="AC1643" s="3">
        <v>180</v>
      </c>
      <c r="AD1643" s="8">
        <v>1499995</v>
      </c>
      <c r="AE1643" s="1" t="s">
        <v>51</v>
      </c>
      <c r="AF1643" s="1" t="s">
        <v>51</v>
      </c>
      <c r="AG1643" s="1" t="s">
        <v>51</v>
      </c>
      <c r="AH1643" s="1"/>
      <c r="AI1643" s="1"/>
      <c r="AJ1643" s="3">
        <v>1</v>
      </c>
      <c r="AK1643" s="1" t="s">
        <v>52</v>
      </c>
      <c r="AL1643" s="3">
        <v>2</v>
      </c>
      <c r="AM1643" s="1"/>
      <c r="AN1643" s="1"/>
      <c r="AO1643" s="1" t="s">
        <v>11209</v>
      </c>
      <c r="AP1643" s="1" t="s">
        <v>10277</v>
      </c>
      <c r="AQ1643" s="1" t="s">
        <v>11210</v>
      </c>
      <c r="AR1643" s="1" t="s">
        <v>11211</v>
      </c>
    </row>
    <row r="1644">
      <c r="A1644" s="2">
        <f ca="1">DATE(2005,07,29)</f>
        <v>0</v>
      </c>
      <c r="B1644" s="2">
        <f ca="1">DATE(2005,10,20)</f>
        <v>0</v>
      </c>
      <c r="C1644" s="1" t="s">
        <v>11212</v>
      </c>
      <c r="D1644" s="3">
        <v>7376</v>
      </c>
      <c r="E1644" s="1" t="s">
        <v>43</v>
      </c>
      <c r="F1644" s="1" t="s">
        <v>11213</v>
      </c>
      <c r="G1644" s="1" t="s">
        <v>11214</v>
      </c>
      <c r="H1644" s="4">
        <v>0.73499999999999999</v>
      </c>
      <c r="I1644" s="8">
        <v>7</v>
      </c>
      <c r="J1644" s="5">
        <v>54.100000000000001</v>
      </c>
      <c r="K1644" s="4">
        <v>10.5</v>
      </c>
      <c r="L1644" s="1" t="s">
        <v>152</v>
      </c>
      <c r="M1644" s="1" t="s">
        <v>47</v>
      </c>
      <c r="N1644" s="1" t="s">
        <v>11215</v>
      </c>
      <c r="O1644" s="1" t="s">
        <v>48</v>
      </c>
      <c r="P1644" s="1" t="s">
        <v>11216</v>
      </c>
      <c r="Q1644" s="4">
        <v>1.381</v>
      </c>
      <c r="R1644" s="4">
        <v>1.4290000000000001</v>
      </c>
      <c r="S1644" s="6">
        <v>4.19048</v>
      </c>
      <c r="T1644" s="1" t="s">
        <v>50</v>
      </c>
      <c r="U1644" s="8">
        <v>12</v>
      </c>
      <c r="V1644" s="8">
        <v>10</v>
      </c>
      <c r="W1644" s="7">
        <v>5150000</v>
      </c>
      <c r="X1644" s="5">
        <v>56.700000000000003</v>
      </c>
      <c r="Y1644" s="7">
        <v>4800000</v>
      </c>
      <c r="Z1644" s="7">
        <v>350000</v>
      </c>
      <c r="AA1644" s="1" t="s">
        <v>11217</v>
      </c>
      <c r="AB1644" s="1" t="s">
        <v>11218</v>
      </c>
      <c r="AC1644" s="1" t="s">
        <v>2068</v>
      </c>
      <c r="AD1644" s="1" t="s">
        <v>11219</v>
      </c>
      <c r="AE1644" s="1" t="s">
        <v>51</v>
      </c>
      <c r="AF1644" s="1" t="s">
        <v>51</v>
      </c>
      <c r="AG1644" s="1" t="s">
        <v>51</v>
      </c>
      <c r="AH1644" s="1"/>
      <c r="AI1644" s="1"/>
      <c r="AJ1644" s="3">
        <v>2</v>
      </c>
      <c r="AK1644" s="1" t="s">
        <v>89</v>
      </c>
      <c r="AL1644" s="3">
        <v>4</v>
      </c>
      <c r="AM1644" s="8">
        <v>12.17</v>
      </c>
      <c r="AN1644" s="1"/>
      <c r="AO1644" s="1" t="s">
        <v>11220</v>
      </c>
      <c r="AP1644" s="1" t="s">
        <v>11221</v>
      </c>
      <c r="AQ1644" s="1" t="s">
        <v>11222</v>
      </c>
      <c r="AR1644" s="1" t="s">
        <v>11223</v>
      </c>
    </row>
    <row r="1645">
      <c r="A1645" s="2">
        <f ca="1">DATE(2005,08,03)</f>
        <v>0</v>
      </c>
      <c r="B1645" s="2">
        <f ca="1">DATE(2005,10,21)</f>
        <v>0</v>
      </c>
      <c r="C1645" s="1" t="s">
        <v>11224</v>
      </c>
      <c r="D1645" s="3">
        <v>6726</v>
      </c>
      <c r="E1645" s="1" t="s">
        <v>43</v>
      </c>
      <c r="F1645" s="1" t="s">
        <v>11225</v>
      </c>
      <c r="G1645" s="1" t="s">
        <v>7222</v>
      </c>
      <c r="H1645" s="1" t="s">
        <v>57</v>
      </c>
      <c r="I1645" s="1" t="s">
        <v>57</v>
      </c>
      <c r="J1645" s="5">
        <v>51</v>
      </c>
      <c r="K1645" s="4">
        <v>6</v>
      </c>
      <c r="L1645" s="1" t="s">
        <v>46</v>
      </c>
      <c r="M1645" s="1" t="s">
        <v>47</v>
      </c>
      <c r="N1645" s="1" t="s">
        <v>11226</v>
      </c>
      <c r="O1645" s="1" t="s">
        <v>77</v>
      </c>
      <c r="P1645" s="1" t="s">
        <v>11227</v>
      </c>
      <c r="Q1645" s="1"/>
      <c r="R1645" s="1"/>
      <c r="S1645" s="1"/>
      <c r="T1645" s="1" t="s">
        <v>50</v>
      </c>
      <c r="U1645" s="8">
        <v>6</v>
      </c>
      <c r="V1645" s="8">
        <v>6</v>
      </c>
      <c r="W1645" s="7">
        <v>8500000</v>
      </c>
      <c r="X1645" s="5">
        <v>51</v>
      </c>
      <c r="Y1645" s="7">
        <v>8500000</v>
      </c>
      <c r="Z1645" s="1"/>
      <c r="AA1645" s="2">
        <f ca="1">DATE(2006,05,19)</f>
        <v>0</v>
      </c>
      <c r="AB1645" s="4">
        <v>20</v>
      </c>
      <c r="AC1645" s="3">
        <v>210</v>
      </c>
      <c r="AD1645" s="8">
        <v>2125000</v>
      </c>
      <c r="AE1645" s="1" t="s">
        <v>51</v>
      </c>
      <c r="AF1645" s="1" t="s">
        <v>51</v>
      </c>
      <c r="AG1645" s="1" t="s">
        <v>51</v>
      </c>
      <c r="AH1645" s="1"/>
      <c r="AI1645" s="1"/>
      <c r="AJ1645" s="3">
        <v>1</v>
      </c>
      <c r="AK1645" s="1" t="s">
        <v>52</v>
      </c>
      <c r="AL1645" s="3">
        <v>1</v>
      </c>
      <c r="AM1645" s="1"/>
      <c r="AN1645" s="1"/>
      <c r="AO1645" s="1" t="s">
        <v>11228</v>
      </c>
      <c r="AP1645" s="1" t="s">
        <v>7222</v>
      </c>
      <c r="AQ1645" s="1" t="s">
        <v>7222</v>
      </c>
      <c r="AR1645" s="1" t="s">
        <v>7339</v>
      </c>
    </row>
    <row r="1646">
      <c r="A1646" s="2">
        <f ca="1">DATE(2005,09,22)</f>
        <v>0</v>
      </c>
      <c r="B1646" s="2">
        <f ca="1">DATE(2005,10,24)</f>
        <v>0</v>
      </c>
      <c r="C1646" s="1" t="s">
        <v>11229</v>
      </c>
      <c r="D1646" s="3">
        <v>6726</v>
      </c>
      <c r="E1646" s="1" t="s">
        <v>43</v>
      </c>
      <c r="F1646" s="1" t="s">
        <v>11230</v>
      </c>
      <c r="G1646" s="1" t="s">
        <v>11231</v>
      </c>
      <c r="H1646" s="4">
        <v>0.67500000000000004</v>
      </c>
      <c r="I1646" s="4">
        <v>4.5</v>
      </c>
      <c r="J1646" s="5">
        <v>700</v>
      </c>
      <c r="K1646" s="4">
        <v>15</v>
      </c>
      <c r="L1646" s="1" t="s">
        <v>4422</v>
      </c>
      <c r="M1646" s="1" t="s">
        <v>47</v>
      </c>
      <c r="N1646" s="1" t="s">
        <v>11232</v>
      </c>
      <c r="O1646" s="1" t="s">
        <v>108</v>
      </c>
      <c r="P1646" s="1" t="s">
        <v>11233</v>
      </c>
      <c r="Q1646" s="1" t="s">
        <v>145</v>
      </c>
      <c r="R1646" s="1" t="s">
        <v>145</v>
      </c>
      <c r="S1646" s="8">
        <v>3</v>
      </c>
      <c r="T1646" s="1" t="s">
        <v>50</v>
      </c>
      <c r="U1646" s="8">
        <v>15</v>
      </c>
      <c r="V1646" s="8">
        <v>15</v>
      </c>
      <c r="W1646" s="7">
        <v>100000</v>
      </c>
      <c r="X1646" s="5">
        <v>1.5</v>
      </c>
      <c r="Y1646" s="7">
        <v>46666667</v>
      </c>
      <c r="Z1646" s="1"/>
      <c r="AA1646" s="2">
        <f ca="1">DATE(2006,04,22)</f>
        <v>0</v>
      </c>
      <c r="AB1646" s="1"/>
      <c r="AC1646" s="3">
        <v>180</v>
      </c>
      <c r="AD1646" s="1"/>
      <c r="AE1646" s="1" t="s">
        <v>51</v>
      </c>
      <c r="AF1646" s="1" t="s">
        <v>51</v>
      </c>
      <c r="AG1646" s="1" t="s">
        <v>51</v>
      </c>
      <c r="AH1646" s="1"/>
      <c r="AI1646" s="1"/>
      <c r="AJ1646" s="3">
        <v>3</v>
      </c>
      <c r="AK1646" s="1" t="s">
        <v>110</v>
      </c>
      <c r="AL1646" s="3">
        <v>15</v>
      </c>
      <c r="AM1646" s="1"/>
      <c r="AN1646" s="1"/>
      <c r="AO1646" s="1" t="s">
        <v>11234</v>
      </c>
      <c r="AP1646" s="1" t="s">
        <v>11235</v>
      </c>
      <c r="AQ1646" s="1" t="s">
        <v>11236</v>
      </c>
      <c r="AR1646" s="1" t="s">
        <v>11237</v>
      </c>
    </row>
    <row r="1647">
      <c r="A1647" s="2">
        <f ca="1">DATE(2005,06,10)</f>
        <v>0</v>
      </c>
      <c r="B1647" s="2">
        <f ca="1">DATE(2005,10,24)</f>
        <v>0</v>
      </c>
      <c r="C1647" s="1" t="s">
        <v>11238</v>
      </c>
      <c r="D1647" s="3">
        <v>1311</v>
      </c>
      <c r="E1647" s="1" t="s">
        <v>43</v>
      </c>
      <c r="F1647" s="1" t="s">
        <v>11239</v>
      </c>
      <c r="G1647" s="1" t="s">
        <v>11240</v>
      </c>
      <c r="H1647" s="4">
        <v>0.56000000000000005</v>
      </c>
      <c r="I1647" s="4">
        <v>7</v>
      </c>
      <c r="J1647" s="5">
        <v>115.2</v>
      </c>
      <c r="K1647" s="4">
        <v>8</v>
      </c>
      <c r="L1647" s="1" t="s">
        <v>46</v>
      </c>
      <c r="M1647" s="1" t="s">
        <v>47</v>
      </c>
      <c r="N1647" s="3">
        <v>727659104</v>
      </c>
      <c r="O1647" s="1" t="s">
        <v>77</v>
      </c>
      <c r="P1647" s="1" t="s">
        <v>11241</v>
      </c>
      <c r="Q1647" s="1" t="s">
        <v>145</v>
      </c>
      <c r="R1647" s="1" t="s">
        <v>145</v>
      </c>
      <c r="S1647" s="1"/>
      <c r="T1647" s="1" t="s">
        <v>50</v>
      </c>
      <c r="U1647" s="8">
        <v>8</v>
      </c>
      <c r="V1647" s="8">
        <v>8</v>
      </c>
      <c r="W1647" s="7">
        <v>13000000</v>
      </c>
      <c r="X1647" s="5">
        <v>104</v>
      </c>
      <c r="Y1647" s="7">
        <v>14400000</v>
      </c>
      <c r="Z1647" s="1"/>
      <c r="AA1647" s="2">
        <f ca="1">DATE(2006,06,21)</f>
        <v>0</v>
      </c>
      <c r="AB1647" s="4">
        <v>20</v>
      </c>
      <c r="AC1647" s="3">
        <v>240</v>
      </c>
      <c r="AD1647" s="8">
        <v>3600000</v>
      </c>
      <c r="AE1647" s="1" t="s">
        <v>51</v>
      </c>
      <c r="AF1647" s="1" t="s">
        <v>51</v>
      </c>
      <c r="AG1647" s="1" t="s">
        <v>51</v>
      </c>
      <c r="AH1647" s="1"/>
      <c r="AI1647" s="1" t="s">
        <v>11242</v>
      </c>
      <c r="AJ1647" s="3">
        <v>2</v>
      </c>
      <c r="AK1647" s="1" t="s">
        <v>89</v>
      </c>
      <c r="AL1647" s="3">
        <v>2</v>
      </c>
      <c r="AM1647" s="1"/>
      <c r="AN1647" s="1"/>
      <c r="AO1647" s="1" t="s">
        <v>11243</v>
      </c>
      <c r="AP1647" s="1" t="s">
        <v>11244</v>
      </c>
      <c r="AQ1647" s="1" t="s">
        <v>11245</v>
      </c>
      <c r="AR1647" s="1" t="s">
        <v>11241</v>
      </c>
    </row>
    <row r="1648">
      <c r="A1648" s="2">
        <f ca="1">DATE(2004,03,31)</f>
        <v>0</v>
      </c>
      <c r="B1648" s="2">
        <f ca="1">DATE(2005,10,26)</f>
        <v>0</v>
      </c>
      <c r="C1648" s="1" t="s">
        <v>11246</v>
      </c>
      <c r="D1648" s="3">
        <v>6726</v>
      </c>
      <c r="E1648" s="1" t="s">
        <v>43</v>
      </c>
      <c r="F1648" s="1" t="s">
        <v>11247</v>
      </c>
      <c r="G1648" s="1" t="s">
        <v>6569</v>
      </c>
      <c r="H1648" s="4">
        <v>0.67500000000000004</v>
      </c>
      <c r="I1648" s="4">
        <v>4.5</v>
      </c>
      <c r="J1648" s="5">
        <v>120</v>
      </c>
      <c r="K1648" s="4">
        <v>15</v>
      </c>
      <c r="L1648" s="1" t="s">
        <v>4422</v>
      </c>
      <c r="M1648" s="1" t="s">
        <v>47</v>
      </c>
      <c r="N1648" s="3">
        <v>128118106</v>
      </c>
      <c r="O1648" s="1" t="s">
        <v>108</v>
      </c>
      <c r="P1648" s="1" t="s">
        <v>11248</v>
      </c>
      <c r="Q1648" s="1" t="s">
        <v>145</v>
      </c>
      <c r="R1648" s="1" t="s">
        <v>145</v>
      </c>
      <c r="S1648" s="8">
        <v>3</v>
      </c>
      <c r="T1648" s="1" t="s">
        <v>50</v>
      </c>
      <c r="U1648" s="8">
        <v>15</v>
      </c>
      <c r="V1648" s="8">
        <v>15</v>
      </c>
      <c r="W1648" s="7">
        <v>1000</v>
      </c>
      <c r="X1648" s="5">
        <v>0</v>
      </c>
      <c r="Y1648" s="7">
        <v>8000000</v>
      </c>
      <c r="Z1648" s="1"/>
      <c r="AA1648" s="1" t="s">
        <v>11249</v>
      </c>
      <c r="AB1648" s="1" t="s">
        <v>2067</v>
      </c>
      <c r="AC1648" s="1" t="s">
        <v>2068</v>
      </c>
      <c r="AD1648" s="1" t="s">
        <v>2067</v>
      </c>
      <c r="AE1648" s="1" t="s">
        <v>51</v>
      </c>
      <c r="AF1648" s="1" t="s">
        <v>51</v>
      </c>
      <c r="AG1648" s="1" t="s">
        <v>51</v>
      </c>
      <c r="AH1648" s="1"/>
      <c r="AI1648" s="1"/>
      <c r="AJ1648" s="3">
        <v>2</v>
      </c>
      <c r="AK1648" s="1" t="s">
        <v>89</v>
      </c>
      <c r="AL1648" s="3">
        <v>10</v>
      </c>
      <c r="AM1648" s="8">
        <v>15.01</v>
      </c>
      <c r="AN1648" s="1"/>
      <c r="AO1648" s="1" t="s">
        <v>11250</v>
      </c>
      <c r="AP1648" s="1" t="s">
        <v>6573</v>
      </c>
      <c r="AQ1648" s="1" t="s">
        <v>11251</v>
      </c>
      <c r="AR1648" s="1" t="s">
        <v>11252</v>
      </c>
    </row>
    <row r="1649">
      <c r="A1649" s="2">
        <f ca="1">DATE(2005,08,10)</f>
        <v>0</v>
      </c>
      <c r="B1649" s="2">
        <f ca="1">DATE(2005,10,26)</f>
        <v>0</v>
      </c>
      <c r="C1649" s="1" t="s">
        <v>11253</v>
      </c>
      <c r="D1649" s="3">
        <v>6798</v>
      </c>
      <c r="E1649" s="1" t="s">
        <v>43</v>
      </c>
      <c r="F1649" s="1" t="s">
        <v>11254</v>
      </c>
      <c r="G1649" s="1" t="s">
        <v>9354</v>
      </c>
      <c r="H1649" s="4">
        <v>1.079</v>
      </c>
      <c r="I1649" s="4">
        <v>6.3470000000000004</v>
      </c>
      <c r="J1649" s="5">
        <v>98.599999999999994</v>
      </c>
      <c r="K1649" s="4">
        <v>17</v>
      </c>
      <c r="L1649" s="1" t="s">
        <v>46</v>
      </c>
      <c r="M1649" s="1" t="s">
        <v>47</v>
      </c>
      <c r="N1649" s="1" t="s">
        <v>11255</v>
      </c>
      <c r="O1649" s="1" t="s">
        <v>108</v>
      </c>
      <c r="P1649" s="1" t="s">
        <v>11256</v>
      </c>
      <c r="Q1649" s="1" t="s">
        <v>145</v>
      </c>
      <c r="R1649" s="1" t="s">
        <v>145</v>
      </c>
      <c r="S1649" s="4">
        <v>3.8050000000000002</v>
      </c>
      <c r="T1649" s="1" t="s">
        <v>50</v>
      </c>
      <c r="U1649" s="1"/>
      <c r="V1649" s="1"/>
      <c r="W1649" s="1"/>
      <c r="X1649" s="5">
        <v>144.90000000000001</v>
      </c>
      <c r="Y1649" s="7">
        <v>5800000</v>
      </c>
      <c r="Z1649" s="1"/>
      <c r="AA1649" s="1" t="s">
        <v>11257</v>
      </c>
      <c r="AB1649" s="1" t="s">
        <v>5265</v>
      </c>
      <c r="AC1649" s="1" t="s">
        <v>7759</v>
      </c>
      <c r="AD1649" s="1" t="s">
        <v>5265</v>
      </c>
      <c r="AE1649" s="1" t="s">
        <v>51</v>
      </c>
      <c r="AF1649" s="1" t="s">
        <v>51</v>
      </c>
      <c r="AG1649" s="1" t="s">
        <v>51</v>
      </c>
      <c r="AH1649" s="1"/>
      <c r="AI1649" s="1"/>
      <c r="AJ1649" s="3">
        <v>2</v>
      </c>
      <c r="AK1649" s="1" t="s">
        <v>89</v>
      </c>
      <c r="AL1649" s="3">
        <v>3</v>
      </c>
      <c r="AM1649" s="8">
        <v>17</v>
      </c>
      <c r="AN1649" s="1"/>
      <c r="AO1649" s="1" t="s">
        <v>11258</v>
      </c>
      <c r="AP1649" s="1" t="s">
        <v>11259</v>
      </c>
      <c r="AQ1649" s="1" t="s">
        <v>11260</v>
      </c>
      <c r="AR1649" s="1" t="s">
        <v>11256</v>
      </c>
    </row>
    <row r="1650">
      <c r="A1650" s="2">
        <f ca="1">DATE(2005,08,12)</f>
        <v>0</v>
      </c>
      <c r="B1650" s="2">
        <f ca="1">DATE(2005,10,26)</f>
        <v>0</v>
      </c>
      <c r="C1650" s="1" t="s">
        <v>11261</v>
      </c>
      <c r="D1650" s="3">
        <v>6726</v>
      </c>
      <c r="E1650" s="1" t="s">
        <v>43</v>
      </c>
      <c r="F1650" s="1" t="s">
        <v>11262</v>
      </c>
      <c r="G1650" s="1" t="s">
        <v>7196</v>
      </c>
      <c r="H1650" s="4">
        <v>0.90000000000000002</v>
      </c>
      <c r="I1650" s="4">
        <v>4.5</v>
      </c>
      <c r="J1650" s="5">
        <v>240</v>
      </c>
      <c r="K1650" s="4">
        <v>20</v>
      </c>
      <c r="L1650" s="1" t="s">
        <v>46</v>
      </c>
      <c r="M1650" s="1" t="s">
        <v>47</v>
      </c>
      <c r="N1650" s="1" t="s">
        <v>11263</v>
      </c>
      <c r="O1650" s="1" t="s">
        <v>108</v>
      </c>
      <c r="P1650" s="1" t="s">
        <v>11264</v>
      </c>
      <c r="Q1650" s="4">
        <v>1</v>
      </c>
      <c r="R1650" s="4">
        <v>0.5</v>
      </c>
      <c r="S1650" s="8">
        <v>3</v>
      </c>
      <c r="T1650" s="1" t="s">
        <v>50</v>
      </c>
      <c r="U1650" s="8">
        <v>20</v>
      </c>
      <c r="V1650" s="8">
        <v>20</v>
      </c>
      <c r="W1650" s="7">
        <v>5750000</v>
      </c>
      <c r="X1650" s="5">
        <v>115</v>
      </c>
      <c r="Y1650" s="7">
        <v>12000000</v>
      </c>
      <c r="Z1650" s="1"/>
      <c r="AA1650" s="1"/>
      <c r="AB1650" s="1"/>
      <c r="AC1650" s="1"/>
      <c r="AD1650" s="1"/>
      <c r="AE1650" s="1" t="s">
        <v>51</v>
      </c>
      <c r="AF1650" s="1" t="s">
        <v>51</v>
      </c>
      <c r="AG1650" s="1" t="s">
        <v>51</v>
      </c>
      <c r="AH1650" s="1"/>
      <c r="AI1650" s="1"/>
      <c r="AJ1650" s="3">
        <v>2</v>
      </c>
      <c r="AK1650" s="1" t="s">
        <v>89</v>
      </c>
      <c r="AL1650" s="3">
        <v>5</v>
      </c>
      <c r="AM1650" s="8">
        <v>20</v>
      </c>
      <c r="AN1650" s="1"/>
      <c r="AO1650" s="1" t="s">
        <v>11265</v>
      </c>
      <c r="AP1650" s="1" t="s">
        <v>7200</v>
      </c>
      <c r="AQ1650" s="1" t="s">
        <v>11266</v>
      </c>
      <c r="AR1650" s="1" t="s">
        <v>11267</v>
      </c>
    </row>
    <row r="1651">
      <c r="A1651" s="2">
        <f ca="1">DATE(2005,09,26)</f>
        <v>0</v>
      </c>
      <c r="B1651" s="2">
        <f ca="1">DATE(2005,10,26)</f>
        <v>0</v>
      </c>
      <c r="C1651" s="1" t="s">
        <v>11268</v>
      </c>
      <c r="D1651" s="3">
        <v>6726</v>
      </c>
      <c r="E1651" s="1" t="s">
        <v>43</v>
      </c>
      <c r="F1651" s="1" t="s">
        <v>11269</v>
      </c>
      <c r="G1651" s="1" t="s">
        <v>6216</v>
      </c>
      <c r="H1651" s="4">
        <v>0.90000000000000002</v>
      </c>
      <c r="I1651" s="4">
        <v>4.5</v>
      </c>
      <c r="J1651" s="5">
        <v>215</v>
      </c>
      <c r="K1651" s="4">
        <v>20</v>
      </c>
      <c r="L1651" s="1" t="s">
        <v>46</v>
      </c>
      <c r="M1651" s="1" t="s">
        <v>47</v>
      </c>
      <c r="N1651" s="1" t="s">
        <v>11270</v>
      </c>
      <c r="O1651" s="1" t="s">
        <v>108</v>
      </c>
      <c r="P1651" s="1" t="s">
        <v>11271</v>
      </c>
      <c r="Q1651" s="4">
        <v>1</v>
      </c>
      <c r="R1651" s="4">
        <v>0.5</v>
      </c>
      <c r="S1651" s="8">
        <v>3</v>
      </c>
      <c r="T1651" s="1" t="s">
        <v>50</v>
      </c>
      <c r="U1651" s="8">
        <v>20</v>
      </c>
      <c r="V1651" s="8">
        <v>20</v>
      </c>
      <c r="W1651" s="7">
        <v>1500000</v>
      </c>
      <c r="X1651" s="5">
        <v>30</v>
      </c>
      <c r="Y1651" s="7">
        <v>10750000</v>
      </c>
      <c r="Z1651" s="1"/>
      <c r="AA1651" s="2">
        <f ca="1">DATE(2006,04,24)</f>
        <v>0</v>
      </c>
      <c r="AB1651" s="1"/>
      <c r="AC1651" s="3">
        <v>180</v>
      </c>
      <c r="AD1651" s="1"/>
      <c r="AE1651" s="1" t="s">
        <v>51</v>
      </c>
      <c r="AF1651" s="1" t="s">
        <v>51</v>
      </c>
      <c r="AG1651" s="1" t="s">
        <v>51</v>
      </c>
      <c r="AH1651" s="1"/>
      <c r="AI1651" s="1"/>
      <c r="AJ1651" s="3">
        <v>2</v>
      </c>
      <c r="AK1651" s="1" t="s">
        <v>89</v>
      </c>
      <c r="AL1651" s="3">
        <v>5</v>
      </c>
      <c r="AM1651" s="8">
        <v>20</v>
      </c>
      <c r="AN1651" s="1"/>
      <c r="AO1651" s="1" t="s">
        <v>11272</v>
      </c>
      <c r="AP1651" s="1" t="s">
        <v>6220</v>
      </c>
      <c r="AQ1651" s="1" t="s">
        <v>11273</v>
      </c>
      <c r="AR1651" s="1" t="s">
        <v>11274</v>
      </c>
    </row>
    <row r="1652">
      <c r="A1652" s="2">
        <f ca="1">DATE(2005,07,08)</f>
        <v>0</v>
      </c>
      <c r="B1652" s="2">
        <f ca="1">DATE(2005,10,26)</f>
        <v>0</v>
      </c>
      <c r="C1652" s="1" t="s">
        <v>11275</v>
      </c>
      <c r="D1652" s="3">
        <v>1381</v>
      </c>
      <c r="E1652" s="1" t="s">
        <v>43</v>
      </c>
      <c r="F1652" s="1" t="s">
        <v>11276</v>
      </c>
      <c r="G1652" s="1" t="s">
        <v>8935</v>
      </c>
      <c r="H1652" s="4">
        <v>1.3999999999999999</v>
      </c>
      <c r="I1652" s="8">
        <v>7</v>
      </c>
      <c r="J1652" s="5">
        <v>184</v>
      </c>
      <c r="K1652" s="4">
        <v>20</v>
      </c>
      <c r="L1652" s="1" t="s">
        <v>46</v>
      </c>
      <c r="M1652" s="1" t="s">
        <v>47</v>
      </c>
      <c r="N1652" s="3">
        <v>427093109</v>
      </c>
      <c r="O1652" s="1" t="s">
        <v>48</v>
      </c>
      <c r="P1652" s="1" t="s">
        <v>11277</v>
      </c>
      <c r="Q1652" s="4">
        <v>1.3999999999999999</v>
      </c>
      <c r="R1652" s="4">
        <v>1.3999999999999999</v>
      </c>
      <c r="S1652" s="8">
        <v>4.2000000000000002</v>
      </c>
      <c r="T1652" s="1" t="s">
        <v>50</v>
      </c>
      <c r="U1652" s="1"/>
      <c r="V1652" s="1"/>
      <c r="W1652" s="1"/>
      <c r="X1652" s="5">
        <v>172.5</v>
      </c>
      <c r="Y1652" s="7">
        <v>6250000</v>
      </c>
      <c r="Z1652" s="7">
        <v>2950000</v>
      </c>
      <c r="AA1652" s="1" t="s">
        <v>11257</v>
      </c>
      <c r="AB1652" s="1" t="s">
        <v>5265</v>
      </c>
      <c r="AC1652" s="1" t="s">
        <v>7759</v>
      </c>
      <c r="AD1652" s="1" t="s">
        <v>5265</v>
      </c>
      <c r="AE1652" s="1" t="s">
        <v>51</v>
      </c>
      <c r="AF1652" s="1" t="s">
        <v>51</v>
      </c>
      <c r="AG1652" s="1" t="s">
        <v>51</v>
      </c>
      <c r="AH1652" s="1"/>
      <c r="AI1652" s="1"/>
      <c r="AJ1652" s="3">
        <v>2</v>
      </c>
      <c r="AK1652" s="1" t="s">
        <v>89</v>
      </c>
      <c r="AL1652" s="3">
        <v>5</v>
      </c>
      <c r="AM1652" s="8">
        <v>21.899999999999999</v>
      </c>
      <c r="AN1652" s="1"/>
      <c r="AO1652" s="1" t="s">
        <v>11278</v>
      </c>
      <c r="AP1652" s="1" t="s">
        <v>7956</v>
      </c>
      <c r="AQ1652" s="1" t="s">
        <v>11279</v>
      </c>
      <c r="AR1652" s="1" t="s">
        <v>11280</v>
      </c>
    </row>
    <row r="1653">
      <c r="A1653" s="2">
        <f ca="1">DATE(2005,07,13)</f>
        <v>0</v>
      </c>
      <c r="B1653" s="2">
        <f ca="1">DATE(2005,10,26)</f>
        <v>0</v>
      </c>
      <c r="C1653" s="1" t="s">
        <v>11281</v>
      </c>
      <c r="D1653" s="3">
        <v>6726</v>
      </c>
      <c r="E1653" s="1" t="s">
        <v>43</v>
      </c>
      <c r="F1653" s="1" t="s">
        <v>11282</v>
      </c>
      <c r="G1653" s="1" t="s">
        <v>11283</v>
      </c>
      <c r="H1653" s="4">
        <v>0.90000000000000002</v>
      </c>
      <c r="I1653" s="4">
        <v>4.5</v>
      </c>
      <c r="J1653" s="5">
        <v>345</v>
      </c>
      <c r="K1653" s="4">
        <v>20</v>
      </c>
      <c r="L1653" s="1" t="s">
        <v>4422</v>
      </c>
      <c r="M1653" s="1" t="s">
        <v>47</v>
      </c>
      <c r="N1653" s="1" t="s">
        <v>11284</v>
      </c>
      <c r="O1653" s="1" t="s">
        <v>108</v>
      </c>
      <c r="P1653" s="1" t="s">
        <v>11285</v>
      </c>
      <c r="Q1653" s="4">
        <v>1</v>
      </c>
      <c r="R1653" s="4">
        <v>0.5</v>
      </c>
      <c r="S1653" s="8">
        <v>3</v>
      </c>
      <c r="T1653" s="1" t="s">
        <v>50</v>
      </c>
      <c r="U1653" s="8">
        <v>20</v>
      </c>
      <c r="V1653" s="8">
        <v>20</v>
      </c>
      <c r="W1653" s="7">
        <v>50000</v>
      </c>
      <c r="X1653" s="5">
        <v>1</v>
      </c>
      <c r="Y1653" s="7">
        <v>17250000</v>
      </c>
      <c r="Z1653" s="1"/>
      <c r="AA1653" s="2">
        <f ca="1">DATE(2006,04,24)</f>
        <v>0</v>
      </c>
      <c r="AB1653" s="1"/>
      <c r="AC1653" s="3">
        <v>180</v>
      </c>
      <c r="AD1653" s="1"/>
      <c r="AE1653" s="1" t="s">
        <v>51</v>
      </c>
      <c r="AF1653" s="1" t="s">
        <v>51</v>
      </c>
      <c r="AG1653" s="1" t="s">
        <v>51</v>
      </c>
      <c r="AH1653" s="1"/>
      <c r="AI1653" s="1"/>
      <c r="AJ1653" s="3">
        <v>4</v>
      </c>
      <c r="AK1653" s="1" t="s">
        <v>1209</v>
      </c>
      <c r="AL1653" s="3">
        <v>16</v>
      </c>
      <c r="AM1653" s="8">
        <v>20.010000000000002</v>
      </c>
      <c r="AN1653" s="1"/>
      <c r="AO1653" s="1" t="s">
        <v>11286</v>
      </c>
      <c r="AP1653" s="1" t="s">
        <v>11287</v>
      </c>
      <c r="AQ1653" s="1" t="s">
        <v>11288</v>
      </c>
      <c r="AR1653" s="1" t="s">
        <v>11289</v>
      </c>
    </row>
    <row r="1654">
      <c r="A1654" s="2">
        <f ca="1">DATE(2005,08,03)</f>
        <v>0</v>
      </c>
      <c r="B1654" s="2">
        <f ca="1">DATE(2005,10,26)</f>
        <v>0</v>
      </c>
      <c r="C1654" s="1" t="s">
        <v>11290</v>
      </c>
      <c r="D1654" s="3">
        <v>3674</v>
      </c>
      <c r="E1654" s="1" t="s">
        <v>43</v>
      </c>
      <c r="F1654" s="1" t="s">
        <v>11291</v>
      </c>
      <c r="G1654" s="1" t="s">
        <v>8344</v>
      </c>
      <c r="H1654" s="4">
        <v>0.41999999999999998</v>
      </c>
      <c r="I1654" s="8">
        <v>7</v>
      </c>
      <c r="J1654" s="5">
        <v>24</v>
      </c>
      <c r="K1654" s="4">
        <v>6</v>
      </c>
      <c r="L1654" s="1" t="s">
        <v>46</v>
      </c>
      <c r="M1654" s="1" t="s">
        <v>47</v>
      </c>
      <c r="N1654" s="3">
        <v>576801203</v>
      </c>
      <c r="O1654" s="1" t="s">
        <v>48</v>
      </c>
      <c r="P1654" s="1" t="s">
        <v>8348</v>
      </c>
      <c r="Q1654" s="1" t="s">
        <v>145</v>
      </c>
      <c r="R1654" s="1" t="s">
        <v>145</v>
      </c>
      <c r="S1654" s="6">
        <v>4.1666699999999999</v>
      </c>
      <c r="T1654" s="1" t="s">
        <v>50</v>
      </c>
      <c r="U1654" s="8">
        <v>8</v>
      </c>
      <c r="V1654" s="8">
        <v>6</v>
      </c>
      <c r="W1654" s="7">
        <v>4000000</v>
      </c>
      <c r="X1654" s="5">
        <v>28</v>
      </c>
      <c r="Y1654" s="7">
        <v>4000000</v>
      </c>
      <c r="Z1654" s="1"/>
      <c r="AA1654" s="1" t="s">
        <v>11292</v>
      </c>
      <c r="AB1654" s="1" t="s">
        <v>11293</v>
      </c>
      <c r="AC1654" s="1" t="s">
        <v>7662</v>
      </c>
      <c r="AD1654" s="1" t="s">
        <v>11294</v>
      </c>
      <c r="AE1654" s="1" t="s">
        <v>51</v>
      </c>
      <c r="AF1654" s="1" t="s">
        <v>51</v>
      </c>
      <c r="AG1654" s="1" t="s">
        <v>51</v>
      </c>
      <c r="AH1654" s="1"/>
      <c r="AI1654" s="1"/>
      <c r="AJ1654" s="3">
        <v>1</v>
      </c>
      <c r="AK1654" s="1" t="s">
        <v>52</v>
      </c>
      <c r="AL1654" s="3">
        <v>1</v>
      </c>
      <c r="AM1654" s="8">
        <v>5.9000000000000004</v>
      </c>
      <c r="AN1654" s="1"/>
      <c r="AO1654" s="1" t="s">
        <v>8344</v>
      </c>
      <c r="AP1654" s="1" t="s">
        <v>8344</v>
      </c>
      <c r="AQ1654" s="1" t="s">
        <v>8344</v>
      </c>
      <c r="AR1654" s="1" t="s">
        <v>8348</v>
      </c>
    </row>
    <row r="1655">
      <c r="A1655" s="2">
        <f ca="1">DATE(2005,01,13)</f>
        <v>0</v>
      </c>
      <c r="B1655" s="2">
        <f ca="1">DATE(2005,10,26)</f>
        <v>0</v>
      </c>
      <c r="C1655" s="1" t="s">
        <v>11295</v>
      </c>
      <c r="D1655" s="3">
        <v>6726</v>
      </c>
      <c r="E1655" s="1" t="s">
        <v>43</v>
      </c>
      <c r="F1655" s="1" t="s">
        <v>11296</v>
      </c>
      <c r="G1655" s="1" t="s">
        <v>11297</v>
      </c>
      <c r="H1655" s="4">
        <v>1.125</v>
      </c>
      <c r="I1655" s="4">
        <v>4.5</v>
      </c>
      <c r="J1655" s="5">
        <v>115</v>
      </c>
      <c r="K1655" s="4">
        <v>25</v>
      </c>
      <c r="L1655" s="1" t="s">
        <v>46</v>
      </c>
      <c r="M1655" s="1" t="s">
        <v>47</v>
      </c>
      <c r="N1655" s="1" t="s">
        <v>11298</v>
      </c>
      <c r="O1655" s="1" t="s">
        <v>108</v>
      </c>
      <c r="P1655" s="1" t="s">
        <v>11299</v>
      </c>
      <c r="Q1655" s="1" t="s">
        <v>145</v>
      </c>
      <c r="R1655" s="1" t="s">
        <v>145</v>
      </c>
      <c r="S1655" s="8">
        <v>3</v>
      </c>
      <c r="T1655" s="1" t="s">
        <v>50</v>
      </c>
      <c r="U1655" s="8">
        <v>25</v>
      </c>
      <c r="V1655" s="8">
        <v>25</v>
      </c>
      <c r="W1655" s="7">
        <v>200000</v>
      </c>
      <c r="X1655" s="5">
        <v>5</v>
      </c>
      <c r="Y1655" s="7">
        <v>4600000</v>
      </c>
      <c r="Z1655" s="1"/>
      <c r="AA1655" s="2">
        <f ca="1">DATE(2006,04,24)</f>
        <v>0</v>
      </c>
      <c r="AB1655" s="1"/>
      <c r="AC1655" s="3">
        <v>180</v>
      </c>
      <c r="AD1655" s="1"/>
      <c r="AE1655" s="1" t="s">
        <v>51</v>
      </c>
      <c r="AF1655" s="1" t="s">
        <v>51</v>
      </c>
      <c r="AG1655" s="1" t="s">
        <v>51</v>
      </c>
      <c r="AH1655" s="1"/>
      <c r="AI1655" s="1"/>
      <c r="AJ1655" s="3">
        <v>2</v>
      </c>
      <c r="AK1655" s="1" t="s">
        <v>89</v>
      </c>
      <c r="AL1655" s="3">
        <v>16</v>
      </c>
      <c r="AM1655" s="8">
        <v>24.5</v>
      </c>
      <c r="AN1655" s="1"/>
      <c r="AO1655" s="1" t="s">
        <v>11300</v>
      </c>
      <c r="AP1655" s="1" t="s">
        <v>11301</v>
      </c>
      <c r="AQ1655" s="1" t="s">
        <v>11302</v>
      </c>
      <c r="AR1655" s="1" t="s">
        <v>11303</v>
      </c>
    </row>
    <row r="1656">
      <c r="A1656" s="2">
        <f ca="1">DATE(2005,08,31)</f>
        <v>0</v>
      </c>
      <c r="B1656" s="2">
        <f ca="1">DATE(2005,10,26)</f>
        <v>0</v>
      </c>
      <c r="C1656" s="1" t="s">
        <v>11304</v>
      </c>
      <c r="D1656" s="3">
        <v>4813</v>
      </c>
      <c r="E1656" s="1" t="s">
        <v>43</v>
      </c>
      <c r="F1656" s="1" t="s">
        <v>11305</v>
      </c>
      <c r="G1656" s="1" t="s">
        <v>11306</v>
      </c>
      <c r="H1656" s="4">
        <v>0.042999999999999997</v>
      </c>
      <c r="I1656" s="4">
        <v>10</v>
      </c>
      <c r="J1656" s="5">
        <v>3</v>
      </c>
      <c r="K1656" s="8">
        <v>0.5</v>
      </c>
      <c r="L1656" s="1" t="s">
        <v>58</v>
      </c>
      <c r="M1656" s="1" t="s">
        <v>47</v>
      </c>
      <c r="N1656" s="1" t="s">
        <v>11307</v>
      </c>
      <c r="O1656" s="1" t="s">
        <v>77</v>
      </c>
      <c r="P1656" s="1" t="s">
        <v>11308</v>
      </c>
      <c r="Q1656" s="1" t="s">
        <v>145</v>
      </c>
      <c r="R1656" s="1" t="s">
        <v>145</v>
      </c>
      <c r="S1656" s="1"/>
      <c r="T1656" s="1" t="s">
        <v>60</v>
      </c>
      <c r="U1656" s="1"/>
      <c r="V1656" s="1"/>
      <c r="W1656" s="1"/>
      <c r="X1656" s="1"/>
      <c r="Y1656" s="7">
        <v>6900000</v>
      </c>
      <c r="Z1656" s="1"/>
      <c r="AA1656" s="1"/>
      <c r="AB1656" s="1"/>
      <c r="AC1656" s="1"/>
      <c r="AD1656" s="1"/>
      <c r="AE1656" s="1" t="s">
        <v>51</v>
      </c>
      <c r="AF1656" s="1" t="s">
        <v>51</v>
      </c>
      <c r="AG1656" s="1" t="s">
        <v>51</v>
      </c>
      <c r="AH1656" s="1"/>
      <c r="AI1656" s="1"/>
      <c r="AJ1656" s="3">
        <v>1</v>
      </c>
      <c r="AK1656" s="1" t="s">
        <v>52</v>
      </c>
      <c r="AL1656" s="3">
        <v>1</v>
      </c>
      <c r="AM1656" s="8">
        <v>0.029999999999999999</v>
      </c>
      <c r="AN1656" s="1"/>
      <c r="AO1656" s="1" t="s">
        <v>11306</v>
      </c>
      <c r="AP1656" s="1" t="s">
        <v>11306</v>
      </c>
      <c r="AQ1656" s="1" t="s">
        <v>11306</v>
      </c>
      <c r="AR1656" s="1" t="s">
        <v>11308</v>
      </c>
    </row>
    <row r="1657">
      <c r="A1657" s="2">
        <f ca="1">DATE(2005,02,11)</f>
        <v>0</v>
      </c>
      <c r="B1657" s="2">
        <f ca="1">DATE(2005,10,27)</f>
        <v>0</v>
      </c>
      <c r="C1657" s="1" t="s">
        <v>11309</v>
      </c>
      <c r="D1657" s="3">
        <v>2834</v>
      </c>
      <c r="E1657" s="1" t="s">
        <v>43</v>
      </c>
      <c r="F1657" s="1" t="s">
        <v>11310</v>
      </c>
      <c r="G1657" s="1" t="s">
        <v>3766</v>
      </c>
      <c r="H1657" s="4">
        <v>0.56000000000000005</v>
      </c>
      <c r="I1657" s="4">
        <v>7</v>
      </c>
      <c r="J1657" s="5">
        <v>19.199999999999999</v>
      </c>
      <c r="K1657" s="4">
        <v>8</v>
      </c>
      <c r="L1657" s="1" t="s">
        <v>46</v>
      </c>
      <c r="M1657" s="1" t="s">
        <v>47</v>
      </c>
      <c r="N1657" s="1" t="s">
        <v>11311</v>
      </c>
      <c r="O1657" s="1" t="s">
        <v>48</v>
      </c>
      <c r="P1657" s="1" t="s">
        <v>11312</v>
      </c>
      <c r="Q1657" s="1" t="s">
        <v>145</v>
      </c>
      <c r="R1657" s="1" t="s">
        <v>145</v>
      </c>
      <c r="S1657" s="4">
        <v>4.125</v>
      </c>
      <c r="T1657" s="1" t="s">
        <v>50</v>
      </c>
      <c r="U1657" s="1"/>
      <c r="V1657" s="1"/>
      <c r="W1657" s="1"/>
      <c r="X1657" s="5">
        <v>86.299999999999997</v>
      </c>
      <c r="Y1657" s="7">
        <v>2400000</v>
      </c>
      <c r="Z1657" s="1"/>
      <c r="AA1657" s="1" t="s">
        <v>11313</v>
      </c>
      <c r="AB1657" s="1" t="s">
        <v>11314</v>
      </c>
      <c r="AC1657" s="1" t="s">
        <v>8643</v>
      </c>
      <c r="AD1657" s="1" t="s">
        <v>11315</v>
      </c>
      <c r="AE1657" s="1" t="s">
        <v>51</v>
      </c>
      <c r="AF1657" s="1" t="s">
        <v>51</v>
      </c>
      <c r="AG1657" s="1" t="s">
        <v>47</v>
      </c>
      <c r="AH1657" s="1"/>
      <c r="AI1657" s="1"/>
      <c r="AJ1657" s="3">
        <v>1</v>
      </c>
      <c r="AK1657" s="1" t="s">
        <v>52</v>
      </c>
      <c r="AL1657" s="3">
        <v>4</v>
      </c>
      <c r="AM1657" s="8">
        <v>7.25</v>
      </c>
      <c r="AN1657" s="1"/>
      <c r="AO1657" s="1" t="s">
        <v>11316</v>
      </c>
      <c r="AP1657" s="1" t="s">
        <v>3766</v>
      </c>
      <c r="AQ1657" s="1" t="s">
        <v>11317</v>
      </c>
      <c r="AR1657" s="1" t="s">
        <v>11318</v>
      </c>
    </row>
    <row r="1658">
      <c r="A1658" s="2">
        <f ca="1">DATE(2005,07,19)</f>
        <v>0</v>
      </c>
      <c r="B1658" s="2">
        <f ca="1">DATE(2005,10,27)</f>
        <v>0</v>
      </c>
      <c r="C1658" s="1" t="s">
        <v>11319</v>
      </c>
      <c r="D1658" s="3">
        <v>3845</v>
      </c>
      <c r="E1658" s="1" t="s">
        <v>43</v>
      </c>
      <c r="F1658" s="1" t="s">
        <v>11320</v>
      </c>
      <c r="G1658" s="1" t="s">
        <v>45</v>
      </c>
      <c r="H1658" s="4">
        <v>0.69999999999999996</v>
      </c>
      <c r="I1658" s="8">
        <v>7</v>
      </c>
      <c r="J1658" s="5">
        <v>55</v>
      </c>
      <c r="K1658" s="4">
        <v>10</v>
      </c>
      <c r="L1658" s="1" t="s">
        <v>46</v>
      </c>
      <c r="M1658" s="1" t="s">
        <v>47</v>
      </c>
      <c r="N1658" s="1" t="s">
        <v>11321</v>
      </c>
      <c r="O1658" s="1" t="s">
        <v>48</v>
      </c>
      <c r="P1658" s="1" t="s">
        <v>11322</v>
      </c>
      <c r="Q1658" s="4">
        <v>1.3999999999999999</v>
      </c>
      <c r="R1658" s="4">
        <v>1.3999999999999999</v>
      </c>
      <c r="S1658" s="8">
        <v>4.2000000000000002</v>
      </c>
      <c r="T1658" s="1" t="s">
        <v>50</v>
      </c>
      <c r="U1658" s="1"/>
      <c r="V1658" s="1"/>
      <c r="W1658" s="1"/>
      <c r="X1658" s="5">
        <v>75</v>
      </c>
      <c r="Y1658" s="7">
        <v>5500000</v>
      </c>
      <c r="Z1658" s="1"/>
      <c r="AA1658" s="1" t="s">
        <v>11323</v>
      </c>
      <c r="AB1658" s="1" t="s">
        <v>11324</v>
      </c>
      <c r="AC1658" s="1" t="s">
        <v>3966</v>
      </c>
      <c r="AD1658" s="1" t="s">
        <v>11325</v>
      </c>
      <c r="AE1658" s="1" t="s">
        <v>51</v>
      </c>
      <c r="AF1658" s="1" t="s">
        <v>51</v>
      </c>
      <c r="AG1658" s="1" t="s">
        <v>47</v>
      </c>
      <c r="AH1658" s="1"/>
      <c r="AI1658" s="1"/>
      <c r="AJ1658" s="3">
        <v>1</v>
      </c>
      <c r="AK1658" s="1" t="s">
        <v>52</v>
      </c>
      <c r="AL1658" s="3">
        <v>4</v>
      </c>
      <c r="AM1658" s="8">
        <v>11.76</v>
      </c>
      <c r="AN1658" s="1"/>
      <c r="AO1658" s="1" t="s">
        <v>11326</v>
      </c>
      <c r="AP1658" s="1" t="s">
        <v>45</v>
      </c>
      <c r="AQ1658" s="1" t="s">
        <v>11327</v>
      </c>
      <c r="AR1658" s="1" t="s">
        <v>11328</v>
      </c>
    </row>
    <row r="1659">
      <c r="A1659" s="2">
        <f ca="1">DATE(2005,06,03)</f>
        <v>0</v>
      </c>
      <c r="B1659" s="2">
        <f ca="1">DATE(2005,10,28)</f>
        <v>0</v>
      </c>
      <c r="C1659" s="1" t="s">
        <v>11329</v>
      </c>
      <c r="D1659" s="3">
        <v>3841</v>
      </c>
      <c r="E1659" s="1" t="s">
        <v>43</v>
      </c>
      <c r="F1659" s="1" t="s">
        <v>11330</v>
      </c>
      <c r="G1659" s="1" t="s">
        <v>11331</v>
      </c>
      <c r="H1659" s="4">
        <v>0.34999999999999998</v>
      </c>
      <c r="I1659" s="8">
        <v>7</v>
      </c>
      <c r="J1659" s="5">
        <v>20</v>
      </c>
      <c r="K1659" s="4">
        <v>5</v>
      </c>
      <c r="L1659" s="1" t="s">
        <v>46</v>
      </c>
      <c r="M1659" s="1" t="s">
        <v>47</v>
      </c>
      <c r="N1659" s="3">
        <v>285192100</v>
      </c>
      <c r="O1659" s="1" t="s">
        <v>48</v>
      </c>
      <c r="P1659" s="1" t="s">
        <v>11332</v>
      </c>
      <c r="Q1659" s="1" t="s">
        <v>145</v>
      </c>
      <c r="R1659" s="1" t="s">
        <v>145</v>
      </c>
      <c r="S1659" s="8">
        <v>4.2000000000000002</v>
      </c>
      <c r="T1659" s="1" t="s">
        <v>50</v>
      </c>
      <c r="U1659" s="1"/>
      <c r="V1659" s="1"/>
      <c r="W1659" s="1"/>
      <c r="X1659" s="5">
        <v>33</v>
      </c>
      <c r="Y1659" s="7">
        <v>4000000</v>
      </c>
      <c r="Z1659" s="1"/>
      <c r="AA1659" s="1" t="s">
        <v>11333</v>
      </c>
      <c r="AB1659" s="1" t="s">
        <v>11334</v>
      </c>
      <c r="AC1659" s="1" t="s">
        <v>11335</v>
      </c>
      <c r="AD1659" s="1" t="s">
        <v>11336</v>
      </c>
      <c r="AE1659" s="1" t="s">
        <v>51</v>
      </c>
      <c r="AF1659" s="1" t="s">
        <v>51</v>
      </c>
      <c r="AG1659" s="1" t="s">
        <v>47</v>
      </c>
      <c r="AH1659" s="1"/>
      <c r="AI1659" s="1"/>
      <c r="AJ1659" s="3">
        <v>1</v>
      </c>
      <c r="AK1659" s="1" t="s">
        <v>89</v>
      </c>
      <c r="AL1659" s="3">
        <v>2</v>
      </c>
      <c r="AM1659" s="1"/>
      <c r="AN1659" s="1"/>
      <c r="AO1659" s="1" t="s">
        <v>11337</v>
      </c>
      <c r="AP1659" s="1" t="s">
        <v>11338</v>
      </c>
      <c r="AQ1659" s="1" t="s">
        <v>11339</v>
      </c>
      <c r="AR1659" s="1" t="s">
        <v>11332</v>
      </c>
    </row>
    <row r="1660">
      <c r="A1660" s="2">
        <f ca="1">DATE(2005,05,16)</f>
        <v>0</v>
      </c>
      <c r="B1660" s="2">
        <f ca="1">DATE(2005,11,01)</f>
        <v>0</v>
      </c>
      <c r="C1660" s="1" t="s">
        <v>11340</v>
      </c>
      <c r="D1660" s="3">
        <v>4813</v>
      </c>
      <c r="E1660" s="1" t="s">
        <v>43</v>
      </c>
      <c r="F1660" s="1" t="s">
        <v>11341</v>
      </c>
      <c r="G1660" s="1" t="s">
        <v>5110</v>
      </c>
      <c r="H1660" s="4">
        <v>0.83999999999999997</v>
      </c>
      <c r="I1660" s="8">
        <v>7</v>
      </c>
      <c r="J1660" s="5">
        <v>70.599999999999994</v>
      </c>
      <c r="K1660" s="4">
        <v>12</v>
      </c>
      <c r="L1660" s="1" t="s">
        <v>46</v>
      </c>
      <c r="M1660" s="1" t="s">
        <v>47</v>
      </c>
      <c r="N1660" s="3">
        <v>149847105</v>
      </c>
      <c r="O1660" s="1" t="s">
        <v>48</v>
      </c>
      <c r="P1660" s="1" t="s">
        <v>11342</v>
      </c>
      <c r="Q1660" s="1" t="s">
        <v>145</v>
      </c>
      <c r="R1660" s="1" t="s">
        <v>145</v>
      </c>
      <c r="S1660" s="8">
        <v>4.25</v>
      </c>
      <c r="T1660" s="1" t="s">
        <v>50</v>
      </c>
      <c r="U1660" s="1"/>
      <c r="V1660" s="1"/>
      <c r="W1660" s="1"/>
      <c r="X1660" s="5">
        <v>172.5</v>
      </c>
      <c r="Y1660" s="7">
        <v>5882353</v>
      </c>
      <c r="Z1660" s="1"/>
      <c r="AA1660" s="1" t="s">
        <v>11343</v>
      </c>
      <c r="AB1660" s="1" t="s">
        <v>11344</v>
      </c>
      <c r="AC1660" s="1" t="s">
        <v>8939</v>
      </c>
      <c r="AD1660" s="1" t="s">
        <v>11345</v>
      </c>
      <c r="AE1660" s="1" t="s">
        <v>51</v>
      </c>
      <c r="AF1660" s="1" t="s">
        <v>51</v>
      </c>
      <c r="AG1660" s="1" t="s">
        <v>47</v>
      </c>
      <c r="AH1660" s="1"/>
      <c r="AI1660" s="1"/>
      <c r="AJ1660" s="3">
        <v>1</v>
      </c>
      <c r="AK1660" s="1" t="s">
        <v>52</v>
      </c>
      <c r="AL1660" s="3">
        <v>4</v>
      </c>
      <c r="AM1660" s="8">
        <v>12</v>
      </c>
      <c r="AN1660" s="1"/>
      <c r="AO1660" s="1" t="s">
        <v>11346</v>
      </c>
      <c r="AP1660" s="1" t="s">
        <v>5110</v>
      </c>
      <c r="AQ1660" s="1" t="s">
        <v>11347</v>
      </c>
      <c r="AR1660" s="1" t="s">
        <v>11348</v>
      </c>
    </row>
    <row r="1661">
      <c r="A1661" s="2">
        <f ca="1">DATE(2005,08,08)</f>
        <v>0</v>
      </c>
      <c r="B1661" s="2">
        <f ca="1">DATE(2005,11,01)</f>
        <v>0</v>
      </c>
      <c r="C1661" s="1" t="s">
        <v>11349</v>
      </c>
      <c r="D1661" s="3">
        <v>6798</v>
      </c>
      <c r="E1661" s="1" t="s">
        <v>43</v>
      </c>
      <c r="F1661" s="1" t="s">
        <v>11350</v>
      </c>
      <c r="G1661" s="1" t="s">
        <v>11351</v>
      </c>
      <c r="H1661" s="4">
        <v>0.90700000000000003</v>
      </c>
      <c r="I1661" s="4">
        <v>5.6689999999999996</v>
      </c>
      <c r="J1661" s="5">
        <v>240</v>
      </c>
      <c r="K1661" s="4">
        <v>16</v>
      </c>
      <c r="L1661" s="1" t="s">
        <v>46</v>
      </c>
      <c r="M1661" s="1" t="s">
        <v>47</v>
      </c>
      <c r="N1661" s="3">
        <v>651497109</v>
      </c>
      <c r="O1661" s="1" t="s">
        <v>108</v>
      </c>
      <c r="P1661" s="1" t="s">
        <v>11352</v>
      </c>
      <c r="Q1661" s="1" t="s">
        <v>145</v>
      </c>
      <c r="R1661" s="1" t="s">
        <v>145</v>
      </c>
      <c r="S1661" s="10">
        <v>3.4375</v>
      </c>
      <c r="T1661" s="1" t="s">
        <v>50</v>
      </c>
      <c r="U1661" s="1"/>
      <c r="V1661" s="1"/>
      <c r="W1661" s="1"/>
      <c r="X1661" s="5">
        <v>460</v>
      </c>
      <c r="Y1661" s="7">
        <v>15000000</v>
      </c>
      <c r="Z1661" s="1"/>
      <c r="AA1661" s="1" t="s">
        <v>11353</v>
      </c>
      <c r="AB1661" s="1" t="s">
        <v>2067</v>
      </c>
      <c r="AC1661" s="1" t="s">
        <v>11354</v>
      </c>
      <c r="AD1661" s="1" t="s">
        <v>2067</v>
      </c>
      <c r="AE1661" s="1" t="s">
        <v>51</v>
      </c>
      <c r="AF1661" s="1" t="s">
        <v>51</v>
      </c>
      <c r="AG1661" s="1" t="s">
        <v>51</v>
      </c>
      <c r="AH1661" s="1"/>
      <c r="AI1661" s="1"/>
      <c r="AJ1661" s="3">
        <v>2</v>
      </c>
      <c r="AK1661" s="1" t="s">
        <v>89</v>
      </c>
      <c r="AL1661" s="3">
        <v>5</v>
      </c>
      <c r="AM1661" s="8">
        <v>15.050000000000001</v>
      </c>
      <c r="AN1661" s="1"/>
      <c r="AO1661" s="1" t="s">
        <v>11355</v>
      </c>
      <c r="AP1661" s="1" t="s">
        <v>11356</v>
      </c>
      <c r="AQ1661" s="1" t="s">
        <v>11357</v>
      </c>
      <c r="AR1661" s="1" t="s">
        <v>11358</v>
      </c>
    </row>
    <row r="1662">
      <c r="A1662" s="2">
        <f ca="1">DATE(2005,04,27)</f>
        <v>0</v>
      </c>
      <c r="B1662" s="2">
        <f ca="1">DATE(2005,11,01)</f>
        <v>0</v>
      </c>
      <c r="C1662" s="1" t="s">
        <v>11359</v>
      </c>
      <c r="D1662" s="3">
        <v>7372</v>
      </c>
      <c r="E1662" s="1" t="s">
        <v>43</v>
      </c>
      <c r="F1662" s="1" t="s">
        <v>11360</v>
      </c>
      <c r="G1662" s="1" t="s">
        <v>84</v>
      </c>
      <c r="H1662" s="4">
        <v>0.69999999999999996</v>
      </c>
      <c r="I1662" s="8">
        <v>7</v>
      </c>
      <c r="J1662" s="5">
        <v>68</v>
      </c>
      <c r="K1662" s="4">
        <v>10</v>
      </c>
      <c r="L1662" s="1" t="s">
        <v>46</v>
      </c>
      <c r="M1662" s="1" t="s">
        <v>47</v>
      </c>
      <c r="N1662" s="1" t="s">
        <v>11361</v>
      </c>
      <c r="O1662" s="1" t="s">
        <v>48</v>
      </c>
      <c r="P1662" s="1" t="s">
        <v>11362</v>
      </c>
      <c r="Q1662" s="1" t="s">
        <v>145</v>
      </c>
      <c r="R1662" s="1" t="s">
        <v>145</v>
      </c>
      <c r="S1662" s="8">
        <v>4.2000000000000002</v>
      </c>
      <c r="T1662" s="1" t="s">
        <v>50</v>
      </c>
      <c r="U1662" s="1"/>
      <c r="V1662" s="1"/>
      <c r="W1662" s="1"/>
      <c r="X1662" s="5">
        <v>70</v>
      </c>
      <c r="Y1662" s="7">
        <v>4800000</v>
      </c>
      <c r="Z1662" s="7">
        <v>2000000</v>
      </c>
      <c r="AA1662" s="1" t="s">
        <v>11363</v>
      </c>
      <c r="AB1662" s="1" t="s">
        <v>11364</v>
      </c>
      <c r="AC1662" s="1" t="s">
        <v>8611</v>
      </c>
      <c r="AD1662" s="1" t="s">
        <v>11365</v>
      </c>
      <c r="AE1662" s="1" t="s">
        <v>51</v>
      </c>
      <c r="AF1662" s="1" t="s">
        <v>51</v>
      </c>
      <c r="AG1662" s="1" t="s">
        <v>47</v>
      </c>
      <c r="AH1662" s="1"/>
      <c r="AI1662" s="1"/>
      <c r="AJ1662" s="3">
        <v>1</v>
      </c>
      <c r="AK1662" s="1" t="s">
        <v>52</v>
      </c>
      <c r="AL1662" s="3">
        <v>3</v>
      </c>
      <c r="AM1662" s="8">
        <v>10.01</v>
      </c>
      <c r="AN1662" s="1"/>
      <c r="AO1662" s="1" t="s">
        <v>11366</v>
      </c>
      <c r="AP1662" s="1" t="s">
        <v>84</v>
      </c>
      <c r="AQ1662" s="1" t="s">
        <v>11367</v>
      </c>
      <c r="AR1662" s="1" t="s">
        <v>11368</v>
      </c>
    </row>
    <row r="1663">
      <c r="A1663" s="2">
        <f ca="1">DATE(2005,08,16)</f>
        <v>0</v>
      </c>
      <c r="B1663" s="2">
        <f ca="1">DATE(2005,11,08)</f>
        <v>0</v>
      </c>
      <c r="C1663" s="1" t="s">
        <v>11369</v>
      </c>
      <c r="D1663" s="3">
        <v>4922</v>
      </c>
      <c r="E1663" s="1" t="s">
        <v>43</v>
      </c>
      <c r="F1663" s="1" t="s">
        <v>11370</v>
      </c>
      <c r="G1663" s="1" t="s">
        <v>10937</v>
      </c>
      <c r="H1663" s="4">
        <v>1.1699999999999999</v>
      </c>
      <c r="I1663" s="4">
        <v>6</v>
      </c>
      <c r="J1663" s="5">
        <v>292.5</v>
      </c>
      <c r="K1663" s="4">
        <v>19.5</v>
      </c>
      <c r="L1663" s="1" t="s">
        <v>85</v>
      </c>
      <c r="M1663" s="1" t="s">
        <v>47</v>
      </c>
      <c r="N1663" s="1" t="s">
        <v>11371</v>
      </c>
      <c r="O1663" s="1" t="s">
        <v>108</v>
      </c>
      <c r="P1663" s="1" t="s">
        <v>11372</v>
      </c>
      <c r="Q1663" s="4">
        <v>1.1279999999999999</v>
      </c>
      <c r="R1663" s="4">
        <v>1.282</v>
      </c>
      <c r="S1663" s="6">
        <v>3.5897399999999999</v>
      </c>
      <c r="T1663" s="1" t="s">
        <v>50</v>
      </c>
      <c r="U1663" s="1"/>
      <c r="V1663" s="1"/>
      <c r="W1663" s="7">
        <v>15000000</v>
      </c>
      <c r="X1663" s="1"/>
      <c r="Y1663" s="7">
        <v>15000000</v>
      </c>
      <c r="Z1663" s="1"/>
      <c r="AA1663" s="1" t="s">
        <v>11373</v>
      </c>
      <c r="AB1663" s="1" t="s">
        <v>2067</v>
      </c>
      <c r="AC1663" s="1" t="s">
        <v>2068</v>
      </c>
      <c r="AD1663" s="1" t="s">
        <v>2067</v>
      </c>
      <c r="AE1663" s="1" t="s">
        <v>51</v>
      </c>
      <c r="AF1663" s="1" t="s">
        <v>51</v>
      </c>
      <c r="AG1663" s="1" t="s">
        <v>51</v>
      </c>
      <c r="AH1663" s="1"/>
      <c r="AI1663" s="1"/>
      <c r="AJ1663" s="3">
        <v>2</v>
      </c>
      <c r="AK1663" s="1" t="s">
        <v>89</v>
      </c>
      <c r="AL1663" s="3">
        <v>2</v>
      </c>
      <c r="AM1663" s="8">
        <v>18.949999999999999</v>
      </c>
      <c r="AN1663" s="1"/>
      <c r="AO1663" s="1" t="s">
        <v>11374</v>
      </c>
      <c r="AP1663" s="1" t="s">
        <v>10941</v>
      </c>
      <c r="AQ1663" s="1" t="s">
        <v>10942</v>
      </c>
      <c r="AR1663" s="1" t="s">
        <v>10943</v>
      </c>
    </row>
    <row r="1664">
      <c r="A1664" s="2">
        <f ca="1">DATE(2005,07,27)</f>
        <v>0</v>
      </c>
      <c r="B1664" s="2">
        <f ca="1">DATE(2005,11,08)</f>
        <v>0</v>
      </c>
      <c r="C1664" s="1" t="s">
        <v>11375</v>
      </c>
      <c r="D1664" s="3">
        <v>3559</v>
      </c>
      <c r="E1664" s="1" t="s">
        <v>43</v>
      </c>
      <c r="F1664" s="1" t="s">
        <v>11376</v>
      </c>
      <c r="G1664" s="1" t="s">
        <v>10704</v>
      </c>
      <c r="H1664" s="4">
        <v>1.6799999999999999</v>
      </c>
      <c r="I1664" s="8">
        <v>7</v>
      </c>
      <c r="J1664" s="5">
        <v>103.2</v>
      </c>
      <c r="K1664" s="4">
        <v>24</v>
      </c>
      <c r="L1664" s="1" t="s">
        <v>46</v>
      </c>
      <c r="M1664" s="1" t="s">
        <v>47</v>
      </c>
      <c r="N1664" s="3">
        <v>462726100</v>
      </c>
      <c r="O1664" s="1" t="s">
        <v>48</v>
      </c>
      <c r="P1664" s="1" t="s">
        <v>11377</v>
      </c>
      <c r="Q1664" s="4">
        <v>1.3959999999999999</v>
      </c>
      <c r="R1664" s="4">
        <v>1.3959999999999999</v>
      </c>
      <c r="S1664" s="6">
        <v>4.2083300000000001</v>
      </c>
      <c r="T1664" s="1" t="s">
        <v>50</v>
      </c>
      <c r="U1664" s="1"/>
      <c r="V1664" s="1"/>
      <c r="W1664" s="1"/>
      <c r="X1664" s="5">
        <v>115</v>
      </c>
      <c r="Y1664" s="7">
        <v>3260870</v>
      </c>
      <c r="Z1664" s="7">
        <v>1039130</v>
      </c>
      <c r="AA1664" s="1" t="s">
        <v>11378</v>
      </c>
      <c r="AB1664" s="1" t="s">
        <v>11379</v>
      </c>
      <c r="AC1664" s="1" t="s">
        <v>7759</v>
      </c>
      <c r="AD1664" s="1" t="s">
        <v>11380</v>
      </c>
      <c r="AE1664" s="1" t="s">
        <v>51</v>
      </c>
      <c r="AF1664" s="1" t="s">
        <v>51</v>
      </c>
      <c r="AG1664" s="1" t="s">
        <v>47</v>
      </c>
      <c r="AH1664" s="1"/>
      <c r="AI1664" s="1"/>
      <c r="AJ1664" s="3">
        <v>2</v>
      </c>
      <c r="AK1664" s="1" t="s">
        <v>89</v>
      </c>
      <c r="AL1664" s="3">
        <v>5</v>
      </c>
      <c r="AM1664" s="8">
        <v>26.699999999999999</v>
      </c>
      <c r="AN1664" s="1"/>
      <c r="AO1664" s="1" t="s">
        <v>11381</v>
      </c>
      <c r="AP1664" s="1" t="s">
        <v>6680</v>
      </c>
      <c r="AQ1664" s="1" t="s">
        <v>11382</v>
      </c>
      <c r="AR1664" s="1" t="s">
        <v>11383</v>
      </c>
    </row>
    <row r="1665">
      <c r="A1665" s="2">
        <f ca="1">DATE(2005,10,21)</f>
        <v>0</v>
      </c>
      <c r="B1665" s="2">
        <f ca="1">DATE(2005,11,08)</f>
        <v>0</v>
      </c>
      <c r="C1665" s="1" t="s">
        <v>11384</v>
      </c>
      <c r="D1665" s="3">
        <v>7372</v>
      </c>
      <c r="E1665" s="1" t="s">
        <v>934</v>
      </c>
      <c r="F1665" s="1" t="s">
        <v>11385</v>
      </c>
      <c r="G1665" s="1" t="s">
        <v>813</v>
      </c>
      <c r="H1665" s="4">
        <v>1.645</v>
      </c>
      <c r="I1665" s="4">
        <v>7</v>
      </c>
      <c r="J1665" s="5">
        <v>117.5</v>
      </c>
      <c r="K1665" s="4">
        <v>23.5</v>
      </c>
      <c r="L1665" s="1" t="s">
        <v>1057</v>
      </c>
      <c r="M1665" s="1" t="s">
        <v>47</v>
      </c>
      <c r="N1665" s="1" t="s">
        <v>11386</v>
      </c>
      <c r="O1665" s="1" t="s">
        <v>48</v>
      </c>
      <c r="P1665" s="1" t="s">
        <v>11387</v>
      </c>
      <c r="Q1665" s="4">
        <v>1.3999999999999999</v>
      </c>
      <c r="R1665" s="4">
        <v>1.3999999999999999</v>
      </c>
      <c r="S1665" s="8">
        <v>4.2000000000000002</v>
      </c>
      <c r="T1665" s="1" t="s">
        <v>50</v>
      </c>
      <c r="U1665" s="8">
        <v>22.5</v>
      </c>
      <c r="V1665" s="8">
        <v>20.5</v>
      </c>
      <c r="W1665" s="7">
        <v>5000000</v>
      </c>
      <c r="X1665" s="5">
        <v>107.5</v>
      </c>
      <c r="Y1665" s="7">
        <v>5000000</v>
      </c>
      <c r="Z1665" s="1"/>
      <c r="AA1665" s="1" t="s">
        <v>11378</v>
      </c>
      <c r="AB1665" s="1" t="s">
        <v>11388</v>
      </c>
      <c r="AC1665" s="1" t="s">
        <v>7759</v>
      </c>
      <c r="AD1665" s="1" t="s">
        <v>11389</v>
      </c>
      <c r="AE1665" s="1" t="s">
        <v>51</v>
      </c>
      <c r="AF1665" s="1" t="s">
        <v>51</v>
      </c>
      <c r="AG1665" s="1" t="s">
        <v>47</v>
      </c>
      <c r="AH1665" s="1"/>
      <c r="AI1665" s="1"/>
      <c r="AJ1665" s="3">
        <v>1</v>
      </c>
      <c r="AK1665" s="1" t="s">
        <v>52</v>
      </c>
      <c r="AL1665" s="3">
        <v>5</v>
      </c>
      <c r="AM1665" s="8">
        <v>35.299999999999997</v>
      </c>
      <c r="AN1665" s="1"/>
      <c r="AO1665" s="1" t="s">
        <v>11390</v>
      </c>
      <c r="AP1665" s="1" t="s">
        <v>813</v>
      </c>
      <c r="AQ1665" s="1" t="s">
        <v>11391</v>
      </c>
      <c r="AR1665" s="1" t="s">
        <v>11392</v>
      </c>
    </row>
    <row r="1666">
      <c r="A1666" s="2">
        <f ca="1">DATE(2004,12,10)</f>
        <v>0</v>
      </c>
      <c r="B1666" s="2">
        <f ca="1">DATE(2005,11,09)</f>
        <v>0</v>
      </c>
      <c r="C1666" s="1" t="s">
        <v>11393</v>
      </c>
      <c r="D1666" s="3">
        <v>2836</v>
      </c>
      <c r="E1666" s="1" t="s">
        <v>43</v>
      </c>
      <c r="F1666" s="1" t="s">
        <v>11394</v>
      </c>
      <c r="G1666" s="1" t="s">
        <v>75</v>
      </c>
      <c r="H1666" s="4">
        <v>0.48999999999999999</v>
      </c>
      <c r="I1666" s="8">
        <v>7</v>
      </c>
      <c r="J1666" s="5">
        <v>42</v>
      </c>
      <c r="K1666" s="4">
        <v>7</v>
      </c>
      <c r="L1666" s="1" t="s">
        <v>46</v>
      </c>
      <c r="M1666" s="1" t="s">
        <v>47</v>
      </c>
      <c r="N1666" s="1" t="s">
        <v>11395</v>
      </c>
      <c r="O1666" s="1" t="s">
        <v>48</v>
      </c>
      <c r="P1666" s="1" t="s">
        <v>11396</v>
      </c>
      <c r="Q1666" s="1" t="s">
        <v>145</v>
      </c>
      <c r="R1666" s="1" t="s">
        <v>145</v>
      </c>
      <c r="S1666" s="6">
        <v>3.8571399999999998</v>
      </c>
      <c r="T1666" s="1" t="s">
        <v>50</v>
      </c>
      <c r="U1666" s="1"/>
      <c r="V1666" s="1"/>
      <c r="W1666" s="1"/>
      <c r="X1666" s="5">
        <v>100</v>
      </c>
      <c r="Y1666" s="7">
        <v>6000000</v>
      </c>
      <c r="Z1666" s="1"/>
      <c r="AA1666" s="1" t="s">
        <v>11397</v>
      </c>
      <c r="AB1666" s="1" t="s">
        <v>11398</v>
      </c>
      <c r="AC1666" s="1" t="s">
        <v>2068</v>
      </c>
      <c r="AD1666" s="1" t="s">
        <v>11399</v>
      </c>
      <c r="AE1666" s="1" t="s">
        <v>51</v>
      </c>
      <c r="AF1666" s="1" t="s">
        <v>51</v>
      </c>
      <c r="AG1666" s="1" t="s">
        <v>47</v>
      </c>
      <c r="AH1666" s="1"/>
      <c r="AI1666" s="1"/>
      <c r="AJ1666" s="3">
        <v>1</v>
      </c>
      <c r="AK1666" s="1" t="s">
        <v>52</v>
      </c>
      <c r="AL1666" s="3">
        <v>4</v>
      </c>
      <c r="AM1666" s="1"/>
      <c r="AN1666" s="1"/>
      <c r="AO1666" s="1" t="s">
        <v>11400</v>
      </c>
      <c r="AP1666" s="1" t="s">
        <v>75</v>
      </c>
      <c r="AQ1666" s="1" t="s">
        <v>11401</v>
      </c>
      <c r="AR1666" s="1" t="s">
        <v>11396</v>
      </c>
    </row>
    <row r="1667">
      <c r="A1667" s="2">
        <f ca="1">DATE(2005,08,10)</f>
        <v>0</v>
      </c>
      <c r="B1667" s="2">
        <f ca="1">DATE(2005,11,10)</f>
        <v>0</v>
      </c>
      <c r="C1667" s="1" t="s">
        <v>11402</v>
      </c>
      <c r="D1667" s="3">
        <v>7312</v>
      </c>
      <c r="E1667" s="1" t="s">
        <v>43</v>
      </c>
      <c r="F1667" s="1" t="s">
        <v>11403</v>
      </c>
      <c r="G1667" s="1" t="s">
        <v>11404</v>
      </c>
      <c r="H1667" s="4">
        <v>0.747</v>
      </c>
      <c r="I1667" s="4">
        <v>4.1500000000000004</v>
      </c>
      <c r="J1667" s="5">
        <v>630</v>
      </c>
      <c r="K1667" s="4">
        <v>18</v>
      </c>
      <c r="L1667" s="1" t="s">
        <v>152</v>
      </c>
      <c r="M1667" s="1" t="s">
        <v>47</v>
      </c>
      <c r="N1667" s="1" t="s">
        <v>11405</v>
      </c>
      <c r="O1667" s="1" t="s">
        <v>108</v>
      </c>
      <c r="P1667" s="1" t="s">
        <v>11406</v>
      </c>
      <c r="Q1667" s="4">
        <v>0.82799999999999996</v>
      </c>
      <c r="R1667" s="4">
        <v>0.622</v>
      </c>
      <c r="S1667" s="8">
        <v>2.7000000000000002</v>
      </c>
      <c r="T1667" s="1" t="s">
        <v>50</v>
      </c>
      <c r="U1667" s="1"/>
      <c r="V1667" s="1"/>
      <c r="W1667" s="1"/>
      <c r="X1667" s="5">
        <v>350</v>
      </c>
      <c r="Y1667" s="7">
        <v>35000000</v>
      </c>
      <c r="Z1667" s="1"/>
      <c r="AA1667" s="1" t="s">
        <v>11407</v>
      </c>
      <c r="AB1667" s="1" t="s">
        <v>2067</v>
      </c>
      <c r="AC1667" s="1" t="s">
        <v>2068</v>
      </c>
      <c r="AD1667" s="1" t="s">
        <v>2067</v>
      </c>
      <c r="AE1667" s="1" t="s">
        <v>51</v>
      </c>
      <c r="AF1667" s="1" t="s">
        <v>51</v>
      </c>
      <c r="AG1667" s="1" t="s">
        <v>51</v>
      </c>
      <c r="AH1667" s="1" t="s">
        <v>11408</v>
      </c>
      <c r="AI1667" s="1" t="s">
        <v>11409</v>
      </c>
      <c r="AJ1667" s="3">
        <v>5</v>
      </c>
      <c r="AK1667" s="1" t="s">
        <v>3985</v>
      </c>
      <c r="AL1667" s="3">
        <v>17</v>
      </c>
      <c r="AM1667" s="8">
        <v>18.550000000000001</v>
      </c>
      <c r="AN1667" s="1"/>
      <c r="AO1667" s="1" t="s">
        <v>11410</v>
      </c>
      <c r="AP1667" s="1" t="s">
        <v>11411</v>
      </c>
      <c r="AQ1667" s="1" t="s">
        <v>11412</v>
      </c>
      <c r="AR1667" s="1" t="s">
        <v>11413</v>
      </c>
    </row>
    <row r="1668">
      <c r="A1668" s="2">
        <f ca="1">DATE(2005,02,04)</f>
        <v>0</v>
      </c>
      <c r="B1668" s="2">
        <f ca="1">DATE(2005,11,10)</f>
        <v>0</v>
      </c>
      <c r="C1668" s="1" t="s">
        <v>11414</v>
      </c>
      <c r="D1668" s="3">
        <v>7371</v>
      </c>
      <c r="E1668" s="1" t="s">
        <v>43</v>
      </c>
      <c r="F1668" s="1" t="s">
        <v>11415</v>
      </c>
      <c r="G1668" s="1" t="s">
        <v>9631</v>
      </c>
      <c r="H1668" s="4">
        <v>1.0560000000000001</v>
      </c>
      <c r="I1668" s="4">
        <v>6.5999999999999996</v>
      </c>
      <c r="J1668" s="5">
        <v>232.19999999999999</v>
      </c>
      <c r="K1668" s="4">
        <v>16</v>
      </c>
      <c r="L1668" s="1" t="s">
        <v>152</v>
      </c>
      <c r="M1668" s="1" t="s">
        <v>47</v>
      </c>
      <c r="N1668" s="3">
        <v>451734107</v>
      </c>
      <c r="O1668" s="1" t="s">
        <v>108</v>
      </c>
      <c r="P1668" s="1" t="s">
        <v>11416</v>
      </c>
      <c r="Q1668" s="4">
        <v>1.3200000000000001</v>
      </c>
      <c r="R1668" s="4">
        <v>1.3200000000000001</v>
      </c>
      <c r="S1668" s="8">
        <v>3.96</v>
      </c>
      <c r="T1668" s="1" t="s">
        <v>50</v>
      </c>
      <c r="U1668" s="1"/>
      <c r="V1668" s="1"/>
      <c r="W1668" s="1"/>
      <c r="X1668" s="5">
        <v>350</v>
      </c>
      <c r="Y1668" s="1"/>
      <c r="Z1668" s="7">
        <v>14515000</v>
      </c>
      <c r="AA1668" s="1" t="s">
        <v>11417</v>
      </c>
      <c r="AB1668" s="1" t="s">
        <v>11418</v>
      </c>
      <c r="AC1668" s="1" t="s">
        <v>11419</v>
      </c>
      <c r="AD1668" s="1" t="s">
        <v>11420</v>
      </c>
      <c r="AE1668" s="1" t="s">
        <v>51</v>
      </c>
      <c r="AF1668" s="1" t="s">
        <v>51</v>
      </c>
      <c r="AG1668" s="1" t="s">
        <v>51</v>
      </c>
      <c r="AH1668" s="1"/>
      <c r="AI1668" s="1"/>
      <c r="AJ1668" s="3">
        <v>2</v>
      </c>
      <c r="AK1668" s="1" t="s">
        <v>110</v>
      </c>
      <c r="AL1668" s="3">
        <v>6</v>
      </c>
      <c r="AM1668" s="8">
        <v>17.100000000000001</v>
      </c>
      <c r="AN1668" s="1"/>
      <c r="AO1668" s="1" t="s">
        <v>11421</v>
      </c>
      <c r="AP1668" s="1" t="s">
        <v>11422</v>
      </c>
      <c r="AQ1668" s="1" t="s">
        <v>11423</v>
      </c>
      <c r="AR1668" s="1" t="s">
        <v>11416</v>
      </c>
    </row>
    <row r="1669">
      <c r="A1669" s="2">
        <f ca="1">DATE(2005,06,16)</f>
        <v>0</v>
      </c>
      <c r="B1669" s="2">
        <f ca="1">DATE(2005,11,11)</f>
        <v>0</v>
      </c>
      <c r="C1669" s="1" t="s">
        <v>11424</v>
      </c>
      <c r="D1669" s="3">
        <v>6726</v>
      </c>
      <c r="E1669" s="1" t="s">
        <v>43</v>
      </c>
      <c r="F1669" s="1" t="s">
        <v>11425</v>
      </c>
      <c r="G1669" s="1" t="s">
        <v>5110</v>
      </c>
      <c r="H1669" s="4">
        <v>0.45000000000000001</v>
      </c>
      <c r="I1669" s="4">
        <v>7.5</v>
      </c>
      <c r="J1669" s="5">
        <v>120</v>
      </c>
      <c r="K1669" s="4">
        <v>6</v>
      </c>
      <c r="L1669" s="1" t="s">
        <v>46</v>
      </c>
      <c r="M1669" s="1" t="s">
        <v>47</v>
      </c>
      <c r="N1669" s="3">
        <v>192865103</v>
      </c>
      <c r="O1669" s="1" t="s">
        <v>87</v>
      </c>
      <c r="P1669" s="1" t="s">
        <v>11426</v>
      </c>
      <c r="Q1669" s="4">
        <v>0.20000000000000001</v>
      </c>
      <c r="R1669" s="4">
        <v>1.333</v>
      </c>
      <c r="S1669" s="6">
        <v>4.1666699999999999</v>
      </c>
      <c r="T1669" s="1" t="s">
        <v>50</v>
      </c>
      <c r="U1669" s="8">
        <v>6</v>
      </c>
      <c r="V1669" s="8">
        <v>6</v>
      </c>
      <c r="W1669" s="7">
        <v>20000000</v>
      </c>
      <c r="X1669" s="5">
        <v>120</v>
      </c>
      <c r="Y1669" s="7">
        <v>20000000</v>
      </c>
      <c r="Z1669" s="1"/>
      <c r="AA1669" s="2">
        <f ca="1">DATE(2006,06,09)</f>
        <v>0</v>
      </c>
      <c r="AB1669" s="4">
        <v>20</v>
      </c>
      <c r="AC1669" s="3">
        <v>210</v>
      </c>
      <c r="AD1669" s="8">
        <v>5000000</v>
      </c>
      <c r="AE1669" s="1" t="s">
        <v>51</v>
      </c>
      <c r="AF1669" s="1" t="s">
        <v>51</v>
      </c>
      <c r="AG1669" s="1" t="s">
        <v>51</v>
      </c>
      <c r="AH1669" s="1"/>
      <c r="AI1669" s="1"/>
      <c r="AJ1669" s="3">
        <v>1</v>
      </c>
      <c r="AK1669" s="1" t="s">
        <v>52</v>
      </c>
      <c r="AL1669" s="3">
        <v>2</v>
      </c>
      <c r="AM1669" s="1"/>
      <c r="AN1669" s="1"/>
      <c r="AO1669" s="1" t="s">
        <v>11427</v>
      </c>
      <c r="AP1669" s="1" t="s">
        <v>5110</v>
      </c>
      <c r="AQ1669" s="1" t="s">
        <v>11428</v>
      </c>
      <c r="AR1669" s="1" t="s">
        <v>11429</v>
      </c>
    </row>
    <row r="1670">
      <c r="A1670" s="2">
        <f ca="1">DATE(2005,10,24)</f>
        <v>0</v>
      </c>
      <c r="B1670" s="2">
        <f ca="1">DATE(2005,11,14)</f>
        <v>0</v>
      </c>
      <c r="C1670" s="1" t="s">
        <v>11430</v>
      </c>
      <c r="D1670" s="3">
        <v>3674</v>
      </c>
      <c r="E1670" s="1" t="s">
        <v>744</v>
      </c>
      <c r="F1670" s="1" t="s">
        <v>11431</v>
      </c>
      <c r="G1670" s="1" t="s">
        <v>796</v>
      </c>
      <c r="H1670" s="4">
        <v>0.69999999999999996</v>
      </c>
      <c r="I1670" s="8">
        <v>7</v>
      </c>
      <c r="J1670" s="5">
        <v>87</v>
      </c>
      <c r="K1670" s="4">
        <v>10</v>
      </c>
      <c r="L1670" s="1" t="s">
        <v>651</v>
      </c>
      <c r="M1670" s="1" t="s">
        <v>47</v>
      </c>
      <c r="N1670" s="1" t="s">
        <v>11432</v>
      </c>
      <c r="O1670" s="1" t="s">
        <v>48</v>
      </c>
      <c r="P1670" s="1" t="s">
        <v>11433</v>
      </c>
      <c r="Q1670" s="1" t="s">
        <v>145</v>
      </c>
      <c r="R1670" s="1" t="s">
        <v>145</v>
      </c>
      <c r="S1670" s="8">
        <v>4.2000000000000002</v>
      </c>
      <c r="T1670" s="1" t="s">
        <v>50</v>
      </c>
      <c r="U1670" s="1"/>
      <c r="V1670" s="1"/>
      <c r="W1670" s="1"/>
      <c r="X1670" s="5">
        <v>100</v>
      </c>
      <c r="Y1670" s="7">
        <v>6750000</v>
      </c>
      <c r="Z1670" s="7">
        <v>1947063</v>
      </c>
      <c r="AA1670" s="1" t="s">
        <v>11434</v>
      </c>
      <c r="AB1670" s="1" t="s">
        <v>2067</v>
      </c>
      <c r="AC1670" s="1" t="s">
        <v>2068</v>
      </c>
      <c r="AD1670" s="1" t="s">
        <v>2067</v>
      </c>
      <c r="AE1670" s="1" t="s">
        <v>47</v>
      </c>
      <c r="AF1670" s="1" t="s">
        <v>51</v>
      </c>
      <c r="AG1670" s="1" t="s">
        <v>47</v>
      </c>
      <c r="AH1670" s="1"/>
      <c r="AI1670" s="1"/>
      <c r="AJ1670" s="3">
        <v>1</v>
      </c>
      <c r="AK1670" s="1" t="s">
        <v>89</v>
      </c>
      <c r="AL1670" s="3">
        <v>4</v>
      </c>
      <c r="AM1670" s="8">
        <v>8.3599999999999994</v>
      </c>
      <c r="AN1670" s="1"/>
      <c r="AO1670" s="1" t="s">
        <v>11435</v>
      </c>
      <c r="AP1670" s="1" t="s">
        <v>4103</v>
      </c>
      <c r="AQ1670" s="1" t="s">
        <v>11436</v>
      </c>
      <c r="AR1670" s="1" t="s">
        <v>11437</v>
      </c>
    </row>
    <row r="1671">
      <c r="A1671" s="2">
        <f ca="1">DATE(2005,03,22)</f>
        <v>0</v>
      </c>
      <c r="B1671" s="2">
        <f ca="1">DATE(2005,11,15)</f>
        <v>0</v>
      </c>
      <c r="C1671" s="1" t="s">
        <v>11438</v>
      </c>
      <c r="D1671" s="3">
        <v>6231</v>
      </c>
      <c r="E1671" s="1" t="s">
        <v>43</v>
      </c>
      <c r="F1671" s="1" t="s">
        <v>11439</v>
      </c>
      <c r="G1671" s="1" t="s">
        <v>4171</v>
      </c>
      <c r="H1671" s="4">
        <v>1.69</v>
      </c>
      <c r="I1671" s="4">
        <v>6.5</v>
      </c>
      <c r="J1671" s="5">
        <v>415.89999999999998</v>
      </c>
      <c r="K1671" s="4">
        <v>26</v>
      </c>
      <c r="L1671" s="1" t="s">
        <v>46</v>
      </c>
      <c r="M1671" s="1" t="s">
        <v>47</v>
      </c>
      <c r="N1671" s="1" t="s">
        <v>11440</v>
      </c>
      <c r="O1671" s="1" t="s">
        <v>108</v>
      </c>
      <c r="P1671" s="1" t="s">
        <v>11441</v>
      </c>
      <c r="Q1671" s="1" t="s">
        <v>145</v>
      </c>
      <c r="R1671" s="1" t="s">
        <v>145</v>
      </c>
      <c r="S1671" s="6">
        <v>4.2307699999999997</v>
      </c>
      <c r="T1671" s="1" t="s">
        <v>50</v>
      </c>
      <c r="U1671" s="1"/>
      <c r="V1671" s="1"/>
      <c r="W1671" s="1"/>
      <c r="X1671" s="5">
        <v>115</v>
      </c>
      <c r="Y1671" s="7">
        <v>2497500</v>
      </c>
      <c r="Z1671" s="7">
        <v>13500000</v>
      </c>
      <c r="AA1671" s="1" t="s">
        <v>11442</v>
      </c>
      <c r="AB1671" s="1" t="s">
        <v>11443</v>
      </c>
      <c r="AC1671" s="1" t="s">
        <v>8939</v>
      </c>
      <c r="AD1671" s="1" t="s">
        <v>11444</v>
      </c>
      <c r="AE1671" s="1" t="s">
        <v>51</v>
      </c>
      <c r="AF1671" s="1" t="s">
        <v>51</v>
      </c>
      <c r="AG1671" s="1" t="s">
        <v>47</v>
      </c>
      <c r="AH1671" s="1"/>
      <c r="AI1671" s="1"/>
      <c r="AJ1671" s="3">
        <v>2</v>
      </c>
      <c r="AK1671" s="1" t="s">
        <v>89</v>
      </c>
      <c r="AL1671" s="3">
        <v>5</v>
      </c>
      <c r="AM1671" s="8">
        <v>39.25</v>
      </c>
      <c r="AN1671" s="1"/>
      <c r="AO1671" s="1" t="s">
        <v>11445</v>
      </c>
      <c r="AP1671" s="1" t="s">
        <v>4174</v>
      </c>
      <c r="AQ1671" s="1" t="s">
        <v>11446</v>
      </c>
      <c r="AR1671" s="1" t="s">
        <v>11447</v>
      </c>
    </row>
    <row r="1672">
      <c r="A1672" s="2">
        <f ca="1">DATE(2005,08,25)</f>
        <v>0</v>
      </c>
      <c r="B1672" s="2">
        <f ca="1">DATE(2005,11,16)</f>
        <v>0</v>
      </c>
      <c r="C1672" s="1" t="s">
        <v>11448</v>
      </c>
      <c r="D1672" s="3">
        <v>3674</v>
      </c>
      <c r="E1672" s="1" t="s">
        <v>43</v>
      </c>
      <c r="F1672" s="1" t="s">
        <v>11449</v>
      </c>
      <c r="G1672" s="1" t="s">
        <v>5123</v>
      </c>
      <c r="H1672" s="1" t="s">
        <v>57</v>
      </c>
      <c r="I1672" s="1" t="s">
        <v>57</v>
      </c>
      <c r="J1672" s="5">
        <v>138.59999999999999</v>
      </c>
      <c r="K1672" s="4">
        <v>18</v>
      </c>
      <c r="L1672" s="1" t="s">
        <v>152</v>
      </c>
      <c r="M1672" s="1" t="s">
        <v>47</v>
      </c>
      <c r="N1672" s="3">
        <v>867652109</v>
      </c>
      <c r="O1672" s="1" t="s">
        <v>48</v>
      </c>
      <c r="P1672" s="1" t="s">
        <v>11450</v>
      </c>
      <c r="Q1672" s="1"/>
      <c r="R1672" s="1"/>
      <c r="S1672" s="1"/>
      <c r="T1672" s="1" t="s">
        <v>50</v>
      </c>
      <c r="U1672" s="1"/>
      <c r="V1672" s="1"/>
      <c r="W1672" s="1"/>
      <c r="X1672" s="5">
        <v>115</v>
      </c>
      <c r="Y1672" s="7">
        <v>7700000</v>
      </c>
      <c r="Z1672" s="1"/>
      <c r="AA1672" s="1" t="s">
        <v>11451</v>
      </c>
      <c r="AB1672" s="1" t="s">
        <v>11452</v>
      </c>
      <c r="AC1672" s="1" t="s">
        <v>11453</v>
      </c>
      <c r="AD1672" s="1" t="s">
        <v>11454</v>
      </c>
      <c r="AE1672" s="1" t="s">
        <v>51</v>
      </c>
      <c r="AF1672" s="1" t="s">
        <v>51</v>
      </c>
      <c r="AG1672" s="1" t="s">
        <v>51</v>
      </c>
      <c r="AH1672" s="1"/>
      <c r="AI1672" s="1"/>
      <c r="AJ1672" s="3">
        <v>2</v>
      </c>
      <c r="AK1672" s="1" t="s">
        <v>89</v>
      </c>
      <c r="AL1672" s="3">
        <v>4</v>
      </c>
      <c r="AM1672" s="8">
        <v>25.449999999999999</v>
      </c>
      <c r="AN1672" s="1"/>
      <c r="AO1672" s="1" t="s">
        <v>11455</v>
      </c>
      <c r="AP1672" s="1" t="s">
        <v>5126</v>
      </c>
      <c r="AQ1672" s="1" t="s">
        <v>11456</v>
      </c>
      <c r="AR1672" s="1" t="s">
        <v>11457</v>
      </c>
    </row>
    <row r="1673">
      <c r="A1673" s="2">
        <f ca="1">DATE(2005,08,03)</f>
        <v>0</v>
      </c>
      <c r="B1673" s="2">
        <f ca="1">DATE(2005,11,17)</f>
        <v>0</v>
      </c>
      <c r="C1673" s="1" t="s">
        <v>11458</v>
      </c>
      <c r="D1673" s="3">
        <v>6321</v>
      </c>
      <c r="E1673" s="1" t="s">
        <v>43</v>
      </c>
      <c r="F1673" s="1" t="s">
        <v>11459</v>
      </c>
      <c r="G1673" s="1" t="s">
        <v>84</v>
      </c>
      <c r="H1673" s="4">
        <v>0.63</v>
      </c>
      <c r="I1673" s="4">
        <v>7</v>
      </c>
      <c r="J1673" s="5">
        <v>72</v>
      </c>
      <c r="K1673" s="4">
        <v>9</v>
      </c>
      <c r="L1673" s="1" t="s">
        <v>46</v>
      </c>
      <c r="M1673" s="1" t="s">
        <v>47</v>
      </c>
      <c r="N1673" s="1" t="s">
        <v>11460</v>
      </c>
      <c r="O1673" s="1" t="s">
        <v>48</v>
      </c>
      <c r="P1673" s="1" t="s">
        <v>11461</v>
      </c>
      <c r="Q1673" s="4">
        <v>1.444</v>
      </c>
      <c r="R1673" s="4">
        <v>1.444</v>
      </c>
      <c r="S1673" s="6">
        <v>4.11111</v>
      </c>
      <c r="T1673" s="1" t="s">
        <v>50</v>
      </c>
      <c r="U1673" s="1"/>
      <c r="V1673" s="1"/>
      <c r="W1673" s="1"/>
      <c r="X1673" s="5">
        <v>92</v>
      </c>
      <c r="Y1673" s="7">
        <v>8000000</v>
      </c>
      <c r="Z1673" s="1"/>
      <c r="AA1673" s="1" t="s">
        <v>11462</v>
      </c>
      <c r="AB1673" s="1" t="s">
        <v>11463</v>
      </c>
      <c r="AC1673" s="1" t="s">
        <v>7759</v>
      </c>
      <c r="AD1673" s="1" t="s">
        <v>11464</v>
      </c>
      <c r="AE1673" s="1" t="s">
        <v>51</v>
      </c>
      <c r="AF1673" s="1" t="s">
        <v>51</v>
      </c>
      <c r="AG1673" s="1" t="s">
        <v>51</v>
      </c>
      <c r="AH1673" s="1"/>
      <c r="AI1673" s="1"/>
      <c r="AJ1673" s="3">
        <v>1</v>
      </c>
      <c r="AK1673" s="1" t="s">
        <v>52</v>
      </c>
      <c r="AL1673" s="3">
        <v>2</v>
      </c>
      <c r="AM1673" s="8">
        <v>9</v>
      </c>
      <c r="AN1673" s="1"/>
      <c r="AO1673" s="1" t="s">
        <v>11465</v>
      </c>
      <c r="AP1673" s="1" t="s">
        <v>84</v>
      </c>
      <c r="AQ1673" s="1" t="s">
        <v>11466</v>
      </c>
      <c r="AR1673" s="1" t="s">
        <v>11467</v>
      </c>
    </row>
    <row r="1674">
      <c r="A1674" s="2">
        <f ca="1">DATE(2005,08,26)</f>
        <v>0</v>
      </c>
      <c r="B1674" s="2">
        <f ca="1">DATE(2005,11,17)</f>
        <v>0</v>
      </c>
      <c r="C1674" s="1" t="s">
        <v>11468</v>
      </c>
      <c r="D1674" s="3">
        <v>5961</v>
      </c>
      <c r="E1674" s="1" t="s">
        <v>43</v>
      </c>
      <c r="F1674" s="1" t="s">
        <v>11469</v>
      </c>
      <c r="G1674" s="1" t="s">
        <v>1624</v>
      </c>
      <c r="H1674" s="4">
        <v>0.5</v>
      </c>
      <c r="I1674" s="4">
        <v>5</v>
      </c>
      <c r="J1674" s="5">
        <v>27.5</v>
      </c>
      <c r="K1674" s="4">
        <v>10</v>
      </c>
      <c r="L1674" s="1" t="s">
        <v>46</v>
      </c>
      <c r="M1674" s="1" t="s">
        <v>47</v>
      </c>
      <c r="N1674" s="3">
        <v>260412101</v>
      </c>
      <c r="O1674" s="1" t="s">
        <v>48</v>
      </c>
      <c r="P1674" s="1" t="s">
        <v>3906</v>
      </c>
      <c r="Q1674" s="1" t="s">
        <v>145</v>
      </c>
      <c r="R1674" s="1" t="s">
        <v>145</v>
      </c>
      <c r="S1674" s="8">
        <v>2</v>
      </c>
      <c r="T1674" s="1" t="s">
        <v>50</v>
      </c>
      <c r="U1674" s="1"/>
      <c r="V1674" s="1"/>
      <c r="W1674" s="1"/>
      <c r="X1674" s="5">
        <v>40</v>
      </c>
      <c r="Y1674" s="7">
        <v>1433223</v>
      </c>
      <c r="Z1674" s="7">
        <v>1316777</v>
      </c>
      <c r="AA1674" s="1" t="s">
        <v>11462</v>
      </c>
      <c r="AB1674" s="1" t="s">
        <v>11470</v>
      </c>
      <c r="AC1674" s="1" t="s">
        <v>7759</v>
      </c>
      <c r="AD1674" s="1" t="s">
        <v>11471</v>
      </c>
      <c r="AE1674" s="1" t="s">
        <v>51</v>
      </c>
      <c r="AF1674" s="1" t="s">
        <v>51</v>
      </c>
      <c r="AG1674" s="1" t="s">
        <v>51</v>
      </c>
      <c r="AH1674" s="1"/>
      <c r="AI1674" s="1"/>
      <c r="AJ1674" s="3">
        <v>1</v>
      </c>
      <c r="AK1674" s="1" t="s">
        <v>52</v>
      </c>
      <c r="AL1674" s="3">
        <v>1</v>
      </c>
      <c r="AM1674" s="8">
        <v>10.25</v>
      </c>
      <c r="AN1674" s="1"/>
      <c r="AO1674" s="1" t="s">
        <v>1624</v>
      </c>
      <c r="AP1674" s="1" t="s">
        <v>1624</v>
      </c>
      <c r="AQ1674" s="1" t="s">
        <v>1624</v>
      </c>
      <c r="AR1674" s="1" t="s">
        <v>3906</v>
      </c>
    </row>
    <row r="1675">
      <c r="A1675" s="2">
        <f ca="1">DATE(2005,08,26)</f>
        <v>0</v>
      </c>
      <c r="B1675" s="2">
        <f ca="1">DATE(2005,11,17)</f>
        <v>0</v>
      </c>
      <c r="C1675" s="1" t="s">
        <v>11472</v>
      </c>
      <c r="D1675" s="3">
        <v>2329</v>
      </c>
      <c r="E1675" s="1" t="s">
        <v>43</v>
      </c>
      <c r="F1675" s="1" t="s">
        <v>11473</v>
      </c>
      <c r="G1675" s="1" t="s">
        <v>160</v>
      </c>
      <c r="H1675" s="4">
        <v>0.91000000000000003</v>
      </c>
      <c r="I1675" s="4">
        <v>7</v>
      </c>
      <c r="J1675" s="5">
        <v>157.59999999999999</v>
      </c>
      <c r="K1675" s="4">
        <v>13</v>
      </c>
      <c r="L1675" s="1" t="s">
        <v>152</v>
      </c>
      <c r="M1675" s="1" t="s">
        <v>47</v>
      </c>
      <c r="N1675" s="3">
        <v>904311107</v>
      </c>
      <c r="O1675" s="1" t="s">
        <v>108</v>
      </c>
      <c r="P1675" s="1" t="s">
        <v>11474</v>
      </c>
      <c r="Q1675" s="4">
        <v>1.385</v>
      </c>
      <c r="R1675" s="4">
        <v>1.385</v>
      </c>
      <c r="S1675" s="6">
        <v>4.2307699999999997</v>
      </c>
      <c r="T1675" s="1" t="s">
        <v>50</v>
      </c>
      <c r="U1675" s="1"/>
      <c r="V1675" s="1"/>
      <c r="W1675" s="1"/>
      <c r="X1675" s="5">
        <v>100</v>
      </c>
      <c r="Y1675" s="7">
        <v>9500000</v>
      </c>
      <c r="Z1675" s="7">
        <v>2624000</v>
      </c>
      <c r="AA1675" s="1" t="s">
        <v>11475</v>
      </c>
      <c r="AB1675" s="1" t="s">
        <v>11476</v>
      </c>
      <c r="AC1675" s="1" t="s">
        <v>11477</v>
      </c>
      <c r="AD1675" s="1" t="s">
        <v>11478</v>
      </c>
      <c r="AE1675" s="1" t="s">
        <v>51</v>
      </c>
      <c r="AF1675" s="1" t="s">
        <v>51</v>
      </c>
      <c r="AG1675" s="1" t="s">
        <v>47</v>
      </c>
      <c r="AH1675" s="1"/>
      <c r="AI1675" s="1"/>
      <c r="AJ1675" s="3">
        <v>1</v>
      </c>
      <c r="AK1675" s="1" t="s">
        <v>52</v>
      </c>
      <c r="AL1675" s="3">
        <v>5</v>
      </c>
      <c r="AM1675" s="8">
        <v>25.300000000000001</v>
      </c>
      <c r="AN1675" s="1"/>
      <c r="AO1675" s="1" t="s">
        <v>11479</v>
      </c>
      <c r="AP1675" s="1" t="s">
        <v>160</v>
      </c>
      <c r="AQ1675" s="1" t="s">
        <v>11480</v>
      </c>
      <c r="AR1675" s="1" t="s">
        <v>11474</v>
      </c>
    </row>
    <row r="1676">
      <c r="A1676" s="2">
        <f ca="1">DATE(2005,08,09)</f>
        <v>0</v>
      </c>
      <c r="B1676" s="2">
        <f ca="1">DATE(2005,11,21)</f>
        <v>0</v>
      </c>
      <c r="C1676" s="1" t="s">
        <v>11481</v>
      </c>
      <c r="D1676" s="3">
        <v>8059</v>
      </c>
      <c r="E1676" s="1" t="s">
        <v>43</v>
      </c>
      <c r="F1676" s="1" t="s">
        <v>11482</v>
      </c>
      <c r="G1676" s="1" t="s">
        <v>5387</v>
      </c>
      <c r="H1676" s="4">
        <v>1.3300000000000001</v>
      </c>
      <c r="I1676" s="4">
        <v>7</v>
      </c>
      <c r="J1676" s="5">
        <v>210.40000000000001</v>
      </c>
      <c r="K1676" s="4">
        <v>19</v>
      </c>
      <c r="L1676" s="1" t="s">
        <v>46</v>
      </c>
      <c r="M1676" s="1" t="s">
        <v>47</v>
      </c>
      <c r="N1676" s="3">
        <v>112463104</v>
      </c>
      <c r="O1676" s="1" t="s">
        <v>108</v>
      </c>
      <c r="P1676" s="1" t="s">
        <v>11483</v>
      </c>
      <c r="Q1676" s="4">
        <v>1.421</v>
      </c>
      <c r="R1676" s="4">
        <v>1.421</v>
      </c>
      <c r="S1676" s="6">
        <v>4.1578900000000001</v>
      </c>
      <c r="T1676" s="1" t="s">
        <v>50</v>
      </c>
      <c r="U1676" s="1"/>
      <c r="V1676" s="1"/>
      <c r="W1676" s="1"/>
      <c r="X1676" s="5">
        <v>200</v>
      </c>
      <c r="Y1676" s="7">
        <v>6900000</v>
      </c>
      <c r="Z1676" s="7">
        <v>4172000</v>
      </c>
      <c r="AA1676" s="1" t="s">
        <v>11007</v>
      </c>
      <c r="AB1676" s="1" t="s">
        <v>5265</v>
      </c>
      <c r="AC1676" s="1" t="s">
        <v>11484</v>
      </c>
      <c r="AD1676" s="1" t="s">
        <v>5265</v>
      </c>
      <c r="AE1676" s="1" t="s">
        <v>51</v>
      </c>
      <c r="AF1676" s="1" t="s">
        <v>51</v>
      </c>
      <c r="AG1676" s="1" t="s">
        <v>51</v>
      </c>
      <c r="AH1676" s="1"/>
      <c r="AI1676" s="1" t="s">
        <v>11485</v>
      </c>
      <c r="AJ1676" s="3">
        <v>2</v>
      </c>
      <c r="AK1676" s="1" t="s">
        <v>89</v>
      </c>
      <c r="AL1676" s="3">
        <v>4</v>
      </c>
      <c r="AM1676" s="8">
        <v>25.43</v>
      </c>
      <c r="AN1676" s="1"/>
      <c r="AO1676" s="1" t="s">
        <v>11486</v>
      </c>
      <c r="AP1676" s="1" t="s">
        <v>5392</v>
      </c>
      <c r="AQ1676" s="1" t="s">
        <v>11487</v>
      </c>
      <c r="AR1676" s="1" t="s">
        <v>11483</v>
      </c>
    </row>
    <row r="1677">
      <c r="A1677" s="2">
        <f ca="1">DATE(2005,06,06)</f>
        <v>0</v>
      </c>
      <c r="B1677" s="2">
        <f ca="1">DATE(2005,11,21)</f>
        <v>0</v>
      </c>
      <c r="C1677" s="1" t="s">
        <v>11488</v>
      </c>
      <c r="D1677" s="3">
        <v>2899</v>
      </c>
      <c r="E1677" s="1" t="s">
        <v>43</v>
      </c>
      <c r="F1677" s="1" t="s">
        <v>11489</v>
      </c>
      <c r="G1677" s="1" t="s">
        <v>11490</v>
      </c>
      <c r="H1677" s="4">
        <v>0.91000000000000003</v>
      </c>
      <c r="I1677" s="4">
        <v>6.5</v>
      </c>
      <c r="J1677" s="5">
        <v>244.69999999999999</v>
      </c>
      <c r="K1677" s="4">
        <v>14</v>
      </c>
      <c r="L1677" s="1" t="s">
        <v>152</v>
      </c>
      <c r="M1677" s="1" t="s">
        <v>47</v>
      </c>
      <c r="N1677" s="3">
        <v>897051108</v>
      </c>
      <c r="O1677" s="1" t="s">
        <v>108</v>
      </c>
      <c r="P1677" s="1" t="s">
        <v>11491</v>
      </c>
      <c r="Q1677" s="4">
        <v>1.286</v>
      </c>
      <c r="R1677" s="4">
        <v>1.286</v>
      </c>
      <c r="S1677" s="6">
        <v>3.9285700000000001</v>
      </c>
      <c r="T1677" s="1" t="s">
        <v>50</v>
      </c>
      <c r="U1677" s="1"/>
      <c r="V1677" s="1"/>
      <c r="W1677" s="1"/>
      <c r="X1677" s="5">
        <v>300</v>
      </c>
      <c r="Y1677" s="7">
        <v>17480000</v>
      </c>
      <c r="Z1677" s="1"/>
      <c r="AA1677" s="1" t="s">
        <v>11492</v>
      </c>
      <c r="AB1677" s="1" t="s">
        <v>2067</v>
      </c>
      <c r="AC1677" s="1" t="s">
        <v>10235</v>
      </c>
      <c r="AD1677" s="1" t="s">
        <v>2067</v>
      </c>
      <c r="AE1677" s="1" t="s">
        <v>51</v>
      </c>
      <c r="AF1677" s="1" t="s">
        <v>51</v>
      </c>
      <c r="AG1677" s="1" t="s">
        <v>51</v>
      </c>
      <c r="AH1677" s="1"/>
      <c r="AI1677" s="1"/>
      <c r="AJ1677" s="3">
        <v>2</v>
      </c>
      <c r="AK1677" s="1" t="s">
        <v>89</v>
      </c>
      <c r="AL1677" s="3">
        <v>10</v>
      </c>
      <c r="AM1677" s="8">
        <v>14.300000000000001</v>
      </c>
      <c r="AN1677" s="1"/>
      <c r="AO1677" s="1" t="s">
        <v>11493</v>
      </c>
      <c r="AP1677" s="1" t="s">
        <v>4629</v>
      </c>
      <c r="AQ1677" s="1" t="s">
        <v>11494</v>
      </c>
      <c r="AR1677" s="1" t="s">
        <v>11495</v>
      </c>
    </row>
    <row r="1678">
      <c r="A1678" s="2">
        <f ca="1">DATE(2005,08,15)</f>
        <v>0</v>
      </c>
      <c r="B1678" s="2">
        <f ca="1">DATE(2005,11,21)</f>
        <v>0</v>
      </c>
      <c r="C1678" s="1" t="s">
        <v>11496</v>
      </c>
      <c r="D1678" s="3">
        <v>1381</v>
      </c>
      <c r="E1678" s="1" t="s">
        <v>43</v>
      </c>
      <c r="F1678" s="1" t="s">
        <v>11497</v>
      </c>
      <c r="G1678" s="1" t="s">
        <v>400</v>
      </c>
      <c r="H1678" s="4">
        <v>0.94499999999999995</v>
      </c>
      <c r="I1678" s="8">
        <v>6.75</v>
      </c>
      <c r="J1678" s="5">
        <v>123.5</v>
      </c>
      <c r="K1678" s="4">
        <v>14</v>
      </c>
      <c r="L1678" s="1" t="s">
        <v>46</v>
      </c>
      <c r="M1678" s="1" t="s">
        <v>47</v>
      </c>
      <c r="N1678" s="1" t="s">
        <v>11498</v>
      </c>
      <c r="O1678" s="1" t="s">
        <v>48</v>
      </c>
      <c r="P1678" s="1" t="s">
        <v>11499</v>
      </c>
      <c r="Q1678" s="1" t="s">
        <v>145</v>
      </c>
      <c r="R1678" s="1" t="s">
        <v>145</v>
      </c>
      <c r="S1678" s="6">
        <v>0.71428999999999998</v>
      </c>
      <c r="T1678" s="1" t="s">
        <v>50</v>
      </c>
      <c r="U1678" s="1"/>
      <c r="V1678" s="1"/>
      <c r="W1678" s="1"/>
      <c r="X1678" s="5">
        <v>150</v>
      </c>
      <c r="Y1678" s="7">
        <v>4411765</v>
      </c>
      <c r="Z1678" s="7">
        <v>4411765</v>
      </c>
      <c r="AA1678" s="1" t="s">
        <v>11500</v>
      </c>
      <c r="AB1678" s="1" t="s">
        <v>5265</v>
      </c>
      <c r="AC1678" s="1" t="s">
        <v>7759</v>
      </c>
      <c r="AD1678" s="1" t="s">
        <v>5265</v>
      </c>
      <c r="AE1678" s="1" t="s">
        <v>51</v>
      </c>
      <c r="AF1678" s="1" t="s">
        <v>51</v>
      </c>
      <c r="AG1678" s="1" t="s">
        <v>51</v>
      </c>
      <c r="AH1678" s="1"/>
      <c r="AI1678" s="1"/>
      <c r="AJ1678" s="3">
        <v>1</v>
      </c>
      <c r="AK1678" s="1" t="s">
        <v>89</v>
      </c>
      <c r="AL1678" s="3">
        <v>4</v>
      </c>
      <c r="AM1678" s="8">
        <v>14.41</v>
      </c>
      <c r="AN1678" s="1"/>
      <c r="AO1678" s="1" t="s">
        <v>11501</v>
      </c>
      <c r="AP1678" s="1" t="s">
        <v>11502</v>
      </c>
      <c r="AQ1678" s="1" t="s">
        <v>11503</v>
      </c>
      <c r="AR1678" s="1" t="s">
        <v>11504</v>
      </c>
    </row>
    <row r="1679">
      <c r="A1679" s="2">
        <f ca="1">DATE(2005,09,23)</f>
        <v>0</v>
      </c>
      <c r="B1679" s="2">
        <f ca="1">DATE(2005,11,22)</f>
        <v>0</v>
      </c>
      <c r="C1679" s="1" t="s">
        <v>11505</v>
      </c>
      <c r="D1679" s="3">
        <v>6726</v>
      </c>
      <c r="E1679" s="1" t="s">
        <v>43</v>
      </c>
      <c r="F1679" s="1" t="s">
        <v>11506</v>
      </c>
      <c r="G1679" s="1" t="s">
        <v>56</v>
      </c>
      <c r="H1679" s="4">
        <v>0.90000000000000002</v>
      </c>
      <c r="I1679" s="4">
        <v>4.5</v>
      </c>
      <c r="J1679" s="5">
        <v>330</v>
      </c>
      <c r="K1679" s="4">
        <v>20</v>
      </c>
      <c r="L1679" s="1" t="s">
        <v>46</v>
      </c>
      <c r="M1679" s="1" t="s">
        <v>47</v>
      </c>
      <c r="N1679" s="1" t="s">
        <v>11507</v>
      </c>
      <c r="O1679" s="1" t="s">
        <v>108</v>
      </c>
      <c r="P1679" s="1" t="s">
        <v>11508</v>
      </c>
      <c r="Q1679" s="1" t="s">
        <v>145</v>
      </c>
      <c r="R1679" s="1" t="s">
        <v>145</v>
      </c>
      <c r="S1679" s="8">
        <v>3</v>
      </c>
      <c r="T1679" s="1" t="s">
        <v>50</v>
      </c>
      <c r="U1679" s="8">
        <v>20</v>
      </c>
      <c r="V1679" s="8">
        <v>20</v>
      </c>
      <c r="W1679" s="7">
        <v>1000</v>
      </c>
      <c r="X1679" s="5">
        <v>0</v>
      </c>
      <c r="Y1679" s="7">
        <v>16500000</v>
      </c>
      <c r="Z1679" s="1"/>
      <c r="AA1679" s="2">
        <f ca="1">DATE(2006,05,21)</f>
        <v>0</v>
      </c>
      <c r="AB1679" s="1"/>
      <c r="AC1679" s="3">
        <v>180</v>
      </c>
      <c r="AD1679" s="1"/>
      <c r="AE1679" s="1" t="s">
        <v>51</v>
      </c>
      <c r="AF1679" s="1" t="s">
        <v>51</v>
      </c>
      <c r="AG1679" s="1" t="s">
        <v>51</v>
      </c>
      <c r="AH1679" s="1"/>
      <c r="AI1679" s="1"/>
      <c r="AJ1679" s="3">
        <v>1</v>
      </c>
      <c r="AK1679" s="1" t="s">
        <v>52</v>
      </c>
      <c r="AL1679" s="3">
        <v>24</v>
      </c>
      <c r="AM1679" s="8">
        <v>20</v>
      </c>
      <c r="AN1679" s="1"/>
      <c r="AO1679" s="1" t="s">
        <v>11509</v>
      </c>
      <c r="AP1679" s="1" t="s">
        <v>56</v>
      </c>
      <c r="AQ1679" s="1" t="s">
        <v>11510</v>
      </c>
      <c r="AR1679" s="1" t="s">
        <v>11511</v>
      </c>
    </row>
    <row r="1680">
      <c r="A1680" s="2">
        <f ca="1">DATE(2005,10,24)</f>
        <v>0</v>
      </c>
      <c r="B1680" s="2">
        <f ca="1">DATE(2005,11,29)</f>
        <v>0</v>
      </c>
      <c r="C1680" s="1" t="s">
        <v>11512</v>
      </c>
      <c r="D1680" s="3">
        <v>3674</v>
      </c>
      <c r="E1680" s="1" t="s">
        <v>744</v>
      </c>
      <c r="F1680" s="1" t="s">
        <v>11513</v>
      </c>
      <c r="G1680" s="1" t="s">
        <v>168</v>
      </c>
      <c r="H1680" s="4">
        <v>0.56000000000000005</v>
      </c>
      <c r="I1680" s="4">
        <v>7</v>
      </c>
      <c r="J1680" s="5">
        <v>41.700000000000003</v>
      </c>
      <c r="K1680" s="4">
        <v>8</v>
      </c>
      <c r="L1680" s="1" t="s">
        <v>651</v>
      </c>
      <c r="M1680" s="1" t="s">
        <v>47</v>
      </c>
      <c r="N1680" s="1" t="s">
        <v>11514</v>
      </c>
      <c r="O1680" s="1" t="s">
        <v>48</v>
      </c>
      <c r="P1680" s="1" t="s">
        <v>11515</v>
      </c>
      <c r="Q1680" s="4">
        <v>1.3999999999999999</v>
      </c>
      <c r="R1680" s="4">
        <v>1.3999999999999999</v>
      </c>
      <c r="S1680" s="8">
        <v>4.2000000000000002</v>
      </c>
      <c r="T1680" s="1" t="s">
        <v>50</v>
      </c>
      <c r="U1680" s="1"/>
      <c r="V1680" s="1"/>
      <c r="W1680" s="1"/>
      <c r="X1680" s="1"/>
      <c r="Y1680" s="7">
        <v>3474029</v>
      </c>
      <c r="Z1680" s="7">
        <v>1737014</v>
      </c>
      <c r="AA1680" s="1" t="s">
        <v>11516</v>
      </c>
      <c r="AB1680" s="1" t="s">
        <v>11517</v>
      </c>
      <c r="AC1680" s="1" t="s">
        <v>7759</v>
      </c>
      <c r="AD1680" s="1" t="s">
        <v>11518</v>
      </c>
      <c r="AE1680" s="1" t="s">
        <v>47</v>
      </c>
      <c r="AF1680" s="1" t="s">
        <v>51</v>
      </c>
      <c r="AG1680" s="1" t="s">
        <v>51</v>
      </c>
      <c r="AH1680" s="1"/>
      <c r="AI1680" s="1"/>
      <c r="AJ1680" s="3">
        <v>1</v>
      </c>
      <c r="AK1680" s="1" t="s">
        <v>52</v>
      </c>
      <c r="AL1680" s="3">
        <v>3</v>
      </c>
      <c r="AM1680" s="8">
        <v>8</v>
      </c>
      <c r="AN1680" s="1"/>
      <c r="AO1680" s="1" t="s">
        <v>11519</v>
      </c>
      <c r="AP1680" s="1" t="s">
        <v>168</v>
      </c>
      <c r="AQ1680" s="1" t="s">
        <v>11520</v>
      </c>
      <c r="AR1680" s="1" t="s">
        <v>11521</v>
      </c>
    </row>
    <row r="1681">
      <c r="A1681" s="2">
        <f ca="1">DATE(2005,10,24)</f>
        <v>0</v>
      </c>
      <c r="B1681" s="2">
        <f ca="1">DATE(2005,11,29)</f>
        <v>0</v>
      </c>
      <c r="C1681" s="1" t="s">
        <v>11512</v>
      </c>
      <c r="D1681" s="3">
        <v>3674</v>
      </c>
      <c r="E1681" s="1" t="s">
        <v>744</v>
      </c>
      <c r="F1681" s="1" t="s">
        <v>11513</v>
      </c>
      <c r="G1681" s="1" t="s">
        <v>168</v>
      </c>
      <c r="H1681" s="4">
        <v>0.56000000000000005</v>
      </c>
      <c r="I1681" s="4">
        <v>7</v>
      </c>
      <c r="J1681" s="5">
        <v>30.300000000000001</v>
      </c>
      <c r="K1681" s="8">
        <v>8</v>
      </c>
      <c r="L1681" s="1" t="s">
        <v>651</v>
      </c>
      <c r="M1681" s="1" t="s">
        <v>47</v>
      </c>
      <c r="N1681" s="1" t="s">
        <v>11514</v>
      </c>
      <c r="O1681" s="1" t="s">
        <v>48</v>
      </c>
      <c r="P1681" s="1" t="s">
        <v>11515</v>
      </c>
      <c r="Q1681" s="4">
        <v>1.3999999999999999</v>
      </c>
      <c r="R1681" s="4">
        <v>1.3999999999999999</v>
      </c>
      <c r="S1681" s="8">
        <v>4.2000000000000002</v>
      </c>
      <c r="T1681" s="1" t="s">
        <v>60</v>
      </c>
      <c r="U1681" s="1"/>
      <c r="V1681" s="1"/>
      <c r="W1681" s="1"/>
      <c r="X1681" s="1"/>
      <c r="Y1681" s="7">
        <v>2525971</v>
      </c>
      <c r="Z1681" s="7">
        <v>1262986</v>
      </c>
      <c r="AA1681" s="1"/>
      <c r="AB1681" s="1" t="s">
        <v>5265</v>
      </c>
      <c r="AC1681" s="1" t="s">
        <v>7759</v>
      </c>
      <c r="AD1681" s="1" t="s">
        <v>11518</v>
      </c>
      <c r="AE1681" s="1" t="s">
        <v>47</v>
      </c>
      <c r="AF1681" s="1" t="s">
        <v>51</v>
      </c>
      <c r="AG1681" s="1" t="s">
        <v>51</v>
      </c>
      <c r="AH1681" s="1"/>
      <c r="AI1681" s="1"/>
      <c r="AJ1681" s="3">
        <v>1</v>
      </c>
      <c r="AK1681" s="1" t="s">
        <v>52</v>
      </c>
      <c r="AL1681" s="3">
        <v>1</v>
      </c>
      <c r="AM1681" s="1"/>
      <c r="AN1681" s="1"/>
      <c r="AO1681" s="1" t="s">
        <v>11519</v>
      </c>
      <c r="AP1681" s="1" t="s">
        <v>168</v>
      </c>
      <c r="AQ1681" s="1" t="s">
        <v>168</v>
      </c>
      <c r="AR1681" s="1" t="s">
        <v>172</v>
      </c>
    </row>
    <row r="1682">
      <c r="A1682" s="2">
        <f ca="1">DATE(2005,09,16)</f>
        <v>0</v>
      </c>
      <c r="B1682" s="2">
        <f ca="1">DATE(2005,12,01)</f>
        <v>0</v>
      </c>
      <c r="C1682" s="1" t="s">
        <v>11522</v>
      </c>
      <c r="D1682" s="3">
        <v>4922</v>
      </c>
      <c r="E1682" s="1" t="s">
        <v>43</v>
      </c>
      <c r="F1682" s="1" t="s">
        <v>11523</v>
      </c>
      <c r="G1682" s="1" t="s">
        <v>8972</v>
      </c>
      <c r="H1682" s="4">
        <v>1.3700000000000001</v>
      </c>
      <c r="I1682" s="4">
        <v>6.3719999999999999</v>
      </c>
      <c r="J1682" s="5">
        <v>193.5</v>
      </c>
      <c r="K1682" s="4">
        <v>21.5</v>
      </c>
      <c r="L1682" s="1" t="s">
        <v>85</v>
      </c>
      <c r="M1682" s="1" t="s">
        <v>47</v>
      </c>
      <c r="N1682" s="1" t="s">
        <v>11524</v>
      </c>
      <c r="O1682" s="1" t="s">
        <v>108</v>
      </c>
      <c r="P1682" s="1" t="s">
        <v>11525</v>
      </c>
      <c r="Q1682" s="1" t="s">
        <v>145</v>
      </c>
      <c r="R1682" s="1" t="s">
        <v>145</v>
      </c>
      <c r="S1682" s="6">
        <v>3.8604699999999998</v>
      </c>
      <c r="T1682" s="1" t="s">
        <v>50</v>
      </c>
      <c r="U1682" s="1"/>
      <c r="V1682" s="1"/>
      <c r="W1682" s="7">
        <v>8000000</v>
      </c>
      <c r="X1682" s="1"/>
      <c r="Y1682" s="7">
        <v>9000000</v>
      </c>
      <c r="Z1682" s="1"/>
      <c r="AA1682" s="1" t="s">
        <v>11526</v>
      </c>
      <c r="AB1682" s="1" t="s">
        <v>2067</v>
      </c>
      <c r="AC1682" s="1" t="s">
        <v>2068</v>
      </c>
      <c r="AD1682" s="1" t="s">
        <v>2067</v>
      </c>
      <c r="AE1682" s="1" t="s">
        <v>51</v>
      </c>
      <c r="AF1682" s="1" t="s">
        <v>51</v>
      </c>
      <c r="AG1682" s="1" t="s">
        <v>51</v>
      </c>
      <c r="AH1682" s="1"/>
      <c r="AI1682" s="1"/>
      <c r="AJ1682" s="3">
        <v>2</v>
      </c>
      <c r="AK1682" s="1" t="s">
        <v>89</v>
      </c>
      <c r="AL1682" s="3">
        <v>6</v>
      </c>
      <c r="AM1682" s="8">
        <v>23.050000000000001</v>
      </c>
      <c r="AN1682" s="1"/>
      <c r="AO1682" s="1" t="s">
        <v>11527</v>
      </c>
      <c r="AP1682" s="1" t="s">
        <v>11528</v>
      </c>
      <c r="AQ1682" s="1" t="s">
        <v>11529</v>
      </c>
      <c r="AR1682" s="1" t="s">
        <v>11525</v>
      </c>
    </row>
    <row r="1683">
      <c r="A1683" s="2">
        <f ca="1">DATE(2005,11,08)</f>
        <v>0</v>
      </c>
      <c r="B1683" s="2">
        <f ca="1">DATE(2005,12,05)</f>
        <v>0</v>
      </c>
      <c r="C1683" s="1" t="s">
        <v>11530</v>
      </c>
      <c r="D1683" s="3">
        <v>4813</v>
      </c>
      <c r="E1683" s="1" t="s">
        <v>3013</v>
      </c>
      <c r="F1683" s="1" t="s">
        <v>11531</v>
      </c>
      <c r="G1683" s="1" t="s">
        <v>168</v>
      </c>
      <c r="H1683" s="1" t="s">
        <v>57</v>
      </c>
      <c r="I1683" s="1" t="s">
        <v>57</v>
      </c>
      <c r="J1683" s="5">
        <v>320.60000000000002</v>
      </c>
      <c r="K1683" s="8">
        <v>17.039999999999999</v>
      </c>
      <c r="L1683" s="1" t="s">
        <v>651</v>
      </c>
      <c r="M1683" s="1" t="s">
        <v>47</v>
      </c>
      <c r="N1683" s="1"/>
      <c r="O1683" s="1" t="s">
        <v>77</v>
      </c>
      <c r="P1683" s="1" t="s">
        <v>11532</v>
      </c>
      <c r="Q1683" s="1"/>
      <c r="R1683" s="1"/>
      <c r="S1683" s="1"/>
      <c r="T1683" s="1" t="s">
        <v>60</v>
      </c>
      <c r="U1683" s="1"/>
      <c r="V1683" s="1"/>
      <c r="W1683" s="1"/>
      <c r="X1683" s="1"/>
      <c r="Y1683" s="7">
        <v>6270000</v>
      </c>
      <c r="Z1683" s="7">
        <v>12540000</v>
      </c>
      <c r="AA1683" s="1"/>
      <c r="AB1683" s="1"/>
      <c r="AC1683" s="1"/>
      <c r="AD1683" s="1"/>
      <c r="AE1683" s="1" t="s">
        <v>47</v>
      </c>
      <c r="AF1683" s="1" t="s">
        <v>51</v>
      </c>
      <c r="AG1683" s="1" t="s">
        <v>47</v>
      </c>
      <c r="AH1683" s="1"/>
      <c r="AI1683" s="1"/>
      <c r="AJ1683" s="3">
        <v>1</v>
      </c>
      <c r="AK1683" s="1" t="s">
        <v>52</v>
      </c>
      <c r="AL1683" s="3">
        <v>2</v>
      </c>
      <c r="AM1683" s="1"/>
      <c r="AN1683" s="1"/>
      <c r="AO1683" s="1" t="s">
        <v>11533</v>
      </c>
      <c r="AP1683" s="1" t="s">
        <v>168</v>
      </c>
      <c r="AQ1683" s="1" t="s">
        <v>11534</v>
      </c>
      <c r="AR1683" s="1" t="s">
        <v>6492</v>
      </c>
    </row>
    <row r="1684">
      <c r="A1684" s="2">
        <f ca="1">DATE(2005,11,08)</f>
        <v>0</v>
      </c>
      <c r="B1684" s="2">
        <f ca="1">DATE(2005,12,06)</f>
        <v>0</v>
      </c>
      <c r="C1684" s="1" t="s">
        <v>11530</v>
      </c>
      <c r="D1684" s="3">
        <v>4813</v>
      </c>
      <c r="E1684" s="1" t="s">
        <v>3013</v>
      </c>
      <c r="F1684" s="1" t="s">
        <v>11531</v>
      </c>
      <c r="G1684" s="1" t="s">
        <v>11535</v>
      </c>
      <c r="H1684" s="1"/>
      <c r="I1684" s="1" t="s">
        <v>57</v>
      </c>
      <c r="J1684" s="5">
        <v>46.200000000000003</v>
      </c>
      <c r="K1684" s="4">
        <v>25.5</v>
      </c>
      <c r="L1684" s="1" t="s">
        <v>651</v>
      </c>
      <c r="M1684" s="1" t="s">
        <v>47</v>
      </c>
      <c r="N1684" s="1"/>
      <c r="O1684" s="1" t="s">
        <v>77</v>
      </c>
      <c r="P1684" s="1" t="s">
        <v>11536</v>
      </c>
      <c r="Q1684" s="1"/>
      <c r="R1684" s="1"/>
      <c r="S1684" s="1"/>
      <c r="T1684" s="1" t="s">
        <v>11537</v>
      </c>
      <c r="U1684" s="1"/>
      <c r="V1684" s="1"/>
      <c r="W1684" s="1"/>
      <c r="X1684" s="1"/>
      <c r="Y1684" s="7">
        <v>905000</v>
      </c>
      <c r="Z1684" s="7">
        <v>17995000</v>
      </c>
      <c r="AA1684" s="1"/>
      <c r="AB1684" s="1"/>
      <c r="AC1684" s="1"/>
      <c r="AD1684" s="1"/>
      <c r="AE1684" s="1"/>
      <c r="AF1684" s="1" t="s">
        <v>51</v>
      </c>
      <c r="AG1684" s="1" t="s">
        <v>47</v>
      </c>
      <c r="AH1684" s="1"/>
      <c r="AI1684" s="1"/>
      <c r="AJ1684" s="3">
        <v>1</v>
      </c>
      <c r="AK1684" s="1" t="s">
        <v>52</v>
      </c>
      <c r="AL1684" s="3">
        <v>4</v>
      </c>
      <c r="AM1684" s="1"/>
      <c r="AN1684" s="1"/>
      <c r="AO1684" s="1" t="s">
        <v>11538</v>
      </c>
      <c r="AP1684" s="1" t="s">
        <v>11535</v>
      </c>
      <c r="AQ1684" s="1" t="s">
        <v>11539</v>
      </c>
      <c r="AR1684" s="1" t="s">
        <v>11540</v>
      </c>
    </row>
    <row r="1685">
      <c r="A1685" s="2">
        <f ca="1">DATE(2005,06,15)</f>
        <v>0</v>
      </c>
      <c r="B1685" s="2">
        <f ca="1">DATE(2005,12,06)</f>
        <v>0</v>
      </c>
      <c r="C1685" s="1" t="s">
        <v>11541</v>
      </c>
      <c r="D1685" s="3">
        <v>7372</v>
      </c>
      <c r="E1685" s="1" t="s">
        <v>43</v>
      </c>
      <c r="F1685" s="1" t="s">
        <v>11542</v>
      </c>
      <c r="G1685" s="1" t="s">
        <v>789</v>
      </c>
      <c r="H1685" s="4">
        <v>0.63</v>
      </c>
      <c r="I1685" s="4">
        <v>7</v>
      </c>
      <c r="J1685" s="5">
        <v>45</v>
      </c>
      <c r="K1685" s="4">
        <v>9</v>
      </c>
      <c r="L1685" s="1" t="s">
        <v>46</v>
      </c>
      <c r="M1685" s="1" t="s">
        <v>47</v>
      </c>
      <c r="N1685" s="1" t="s">
        <v>11543</v>
      </c>
      <c r="O1685" s="1" t="s">
        <v>48</v>
      </c>
      <c r="P1685" s="1" t="s">
        <v>11544</v>
      </c>
      <c r="Q1685" s="1" t="s">
        <v>145</v>
      </c>
      <c r="R1685" s="1" t="s">
        <v>145</v>
      </c>
      <c r="S1685" s="6">
        <v>4.2222200000000001</v>
      </c>
      <c r="T1685" s="1" t="s">
        <v>50</v>
      </c>
      <c r="U1685" s="1"/>
      <c r="V1685" s="1"/>
      <c r="W1685" s="1"/>
      <c r="X1685" s="5">
        <v>40</v>
      </c>
      <c r="Y1685" s="7">
        <v>5000000</v>
      </c>
      <c r="Z1685" s="1"/>
      <c r="AA1685" s="1" t="s">
        <v>11545</v>
      </c>
      <c r="AB1685" s="1" t="s">
        <v>11546</v>
      </c>
      <c r="AC1685" s="1" t="s">
        <v>8611</v>
      </c>
      <c r="AD1685" s="1" t="s">
        <v>11547</v>
      </c>
      <c r="AE1685" s="1" t="s">
        <v>51</v>
      </c>
      <c r="AF1685" s="1" t="s">
        <v>51</v>
      </c>
      <c r="AG1685" s="1" t="s">
        <v>47</v>
      </c>
      <c r="AH1685" s="1"/>
      <c r="AI1685" s="1"/>
      <c r="AJ1685" s="3">
        <v>1</v>
      </c>
      <c r="AK1685" s="1" t="s">
        <v>52</v>
      </c>
      <c r="AL1685" s="3">
        <v>4</v>
      </c>
      <c r="AM1685" s="8">
        <v>10</v>
      </c>
      <c r="AN1685" s="1"/>
      <c r="AO1685" s="1" t="s">
        <v>11548</v>
      </c>
      <c r="AP1685" s="1" t="s">
        <v>789</v>
      </c>
      <c r="AQ1685" s="1" t="s">
        <v>11549</v>
      </c>
      <c r="AR1685" s="1" t="s">
        <v>11544</v>
      </c>
    </row>
    <row r="1686">
      <c r="A1686" s="2">
        <f ca="1">DATE(2005,09,10)</f>
        <v>0</v>
      </c>
      <c r="B1686" s="2">
        <f ca="1">DATE(2005,12,07)</f>
        <v>0</v>
      </c>
      <c r="C1686" s="1" t="s">
        <v>11550</v>
      </c>
      <c r="D1686" s="3">
        <v>7371</v>
      </c>
      <c r="E1686" s="1" t="s">
        <v>1806</v>
      </c>
      <c r="F1686" s="3">
        <v>532517</v>
      </c>
      <c r="G1686" s="1" t="s">
        <v>11551</v>
      </c>
      <c r="H1686" s="4">
        <v>1.0169999999999999</v>
      </c>
      <c r="I1686" s="4">
        <v>5</v>
      </c>
      <c r="J1686" s="5">
        <v>139.80000000000001</v>
      </c>
      <c r="K1686" s="4">
        <v>20.34</v>
      </c>
      <c r="L1686" s="1" t="s">
        <v>1207</v>
      </c>
      <c r="M1686" s="1" t="s">
        <v>47</v>
      </c>
      <c r="N1686" s="3">
        <v>703248203</v>
      </c>
      <c r="O1686" s="1" t="s">
        <v>11552</v>
      </c>
      <c r="P1686" s="1" t="s">
        <v>11553</v>
      </c>
      <c r="Q1686" s="1" t="s">
        <v>145</v>
      </c>
      <c r="R1686" s="1" t="s">
        <v>145</v>
      </c>
      <c r="S1686" s="8">
        <v>3</v>
      </c>
      <c r="T1686" s="1" t="s">
        <v>50</v>
      </c>
      <c r="U1686" s="1"/>
      <c r="V1686" s="1"/>
      <c r="W1686" s="7">
        <v>6875000</v>
      </c>
      <c r="X1686" s="5">
        <v>165</v>
      </c>
      <c r="Y1686" s="7">
        <v>5125000</v>
      </c>
      <c r="Z1686" s="7">
        <v>1750000</v>
      </c>
      <c r="AA1686" s="1" t="s">
        <v>11554</v>
      </c>
      <c r="AB1686" s="1" t="s">
        <v>11555</v>
      </c>
      <c r="AC1686" s="1" t="s">
        <v>2068</v>
      </c>
      <c r="AD1686" s="1" t="s">
        <v>11556</v>
      </c>
      <c r="AE1686" s="1" t="s">
        <v>47</v>
      </c>
      <c r="AF1686" s="1" t="s">
        <v>51</v>
      </c>
      <c r="AG1686" s="1" t="s">
        <v>51</v>
      </c>
      <c r="AH1686" s="1"/>
      <c r="AI1686" s="1"/>
      <c r="AJ1686" s="3">
        <v>3</v>
      </c>
      <c r="AK1686" s="1" t="s">
        <v>110</v>
      </c>
      <c r="AL1686" s="3">
        <v>5</v>
      </c>
      <c r="AM1686" s="8">
        <v>22.5</v>
      </c>
      <c r="AN1686" s="1"/>
      <c r="AO1686" s="1" t="s">
        <v>11557</v>
      </c>
      <c r="AP1686" s="1" t="s">
        <v>11558</v>
      </c>
      <c r="AQ1686" s="1" t="s">
        <v>11559</v>
      </c>
      <c r="AR1686" s="1" t="s">
        <v>11560</v>
      </c>
    </row>
    <row r="1687">
      <c r="A1687" s="2">
        <f ca="1">DATE(2005,08,12)</f>
        <v>0</v>
      </c>
      <c r="B1687" s="2">
        <f ca="1">DATE(2005,12,08)</f>
        <v>0</v>
      </c>
      <c r="C1687" s="1" t="s">
        <v>11561</v>
      </c>
      <c r="D1687" s="3">
        <v>1389</v>
      </c>
      <c r="E1687" s="1" t="s">
        <v>43</v>
      </c>
      <c r="F1687" s="1" t="s">
        <v>11562</v>
      </c>
      <c r="G1687" s="1" t="s">
        <v>6883</v>
      </c>
      <c r="H1687" s="4">
        <v>1.3</v>
      </c>
      <c r="I1687" s="4">
        <v>6.5</v>
      </c>
      <c r="J1687" s="5">
        <v>250</v>
      </c>
      <c r="K1687" s="4">
        <v>20</v>
      </c>
      <c r="L1687" s="1" t="s">
        <v>46</v>
      </c>
      <c r="M1687" s="1" t="s">
        <v>47</v>
      </c>
      <c r="N1687" s="1" t="s">
        <v>11563</v>
      </c>
      <c r="O1687" s="1" t="s">
        <v>108</v>
      </c>
      <c r="P1687" s="1" t="s">
        <v>11564</v>
      </c>
      <c r="Q1687" s="4">
        <v>1.3</v>
      </c>
      <c r="R1687" s="4">
        <v>1.3</v>
      </c>
      <c r="S1687" s="8">
        <v>3.8999999999999999</v>
      </c>
      <c r="T1687" s="1" t="s">
        <v>50</v>
      </c>
      <c r="U1687" s="1"/>
      <c r="V1687" s="1"/>
      <c r="W1687" s="1"/>
      <c r="X1687" s="5">
        <v>258.80000000000001</v>
      </c>
      <c r="Y1687" s="7">
        <v>5000000</v>
      </c>
      <c r="Z1687" s="7">
        <v>7500000</v>
      </c>
      <c r="AA1687" s="1" t="s">
        <v>11565</v>
      </c>
      <c r="AB1687" s="1" t="s">
        <v>11566</v>
      </c>
      <c r="AC1687" s="1" t="s">
        <v>7759</v>
      </c>
      <c r="AD1687" s="1" t="s">
        <v>11567</v>
      </c>
      <c r="AE1687" s="1" t="s">
        <v>51</v>
      </c>
      <c r="AF1687" s="1" t="s">
        <v>51</v>
      </c>
      <c r="AG1687" s="1" t="s">
        <v>51</v>
      </c>
      <c r="AH1687" s="1"/>
      <c r="AI1687" s="1"/>
      <c r="AJ1687" s="3">
        <v>2</v>
      </c>
      <c r="AK1687" s="1" t="s">
        <v>89</v>
      </c>
      <c r="AL1687" s="3">
        <v>7</v>
      </c>
      <c r="AM1687" s="8">
        <v>21.5</v>
      </c>
      <c r="AN1687" s="1"/>
      <c r="AO1687" s="1" t="s">
        <v>11568</v>
      </c>
      <c r="AP1687" s="1" t="s">
        <v>3745</v>
      </c>
      <c r="AQ1687" s="1" t="s">
        <v>11569</v>
      </c>
      <c r="AR1687" s="1" t="s">
        <v>11570</v>
      </c>
    </row>
    <row r="1688">
      <c r="A1688" s="2">
        <f ca="1">DATE(2005,08,11)</f>
        <v>0</v>
      </c>
      <c r="B1688" s="2">
        <f ca="1">DATE(2005,12,08)</f>
        <v>0</v>
      </c>
      <c r="C1688" s="1" t="s">
        <v>11571</v>
      </c>
      <c r="D1688" s="3">
        <v>3845</v>
      </c>
      <c r="E1688" s="1" t="s">
        <v>43</v>
      </c>
      <c r="F1688" s="1" t="s">
        <v>11572</v>
      </c>
      <c r="G1688" s="1" t="s">
        <v>6201</v>
      </c>
      <c r="H1688" s="4">
        <v>1.05</v>
      </c>
      <c r="I1688" s="4">
        <v>7</v>
      </c>
      <c r="J1688" s="5">
        <v>75</v>
      </c>
      <c r="K1688" s="4">
        <v>15</v>
      </c>
      <c r="L1688" s="1" t="s">
        <v>152</v>
      </c>
      <c r="M1688" s="1" t="s">
        <v>47</v>
      </c>
      <c r="N1688" s="3">
        <v>232577205</v>
      </c>
      <c r="O1688" s="1" t="s">
        <v>48</v>
      </c>
      <c r="P1688" s="1" t="s">
        <v>11573</v>
      </c>
      <c r="Q1688" s="4">
        <v>1.3999999999999999</v>
      </c>
      <c r="R1688" s="4">
        <v>1.3999999999999999</v>
      </c>
      <c r="S1688" s="8">
        <v>4.2000000000000002</v>
      </c>
      <c r="T1688" s="1" t="s">
        <v>50</v>
      </c>
      <c r="U1688" s="1"/>
      <c r="V1688" s="1"/>
      <c r="W1688" s="1"/>
      <c r="X1688" s="5">
        <v>75</v>
      </c>
      <c r="Y1688" s="7">
        <v>4000000</v>
      </c>
      <c r="Z1688" s="7">
        <v>1000000</v>
      </c>
      <c r="AA1688" s="1" t="s">
        <v>11565</v>
      </c>
      <c r="AB1688" s="1" t="s">
        <v>11574</v>
      </c>
      <c r="AC1688" s="1" t="s">
        <v>7759</v>
      </c>
      <c r="AD1688" s="1" t="s">
        <v>11575</v>
      </c>
      <c r="AE1688" s="1" t="s">
        <v>51</v>
      </c>
      <c r="AF1688" s="1" t="s">
        <v>51</v>
      </c>
      <c r="AG1688" s="1" t="s">
        <v>51</v>
      </c>
      <c r="AH1688" s="1"/>
      <c r="AI1688" s="1"/>
      <c r="AJ1688" s="3">
        <v>1</v>
      </c>
      <c r="AK1688" s="1" t="s">
        <v>52</v>
      </c>
      <c r="AL1688" s="3">
        <v>4</v>
      </c>
      <c r="AM1688" s="8">
        <v>18.93</v>
      </c>
      <c r="AN1688" s="1"/>
      <c r="AO1688" s="1" t="s">
        <v>11576</v>
      </c>
      <c r="AP1688" s="1" t="s">
        <v>6201</v>
      </c>
      <c r="AQ1688" s="1" t="s">
        <v>11577</v>
      </c>
      <c r="AR1688" s="1" t="s">
        <v>11573</v>
      </c>
    </row>
    <row r="1689">
      <c r="A1689" s="2">
        <f ca="1">DATE(2005,11,18)</f>
        <v>0</v>
      </c>
      <c r="B1689" s="2">
        <f ca="1">DATE(2005,12,08)</f>
        <v>0</v>
      </c>
      <c r="C1689" s="1" t="s">
        <v>11578</v>
      </c>
      <c r="D1689" s="3">
        <v>4812</v>
      </c>
      <c r="E1689" s="1" t="s">
        <v>1204</v>
      </c>
      <c r="F1689" s="1" t="s">
        <v>11579</v>
      </c>
      <c r="G1689" s="1" t="s">
        <v>8103</v>
      </c>
      <c r="H1689" s="4">
        <v>0.83999999999999997</v>
      </c>
      <c r="I1689" s="8">
        <v>7</v>
      </c>
      <c r="J1689" s="5">
        <v>72</v>
      </c>
      <c r="K1689" s="4">
        <v>12</v>
      </c>
      <c r="L1689" s="1" t="s">
        <v>651</v>
      </c>
      <c r="M1689" s="1" t="s">
        <v>47</v>
      </c>
      <c r="N1689" s="3">
        <v>967593104</v>
      </c>
      <c r="O1689" s="1" t="s">
        <v>48</v>
      </c>
      <c r="P1689" s="1" t="s">
        <v>11580</v>
      </c>
      <c r="Q1689" s="4">
        <v>1.417</v>
      </c>
      <c r="R1689" s="4">
        <v>1.417</v>
      </c>
      <c r="S1689" s="6">
        <v>4.1666699999999999</v>
      </c>
      <c r="T1689" s="1" t="s">
        <v>50</v>
      </c>
      <c r="U1689" s="8">
        <v>16</v>
      </c>
      <c r="V1689" s="8">
        <v>14</v>
      </c>
      <c r="W1689" s="7">
        <v>6000000</v>
      </c>
      <c r="X1689" s="5">
        <v>90</v>
      </c>
      <c r="Y1689" s="7">
        <v>4000000</v>
      </c>
      <c r="Z1689" s="7">
        <v>2000000</v>
      </c>
      <c r="AA1689" s="1" t="s">
        <v>11565</v>
      </c>
      <c r="AB1689" s="1" t="s">
        <v>11581</v>
      </c>
      <c r="AC1689" s="1" t="s">
        <v>7759</v>
      </c>
      <c r="AD1689" s="1" t="s">
        <v>11582</v>
      </c>
      <c r="AE1689" s="1" t="s">
        <v>47</v>
      </c>
      <c r="AF1689" s="1" t="s">
        <v>51</v>
      </c>
      <c r="AG1689" s="1" t="s">
        <v>47</v>
      </c>
      <c r="AH1689" s="1"/>
      <c r="AI1689" s="1"/>
      <c r="AJ1689" s="3">
        <v>2</v>
      </c>
      <c r="AK1689" s="1" t="s">
        <v>110</v>
      </c>
      <c r="AL1689" s="3">
        <v>3</v>
      </c>
      <c r="AM1689" s="8">
        <v>12</v>
      </c>
      <c r="AN1689" s="1"/>
      <c r="AO1689" s="1" t="s">
        <v>11583</v>
      </c>
      <c r="AP1689" s="1" t="s">
        <v>11584</v>
      </c>
      <c r="AQ1689" s="1" t="s">
        <v>11585</v>
      </c>
      <c r="AR1689" s="1" t="s">
        <v>11586</v>
      </c>
    </row>
    <row r="1690">
      <c r="A1690" s="2">
        <f ca="1">DATE(2005,10,05)</f>
        <v>0</v>
      </c>
      <c r="B1690" s="2">
        <f ca="1">DATE(2005,12,12)</f>
        <v>0</v>
      </c>
      <c r="C1690" s="1" t="s">
        <v>11587</v>
      </c>
      <c r="D1690" s="3">
        <v>6022</v>
      </c>
      <c r="E1690" s="1" t="s">
        <v>43</v>
      </c>
      <c r="F1690" s="1" t="s">
        <v>11588</v>
      </c>
      <c r="G1690" s="1" t="s">
        <v>6665</v>
      </c>
      <c r="H1690" s="4">
        <v>1.3129999999999999</v>
      </c>
      <c r="I1690" s="4">
        <v>7</v>
      </c>
      <c r="J1690" s="5">
        <v>11.300000000000001</v>
      </c>
      <c r="K1690" s="4">
        <v>18.75</v>
      </c>
      <c r="L1690" s="1" t="s">
        <v>46</v>
      </c>
      <c r="M1690" s="1" t="s">
        <v>47</v>
      </c>
      <c r="N1690" s="1" t="s">
        <v>11589</v>
      </c>
      <c r="O1690" s="1" t="s">
        <v>48</v>
      </c>
      <c r="P1690" s="1" t="s">
        <v>6666</v>
      </c>
      <c r="Q1690" s="1" t="s">
        <v>145</v>
      </c>
      <c r="R1690" s="1" t="s">
        <v>145</v>
      </c>
      <c r="S1690" s="8">
        <v>4.2000000000000002</v>
      </c>
      <c r="T1690" s="1" t="s">
        <v>50</v>
      </c>
      <c r="U1690" s="1"/>
      <c r="V1690" s="1"/>
      <c r="W1690" s="1"/>
      <c r="X1690" s="5">
        <v>13.800000000000001</v>
      </c>
      <c r="Y1690" s="7">
        <v>600000</v>
      </c>
      <c r="Z1690" s="1"/>
      <c r="AA1690" s="1" t="s">
        <v>11590</v>
      </c>
      <c r="AB1690" s="1" t="s">
        <v>11591</v>
      </c>
      <c r="AC1690" s="1" t="s">
        <v>7759</v>
      </c>
      <c r="AD1690" s="1" t="s">
        <v>11592</v>
      </c>
      <c r="AE1690" s="1" t="s">
        <v>51</v>
      </c>
      <c r="AF1690" s="1" t="s">
        <v>51</v>
      </c>
      <c r="AG1690" s="1" t="s">
        <v>51</v>
      </c>
      <c r="AH1690" s="1"/>
      <c r="AI1690" s="1"/>
      <c r="AJ1690" s="3">
        <v>1</v>
      </c>
      <c r="AK1690" s="1" t="s">
        <v>52</v>
      </c>
      <c r="AL1690" s="3">
        <v>1</v>
      </c>
      <c r="AM1690" s="8">
        <v>18.5</v>
      </c>
      <c r="AN1690" s="1"/>
      <c r="AO1690" s="1" t="s">
        <v>6665</v>
      </c>
      <c r="AP1690" s="1" t="s">
        <v>6665</v>
      </c>
      <c r="AQ1690" s="1" t="s">
        <v>6665</v>
      </c>
      <c r="AR1690" s="1" t="s">
        <v>6666</v>
      </c>
    </row>
    <row r="1691">
      <c r="A1691" s="2">
        <f ca="1">DATE(2005,07,27)</f>
        <v>0</v>
      </c>
      <c r="B1691" s="2">
        <f ca="1">DATE(2005,12,12)</f>
        <v>0</v>
      </c>
      <c r="C1691" s="1" t="s">
        <v>11593</v>
      </c>
      <c r="D1691" s="3">
        <v>7373</v>
      </c>
      <c r="E1691" s="1" t="s">
        <v>43</v>
      </c>
      <c r="F1691" s="1" t="s">
        <v>11594</v>
      </c>
      <c r="G1691" s="1" t="s">
        <v>813</v>
      </c>
      <c r="H1691" s="4">
        <v>1.19</v>
      </c>
      <c r="I1691" s="8">
        <v>7</v>
      </c>
      <c r="J1691" s="5">
        <v>170</v>
      </c>
      <c r="K1691" s="4">
        <v>17</v>
      </c>
      <c r="L1691" s="1" t="s">
        <v>46</v>
      </c>
      <c r="M1691" s="1" t="s">
        <v>47</v>
      </c>
      <c r="N1691" s="3">
        <v>242309102</v>
      </c>
      <c r="O1691" s="1" t="s">
        <v>48</v>
      </c>
      <c r="P1691" s="1" t="s">
        <v>11595</v>
      </c>
      <c r="Q1691" s="4">
        <v>1.4119999999999999</v>
      </c>
      <c r="R1691" s="4">
        <v>1.4119999999999999</v>
      </c>
      <c r="S1691" s="6">
        <v>4.1764700000000001</v>
      </c>
      <c r="T1691" s="1" t="s">
        <v>50</v>
      </c>
      <c r="U1691" s="1"/>
      <c r="V1691" s="1"/>
      <c r="W1691" s="1"/>
      <c r="X1691" s="5">
        <v>172.5</v>
      </c>
      <c r="Y1691" s="7">
        <v>6666667</v>
      </c>
      <c r="Z1691" s="7">
        <v>3333333</v>
      </c>
      <c r="AA1691" s="1" t="s">
        <v>11590</v>
      </c>
      <c r="AB1691" s="1" t="s">
        <v>11596</v>
      </c>
      <c r="AC1691" s="1" t="s">
        <v>7759</v>
      </c>
      <c r="AD1691" s="1" t="s">
        <v>11597</v>
      </c>
      <c r="AE1691" s="1" t="s">
        <v>51</v>
      </c>
      <c r="AF1691" s="1" t="s">
        <v>51</v>
      </c>
      <c r="AG1691" s="1" t="s">
        <v>47</v>
      </c>
      <c r="AH1691" s="1"/>
      <c r="AI1691" s="1"/>
      <c r="AJ1691" s="3">
        <v>1</v>
      </c>
      <c r="AK1691" s="1" t="s">
        <v>110</v>
      </c>
      <c r="AL1691" s="3">
        <v>5</v>
      </c>
      <c r="AM1691" s="8">
        <v>19.25</v>
      </c>
      <c r="AN1691" s="1"/>
      <c r="AO1691" s="1" t="s">
        <v>11598</v>
      </c>
      <c r="AP1691" s="1" t="s">
        <v>11599</v>
      </c>
      <c r="AQ1691" s="1" t="s">
        <v>11600</v>
      </c>
      <c r="AR1691" s="1" t="s">
        <v>11601</v>
      </c>
    </row>
    <row r="1692">
      <c r="A1692" s="2">
        <f ca="1">DATE(2005,09,09)</f>
        <v>0</v>
      </c>
      <c r="B1692" s="2">
        <f ca="1">DATE(2005,12,13)</f>
        <v>0</v>
      </c>
      <c r="C1692" s="1" t="s">
        <v>11602</v>
      </c>
      <c r="D1692" s="3">
        <v>6021</v>
      </c>
      <c r="E1692" s="1" t="s">
        <v>43</v>
      </c>
      <c r="F1692" s="1" t="s">
        <v>11603</v>
      </c>
      <c r="G1692" s="1" t="s">
        <v>11604</v>
      </c>
      <c r="H1692" s="4">
        <v>0.93000000000000005</v>
      </c>
      <c r="I1692" s="4">
        <v>6.0979999999999999</v>
      </c>
      <c r="J1692" s="5">
        <v>16.800000000000001</v>
      </c>
      <c r="K1692" s="4">
        <v>15.25</v>
      </c>
      <c r="L1692" s="1" t="s">
        <v>46</v>
      </c>
      <c r="M1692" s="1" t="s">
        <v>47</v>
      </c>
      <c r="N1692" s="1" t="s">
        <v>11605</v>
      </c>
      <c r="O1692" s="1" t="s">
        <v>48</v>
      </c>
      <c r="P1692" s="1" t="s">
        <v>11606</v>
      </c>
      <c r="Q1692" s="1" t="s">
        <v>145</v>
      </c>
      <c r="R1692" s="1" t="s">
        <v>145</v>
      </c>
      <c r="S1692" s="10">
        <v>3.7376999999999998</v>
      </c>
      <c r="T1692" s="1" t="s">
        <v>50</v>
      </c>
      <c r="U1692" s="1"/>
      <c r="V1692" s="1"/>
      <c r="W1692" s="7">
        <v>800000</v>
      </c>
      <c r="X1692" s="1"/>
      <c r="Y1692" s="7">
        <v>1100000</v>
      </c>
      <c r="Z1692" s="1"/>
      <c r="AA1692" s="1" t="s">
        <v>11607</v>
      </c>
      <c r="AB1692" s="1" t="s">
        <v>2067</v>
      </c>
      <c r="AC1692" s="1" t="s">
        <v>2068</v>
      </c>
      <c r="AD1692" s="1" t="s">
        <v>2067</v>
      </c>
      <c r="AE1692" s="1" t="s">
        <v>51</v>
      </c>
      <c r="AF1692" s="1" t="s">
        <v>51</v>
      </c>
      <c r="AG1692" s="1" t="s">
        <v>51</v>
      </c>
      <c r="AH1692" s="1"/>
      <c r="AI1692" s="1"/>
      <c r="AJ1692" s="3">
        <v>1</v>
      </c>
      <c r="AK1692" s="1" t="s">
        <v>52</v>
      </c>
      <c r="AL1692" s="3">
        <v>1</v>
      </c>
      <c r="AM1692" s="8">
        <v>15.5</v>
      </c>
      <c r="AN1692" s="1"/>
      <c r="AO1692" s="1" t="s">
        <v>11608</v>
      </c>
      <c r="AP1692" s="1" t="s">
        <v>11604</v>
      </c>
      <c r="AQ1692" s="1" t="s">
        <v>11604</v>
      </c>
      <c r="AR1692" s="1" t="s">
        <v>11609</v>
      </c>
    </row>
    <row r="1693">
      <c r="A1693" s="2">
        <f ca="1">DATE(2005,11,01)</f>
        <v>0</v>
      </c>
      <c r="B1693" s="2">
        <f ca="1">DATE(2005,12,13)</f>
        <v>0</v>
      </c>
      <c r="C1693" s="1" t="s">
        <v>11610</v>
      </c>
      <c r="D1693" s="3">
        <v>3674</v>
      </c>
      <c r="E1693" s="1" t="s">
        <v>744</v>
      </c>
      <c r="F1693" s="1" t="s">
        <v>11611</v>
      </c>
      <c r="G1693" s="1" t="s">
        <v>6655</v>
      </c>
      <c r="H1693" s="4">
        <v>0.90000000000000002</v>
      </c>
      <c r="I1693" s="4">
        <v>6</v>
      </c>
      <c r="J1693" s="5">
        <v>395.69999999999999</v>
      </c>
      <c r="K1693" s="4">
        <v>15</v>
      </c>
      <c r="L1693" s="1" t="s">
        <v>651</v>
      </c>
      <c r="M1693" s="1" t="s">
        <v>47</v>
      </c>
      <c r="N1693" s="1" t="s">
        <v>11612</v>
      </c>
      <c r="O1693" s="1" t="s">
        <v>108</v>
      </c>
      <c r="P1693" s="1" t="s">
        <v>11613</v>
      </c>
      <c r="Q1693" s="4">
        <v>1.2</v>
      </c>
      <c r="R1693" s="4">
        <v>1.2</v>
      </c>
      <c r="S1693" s="8">
        <v>3.6000000000000001</v>
      </c>
      <c r="T1693" s="1" t="s">
        <v>50</v>
      </c>
      <c r="U1693" s="1"/>
      <c r="V1693" s="1"/>
      <c r="W1693" s="1"/>
      <c r="X1693" s="5">
        <v>300</v>
      </c>
      <c r="Y1693" s="7">
        <v>20000000</v>
      </c>
      <c r="Z1693" s="7">
        <v>6380000</v>
      </c>
      <c r="AA1693" s="1" t="s">
        <v>11614</v>
      </c>
      <c r="AB1693" s="1" t="s">
        <v>11615</v>
      </c>
      <c r="AC1693" s="1" t="s">
        <v>7759</v>
      </c>
      <c r="AD1693" s="1" t="s">
        <v>11616</v>
      </c>
      <c r="AE1693" s="1" t="s">
        <v>47</v>
      </c>
      <c r="AF1693" s="1" t="s">
        <v>51</v>
      </c>
      <c r="AG1693" s="1" t="s">
        <v>47</v>
      </c>
      <c r="AH1693" s="1"/>
      <c r="AI1693" s="1"/>
      <c r="AJ1693" s="3">
        <v>2</v>
      </c>
      <c r="AK1693" s="1" t="s">
        <v>89</v>
      </c>
      <c r="AL1693" s="3">
        <v>4</v>
      </c>
      <c r="AM1693" s="8">
        <v>21.199999999999999</v>
      </c>
      <c r="AN1693" s="1"/>
      <c r="AO1693" s="1" t="s">
        <v>11617</v>
      </c>
      <c r="AP1693" s="1" t="s">
        <v>11618</v>
      </c>
      <c r="AQ1693" s="1" t="s">
        <v>11619</v>
      </c>
      <c r="AR1693" s="1" t="s">
        <v>11620</v>
      </c>
    </row>
    <row r="1694">
      <c r="A1694" s="2">
        <f ca="1">DATE(2005,11,18)</f>
        <v>0</v>
      </c>
      <c r="B1694" s="2">
        <f ca="1">DATE(2005,12,13)</f>
        <v>0</v>
      </c>
      <c r="C1694" s="1" t="s">
        <v>11621</v>
      </c>
      <c r="D1694" s="3">
        <v>7375</v>
      </c>
      <c r="E1694" s="1" t="s">
        <v>934</v>
      </c>
      <c r="F1694" s="1" t="s">
        <v>11622</v>
      </c>
      <c r="G1694" s="1" t="s">
        <v>789</v>
      </c>
      <c r="H1694" s="4">
        <v>0.48999999999999999</v>
      </c>
      <c r="I1694" s="8">
        <v>7</v>
      </c>
      <c r="J1694" s="5">
        <v>31.5</v>
      </c>
      <c r="K1694" s="4">
        <v>7</v>
      </c>
      <c r="L1694" s="1" t="s">
        <v>1057</v>
      </c>
      <c r="M1694" s="1" t="s">
        <v>47</v>
      </c>
      <c r="N1694" s="1" t="s">
        <v>11623</v>
      </c>
      <c r="O1694" s="1" t="s">
        <v>48</v>
      </c>
      <c r="P1694" s="1" t="s">
        <v>11624</v>
      </c>
      <c r="Q1694" s="8">
        <v>14</v>
      </c>
      <c r="R1694" s="8">
        <v>14</v>
      </c>
      <c r="S1694" s="6">
        <v>4.2071399999999999</v>
      </c>
      <c r="T1694" s="1" t="s">
        <v>50</v>
      </c>
      <c r="U1694" s="8">
        <v>12</v>
      </c>
      <c r="V1694" s="8">
        <v>10</v>
      </c>
      <c r="W1694" s="7">
        <v>4500000</v>
      </c>
      <c r="X1694" s="5">
        <v>49.5</v>
      </c>
      <c r="Y1694" s="7">
        <v>4500000</v>
      </c>
      <c r="Z1694" s="1"/>
      <c r="AA1694" s="1" t="s">
        <v>11614</v>
      </c>
      <c r="AB1694" s="1" t="s">
        <v>11625</v>
      </c>
      <c r="AC1694" s="1" t="s">
        <v>7759</v>
      </c>
      <c r="AD1694" s="1" t="s">
        <v>11626</v>
      </c>
      <c r="AE1694" s="1" t="s">
        <v>51</v>
      </c>
      <c r="AF1694" s="1" t="s">
        <v>51</v>
      </c>
      <c r="AG1694" s="1" t="s">
        <v>47</v>
      </c>
      <c r="AH1694" s="1"/>
      <c r="AI1694" s="1"/>
      <c r="AJ1694" s="3">
        <v>1</v>
      </c>
      <c r="AK1694" s="1" t="s">
        <v>89</v>
      </c>
      <c r="AL1694" s="3">
        <v>4</v>
      </c>
      <c r="AM1694" s="1"/>
      <c r="AN1694" s="1"/>
      <c r="AO1694" s="1" t="s">
        <v>11627</v>
      </c>
      <c r="AP1694" s="1" t="s">
        <v>11628</v>
      </c>
      <c r="AQ1694" s="1" t="s">
        <v>11629</v>
      </c>
      <c r="AR1694" s="1" t="s">
        <v>11624</v>
      </c>
    </row>
    <row r="1695">
      <c r="A1695" s="2">
        <f ca="1">DATE(2005,11,28)</f>
        <v>0</v>
      </c>
      <c r="B1695" s="2">
        <f ca="1">DATE(2005,12,14)</f>
        <v>0</v>
      </c>
      <c r="C1695" s="1" t="s">
        <v>11630</v>
      </c>
      <c r="D1695" s="3">
        <v>4512</v>
      </c>
      <c r="E1695" s="1" t="s">
        <v>11631</v>
      </c>
      <c r="F1695" s="1" t="s">
        <v>11632</v>
      </c>
      <c r="G1695" s="1" t="s">
        <v>4171</v>
      </c>
      <c r="H1695" s="4">
        <v>1</v>
      </c>
      <c r="I1695" s="4">
        <v>5</v>
      </c>
      <c r="J1695" s="5">
        <v>315</v>
      </c>
      <c r="K1695" s="4">
        <v>20</v>
      </c>
      <c r="L1695" s="1" t="s">
        <v>5129</v>
      </c>
      <c r="M1695" s="1" t="s">
        <v>47</v>
      </c>
      <c r="N1695" s="1" t="s">
        <v>11633</v>
      </c>
      <c r="O1695" s="1" t="s">
        <v>108</v>
      </c>
      <c r="P1695" s="1" t="s">
        <v>11634</v>
      </c>
      <c r="Q1695" s="1" t="s">
        <v>145</v>
      </c>
      <c r="R1695" s="1" t="s">
        <v>145</v>
      </c>
      <c r="S1695" s="8">
        <v>3.25</v>
      </c>
      <c r="T1695" s="1" t="s">
        <v>50</v>
      </c>
      <c r="U1695" s="8">
        <v>17</v>
      </c>
      <c r="V1695" s="8">
        <v>15</v>
      </c>
      <c r="W1695" s="7">
        <v>14000000</v>
      </c>
      <c r="X1695" s="5">
        <v>224</v>
      </c>
      <c r="Y1695" s="1"/>
      <c r="Z1695" s="7">
        <v>15750000</v>
      </c>
      <c r="AA1695" s="1" t="s">
        <v>11635</v>
      </c>
      <c r="AB1695" s="1" t="s">
        <v>5265</v>
      </c>
      <c r="AC1695" s="1" t="s">
        <v>7759</v>
      </c>
      <c r="AD1695" s="1" t="s">
        <v>5265</v>
      </c>
      <c r="AE1695" s="1" t="s">
        <v>51</v>
      </c>
      <c r="AF1695" s="1" t="s">
        <v>51</v>
      </c>
      <c r="AG1695" s="1" t="s">
        <v>51</v>
      </c>
      <c r="AH1695" s="1"/>
      <c r="AI1695" s="1"/>
      <c r="AJ1695" s="3">
        <v>2</v>
      </c>
      <c r="AK1695" s="1" t="s">
        <v>89</v>
      </c>
      <c r="AL1695" s="3">
        <v>5</v>
      </c>
      <c r="AM1695" s="1"/>
      <c r="AN1695" s="1"/>
      <c r="AO1695" s="1" t="s">
        <v>11636</v>
      </c>
      <c r="AP1695" s="1" t="s">
        <v>4174</v>
      </c>
      <c r="AQ1695" s="1" t="s">
        <v>11637</v>
      </c>
      <c r="AR1695" s="1" t="s">
        <v>11638</v>
      </c>
    </row>
    <row r="1696">
      <c r="A1696" s="2">
        <f ca="1">DATE(2005,09,26)</f>
        <v>0</v>
      </c>
      <c r="B1696" s="2">
        <f ca="1">DATE(2005,12,14)</f>
        <v>0</v>
      </c>
      <c r="C1696" s="1" t="s">
        <v>11639</v>
      </c>
      <c r="D1696" s="3">
        <v>6798</v>
      </c>
      <c r="E1696" s="1" t="s">
        <v>43</v>
      </c>
      <c r="F1696" s="1" t="s">
        <v>11640</v>
      </c>
      <c r="G1696" s="1" t="s">
        <v>11641</v>
      </c>
      <c r="H1696" s="4">
        <v>0.75</v>
      </c>
      <c r="I1696" s="4">
        <v>6.25</v>
      </c>
      <c r="J1696" s="5">
        <v>240</v>
      </c>
      <c r="K1696" s="4">
        <v>12</v>
      </c>
      <c r="L1696" s="1" t="s">
        <v>46</v>
      </c>
      <c r="M1696" s="1" t="s">
        <v>47</v>
      </c>
      <c r="N1696" s="3">
        <v>760737106</v>
      </c>
      <c r="O1696" s="1" t="s">
        <v>108</v>
      </c>
      <c r="P1696" s="1" t="s">
        <v>11642</v>
      </c>
      <c r="Q1696" s="1" t="s">
        <v>145</v>
      </c>
      <c r="R1696" s="1" t="s">
        <v>145</v>
      </c>
      <c r="S1696" s="8">
        <v>3.75</v>
      </c>
      <c r="T1696" s="1" t="s">
        <v>50</v>
      </c>
      <c r="U1696" s="1"/>
      <c r="V1696" s="1"/>
      <c r="W1696" s="1"/>
      <c r="X1696" s="5">
        <v>345</v>
      </c>
      <c r="Y1696" s="7">
        <v>20000000</v>
      </c>
      <c r="Z1696" s="1"/>
      <c r="AA1696" s="1" t="s">
        <v>11643</v>
      </c>
      <c r="AB1696" s="1" t="s">
        <v>2067</v>
      </c>
      <c r="AC1696" s="1" t="s">
        <v>11644</v>
      </c>
      <c r="AD1696" s="1" t="s">
        <v>2067</v>
      </c>
      <c r="AE1696" s="1" t="s">
        <v>51</v>
      </c>
      <c r="AF1696" s="1" t="s">
        <v>51</v>
      </c>
      <c r="AG1696" s="1" t="s">
        <v>51</v>
      </c>
      <c r="AH1696" s="1"/>
      <c r="AI1696" s="1"/>
      <c r="AJ1696" s="3">
        <v>2</v>
      </c>
      <c r="AK1696" s="1" t="s">
        <v>89</v>
      </c>
      <c r="AL1696" s="3">
        <v>6</v>
      </c>
      <c r="AM1696" s="8">
        <v>12</v>
      </c>
      <c r="AN1696" s="1"/>
      <c r="AO1696" s="1" t="s">
        <v>11645</v>
      </c>
      <c r="AP1696" s="1" t="s">
        <v>1905</v>
      </c>
      <c r="AQ1696" s="1" t="s">
        <v>11646</v>
      </c>
      <c r="AR1696" s="1" t="s">
        <v>11642</v>
      </c>
    </row>
    <row r="1697">
      <c r="A1697" s="2">
        <f ca="1">DATE(2005,11,09)</f>
        <v>0</v>
      </c>
      <c r="B1697" s="2">
        <f ca="1">DATE(2005,12,14)</f>
        <v>0</v>
      </c>
      <c r="C1697" s="1" t="s">
        <v>11647</v>
      </c>
      <c r="D1697" s="3">
        <v>2834</v>
      </c>
      <c r="E1697" s="1" t="s">
        <v>43</v>
      </c>
      <c r="F1697" s="1" t="s">
        <v>11648</v>
      </c>
      <c r="G1697" s="1" t="s">
        <v>10704</v>
      </c>
      <c r="H1697" s="4">
        <v>0.77000000000000002</v>
      </c>
      <c r="I1697" s="4">
        <v>7</v>
      </c>
      <c r="J1697" s="5">
        <v>55</v>
      </c>
      <c r="K1697" s="4">
        <v>11</v>
      </c>
      <c r="L1697" s="1" t="s">
        <v>46</v>
      </c>
      <c r="M1697" s="1" t="s">
        <v>47</v>
      </c>
      <c r="N1697" s="3">
        <v>834453102</v>
      </c>
      <c r="O1697" s="1" t="s">
        <v>48</v>
      </c>
      <c r="P1697" s="1" t="s">
        <v>11649</v>
      </c>
      <c r="Q1697" s="1" t="s">
        <v>145</v>
      </c>
      <c r="R1697" s="1" t="s">
        <v>145</v>
      </c>
      <c r="S1697" s="8">
        <v>4.2000000000000002</v>
      </c>
      <c r="T1697" s="1" t="s">
        <v>50</v>
      </c>
      <c r="U1697" s="1"/>
      <c r="V1697" s="1"/>
      <c r="W1697" s="1"/>
      <c r="X1697" s="5">
        <v>86.299999999999997</v>
      </c>
      <c r="Y1697" s="7">
        <v>5000000</v>
      </c>
      <c r="Z1697" s="1"/>
      <c r="AA1697" s="1" t="s">
        <v>11650</v>
      </c>
      <c r="AB1697" s="1" t="s">
        <v>11651</v>
      </c>
      <c r="AC1697" s="1" t="s">
        <v>10709</v>
      </c>
      <c r="AD1697" s="1" t="s">
        <v>11652</v>
      </c>
      <c r="AE1697" s="1" t="s">
        <v>51</v>
      </c>
      <c r="AF1697" s="1" t="s">
        <v>51</v>
      </c>
      <c r="AG1697" s="1" t="s">
        <v>47</v>
      </c>
      <c r="AH1697" s="1"/>
      <c r="AI1697" s="1"/>
      <c r="AJ1697" s="3">
        <v>2</v>
      </c>
      <c r="AK1697" s="1" t="s">
        <v>89</v>
      </c>
      <c r="AL1697" s="3">
        <v>4</v>
      </c>
      <c r="AM1697" s="8">
        <v>10.710000000000001</v>
      </c>
      <c r="AN1697" s="1"/>
      <c r="AO1697" s="1" t="s">
        <v>11653</v>
      </c>
      <c r="AP1697" s="1" t="s">
        <v>6680</v>
      </c>
      <c r="AQ1697" s="1" t="s">
        <v>11654</v>
      </c>
      <c r="AR1697" s="1" t="s">
        <v>11655</v>
      </c>
    </row>
    <row r="1698">
      <c r="A1698" s="2">
        <f ca="1">DATE(2005,09,30)</f>
        <v>0</v>
      </c>
      <c r="B1698" s="2">
        <f ca="1">DATE(2005,12,15)</f>
        <v>0</v>
      </c>
      <c r="C1698" s="1" t="s">
        <v>11656</v>
      </c>
      <c r="D1698" s="3">
        <v>6021</v>
      </c>
      <c r="E1698" s="1" t="s">
        <v>43</v>
      </c>
      <c r="F1698" s="1" t="s">
        <v>11657</v>
      </c>
      <c r="G1698" s="1" t="s">
        <v>11658</v>
      </c>
      <c r="H1698" s="4">
        <v>1.04</v>
      </c>
      <c r="I1698" s="4">
        <v>6.5</v>
      </c>
      <c r="J1698" s="5">
        <v>16</v>
      </c>
      <c r="K1698" s="4">
        <v>16</v>
      </c>
      <c r="L1698" s="1" t="s">
        <v>46</v>
      </c>
      <c r="M1698" s="1" t="s">
        <v>47</v>
      </c>
      <c r="N1698" s="3">
        <v>144060100</v>
      </c>
      <c r="O1698" s="1" t="s">
        <v>48</v>
      </c>
      <c r="P1698" s="1" t="s">
        <v>11659</v>
      </c>
      <c r="Q1698" s="1" t="s">
        <v>145</v>
      </c>
      <c r="R1698" s="1" t="s">
        <v>145</v>
      </c>
      <c r="S1698" s="4">
        <v>3.875</v>
      </c>
      <c r="T1698" s="1" t="s">
        <v>50</v>
      </c>
      <c r="U1698" s="1"/>
      <c r="V1698" s="1"/>
      <c r="W1698" s="7">
        <v>925000</v>
      </c>
      <c r="X1698" s="5">
        <v>15</v>
      </c>
      <c r="Y1698" s="7">
        <v>1000000</v>
      </c>
      <c r="Z1698" s="1"/>
      <c r="AA1698" s="1" t="s">
        <v>11660</v>
      </c>
      <c r="AB1698" s="1" t="s">
        <v>2067</v>
      </c>
      <c r="AC1698" s="1" t="s">
        <v>9674</v>
      </c>
      <c r="AD1698" s="1" t="s">
        <v>2067</v>
      </c>
      <c r="AE1698" s="1" t="s">
        <v>51</v>
      </c>
      <c r="AF1698" s="1" t="s">
        <v>51</v>
      </c>
      <c r="AG1698" s="1" t="s">
        <v>51</v>
      </c>
      <c r="AH1698" s="1"/>
      <c r="AI1698" s="1"/>
      <c r="AJ1698" s="3">
        <v>1</v>
      </c>
      <c r="AK1698" s="1" t="s">
        <v>52</v>
      </c>
      <c r="AL1698" s="3">
        <v>1</v>
      </c>
      <c r="AM1698" s="8">
        <v>18.07</v>
      </c>
      <c r="AN1698" s="1"/>
      <c r="AO1698" s="1" t="s">
        <v>11658</v>
      </c>
      <c r="AP1698" s="1" t="s">
        <v>11658</v>
      </c>
      <c r="AQ1698" s="1" t="s">
        <v>11658</v>
      </c>
      <c r="AR1698" s="1" t="s">
        <v>11661</v>
      </c>
    </row>
    <row r="1699">
      <c r="A1699" s="2">
        <f ca="1">DATE(2005,08,24)</f>
        <v>0</v>
      </c>
      <c r="B1699" s="2">
        <f ca="1">DATE(2005,12,15)</f>
        <v>0</v>
      </c>
      <c r="C1699" s="1" t="s">
        <v>11662</v>
      </c>
      <c r="D1699" s="3">
        <v>5064</v>
      </c>
      <c r="E1699" s="1" t="s">
        <v>43</v>
      </c>
      <c r="F1699" s="1" t="s">
        <v>11663</v>
      </c>
      <c r="G1699" s="1" t="s">
        <v>160</v>
      </c>
      <c r="H1699" s="4">
        <v>1.1200000000000001</v>
      </c>
      <c r="I1699" s="4">
        <v>7</v>
      </c>
      <c r="J1699" s="5">
        <v>150</v>
      </c>
      <c r="K1699" s="4">
        <v>16</v>
      </c>
      <c r="L1699" s="1" t="s">
        <v>46</v>
      </c>
      <c r="M1699" s="1" t="s">
        <v>47</v>
      </c>
      <c r="N1699" s="3">
        <v>254575103</v>
      </c>
      <c r="O1699" s="1" t="s">
        <v>48</v>
      </c>
      <c r="P1699" s="1" t="s">
        <v>11664</v>
      </c>
      <c r="Q1699" s="4">
        <v>1.3999999999999999</v>
      </c>
      <c r="R1699" s="4">
        <v>1.3999999999999999</v>
      </c>
      <c r="S1699" s="8">
        <v>4.2000000000000002</v>
      </c>
      <c r="T1699" s="1" t="s">
        <v>50</v>
      </c>
      <c r="U1699" s="1"/>
      <c r="V1699" s="1"/>
      <c r="W1699" s="1"/>
      <c r="X1699" s="5">
        <v>225</v>
      </c>
      <c r="Y1699" s="7">
        <v>5937500</v>
      </c>
      <c r="Z1699" s="7">
        <v>3437500</v>
      </c>
      <c r="AA1699" s="1" t="s">
        <v>11665</v>
      </c>
      <c r="AB1699" s="1" t="s">
        <v>11666</v>
      </c>
      <c r="AC1699" s="1" t="s">
        <v>7759</v>
      </c>
      <c r="AD1699" s="1" t="s">
        <v>11667</v>
      </c>
      <c r="AE1699" s="1" t="s">
        <v>51</v>
      </c>
      <c r="AF1699" s="1" t="s">
        <v>51</v>
      </c>
      <c r="AG1699" s="1" t="s">
        <v>51</v>
      </c>
      <c r="AH1699" s="1"/>
      <c r="AI1699" s="1"/>
      <c r="AJ1699" s="3">
        <v>1</v>
      </c>
      <c r="AK1699" s="1" t="s">
        <v>89</v>
      </c>
      <c r="AL1699" s="3">
        <v>5</v>
      </c>
      <c r="AM1699" s="8">
        <v>14</v>
      </c>
      <c r="AN1699" s="1"/>
      <c r="AO1699" s="1" t="s">
        <v>11668</v>
      </c>
      <c r="AP1699" s="1" t="s">
        <v>4528</v>
      </c>
      <c r="AQ1699" s="1" t="s">
        <v>11669</v>
      </c>
      <c r="AR1699" s="1" t="s">
        <v>11670</v>
      </c>
    </row>
    <row r="1700">
      <c r="A1700" s="2">
        <f ca="1">DATE(2005,08,02)</f>
        <v>0</v>
      </c>
      <c r="B1700" s="2">
        <f ca="1">DATE(2005,12,15)</f>
        <v>0</v>
      </c>
      <c r="C1700" s="1" t="s">
        <v>11671</v>
      </c>
      <c r="D1700" s="3">
        <v>4119</v>
      </c>
      <c r="E1700" s="1" t="s">
        <v>43</v>
      </c>
      <c r="F1700" s="1" t="s">
        <v>11672</v>
      </c>
      <c r="G1700" s="1" t="s">
        <v>11673</v>
      </c>
      <c r="H1700" s="4">
        <v>0.97999999999999998</v>
      </c>
      <c r="I1700" s="8">
        <v>7</v>
      </c>
      <c r="J1700" s="5">
        <v>113.40000000000001</v>
      </c>
      <c r="K1700" s="4">
        <v>14</v>
      </c>
      <c r="L1700" s="1" t="s">
        <v>152</v>
      </c>
      <c r="M1700" s="1" t="s">
        <v>47</v>
      </c>
      <c r="N1700" s="1" t="s">
        <v>11674</v>
      </c>
      <c r="O1700" s="1" t="s">
        <v>108</v>
      </c>
      <c r="P1700" s="1" t="s">
        <v>11675</v>
      </c>
      <c r="Q1700" s="4">
        <v>1.3999999999999999</v>
      </c>
      <c r="R1700" s="4">
        <v>1.3999999999999999</v>
      </c>
      <c r="S1700" s="8">
        <v>4.2000000000000002</v>
      </c>
      <c r="T1700" s="1" t="s">
        <v>50</v>
      </c>
      <c r="U1700" s="1"/>
      <c r="V1700" s="1"/>
      <c r="W1700" s="1"/>
      <c r="X1700" s="5">
        <v>172.5</v>
      </c>
      <c r="Y1700" s="7">
        <v>8100000</v>
      </c>
      <c r="Z1700" s="1"/>
      <c r="AA1700" s="1" t="s">
        <v>11665</v>
      </c>
      <c r="AB1700" s="1" t="s">
        <v>11676</v>
      </c>
      <c r="AC1700" s="1" t="s">
        <v>7759</v>
      </c>
      <c r="AD1700" s="1" t="s">
        <v>11677</v>
      </c>
      <c r="AE1700" s="1" t="s">
        <v>51</v>
      </c>
      <c r="AF1700" s="1" t="s">
        <v>51</v>
      </c>
      <c r="AG1700" s="1" t="s">
        <v>51</v>
      </c>
      <c r="AH1700" s="1"/>
      <c r="AI1700" s="1"/>
      <c r="AJ1700" s="3">
        <v>2</v>
      </c>
      <c r="AK1700" s="1" t="s">
        <v>89</v>
      </c>
      <c r="AL1700" s="3">
        <v>7</v>
      </c>
      <c r="AM1700" s="8">
        <v>13.1</v>
      </c>
      <c r="AN1700" s="1"/>
      <c r="AO1700" s="1" t="s">
        <v>11678</v>
      </c>
      <c r="AP1700" s="1" t="s">
        <v>11679</v>
      </c>
      <c r="AQ1700" s="1" t="s">
        <v>11680</v>
      </c>
      <c r="AR1700" s="1" t="s">
        <v>11681</v>
      </c>
    </row>
    <row r="1701">
      <c r="A1701" s="2">
        <f ca="1">DATE(2005,09,20)</f>
        <v>0</v>
      </c>
      <c r="B1701" s="2">
        <f ca="1">DATE(2005,12,15)</f>
        <v>0</v>
      </c>
      <c r="C1701" s="1" t="s">
        <v>11682</v>
      </c>
      <c r="D1701" s="3">
        <v>6726</v>
      </c>
      <c r="E1701" s="1" t="s">
        <v>43</v>
      </c>
      <c r="F1701" s="1" t="s">
        <v>11683</v>
      </c>
      <c r="G1701" s="1" t="s">
        <v>10946</v>
      </c>
      <c r="H1701" s="4">
        <v>0.53000000000000003</v>
      </c>
      <c r="I1701" s="4">
        <v>6.625</v>
      </c>
      <c r="J1701" s="5">
        <v>120</v>
      </c>
      <c r="K1701" s="4">
        <v>8</v>
      </c>
      <c r="L1701" s="1" t="s">
        <v>46</v>
      </c>
      <c r="M1701" s="1" t="s">
        <v>47</v>
      </c>
      <c r="N1701" s="3">
        <v>292577202</v>
      </c>
      <c r="O1701" s="1" t="s">
        <v>87</v>
      </c>
      <c r="P1701" s="1" t="s">
        <v>11684</v>
      </c>
      <c r="Q1701" s="1" t="s">
        <v>145</v>
      </c>
      <c r="R1701" s="1" t="s">
        <v>145</v>
      </c>
      <c r="S1701" s="8">
        <v>2.5</v>
      </c>
      <c r="T1701" s="1" t="s">
        <v>50</v>
      </c>
      <c r="U1701" s="8">
        <v>8</v>
      </c>
      <c r="V1701" s="8">
        <v>8</v>
      </c>
      <c r="W1701" s="7">
        <v>25000000</v>
      </c>
      <c r="X1701" s="5">
        <v>200</v>
      </c>
      <c r="Y1701" s="7">
        <v>15000000</v>
      </c>
      <c r="Z1701" s="1"/>
      <c r="AA1701" s="2">
        <f ca="1">DATE(2006,07,13)</f>
        <v>0</v>
      </c>
      <c r="AB1701" s="4">
        <v>20</v>
      </c>
      <c r="AC1701" s="3">
        <v>210</v>
      </c>
      <c r="AD1701" s="8">
        <v>3750000</v>
      </c>
      <c r="AE1701" s="1" t="s">
        <v>51</v>
      </c>
      <c r="AF1701" s="1" t="s">
        <v>51</v>
      </c>
      <c r="AG1701" s="1" t="s">
        <v>51</v>
      </c>
      <c r="AH1701" s="1"/>
      <c r="AI1701" s="1"/>
      <c r="AJ1701" s="3">
        <v>1</v>
      </c>
      <c r="AK1701" s="1" t="s">
        <v>52</v>
      </c>
      <c r="AL1701" s="3">
        <v>3</v>
      </c>
      <c r="AM1701" s="1"/>
      <c r="AN1701" s="1"/>
      <c r="AO1701" s="1" t="s">
        <v>11685</v>
      </c>
      <c r="AP1701" s="1" t="s">
        <v>10946</v>
      </c>
      <c r="AQ1701" s="1" t="s">
        <v>11686</v>
      </c>
      <c r="AR1701" s="1" t="s">
        <v>11687</v>
      </c>
    </row>
    <row r="1702">
      <c r="A1702" s="2">
        <f ca="1">DATE(2005,04,13)</f>
        <v>0</v>
      </c>
      <c r="B1702" s="2">
        <f ca="1">DATE(2005,12,15)</f>
        <v>0</v>
      </c>
      <c r="C1702" s="1" t="s">
        <v>11688</v>
      </c>
      <c r="D1702" s="3">
        <v>3674</v>
      </c>
      <c r="E1702" s="1" t="s">
        <v>43</v>
      </c>
      <c r="F1702" s="1" t="s">
        <v>11689</v>
      </c>
      <c r="G1702" s="1" t="s">
        <v>7811</v>
      </c>
      <c r="H1702" s="4">
        <v>0.71999999999999997</v>
      </c>
      <c r="I1702" s="4">
        <v>6</v>
      </c>
      <c r="J1702" s="5">
        <v>506.39999999999998</v>
      </c>
      <c r="K1702" s="4">
        <v>12</v>
      </c>
      <c r="L1702" s="1" t="s">
        <v>152</v>
      </c>
      <c r="M1702" s="1" t="s">
        <v>47</v>
      </c>
      <c r="N1702" s="1" t="s">
        <v>11690</v>
      </c>
      <c r="O1702" s="1" t="s">
        <v>48</v>
      </c>
      <c r="P1702" s="1" t="s">
        <v>11691</v>
      </c>
      <c r="Q1702" s="1" t="s">
        <v>145</v>
      </c>
      <c r="R1702" s="1" t="s">
        <v>145</v>
      </c>
      <c r="S1702" s="8">
        <v>3.6000000000000001</v>
      </c>
      <c r="T1702" s="1" t="s">
        <v>50</v>
      </c>
      <c r="U1702" s="1"/>
      <c r="V1702" s="1"/>
      <c r="W1702" s="1"/>
      <c r="X1702" s="5">
        <v>600</v>
      </c>
      <c r="Y1702" s="7">
        <v>42200000</v>
      </c>
      <c r="Z1702" s="1"/>
      <c r="AA1702" s="1" t="s">
        <v>11665</v>
      </c>
      <c r="AB1702" s="1" t="s">
        <v>11692</v>
      </c>
      <c r="AC1702" s="1" t="s">
        <v>7759</v>
      </c>
      <c r="AD1702" s="1" t="s">
        <v>11693</v>
      </c>
      <c r="AE1702" s="1" t="s">
        <v>51</v>
      </c>
      <c r="AF1702" s="1" t="s">
        <v>51</v>
      </c>
      <c r="AG1702" s="1" t="s">
        <v>51</v>
      </c>
      <c r="AH1702" s="1"/>
      <c r="AI1702" s="1"/>
      <c r="AJ1702" s="3">
        <v>2</v>
      </c>
      <c r="AK1702" s="1" t="s">
        <v>89</v>
      </c>
      <c r="AL1702" s="3">
        <v>8</v>
      </c>
      <c r="AM1702" s="8">
        <v>13.550000000000001</v>
      </c>
      <c r="AN1702" s="1"/>
      <c r="AO1702" s="1" t="s">
        <v>11694</v>
      </c>
      <c r="AP1702" s="1" t="s">
        <v>6909</v>
      </c>
      <c r="AQ1702" s="1" t="s">
        <v>11695</v>
      </c>
      <c r="AR1702" s="1" t="s">
        <v>11696</v>
      </c>
    </row>
    <row r="1703">
      <c r="A1703" s="2">
        <f ca="1">DATE(2005,06,09)</f>
        <v>0</v>
      </c>
      <c r="B1703" s="2">
        <f ca="1">DATE(2005,12,15)</f>
        <v>0</v>
      </c>
      <c r="C1703" s="1" t="s">
        <v>11697</v>
      </c>
      <c r="D1703" s="3">
        <v>6726</v>
      </c>
      <c r="E1703" s="1" t="s">
        <v>43</v>
      </c>
      <c r="F1703" s="1" t="s">
        <v>1192</v>
      </c>
      <c r="G1703" s="1" t="s">
        <v>10277</v>
      </c>
      <c r="H1703" s="4">
        <v>0.59999999999999998</v>
      </c>
      <c r="I1703" s="4">
        <v>6</v>
      </c>
      <c r="J1703" s="5">
        <v>188.69999999999999</v>
      </c>
      <c r="K1703" s="4">
        <v>10</v>
      </c>
      <c r="L1703" s="1" t="s">
        <v>46</v>
      </c>
      <c r="M1703" s="1" t="s">
        <v>47</v>
      </c>
      <c r="N1703" s="1" t="s">
        <v>11698</v>
      </c>
      <c r="O1703" s="1" t="s">
        <v>87</v>
      </c>
      <c r="P1703" s="1" t="s">
        <v>11699</v>
      </c>
      <c r="Q1703" s="1" t="s">
        <v>145</v>
      </c>
      <c r="R1703" s="1" t="s">
        <v>145</v>
      </c>
      <c r="S1703" s="8">
        <v>2.25</v>
      </c>
      <c r="T1703" s="1" t="s">
        <v>50</v>
      </c>
      <c r="U1703" s="8">
        <v>8</v>
      </c>
      <c r="V1703" s="8">
        <v>8</v>
      </c>
      <c r="W1703" s="7">
        <v>25000000</v>
      </c>
      <c r="X1703" s="5">
        <v>200</v>
      </c>
      <c r="Y1703" s="7">
        <v>18867500</v>
      </c>
      <c r="Z1703" s="1"/>
      <c r="AA1703" s="1" t="s">
        <v>11700</v>
      </c>
      <c r="AB1703" s="1" t="s">
        <v>11701</v>
      </c>
      <c r="AC1703" s="1" t="s">
        <v>11702</v>
      </c>
      <c r="AD1703" s="1" t="s">
        <v>11703</v>
      </c>
      <c r="AE1703" s="1" t="s">
        <v>51</v>
      </c>
      <c r="AF1703" s="1" t="s">
        <v>51</v>
      </c>
      <c r="AG1703" s="1" t="s">
        <v>51</v>
      </c>
      <c r="AH1703" s="1"/>
      <c r="AI1703" s="1"/>
      <c r="AJ1703" s="3">
        <v>1</v>
      </c>
      <c r="AK1703" s="1" t="s">
        <v>52</v>
      </c>
      <c r="AL1703" s="3">
        <v>2</v>
      </c>
      <c r="AM1703" s="1"/>
      <c r="AN1703" s="1"/>
      <c r="AO1703" s="1" t="s">
        <v>11704</v>
      </c>
      <c r="AP1703" s="1" t="s">
        <v>10277</v>
      </c>
      <c r="AQ1703" s="1" t="s">
        <v>11705</v>
      </c>
      <c r="AR1703" s="1" t="s">
        <v>8748</v>
      </c>
    </row>
    <row r="1704">
      <c r="A1704" s="2">
        <f ca="1">DATE(2005,07,01)</f>
        <v>0</v>
      </c>
      <c r="B1704" s="2">
        <f ca="1">DATE(2005,12,16)</f>
        <v>0</v>
      </c>
      <c r="C1704" s="1" t="s">
        <v>11706</v>
      </c>
      <c r="D1704" s="3">
        <v>6726</v>
      </c>
      <c r="E1704" s="1" t="s">
        <v>43</v>
      </c>
      <c r="F1704" s="1" t="s">
        <v>11707</v>
      </c>
      <c r="G1704" s="1" t="s">
        <v>6201</v>
      </c>
      <c r="H1704" s="4">
        <v>0.56000000000000005</v>
      </c>
      <c r="I1704" s="4">
        <v>7</v>
      </c>
      <c r="J1704" s="5">
        <v>102.09999999999999</v>
      </c>
      <c r="K1704" s="4">
        <v>8</v>
      </c>
      <c r="L1704" s="1" t="s">
        <v>46</v>
      </c>
      <c r="M1704" s="1" t="s">
        <v>47</v>
      </c>
      <c r="N1704" s="1" t="s">
        <v>11708</v>
      </c>
      <c r="O1704" s="1" t="s">
        <v>77</v>
      </c>
      <c r="P1704" s="1" t="s">
        <v>11709</v>
      </c>
      <c r="Q1704" s="1" t="s">
        <v>145</v>
      </c>
      <c r="R1704" s="1" t="s">
        <v>145</v>
      </c>
      <c r="S1704" s="8">
        <v>4.2000000000000002</v>
      </c>
      <c r="T1704" s="1" t="s">
        <v>50</v>
      </c>
      <c r="U1704" s="8">
        <v>8</v>
      </c>
      <c r="V1704" s="8">
        <v>8</v>
      </c>
      <c r="W1704" s="7">
        <v>17000000</v>
      </c>
      <c r="X1704" s="5">
        <v>136</v>
      </c>
      <c r="Y1704" s="7">
        <v>12760840</v>
      </c>
      <c r="Z1704" s="1"/>
      <c r="AA1704" s="1" t="s">
        <v>11710</v>
      </c>
      <c r="AB1704" s="1" t="s">
        <v>11711</v>
      </c>
      <c r="AC1704" s="1" t="s">
        <v>7759</v>
      </c>
      <c r="AD1704" s="1" t="s">
        <v>11712</v>
      </c>
      <c r="AE1704" s="1" t="s">
        <v>51</v>
      </c>
      <c r="AF1704" s="1" t="s">
        <v>51</v>
      </c>
      <c r="AG1704" s="1" t="s">
        <v>51</v>
      </c>
      <c r="AH1704" s="1"/>
      <c r="AI1704" s="1"/>
      <c r="AJ1704" s="3">
        <v>1</v>
      </c>
      <c r="AK1704" s="1" t="s">
        <v>52</v>
      </c>
      <c r="AL1704" s="3">
        <v>2</v>
      </c>
      <c r="AM1704" s="1"/>
      <c r="AN1704" s="1"/>
      <c r="AO1704" s="1" t="s">
        <v>11713</v>
      </c>
      <c r="AP1704" s="1" t="s">
        <v>6201</v>
      </c>
      <c r="AQ1704" s="1" t="s">
        <v>11714</v>
      </c>
      <c r="AR1704" s="1" t="s">
        <v>11709</v>
      </c>
    </row>
    <row r="1705">
      <c r="A1705" s="2">
        <f ca="1">DATE(2005,12,05)</f>
        <v>0</v>
      </c>
      <c r="B1705" s="2">
        <f ca="1">DATE(2005,12,20)</f>
        <v>0</v>
      </c>
      <c r="C1705" s="1" t="s">
        <v>11715</v>
      </c>
      <c r="D1705" s="3">
        <v>3674</v>
      </c>
      <c r="E1705" s="1" t="s">
        <v>1204</v>
      </c>
      <c r="F1705" s="1" t="s">
        <v>11716</v>
      </c>
      <c r="G1705" s="1" t="s">
        <v>3766</v>
      </c>
      <c r="H1705" s="4">
        <v>0.56000000000000005</v>
      </c>
      <c r="I1705" s="4">
        <v>7</v>
      </c>
      <c r="J1705" s="5">
        <v>36</v>
      </c>
      <c r="K1705" s="4">
        <v>8</v>
      </c>
      <c r="L1705" s="1" t="s">
        <v>651</v>
      </c>
      <c r="M1705" s="1" t="s">
        <v>47</v>
      </c>
      <c r="N1705" s="1" t="s">
        <v>11717</v>
      </c>
      <c r="O1705" s="1" t="s">
        <v>48</v>
      </c>
      <c r="P1705" s="1" t="s">
        <v>11718</v>
      </c>
      <c r="Q1705" s="1" t="s">
        <v>145</v>
      </c>
      <c r="R1705" s="1" t="s">
        <v>145</v>
      </c>
      <c r="S1705" s="8">
        <v>4.25</v>
      </c>
      <c r="T1705" s="1" t="s">
        <v>50</v>
      </c>
      <c r="U1705" s="8">
        <v>14.5</v>
      </c>
      <c r="V1705" s="8">
        <v>12.5</v>
      </c>
      <c r="W1705" s="7">
        <v>4500000</v>
      </c>
      <c r="X1705" s="5">
        <v>60.799999999999997</v>
      </c>
      <c r="Y1705" s="7">
        <v>4500000</v>
      </c>
      <c r="Z1705" s="1"/>
      <c r="AA1705" s="1" t="s">
        <v>11719</v>
      </c>
      <c r="AB1705" s="1" t="s">
        <v>2067</v>
      </c>
      <c r="AC1705" s="1" t="s">
        <v>2068</v>
      </c>
      <c r="AD1705" s="1" t="s">
        <v>2067</v>
      </c>
      <c r="AE1705" s="1" t="s">
        <v>47</v>
      </c>
      <c r="AF1705" s="1" t="s">
        <v>51</v>
      </c>
      <c r="AG1705" s="1" t="s">
        <v>47</v>
      </c>
      <c r="AH1705" s="1"/>
      <c r="AI1705" s="1"/>
      <c r="AJ1705" s="3">
        <v>1</v>
      </c>
      <c r="AK1705" s="1" t="s">
        <v>52</v>
      </c>
      <c r="AL1705" s="3">
        <v>2</v>
      </c>
      <c r="AM1705" s="8">
        <v>8.0099999999999998</v>
      </c>
      <c r="AN1705" s="1"/>
      <c r="AO1705" s="1" t="s">
        <v>11720</v>
      </c>
      <c r="AP1705" s="1" t="s">
        <v>3766</v>
      </c>
      <c r="AQ1705" s="1" t="s">
        <v>11721</v>
      </c>
      <c r="AR1705" s="1" t="s">
        <v>11718</v>
      </c>
    </row>
    <row r="1706">
      <c r="A1706" s="2">
        <f ca="1">DATE(2005,09,19)</f>
        <v>0</v>
      </c>
      <c r="B1706" s="2">
        <f ca="1">DATE(2005,12,20)</f>
        <v>0</v>
      </c>
      <c r="C1706" s="1" t="s">
        <v>11722</v>
      </c>
      <c r="D1706" s="3">
        <v>6331</v>
      </c>
      <c r="E1706" s="1" t="s">
        <v>517</v>
      </c>
      <c r="F1706" s="1" t="s">
        <v>11723</v>
      </c>
      <c r="G1706" s="1" t="s">
        <v>2371</v>
      </c>
      <c r="H1706" s="4">
        <v>0.84499999999999997</v>
      </c>
      <c r="I1706" s="4">
        <v>6.5</v>
      </c>
      <c r="J1706" s="5">
        <v>115.09999999999999</v>
      </c>
      <c r="K1706" s="4">
        <v>13</v>
      </c>
      <c r="L1706" s="1" t="s">
        <v>46</v>
      </c>
      <c r="M1706" s="1" t="s">
        <v>47</v>
      </c>
      <c r="N1706" s="1" t="s">
        <v>11724</v>
      </c>
      <c r="O1706" s="1" t="s">
        <v>48</v>
      </c>
      <c r="P1706" s="1" t="s">
        <v>11725</v>
      </c>
      <c r="Q1706" s="1" t="s">
        <v>145</v>
      </c>
      <c r="R1706" s="1" t="s">
        <v>145</v>
      </c>
      <c r="S1706" s="6">
        <v>3.4615399999999998</v>
      </c>
      <c r="T1706" s="1" t="s">
        <v>50</v>
      </c>
      <c r="U1706" s="1"/>
      <c r="V1706" s="1"/>
      <c r="W1706" s="7">
        <v>8850000</v>
      </c>
      <c r="X1706" s="5">
        <v>100</v>
      </c>
      <c r="Y1706" s="7">
        <v>6000000</v>
      </c>
      <c r="Z1706" s="7">
        <v>2850000</v>
      </c>
      <c r="AA1706" s="1" t="s">
        <v>11726</v>
      </c>
      <c r="AB1706" s="1" t="s">
        <v>11727</v>
      </c>
      <c r="AC1706" s="1" t="s">
        <v>7759</v>
      </c>
      <c r="AD1706" s="1" t="s">
        <v>11728</v>
      </c>
      <c r="AE1706" s="1" t="s">
        <v>51</v>
      </c>
      <c r="AF1706" s="1" t="s">
        <v>51</v>
      </c>
      <c r="AG1706" s="1" t="s">
        <v>51</v>
      </c>
      <c r="AH1706" s="1"/>
      <c r="AI1706" s="1"/>
      <c r="AJ1706" s="3">
        <v>1</v>
      </c>
      <c r="AK1706" s="1" t="s">
        <v>52</v>
      </c>
      <c r="AL1706" s="3">
        <v>2</v>
      </c>
      <c r="AM1706" s="8">
        <v>13</v>
      </c>
      <c r="AN1706" s="1"/>
      <c r="AO1706" s="1" t="s">
        <v>11729</v>
      </c>
      <c r="AP1706" s="1" t="s">
        <v>2371</v>
      </c>
      <c r="AQ1706" s="1" t="s">
        <v>11730</v>
      </c>
      <c r="AR1706" s="1" t="s">
        <v>11731</v>
      </c>
    </row>
    <row r="1707">
      <c r="A1707" s="2">
        <f ca="1">DATE(2005,12,02)</f>
        <v>0</v>
      </c>
      <c r="B1707" s="2">
        <f ca="1">DATE(2005,12,21)</f>
        <v>0</v>
      </c>
      <c r="C1707" s="1" t="s">
        <v>11732</v>
      </c>
      <c r="D1707" s="3">
        <v>2834</v>
      </c>
      <c r="E1707" s="1" t="s">
        <v>43</v>
      </c>
      <c r="F1707" s="1" t="s">
        <v>11733</v>
      </c>
      <c r="G1707" s="1" t="s">
        <v>3766</v>
      </c>
      <c r="H1707" s="1" t="s">
        <v>57</v>
      </c>
      <c r="I1707" s="1" t="s">
        <v>57</v>
      </c>
      <c r="J1707" s="5">
        <v>45</v>
      </c>
      <c r="K1707" s="4">
        <v>10</v>
      </c>
      <c r="L1707" s="1" t="s">
        <v>46</v>
      </c>
      <c r="M1707" s="1" t="s">
        <v>47</v>
      </c>
      <c r="N1707" s="1" t="s">
        <v>11734</v>
      </c>
      <c r="O1707" s="1" t="s">
        <v>48</v>
      </c>
      <c r="P1707" s="1" t="s">
        <v>11735</v>
      </c>
      <c r="Q1707" s="1"/>
      <c r="R1707" s="1"/>
      <c r="S1707" s="1"/>
      <c r="T1707" s="1" t="s">
        <v>50</v>
      </c>
      <c r="U1707" s="8">
        <v>14</v>
      </c>
      <c r="V1707" s="8">
        <v>12</v>
      </c>
      <c r="W1707" s="7">
        <v>5770000</v>
      </c>
      <c r="X1707" s="5">
        <v>75</v>
      </c>
      <c r="Y1707" s="7">
        <v>4500000</v>
      </c>
      <c r="Z1707" s="1"/>
      <c r="AA1707" s="1"/>
      <c r="AB1707" s="1"/>
      <c r="AC1707" s="1"/>
      <c r="AD1707" s="1"/>
      <c r="AE1707" s="1" t="s">
        <v>51</v>
      </c>
      <c r="AF1707" s="1" t="s">
        <v>51</v>
      </c>
      <c r="AG1707" s="1" t="s">
        <v>51</v>
      </c>
      <c r="AH1707" s="1"/>
      <c r="AI1707" s="1"/>
      <c r="AJ1707" s="3">
        <v>1</v>
      </c>
      <c r="AK1707" s="1" t="s">
        <v>52</v>
      </c>
      <c r="AL1707" s="3">
        <v>4</v>
      </c>
      <c r="AM1707" s="8">
        <v>10</v>
      </c>
      <c r="AN1707" s="1"/>
      <c r="AO1707" s="1" t="s">
        <v>11736</v>
      </c>
      <c r="AP1707" s="1" t="s">
        <v>3766</v>
      </c>
      <c r="AQ1707" s="1" t="s">
        <v>11737</v>
      </c>
      <c r="AR1707" s="1" t="s">
        <v>11735</v>
      </c>
    </row>
    <row r="1708">
      <c r="A1708" s="2">
        <f ca="1">DATE(2005,09,09)</f>
        <v>0</v>
      </c>
      <c r="B1708" s="2">
        <f ca="1">DATE(2005,12,22)</f>
        <v>0</v>
      </c>
      <c r="C1708" s="1" t="s">
        <v>11738</v>
      </c>
      <c r="D1708" s="3">
        <v>6726</v>
      </c>
      <c r="E1708" s="1" t="s">
        <v>43</v>
      </c>
      <c r="F1708" s="1" t="s">
        <v>11739</v>
      </c>
      <c r="G1708" s="1" t="s">
        <v>45</v>
      </c>
      <c r="H1708" s="4">
        <v>0.90000000000000002</v>
      </c>
      <c r="I1708" s="4">
        <v>4.5</v>
      </c>
      <c r="J1708" s="5">
        <v>193</v>
      </c>
      <c r="K1708" s="4">
        <v>20</v>
      </c>
      <c r="L1708" s="1" t="s">
        <v>46</v>
      </c>
      <c r="M1708" s="1" t="s">
        <v>47</v>
      </c>
      <c r="N1708" s="3">
        <v>867038101</v>
      </c>
      <c r="O1708" s="1" t="s">
        <v>108</v>
      </c>
      <c r="P1708" s="1" t="s">
        <v>4331</v>
      </c>
      <c r="Q1708" s="4">
        <v>1</v>
      </c>
      <c r="R1708" s="4">
        <v>0.5</v>
      </c>
      <c r="S1708" s="8">
        <v>3</v>
      </c>
      <c r="T1708" s="1" t="s">
        <v>50</v>
      </c>
      <c r="U1708" s="8">
        <v>20</v>
      </c>
      <c r="V1708" s="8">
        <v>20</v>
      </c>
      <c r="W1708" s="1"/>
      <c r="X1708" s="1"/>
      <c r="Y1708" s="7">
        <v>9650000</v>
      </c>
      <c r="Z1708" s="1"/>
      <c r="AA1708" s="1"/>
      <c r="AB1708" s="1"/>
      <c r="AC1708" s="1"/>
      <c r="AD1708" s="1"/>
      <c r="AE1708" s="1" t="s">
        <v>51</v>
      </c>
      <c r="AF1708" s="1" t="s">
        <v>51</v>
      </c>
      <c r="AG1708" s="1" t="s">
        <v>51</v>
      </c>
      <c r="AH1708" s="1"/>
      <c r="AI1708" s="1"/>
      <c r="AJ1708" s="3">
        <v>1</v>
      </c>
      <c r="AK1708" s="1" t="s">
        <v>52</v>
      </c>
      <c r="AL1708" s="3">
        <v>1</v>
      </c>
      <c r="AM1708" s="1"/>
      <c r="AN1708" s="1"/>
      <c r="AO1708" s="1" t="s">
        <v>45</v>
      </c>
      <c r="AP1708" s="1" t="s">
        <v>45</v>
      </c>
      <c r="AQ1708" s="1" t="s">
        <v>45</v>
      </c>
      <c r="AR1708" s="1" t="s">
        <v>786</v>
      </c>
    </row>
    <row r="1709">
      <c r="A1709" s="2">
        <f ca="1">DATE(2005,06,03)</f>
        <v>0</v>
      </c>
      <c r="B1709" s="2">
        <f ca="1">DATE(2006,01,12)</f>
        <v>0</v>
      </c>
      <c r="C1709" s="1" t="s">
        <v>11740</v>
      </c>
      <c r="D1709" s="3">
        <v>1311</v>
      </c>
      <c r="E1709" s="1" t="s">
        <v>43</v>
      </c>
      <c r="F1709" s="1" t="s">
        <v>11741</v>
      </c>
      <c r="G1709" s="1" t="s">
        <v>11742</v>
      </c>
      <c r="H1709" s="4">
        <v>1.47</v>
      </c>
      <c r="I1709" s="8">
        <v>7</v>
      </c>
      <c r="J1709" s="5">
        <v>246.80000000000001</v>
      </c>
      <c r="K1709" s="4">
        <v>21</v>
      </c>
      <c r="L1709" s="1" t="s">
        <v>5598</v>
      </c>
      <c r="M1709" s="1" t="s">
        <v>47</v>
      </c>
      <c r="N1709" s="3">
        <v>536020100</v>
      </c>
      <c r="O1709" s="1" t="s">
        <v>48</v>
      </c>
      <c r="P1709" s="1" t="s">
        <v>11743</v>
      </c>
      <c r="Q1709" s="4">
        <v>1.381</v>
      </c>
      <c r="R1709" s="4">
        <v>1.4290000000000001</v>
      </c>
      <c r="S1709" s="6">
        <v>4.19048</v>
      </c>
      <c r="T1709" s="1" t="s">
        <v>50</v>
      </c>
      <c r="U1709" s="8">
        <v>21</v>
      </c>
      <c r="V1709" s="8">
        <v>19</v>
      </c>
      <c r="W1709" s="7">
        <v>5510000</v>
      </c>
      <c r="X1709" s="5">
        <v>110.2</v>
      </c>
      <c r="Y1709" s="7">
        <v>11750000</v>
      </c>
      <c r="Z1709" s="1"/>
      <c r="AA1709" s="1" t="s">
        <v>11744</v>
      </c>
      <c r="AB1709" s="1" t="s">
        <v>5265</v>
      </c>
      <c r="AC1709" s="1" t="s">
        <v>7759</v>
      </c>
      <c r="AD1709" s="1" t="s">
        <v>5265</v>
      </c>
      <c r="AE1709" s="1" t="s">
        <v>51</v>
      </c>
      <c r="AF1709" s="1" t="s">
        <v>51</v>
      </c>
      <c r="AG1709" s="1" t="s">
        <v>51</v>
      </c>
      <c r="AH1709" s="1"/>
      <c r="AI1709" s="1"/>
      <c r="AJ1709" s="3">
        <v>2</v>
      </c>
      <c r="AK1709" s="1" t="s">
        <v>89</v>
      </c>
      <c r="AL1709" s="3">
        <v>6</v>
      </c>
      <c r="AM1709" s="8">
        <v>22</v>
      </c>
      <c r="AN1709" s="1"/>
      <c r="AO1709" s="1" t="s">
        <v>11745</v>
      </c>
      <c r="AP1709" s="1" t="s">
        <v>11746</v>
      </c>
      <c r="AQ1709" s="1" t="s">
        <v>11747</v>
      </c>
      <c r="AR1709" s="1" t="s">
        <v>11743</v>
      </c>
    </row>
    <row r="1710">
      <c r="A1710" s="2">
        <f ca="1">DATE(2005,09,27)</f>
        <v>0</v>
      </c>
      <c r="B1710" s="2">
        <f ca="1">DATE(2006,01,18)</f>
        <v>0</v>
      </c>
      <c r="C1710" s="1" t="s">
        <v>11748</v>
      </c>
      <c r="D1710" s="3">
        <v>2911</v>
      </c>
      <c r="E1710" s="1" t="s">
        <v>43</v>
      </c>
      <c r="F1710" s="1" t="s">
        <v>11749</v>
      </c>
      <c r="G1710" s="1" t="s">
        <v>11750</v>
      </c>
      <c r="H1710" s="4">
        <v>1.1399999999999999</v>
      </c>
      <c r="I1710" s="4">
        <v>6.7060000000000004</v>
      </c>
      <c r="J1710" s="5">
        <v>382.5</v>
      </c>
      <c r="K1710" s="4">
        <v>17</v>
      </c>
      <c r="L1710" s="1" t="s">
        <v>46</v>
      </c>
      <c r="M1710" s="1" t="s">
        <v>47</v>
      </c>
      <c r="N1710" s="3">
        <v>959319104</v>
      </c>
      <c r="O1710" s="1" t="s">
        <v>108</v>
      </c>
      <c r="P1710" s="1" t="s">
        <v>11751</v>
      </c>
      <c r="Q1710" s="1" t="s">
        <v>145</v>
      </c>
      <c r="R1710" s="1" t="s">
        <v>145</v>
      </c>
      <c r="S1710" s="8">
        <v>4.0499999999999998</v>
      </c>
      <c r="T1710" s="1" t="s">
        <v>50</v>
      </c>
      <c r="U1710" s="1"/>
      <c r="V1710" s="1"/>
      <c r="W1710" s="1"/>
      <c r="X1710" s="5">
        <v>200</v>
      </c>
      <c r="Y1710" s="7">
        <v>18750000</v>
      </c>
      <c r="Z1710" s="7">
        <v>3750000</v>
      </c>
      <c r="AA1710" s="1" t="s">
        <v>11752</v>
      </c>
      <c r="AB1710" s="1" t="s">
        <v>11753</v>
      </c>
      <c r="AC1710" s="1" t="s">
        <v>7759</v>
      </c>
      <c r="AD1710" s="1" t="s">
        <v>11754</v>
      </c>
      <c r="AE1710" s="1" t="s">
        <v>51</v>
      </c>
      <c r="AF1710" s="1" t="s">
        <v>51</v>
      </c>
      <c r="AG1710" s="1" t="s">
        <v>51</v>
      </c>
      <c r="AH1710" s="1"/>
      <c r="AI1710" s="1"/>
      <c r="AJ1710" s="3">
        <v>2</v>
      </c>
      <c r="AK1710" s="1" t="s">
        <v>89</v>
      </c>
      <c r="AL1710" s="3">
        <v>4</v>
      </c>
      <c r="AM1710" s="8">
        <v>18.59</v>
      </c>
      <c r="AN1710" s="1"/>
      <c r="AO1710" s="1" t="s">
        <v>11755</v>
      </c>
      <c r="AP1710" s="1" t="s">
        <v>11756</v>
      </c>
      <c r="AQ1710" s="1" t="s">
        <v>11757</v>
      </c>
      <c r="AR1710" s="1" t="s">
        <v>11758</v>
      </c>
    </row>
    <row r="1711">
      <c r="A1711" s="2">
        <f ca="1">DATE(2005,12,13)</f>
        <v>0</v>
      </c>
      <c r="B1711" s="2">
        <f ca="1">DATE(2006,01,19)</f>
        <v>0</v>
      </c>
      <c r="C1711" s="1" t="s">
        <v>11759</v>
      </c>
      <c r="D1711" s="3">
        <v>3743</v>
      </c>
      <c r="E1711" s="1" t="s">
        <v>43</v>
      </c>
      <c r="F1711" s="1" t="s">
        <v>11760</v>
      </c>
      <c r="G1711" s="1" t="s">
        <v>11761</v>
      </c>
      <c r="H1711" s="4">
        <v>1.47</v>
      </c>
      <c r="I1711" s="8">
        <v>7</v>
      </c>
      <c r="J1711" s="5">
        <v>178.5</v>
      </c>
      <c r="K1711" s="4">
        <v>21</v>
      </c>
      <c r="L1711" s="1" t="s">
        <v>46</v>
      </c>
      <c r="M1711" s="1" t="s">
        <v>47</v>
      </c>
      <c r="N1711" s="1" t="s">
        <v>11762</v>
      </c>
      <c r="O1711" s="1" t="s">
        <v>48</v>
      </c>
      <c r="P1711" s="1" t="s">
        <v>11763</v>
      </c>
      <c r="Q1711" s="1" t="s">
        <v>145</v>
      </c>
      <c r="R1711" s="1" t="s">
        <v>145</v>
      </c>
      <c r="S1711" s="6">
        <v>4.0476200000000002</v>
      </c>
      <c r="T1711" s="1" t="s">
        <v>50</v>
      </c>
      <c r="U1711" s="1"/>
      <c r="V1711" s="1"/>
      <c r="W1711" s="1"/>
      <c r="X1711" s="5">
        <v>150</v>
      </c>
      <c r="Y1711" s="7">
        <v>8500000</v>
      </c>
      <c r="Z1711" s="1"/>
      <c r="AA1711" s="1" t="s">
        <v>11764</v>
      </c>
      <c r="AB1711" s="1" t="s">
        <v>11765</v>
      </c>
      <c r="AC1711" s="1" t="s">
        <v>7759</v>
      </c>
      <c r="AD1711" s="1" t="s">
        <v>11766</v>
      </c>
      <c r="AE1711" s="1" t="s">
        <v>51</v>
      </c>
      <c r="AF1711" s="1" t="s">
        <v>51</v>
      </c>
      <c r="AG1711" s="1" t="s">
        <v>51</v>
      </c>
      <c r="AH1711" s="1"/>
      <c r="AI1711" s="1"/>
      <c r="AJ1711" s="3">
        <v>2</v>
      </c>
      <c r="AK1711" s="1" t="s">
        <v>89</v>
      </c>
      <c r="AL1711" s="3">
        <v>5</v>
      </c>
      <c r="AM1711" s="8">
        <v>22.960000000000001</v>
      </c>
      <c r="AN1711" s="1"/>
      <c r="AO1711" s="1" t="s">
        <v>11767</v>
      </c>
      <c r="AP1711" s="1" t="s">
        <v>11768</v>
      </c>
      <c r="AQ1711" s="1" t="s">
        <v>11769</v>
      </c>
      <c r="AR1711" s="1" t="s">
        <v>11763</v>
      </c>
    </row>
    <row r="1712">
      <c r="A1712" s="2">
        <f ca="1">DATE(2005,11,15)</f>
        <v>0</v>
      </c>
      <c r="B1712" s="2">
        <f ca="1">DATE(2006,01,19)</f>
        <v>0</v>
      </c>
      <c r="C1712" s="1" t="s">
        <v>11770</v>
      </c>
      <c r="D1712" s="3">
        <v>6726</v>
      </c>
      <c r="E1712" s="1" t="s">
        <v>43</v>
      </c>
      <c r="F1712" s="1"/>
      <c r="G1712" s="1" t="s">
        <v>2705</v>
      </c>
      <c r="H1712" s="4">
        <v>0.67500000000000004</v>
      </c>
      <c r="I1712" s="4">
        <v>4.5</v>
      </c>
      <c r="J1712" s="5">
        <v>405</v>
      </c>
      <c r="K1712" s="4">
        <v>15</v>
      </c>
      <c r="L1712" s="1" t="s">
        <v>46</v>
      </c>
      <c r="M1712" s="1" t="s">
        <v>47</v>
      </c>
      <c r="N1712" s="1" t="s">
        <v>11771</v>
      </c>
      <c r="O1712" s="1" t="s">
        <v>108</v>
      </c>
      <c r="P1712" s="1" t="s">
        <v>11772</v>
      </c>
      <c r="Q1712" s="1" t="s">
        <v>145</v>
      </c>
      <c r="R1712" s="1" t="s">
        <v>145</v>
      </c>
      <c r="S1712" s="8">
        <v>3</v>
      </c>
      <c r="T1712" s="1" t="s">
        <v>50</v>
      </c>
      <c r="U1712" s="8">
        <v>15</v>
      </c>
      <c r="V1712" s="8">
        <v>15</v>
      </c>
      <c r="W1712" s="7">
        <v>100000</v>
      </c>
      <c r="X1712" s="5">
        <v>1.5</v>
      </c>
      <c r="Y1712" s="7">
        <v>27000000</v>
      </c>
      <c r="Z1712" s="1"/>
      <c r="AA1712" s="2">
        <f ca="1">DATE(2006,07,18)</f>
        <v>0</v>
      </c>
      <c r="AB1712" s="1"/>
      <c r="AC1712" s="3">
        <v>180</v>
      </c>
      <c r="AD1712" s="1"/>
      <c r="AE1712" s="1" t="s">
        <v>51</v>
      </c>
      <c r="AF1712" s="1" t="s">
        <v>51</v>
      </c>
      <c r="AG1712" s="1" t="s">
        <v>51</v>
      </c>
      <c r="AH1712" s="1"/>
      <c r="AI1712" s="1"/>
      <c r="AJ1712" s="3">
        <v>1</v>
      </c>
      <c r="AK1712" s="1" t="s">
        <v>52</v>
      </c>
      <c r="AL1712" s="3">
        <v>8</v>
      </c>
      <c r="AM1712" s="8">
        <v>15.550000000000001</v>
      </c>
      <c r="AN1712" s="8">
        <v>15.550000000000001</v>
      </c>
      <c r="AO1712" s="1" t="s">
        <v>11773</v>
      </c>
      <c r="AP1712" s="1" t="s">
        <v>2705</v>
      </c>
      <c r="AQ1712" s="1" t="s">
        <v>11774</v>
      </c>
      <c r="AR1712" s="1" t="s">
        <v>11772</v>
      </c>
    </row>
    <row r="1713">
      <c r="A1713" s="2">
        <f ca="1">DATE(2005,07,13)</f>
        <v>0</v>
      </c>
      <c r="B1713" s="2">
        <f ca="1">DATE(2006,01,24)</f>
        <v>0</v>
      </c>
      <c r="C1713" s="1" t="s">
        <v>11775</v>
      </c>
      <c r="D1713" s="3">
        <v>6726</v>
      </c>
      <c r="E1713" s="1" t="s">
        <v>43</v>
      </c>
      <c r="F1713" s="1" t="s">
        <v>11776</v>
      </c>
      <c r="G1713" s="1" t="s">
        <v>11777</v>
      </c>
      <c r="H1713" s="4">
        <v>0.47999999999999998</v>
      </c>
      <c r="I1713" s="4">
        <v>6</v>
      </c>
      <c r="J1713" s="5">
        <v>29</v>
      </c>
      <c r="K1713" s="4">
        <v>8</v>
      </c>
      <c r="L1713" s="1" t="s">
        <v>46</v>
      </c>
      <c r="M1713" s="1" t="s">
        <v>47</v>
      </c>
      <c r="N1713" s="1"/>
      <c r="O1713" s="1" t="s">
        <v>77</v>
      </c>
      <c r="P1713" s="1" t="s">
        <v>11778</v>
      </c>
      <c r="Q1713" s="1" t="s">
        <v>145</v>
      </c>
      <c r="R1713" s="1" t="s">
        <v>145</v>
      </c>
      <c r="S1713" s="4">
        <v>2.375</v>
      </c>
      <c r="T1713" s="1" t="s">
        <v>50</v>
      </c>
      <c r="U1713" s="8">
        <v>8</v>
      </c>
      <c r="V1713" s="8">
        <v>8</v>
      </c>
      <c r="W1713" s="7">
        <v>12500000</v>
      </c>
      <c r="X1713" s="5">
        <v>100</v>
      </c>
      <c r="Y1713" s="7">
        <v>3625000</v>
      </c>
      <c r="Z1713" s="1"/>
      <c r="AA1713" s="2">
        <f ca="1">DATE(2006,06,23)</f>
        <v>0</v>
      </c>
      <c r="AB1713" s="4">
        <v>20</v>
      </c>
      <c r="AC1713" s="3">
        <v>150</v>
      </c>
      <c r="AD1713" s="8">
        <v>937500</v>
      </c>
      <c r="AE1713" s="1" t="s">
        <v>51</v>
      </c>
      <c r="AF1713" s="1" t="s">
        <v>51</v>
      </c>
      <c r="AG1713" s="1" t="s">
        <v>51</v>
      </c>
      <c r="AH1713" s="1"/>
      <c r="AI1713" s="1"/>
      <c r="AJ1713" s="3">
        <v>1</v>
      </c>
      <c r="AK1713" s="1" t="s">
        <v>52</v>
      </c>
      <c r="AL1713" s="3">
        <v>2</v>
      </c>
      <c r="AM1713" s="1"/>
      <c r="AN1713" s="1"/>
      <c r="AO1713" s="1" t="s">
        <v>11779</v>
      </c>
      <c r="AP1713" s="1" t="s">
        <v>11777</v>
      </c>
      <c r="AQ1713" s="1" t="s">
        <v>11780</v>
      </c>
      <c r="AR1713" s="1" t="s">
        <v>11781</v>
      </c>
    </row>
    <row r="1714">
      <c r="A1714" s="2">
        <f ca="1">DATE(2005,10,07)</f>
        <v>0</v>
      </c>
      <c r="B1714" s="2">
        <f ca="1">DATE(2006,01,25)</f>
        <v>0</v>
      </c>
      <c r="C1714" s="1" t="s">
        <v>11782</v>
      </c>
      <c r="D1714" s="3">
        <v>2911</v>
      </c>
      <c r="E1714" s="1" t="s">
        <v>43</v>
      </c>
      <c r="F1714" s="1" t="s">
        <v>11783</v>
      </c>
      <c r="G1714" s="1" t="s">
        <v>160</v>
      </c>
      <c r="H1714" s="4">
        <v>1.3</v>
      </c>
      <c r="I1714" s="4">
        <v>6.0469999999999997</v>
      </c>
      <c r="J1714" s="5">
        <v>122.5</v>
      </c>
      <c r="K1714" s="4">
        <v>21.5</v>
      </c>
      <c r="L1714" s="1" t="s">
        <v>85</v>
      </c>
      <c r="M1714" s="1" t="s">
        <v>47</v>
      </c>
      <c r="N1714" s="3">
        <v>131476103</v>
      </c>
      <c r="O1714" s="1" t="s">
        <v>48</v>
      </c>
      <c r="P1714" s="1" t="s">
        <v>11784</v>
      </c>
      <c r="Q1714" s="4">
        <v>1.256</v>
      </c>
      <c r="R1714" s="4">
        <v>1</v>
      </c>
      <c r="S1714" s="6">
        <v>3.8605100000000001</v>
      </c>
      <c r="T1714" s="1" t="s">
        <v>50</v>
      </c>
      <c r="U1714" s="1"/>
      <c r="V1714" s="1"/>
      <c r="W1714" s="7">
        <v>6400000</v>
      </c>
      <c r="X1714" s="1"/>
      <c r="Y1714" s="7">
        <v>5699900</v>
      </c>
      <c r="Z1714" s="1"/>
      <c r="AA1714" s="1" t="s">
        <v>11785</v>
      </c>
      <c r="AB1714" s="1" t="s">
        <v>5265</v>
      </c>
      <c r="AC1714" s="1" t="s">
        <v>7759</v>
      </c>
      <c r="AD1714" s="1" t="s">
        <v>5265</v>
      </c>
      <c r="AE1714" s="1" t="s">
        <v>51</v>
      </c>
      <c r="AF1714" s="1" t="s">
        <v>51</v>
      </c>
      <c r="AG1714" s="1" t="s">
        <v>51</v>
      </c>
      <c r="AH1714" s="1"/>
      <c r="AI1714" s="1"/>
      <c r="AJ1714" s="3">
        <v>1</v>
      </c>
      <c r="AK1714" s="1" t="s">
        <v>52</v>
      </c>
      <c r="AL1714" s="3">
        <v>4</v>
      </c>
      <c r="AM1714" s="8">
        <v>21.75</v>
      </c>
      <c r="AN1714" s="1"/>
      <c r="AO1714" s="1" t="s">
        <v>11786</v>
      </c>
      <c r="AP1714" s="1" t="s">
        <v>160</v>
      </c>
      <c r="AQ1714" s="1" t="s">
        <v>11787</v>
      </c>
      <c r="AR1714" s="1" t="s">
        <v>11788</v>
      </c>
    </row>
    <row r="1715">
      <c r="A1715" s="2">
        <f ca="1">DATE(2005,10,24)</f>
        <v>0</v>
      </c>
      <c r="B1715" s="2">
        <f ca="1">DATE(2006,01,25)</f>
        <v>0</v>
      </c>
      <c r="C1715" s="1" t="s">
        <v>11789</v>
      </c>
      <c r="D1715" s="3">
        <v>5812</v>
      </c>
      <c r="E1715" s="1" t="s">
        <v>43</v>
      </c>
      <c r="F1715" s="1" t="s">
        <v>11790</v>
      </c>
      <c r="G1715" s="1" t="s">
        <v>11791</v>
      </c>
      <c r="H1715" s="4">
        <v>1.54</v>
      </c>
      <c r="I1715" s="4">
        <v>7</v>
      </c>
      <c r="J1715" s="5">
        <v>173.30000000000001</v>
      </c>
      <c r="K1715" s="4">
        <v>22</v>
      </c>
      <c r="L1715" s="1" t="s">
        <v>152</v>
      </c>
      <c r="M1715" s="1" t="s">
        <v>47</v>
      </c>
      <c r="N1715" s="3">
        <v>169656105</v>
      </c>
      <c r="O1715" s="1" t="s">
        <v>108</v>
      </c>
      <c r="P1715" s="1" t="s">
        <v>11792</v>
      </c>
      <c r="Q1715" s="1" t="s">
        <v>145</v>
      </c>
      <c r="R1715" s="1" t="s">
        <v>145</v>
      </c>
      <c r="S1715" s="6">
        <v>4.1818200000000001</v>
      </c>
      <c r="T1715" s="1" t="s">
        <v>50</v>
      </c>
      <c r="U1715" s="1"/>
      <c r="V1715" s="1"/>
      <c r="W1715" s="1"/>
      <c r="X1715" s="5">
        <v>100</v>
      </c>
      <c r="Y1715" s="7">
        <v>6060606</v>
      </c>
      <c r="Z1715" s="7">
        <v>1818182</v>
      </c>
      <c r="AA1715" s="1" t="s">
        <v>11785</v>
      </c>
      <c r="AB1715" s="1" t="s">
        <v>11793</v>
      </c>
      <c r="AC1715" s="1" t="s">
        <v>7759</v>
      </c>
      <c r="AD1715" s="1" t="s">
        <v>11794</v>
      </c>
      <c r="AE1715" s="1" t="s">
        <v>51</v>
      </c>
      <c r="AF1715" s="1" t="s">
        <v>51</v>
      </c>
      <c r="AG1715" s="1" t="s">
        <v>47</v>
      </c>
      <c r="AH1715" s="1" t="s">
        <v>11795</v>
      </c>
      <c r="AI1715" s="1" t="s">
        <v>11796</v>
      </c>
      <c r="AJ1715" s="3">
        <v>2</v>
      </c>
      <c r="AK1715" s="1" t="s">
        <v>89</v>
      </c>
      <c r="AL1715" s="3">
        <v>10</v>
      </c>
      <c r="AM1715" s="8">
        <v>44</v>
      </c>
      <c r="AN1715" s="1"/>
      <c r="AO1715" s="1" t="s">
        <v>11797</v>
      </c>
      <c r="AP1715" s="1" t="s">
        <v>11798</v>
      </c>
      <c r="AQ1715" s="1" t="s">
        <v>11799</v>
      </c>
      <c r="AR1715" s="1" t="s">
        <v>11800</v>
      </c>
    </row>
    <row r="1716">
      <c r="A1716" s="2">
        <f ca="1">DATE(2005,08,05)</f>
        <v>0</v>
      </c>
      <c r="B1716" s="2">
        <f ca="1">DATE(2006,01,25)</f>
        <v>0</v>
      </c>
      <c r="C1716" s="1" t="s">
        <v>11801</v>
      </c>
      <c r="D1716" s="3">
        <v>6282</v>
      </c>
      <c r="E1716" s="1" t="s">
        <v>43</v>
      </c>
      <c r="F1716" s="1" t="s">
        <v>11802</v>
      </c>
      <c r="G1716" s="1" t="s">
        <v>11331</v>
      </c>
      <c r="H1716" s="4">
        <v>0.40999999999999998</v>
      </c>
      <c r="I1716" s="4">
        <v>6.8330000000000002</v>
      </c>
      <c r="J1716" s="5">
        <v>40.399999999999999</v>
      </c>
      <c r="K1716" s="4">
        <v>6</v>
      </c>
      <c r="L1716" s="1" t="s">
        <v>46</v>
      </c>
      <c r="M1716" s="1" t="s">
        <v>47</v>
      </c>
      <c r="N1716" s="1" t="s">
        <v>11803</v>
      </c>
      <c r="O1716" s="1" t="s">
        <v>77</v>
      </c>
      <c r="P1716" s="1" t="s">
        <v>11804</v>
      </c>
      <c r="Q1716" s="1" t="s">
        <v>145</v>
      </c>
      <c r="R1716" s="1" t="s">
        <v>145</v>
      </c>
      <c r="S1716" s="6">
        <v>2.6666699999999999</v>
      </c>
      <c r="T1716" s="1" t="s">
        <v>50</v>
      </c>
      <c r="U1716" s="8">
        <v>6</v>
      </c>
      <c r="V1716" s="8">
        <v>6</v>
      </c>
      <c r="W1716" s="7">
        <v>6000000</v>
      </c>
      <c r="X1716" s="5">
        <v>36</v>
      </c>
      <c r="Y1716" s="7">
        <v>6733333</v>
      </c>
      <c r="Z1716" s="1"/>
      <c r="AA1716" s="1" t="s">
        <v>11805</v>
      </c>
      <c r="AB1716" s="1" t="s">
        <v>11806</v>
      </c>
      <c r="AC1716" s="1" t="s">
        <v>11807</v>
      </c>
      <c r="AD1716" s="1" t="s">
        <v>11808</v>
      </c>
      <c r="AE1716" s="1" t="s">
        <v>51</v>
      </c>
      <c r="AF1716" s="1" t="s">
        <v>51</v>
      </c>
      <c r="AG1716" s="1" t="s">
        <v>51</v>
      </c>
      <c r="AH1716" s="1"/>
      <c r="AI1716" s="1"/>
      <c r="AJ1716" s="3">
        <v>1</v>
      </c>
      <c r="AK1716" s="1" t="s">
        <v>52</v>
      </c>
      <c r="AL1716" s="3">
        <v>2</v>
      </c>
      <c r="AM1716" s="1"/>
      <c r="AN1716" s="1"/>
      <c r="AO1716" s="1" t="s">
        <v>11809</v>
      </c>
      <c r="AP1716" s="1" t="s">
        <v>11331</v>
      </c>
      <c r="AQ1716" s="1" t="s">
        <v>11810</v>
      </c>
      <c r="AR1716" s="1" t="s">
        <v>11804</v>
      </c>
    </row>
    <row r="1717">
      <c r="A1717" s="2">
        <f ca="1">DATE(2005,08,30)</f>
        <v>0</v>
      </c>
      <c r="B1717" s="2">
        <f ca="1">DATE(2006,01,25)</f>
        <v>0</v>
      </c>
      <c r="C1717" s="1" t="s">
        <v>11811</v>
      </c>
      <c r="D1717" s="3">
        <v>7375</v>
      </c>
      <c r="E1717" s="1" t="s">
        <v>43</v>
      </c>
      <c r="F1717" s="1" t="s">
        <v>11812</v>
      </c>
      <c r="G1717" s="1" t="s">
        <v>1624</v>
      </c>
      <c r="H1717" s="4">
        <v>0.71999999999999997</v>
      </c>
      <c r="I1717" s="4">
        <v>6</v>
      </c>
      <c r="J1717" s="5">
        <v>78.599999999999994</v>
      </c>
      <c r="K1717" s="4">
        <v>12</v>
      </c>
      <c r="L1717" s="1" t="s">
        <v>46</v>
      </c>
      <c r="M1717" s="1" t="s">
        <v>47</v>
      </c>
      <c r="N1717" s="3">
        <v>892717109</v>
      </c>
      <c r="O1717" s="1" t="s">
        <v>48</v>
      </c>
      <c r="P1717" s="1" t="s">
        <v>11813</v>
      </c>
      <c r="Q1717" s="1" t="s">
        <v>145</v>
      </c>
      <c r="R1717" s="1" t="s">
        <v>145</v>
      </c>
      <c r="S1717" s="8">
        <v>2.3999999999999999</v>
      </c>
      <c r="T1717" s="1" t="s">
        <v>50</v>
      </c>
      <c r="U1717" s="1"/>
      <c r="V1717" s="1"/>
      <c r="W1717" s="1"/>
      <c r="X1717" s="5">
        <v>86.299999999999997</v>
      </c>
      <c r="Y1717" s="7">
        <v>6550000</v>
      </c>
      <c r="Z1717" s="1"/>
      <c r="AA1717" s="1" t="s">
        <v>11785</v>
      </c>
      <c r="AB1717" s="1" t="s">
        <v>11814</v>
      </c>
      <c r="AC1717" s="1" t="s">
        <v>7759</v>
      </c>
      <c r="AD1717" s="1" t="s">
        <v>11815</v>
      </c>
      <c r="AE1717" s="1" t="s">
        <v>51</v>
      </c>
      <c r="AF1717" s="1" t="s">
        <v>51</v>
      </c>
      <c r="AG1717" s="1" t="s">
        <v>47</v>
      </c>
      <c r="AH1717" s="1"/>
      <c r="AI1717" s="1"/>
      <c r="AJ1717" s="3">
        <v>1</v>
      </c>
      <c r="AK1717" s="1" t="s">
        <v>52</v>
      </c>
      <c r="AL1717" s="3">
        <v>2</v>
      </c>
      <c r="AM1717" s="8">
        <v>12.15</v>
      </c>
      <c r="AN1717" s="1"/>
      <c r="AO1717" s="1" t="s">
        <v>11816</v>
      </c>
      <c r="AP1717" s="1" t="s">
        <v>1624</v>
      </c>
      <c r="AQ1717" s="1" t="s">
        <v>11817</v>
      </c>
      <c r="AR1717" s="1" t="s">
        <v>11813</v>
      </c>
    </row>
    <row r="1718">
      <c r="A1718" s="2">
        <f ca="1">DATE(2005,10,14)</f>
        <v>0</v>
      </c>
      <c r="B1718" s="2">
        <f ca="1">DATE(2006,01,26)</f>
        <v>0</v>
      </c>
      <c r="C1718" s="1" t="s">
        <v>11818</v>
      </c>
      <c r="D1718" s="3">
        <v>2836</v>
      </c>
      <c r="E1718" s="1" t="s">
        <v>43</v>
      </c>
      <c r="F1718" s="1" t="s">
        <v>11819</v>
      </c>
      <c r="G1718" s="1" t="s">
        <v>4823</v>
      </c>
      <c r="H1718" s="4">
        <v>1.05</v>
      </c>
      <c r="I1718" s="4">
        <v>7</v>
      </c>
      <c r="J1718" s="5">
        <v>105</v>
      </c>
      <c r="K1718" s="4">
        <v>15</v>
      </c>
      <c r="L1718" s="1" t="s">
        <v>46</v>
      </c>
      <c r="M1718" s="1" t="s">
        <v>47</v>
      </c>
      <c r="N1718" s="1" t="s">
        <v>11820</v>
      </c>
      <c r="O1718" s="1" t="s">
        <v>48</v>
      </c>
      <c r="P1718" s="1" t="s">
        <v>11821</v>
      </c>
      <c r="Q1718" s="4">
        <v>1.3999999999999999</v>
      </c>
      <c r="R1718" s="4">
        <v>1.3999999999999999</v>
      </c>
      <c r="S1718" s="8">
        <v>4.2000000000000002</v>
      </c>
      <c r="T1718" s="1" t="s">
        <v>50</v>
      </c>
      <c r="U1718" s="1"/>
      <c r="V1718" s="1"/>
      <c r="W1718" s="1"/>
      <c r="X1718" s="5">
        <v>115</v>
      </c>
      <c r="Y1718" s="7">
        <v>7000000</v>
      </c>
      <c r="Z1718" s="1"/>
      <c r="AA1718" s="1" t="s">
        <v>11822</v>
      </c>
      <c r="AB1718" s="1" t="s">
        <v>11823</v>
      </c>
      <c r="AC1718" s="1" t="s">
        <v>8611</v>
      </c>
      <c r="AD1718" s="1" t="s">
        <v>11824</v>
      </c>
      <c r="AE1718" s="1" t="s">
        <v>51</v>
      </c>
      <c r="AF1718" s="1" t="s">
        <v>51</v>
      </c>
      <c r="AG1718" s="1" t="s">
        <v>47</v>
      </c>
      <c r="AH1718" s="1"/>
      <c r="AI1718" s="1"/>
      <c r="AJ1718" s="3">
        <v>2</v>
      </c>
      <c r="AK1718" s="1" t="s">
        <v>89</v>
      </c>
      <c r="AL1718" s="3">
        <v>3</v>
      </c>
      <c r="AM1718" s="1"/>
      <c r="AN1718" s="1"/>
      <c r="AO1718" s="1" t="s">
        <v>11825</v>
      </c>
      <c r="AP1718" s="1" t="s">
        <v>4826</v>
      </c>
      <c r="AQ1718" s="1" t="s">
        <v>11826</v>
      </c>
      <c r="AR1718" s="1" t="s">
        <v>11827</v>
      </c>
    </row>
    <row r="1719">
      <c r="A1719" s="2">
        <f ca="1">DATE(2005,10,14)</f>
        <v>0</v>
      </c>
      <c r="B1719" s="2">
        <f ca="1">DATE(2006,01,30)</f>
        <v>0</v>
      </c>
      <c r="C1719" s="1" t="s">
        <v>11828</v>
      </c>
      <c r="D1719" s="3">
        <v>7359</v>
      </c>
      <c r="E1719" s="1" t="s">
        <v>43</v>
      </c>
      <c r="F1719" s="1" t="s">
        <v>11829</v>
      </c>
      <c r="G1719" s="1" t="s">
        <v>11830</v>
      </c>
      <c r="H1719" s="4">
        <v>1.26</v>
      </c>
      <c r="I1719" s="4">
        <v>7</v>
      </c>
      <c r="J1719" s="5">
        <v>196.90000000000001</v>
      </c>
      <c r="K1719" s="4">
        <v>18</v>
      </c>
      <c r="L1719" s="1" t="s">
        <v>46</v>
      </c>
      <c r="M1719" s="1" t="s">
        <v>47</v>
      </c>
      <c r="N1719" s="3">
        <v>404030108</v>
      </c>
      <c r="O1719" s="1" t="s">
        <v>48</v>
      </c>
      <c r="P1719" s="1" t="s">
        <v>11831</v>
      </c>
      <c r="Q1719" s="4">
        <v>1.3999999999999999</v>
      </c>
      <c r="R1719" s="4">
        <v>1.3999999999999999</v>
      </c>
      <c r="S1719" s="8">
        <v>4.2000000000000002</v>
      </c>
      <c r="T1719" s="1" t="s">
        <v>50</v>
      </c>
      <c r="U1719" s="1"/>
      <c r="V1719" s="1"/>
      <c r="W1719" s="1"/>
      <c r="X1719" s="5">
        <v>201.30000000000001</v>
      </c>
      <c r="Y1719" s="7">
        <v>10937500</v>
      </c>
      <c r="Z1719" s="1"/>
      <c r="AA1719" s="1" t="s">
        <v>11832</v>
      </c>
      <c r="AB1719" s="1" t="s">
        <v>11833</v>
      </c>
      <c r="AC1719" s="1" t="s">
        <v>7759</v>
      </c>
      <c r="AD1719" s="1" t="s">
        <v>11834</v>
      </c>
      <c r="AE1719" s="1" t="s">
        <v>51</v>
      </c>
      <c r="AF1719" s="1" t="s">
        <v>51</v>
      </c>
      <c r="AG1719" s="1" t="s">
        <v>51</v>
      </c>
      <c r="AH1719" s="1"/>
      <c r="AI1719" s="1"/>
      <c r="AJ1719" s="3">
        <v>2</v>
      </c>
      <c r="AK1719" s="1" t="s">
        <v>89</v>
      </c>
      <c r="AL1719" s="3">
        <v>5</v>
      </c>
      <c r="AM1719" s="8">
        <v>23.100000000000001</v>
      </c>
      <c r="AN1719" s="1"/>
      <c r="AO1719" s="1" t="s">
        <v>11835</v>
      </c>
      <c r="AP1719" s="1" t="s">
        <v>11836</v>
      </c>
      <c r="AQ1719" s="1" t="s">
        <v>11837</v>
      </c>
      <c r="AR1719" s="1" t="s">
        <v>11838</v>
      </c>
    </row>
    <row r="1720">
      <c r="A1720" s="2">
        <f ca="1">DATE(2005,09,15)</f>
        <v>0</v>
      </c>
      <c r="B1720" s="2">
        <f ca="1">DATE(2006,01,30)</f>
        <v>0</v>
      </c>
      <c r="C1720" s="1" t="s">
        <v>11839</v>
      </c>
      <c r="D1720" s="3">
        <v>1311</v>
      </c>
      <c r="E1720" s="1" t="s">
        <v>43</v>
      </c>
      <c r="F1720" s="1" t="s">
        <v>11840</v>
      </c>
      <c r="G1720" s="1" t="s">
        <v>11841</v>
      </c>
      <c r="H1720" s="4">
        <v>1.2130000000000001</v>
      </c>
      <c r="I1720" s="4">
        <v>6.0629999999999997</v>
      </c>
      <c r="J1720" s="5">
        <v>275</v>
      </c>
      <c r="K1720" s="4">
        <v>20</v>
      </c>
      <c r="L1720" s="1" t="s">
        <v>85</v>
      </c>
      <c r="M1720" s="1" t="s">
        <v>47</v>
      </c>
      <c r="N1720" s="1" t="s">
        <v>11842</v>
      </c>
      <c r="O1720" s="1" t="s">
        <v>48</v>
      </c>
      <c r="P1720" s="1" t="s">
        <v>11843</v>
      </c>
      <c r="Q1720" s="4">
        <v>1.208</v>
      </c>
      <c r="R1720" s="4">
        <v>1.208</v>
      </c>
      <c r="S1720" s="8">
        <v>3.6499999999999999</v>
      </c>
      <c r="T1720" s="1" t="s">
        <v>50</v>
      </c>
      <c r="U1720" s="1"/>
      <c r="V1720" s="1"/>
      <c r="W1720" s="7">
        <v>12000000</v>
      </c>
      <c r="X1720" s="1"/>
      <c r="Y1720" s="7">
        <v>13750000</v>
      </c>
      <c r="Z1720" s="1"/>
      <c r="AA1720" s="1" t="s">
        <v>11832</v>
      </c>
      <c r="AB1720" s="1" t="s">
        <v>5265</v>
      </c>
      <c r="AC1720" s="1" t="s">
        <v>7759</v>
      </c>
      <c r="AD1720" s="1" t="s">
        <v>5265</v>
      </c>
      <c r="AE1720" s="1" t="s">
        <v>51</v>
      </c>
      <c r="AF1720" s="1" t="s">
        <v>51</v>
      </c>
      <c r="AG1720" s="1" t="s">
        <v>51</v>
      </c>
      <c r="AH1720" s="1"/>
      <c r="AI1720" s="1"/>
      <c r="AJ1720" s="3">
        <v>2</v>
      </c>
      <c r="AK1720" s="1" t="s">
        <v>89</v>
      </c>
      <c r="AL1720" s="3">
        <v>6</v>
      </c>
      <c r="AM1720" s="8">
        <v>19.809999999999999</v>
      </c>
      <c r="AN1720" s="1"/>
      <c r="AO1720" s="1" t="s">
        <v>11844</v>
      </c>
      <c r="AP1720" s="1" t="s">
        <v>11845</v>
      </c>
      <c r="AQ1720" s="1" t="s">
        <v>11846</v>
      </c>
      <c r="AR1720" s="1" t="s">
        <v>11843</v>
      </c>
    </row>
    <row r="1721">
      <c r="A1721" s="2">
        <f ca="1">DATE(2005,10,25)</f>
        <v>0</v>
      </c>
      <c r="B1721" s="2">
        <f ca="1">DATE(2006,01,30)</f>
        <v>0</v>
      </c>
      <c r="C1721" s="1" t="s">
        <v>11847</v>
      </c>
      <c r="D1721" s="3">
        <v>7372</v>
      </c>
      <c r="E1721" s="1" t="s">
        <v>934</v>
      </c>
      <c r="F1721" s="1" t="s">
        <v>11848</v>
      </c>
      <c r="G1721" s="1" t="s">
        <v>10277</v>
      </c>
      <c r="H1721" s="4">
        <v>0.59999999999999998</v>
      </c>
      <c r="I1721" s="4">
        <v>8</v>
      </c>
      <c r="J1721" s="5">
        <v>18.800000000000001</v>
      </c>
      <c r="K1721" s="4">
        <v>7.5</v>
      </c>
      <c r="L1721" s="1" t="s">
        <v>1057</v>
      </c>
      <c r="M1721" s="1" t="s">
        <v>47</v>
      </c>
      <c r="N1721" s="1" t="s">
        <v>11849</v>
      </c>
      <c r="O1721" s="1" t="s">
        <v>48</v>
      </c>
      <c r="P1721" s="1" t="s">
        <v>11850</v>
      </c>
      <c r="Q1721" s="1" t="s">
        <v>145</v>
      </c>
      <c r="R1721" s="1" t="s">
        <v>145</v>
      </c>
      <c r="S1721" s="8">
        <v>4</v>
      </c>
      <c r="T1721" s="1" t="s">
        <v>50</v>
      </c>
      <c r="U1721" s="8">
        <v>8</v>
      </c>
      <c r="V1721" s="8">
        <v>6</v>
      </c>
      <c r="W1721" s="7">
        <v>2500000</v>
      </c>
      <c r="X1721" s="5">
        <v>17.5</v>
      </c>
      <c r="Y1721" s="7">
        <v>2500000</v>
      </c>
      <c r="Z1721" s="1"/>
      <c r="AA1721" s="1" t="s">
        <v>11851</v>
      </c>
      <c r="AB1721" s="1" t="s">
        <v>11852</v>
      </c>
      <c r="AC1721" s="1" t="s">
        <v>11853</v>
      </c>
      <c r="AD1721" s="1" t="s">
        <v>11854</v>
      </c>
      <c r="AE1721" s="1" t="s">
        <v>51</v>
      </c>
      <c r="AF1721" s="1" t="s">
        <v>51</v>
      </c>
      <c r="AG1721" s="1" t="s">
        <v>51</v>
      </c>
      <c r="AH1721" s="1"/>
      <c r="AI1721" s="1"/>
      <c r="AJ1721" s="3">
        <v>1</v>
      </c>
      <c r="AK1721" s="1" t="s">
        <v>52</v>
      </c>
      <c r="AL1721" s="3">
        <v>1</v>
      </c>
      <c r="AM1721" s="1"/>
      <c r="AN1721" s="1"/>
      <c r="AO1721" s="1" t="s">
        <v>11855</v>
      </c>
      <c r="AP1721" s="1" t="s">
        <v>10277</v>
      </c>
      <c r="AQ1721" s="1" t="s">
        <v>10277</v>
      </c>
      <c r="AR1721" s="1" t="s">
        <v>10678</v>
      </c>
    </row>
    <row r="1722">
      <c r="A1722" s="2">
        <f ca="1">DATE(2005,09,16)</f>
        <v>0</v>
      </c>
      <c r="B1722" s="2">
        <f ca="1">DATE(2006,01,31)</f>
        <v>0</v>
      </c>
      <c r="C1722" s="1" t="s">
        <v>11856</v>
      </c>
      <c r="D1722" s="3">
        <v>3999</v>
      </c>
      <c r="E1722" s="1" t="s">
        <v>43</v>
      </c>
      <c r="F1722" s="1" t="s">
        <v>11857</v>
      </c>
      <c r="G1722" s="1" t="s">
        <v>1624</v>
      </c>
      <c r="H1722" s="4">
        <v>0.40500000000000003</v>
      </c>
      <c r="I1722" s="4">
        <v>4.5</v>
      </c>
      <c r="J1722" s="5">
        <v>22.5</v>
      </c>
      <c r="K1722" s="4">
        <v>9</v>
      </c>
      <c r="L1722" s="1" t="s">
        <v>46</v>
      </c>
      <c r="M1722" s="1" t="s">
        <v>47</v>
      </c>
      <c r="N1722" s="1" t="s">
        <v>11858</v>
      </c>
      <c r="O1722" s="1" t="s">
        <v>48</v>
      </c>
      <c r="P1722" s="1" t="s">
        <v>3906</v>
      </c>
      <c r="Q1722" s="1" t="s">
        <v>145</v>
      </c>
      <c r="R1722" s="1" t="s">
        <v>145</v>
      </c>
      <c r="S1722" s="6">
        <v>1.7777799999999999</v>
      </c>
      <c r="T1722" s="1" t="s">
        <v>50</v>
      </c>
      <c r="U1722" s="8">
        <v>14</v>
      </c>
      <c r="V1722" s="8">
        <v>10</v>
      </c>
      <c r="W1722" s="7">
        <v>2500000</v>
      </c>
      <c r="X1722" s="5">
        <v>30</v>
      </c>
      <c r="Y1722" s="7">
        <v>2500000</v>
      </c>
      <c r="Z1722" s="1"/>
      <c r="AA1722" s="1" t="s">
        <v>11859</v>
      </c>
      <c r="AB1722" s="1" t="s">
        <v>11860</v>
      </c>
      <c r="AC1722" s="1" t="s">
        <v>11861</v>
      </c>
      <c r="AD1722" s="1" t="s">
        <v>11862</v>
      </c>
      <c r="AE1722" s="1" t="s">
        <v>51</v>
      </c>
      <c r="AF1722" s="1" t="s">
        <v>51</v>
      </c>
      <c r="AG1722" s="1" t="s">
        <v>51</v>
      </c>
      <c r="AH1722" s="1"/>
      <c r="AI1722" s="1"/>
      <c r="AJ1722" s="3">
        <v>1</v>
      </c>
      <c r="AK1722" s="1" t="s">
        <v>52</v>
      </c>
      <c r="AL1722" s="3">
        <v>1</v>
      </c>
      <c r="AM1722" s="8">
        <v>9.0500000000000007</v>
      </c>
      <c r="AN1722" s="1"/>
      <c r="AO1722" s="1" t="s">
        <v>1624</v>
      </c>
      <c r="AP1722" s="1" t="s">
        <v>1624</v>
      </c>
      <c r="AQ1722" s="1" t="s">
        <v>1624</v>
      </c>
      <c r="AR1722" s="1" t="s">
        <v>3906</v>
      </c>
    </row>
    <row r="1723">
      <c r="A1723" s="2">
        <f ca="1">DATE(2005,09,12)</f>
        <v>0</v>
      </c>
      <c r="B1723" s="2">
        <f ca="1">DATE(2006,01,31)</f>
        <v>0</v>
      </c>
      <c r="C1723" s="1" t="s">
        <v>11863</v>
      </c>
      <c r="D1723" s="3">
        <v>2491</v>
      </c>
      <c r="E1723" s="1" t="s">
        <v>43</v>
      </c>
      <c r="F1723" s="1" t="s">
        <v>11864</v>
      </c>
      <c r="G1723" s="1" t="s">
        <v>11830</v>
      </c>
      <c r="H1723" s="4">
        <v>0.19600000000000001</v>
      </c>
      <c r="I1723" s="4">
        <v>1.3999999999999999</v>
      </c>
      <c r="J1723" s="5">
        <v>140</v>
      </c>
      <c r="K1723" s="4">
        <v>14</v>
      </c>
      <c r="L1723" s="1" t="s">
        <v>46</v>
      </c>
      <c r="M1723" s="1" t="s">
        <v>47</v>
      </c>
      <c r="N1723" s="1" t="s">
        <v>11865</v>
      </c>
      <c r="O1723" s="1" t="s">
        <v>108</v>
      </c>
      <c r="P1723" s="1" t="s">
        <v>11866</v>
      </c>
      <c r="Q1723" s="1" t="s">
        <v>145</v>
      </c>
      <c r="R1723" s="1" t="s">
        <v>145</v>
      </c>
      <c r="S1723" s="8">
        <v>4.2000000000000002</v>
      </c>
      <c r="T1723" s="1" t="s">
        <v>50</v>
      </c>
      <c r="U1723" s="1"/>
      <c r="V1723" s="1"/>
      <c r="W1723" s="1"/>
      <c r="X1723" s="5">
        <v>125</v>
      </c>
      <c r="Y1723" s="7">
        <v>8700000</v>
      </c>
      <c r="Z1723" s="7">
        <v>1300000</v>
      </c>
      <c r="AA1723" s="1" t="s">
        <v>11867</v>
      </c>
      <c r="AB1723" s="1" t="s">
        <v>11868</v>
      </c>
      <c r="AC1723" s="1" t="s">
        <v>7759</v>
      </c>
      <c r="AD1723" s="1" t="s">
        <v>11869</v>
      </c>
      <c r="AE1723" s="1" t="s">
        <v>51</v>
      </c>
      <c r="AF1723" s="1" t="s">
        <v>51</v>
      </c>
      <c r="AG1723" s="1" t="s">
        <v>51</v>
      </c>
      <c r="AH1723" s="1"/>
      <c r="AI1723" s="1"/>
      <c r="AJ1723" s="3">
        <v>2</v>
      </c>
      <c r="AK1723" s="1" t="s">
        <v>89</v>
      </c>
      <c r="AL1723" s="3">
        <v>5</v>
      </c>
      <c r="AM1723" s="8">
        <v>15.75</v>
      </c>
      <c r="AN1723" s="1"/>
      <c r="AO1723" s="1" t="s">
        <v>11870</v>
      </c>
      <c r="AP1723" s="1" t="s">
        <v>11836</v>
      </c>
      <c r="AQ1723" s="1" t="s">
        <v>11871</v>
      </c>
      <c r="AR1723" s="1" t="s">
        <v>11872</v>
      </c>
    </row>
    <row r="1724">
      <c r="A1724" s="2">
        <f ca="1">DATE(2005,09,02)</f>
        <v>0</v>
      </c>
      <c r="B1724" s="2">
        <f ca="1">DATE(2006,01,31)</f>
        <v>0</v>
      </c>
      <c r="C1724" s="1" t="s">
        <v>11873</v>
      </c>
      <c r="D1724" s="3">
        <v>2836</v>
      </c>
      <c r="E1724" s="1" t="s">
        <v>43</v>
      </c>
      <c r="F1724" s="1" t="s">
        <v>11874</v>
      </c>
      <c r="G1724" s="1" t="s">
        <v>8777</v>
      </c>
      <c r="H1724" s="4">
        <v>0.41999999999999998</v>
      </c>
      <c r="I1724" s="8">
        <v>7</v>
      </c>
      <c r="J1724" s="5">
        <v>24</v>
      </c>
      <c r="K1724" s="4">
        <v>6</v>
      </c>
      <c r="L1724" s="1" t="s">
        <v>46</v>
      </c>
      <c r="M1724" s="1" t="s">
        <v>47</v>
      </c>
      <c r="N1724" s="1" t="s">
        <v>11875</v>
      </c>
      <c r="O1724" s="1" t="s">
        <v>48</v>
      </c>
      <c r="P1724" s="1" t="s">
        <v>11876</v>
      </c>
      <c r="Q1724" s="1" t="s">
        <v>145</v>
      </c>
      <c r="R1724" s="1" t="s">
        <v>145</v>
      </c>
      <c r="S1724" s="6">
        <v>4.1666699999999999</v>
      </c>
      <c r="T1724" s="1" t="s">
        <v>50</v>
      </c>
      <c r="U1724" s="1"/>
      <c r="V1724" s="1"/>
      <c r="W1724" s="1"/>
      <c r="X1724" s="5">
        <v>80.5</v>
      </c>
      <c r="Y1724" s="7">
        <v>4000000</v>
      </c>
      <c r="Z1724" s="1"/>
      <c r="AA1724" s="1" t="s">
        <v>11867</v>
      </c>
      <c r="AB1724" s="1" t="s">
        <v>11877</v>
      </c>
      <c r="AC1724" s="1" t="s">
        <v>7759</v>
      </c>
      <c r="AD1724" s="1" t="s">
        <v>11878</v>
      </c>
      <c r="AE1724" s="1" t="s">
        <v>51</v>
      </c>
      <c r="AF1724" s="1" t="s">
        <v>51</v>
      </c>
      <c r="AG1724" s="1" t="s">
        <v>47</v>
      </c>
      <c r="AH1724" s="1"/>
      <c r="AI1724" s="1"/>
      <c r="AJ1724" s="3">
        <v>2</v>
      </c>
      <c r="AK1724" s="1" t="s">
        <v>89</v>
      </c>
      <c r="AL1724" s="3">
        <v>3</v>
      </c>
      <c r="AM1724" s="8">
        <v>6</v>
      </c>
      <c r="AN1724" s="1"/>
      <c r="AO1724" s="1" t="s">
        <v>11879</v>
      </c>
      <c r="AP1724" s="1" t="s">
        <v>8784</v>
      </c>
      <c r="AQ1724" s="1" t="s">
        <v>11880</v>
      </c>
      <c r="AR1724" s="1" t="s">
        <v>11881</v>
      </c>
    </row>
    <row r="1725">
      <c r="A1725" s="2">
        <f ca="1">DATE(2006,01,10)</f>
        <v>0</v>
      </c>
      <c r="B1725" s="2">
        <f ca="1">DATE(2006,01,31)</f>
        <v>0</v>
      </c>
      <c r="C1725" s="1" t="s">
        <v>11882</v>
      </c>
      <c r="D1725" s="3">
        <v>3312</v>
      </c>
      <c r="E1725" s="1" t="s">
        <v>210</v>
      </c>
      <c r="F1725" s="1" t="s">
        <v>11883</v>
      </c>
      <c r="G1725" s="1" t="s">
        <v>6201</v>
      </c>
      <c r="H1725" s="4">
        <v>0.55000000000000004</v>
      </c>
      <c r="I1725" s="4">
        <v>2.75</v>
      </c>
      <c r="J1725" s="5">
        <v>496.89999999999998</v>
      </c>
      <c r="K1725" s="8">
        <v>20</v>
      </c>
      <c r="L1725" s="1" t="s">
        <v>651</v>
      </c>
      <c r="M1725" s="1" t="s">
        <v>47</v>
      </c>
      <c r="N1725" s="3">
        <v>880890108</v>
      </c>
      <c r="O1725" s="1" t="s">
        <v>108</v>
      </c>
      <c r="P1725" s="1" t="s">
        <v>11884</v>
      </c>
      <c r="Q1725" s="4">
        <v>0.55000000000000004</v>
      </c>
      <c r="R1725" s="4">
        <v>0.55000000000000004</v>
      </c>
      <c r="S1725" s="8">
        <v>1.6499999999999999</v>
      </c>
      <c r="T1725" s="1" t="s">
        <v>60</v>
      </c>
      <c r="U1725" s="8">
        <v>18.5</v>
      </c>
      <c r="V1725" s="8">
        <v>16.5</v>
      </c>
      <c r="W1725" s="7">
        <v>24844720</v>
      </c>
      <c r="X1725" s="5">
        <v>434.80000000000001</v>
      </c>
      <c r="Y1725" s="7">
        <v>24844720</v>
      </c>
      <c r="Z1725" s="1"/>
      <c r="AA1725" s="1"/>
      <c r="AB1725" s="1" t="s">
        <v>5265</v>
      </c>
      <c r="AC1725" s="1" t="s">
        <v>7759</v>
      </c>
      <c r="AD1725" s="1" t="s">
        <v>5265</v>
      </c>
      <c r="AE1725" s="1" t="s">
        <v>47</v>
      </c>
      <c r="AF1725" s="1" t="s">
        <v>51</v>
      </c>
      <c r="AG1725" s="1" t="s">
        <v>51</v>
      </c>
      <c r="AH1725" s="1"/>
      <c r="AI1725" s="1"/>
      <c r="AJ1725" s="3">
        <v>1</v>
      </c>
      <c r="AK1725" s="1" t="s">
        <v>52</v>
      </c>
      <c r="AL1725" s="3">
        <v>1</v>
      </c>
      <c r="AM1725" s="1"/>
      <c r="AN1725" s="1"/>
      <c r="AO1725" s="1" t="s">
        <v>11885</v>
      </c>
      <c r="AP1725" s="1" t="s">
        <v>6201</v>
      </c>
      <c r="AQ1725" s="1" t="s">
        <v>6201</v>
      </c>
      <c r="AR1725" s="1" t="s">
        <v>11886</v>
      </c>
    </row>
    <row r="1726">
      <c r="A1726" s="2">
        <f ca="1">DATE(2006,01,31)</f>
        <v>0</v>
      </c>
      <c r="B1726" s="2">
        <f ca="1">DATE(2006,01,31)</f>
        <v>0</v>
      </c>
      <c r="C1726" s="1" t="s">
        <v>11887</v>
      </c>
      <c r="D1726" s="1" t="s">
        <v>9054</v>
      </c>
      <c r="E1726" s="1" t="s">
        <v>11888</v>
      </c>
      <c r="F1726" s="1" t="s">
        <v>11889</v>
      </c>
      <c r="G1726" s="1" t="s">
        <v>11890</v>
      </c>
      <c r="H1726" s="1" t="s">
        <v>57</v>
      </c>
      <c r="I1726" s="1" t="s">
        <v>57</v>
      </c>
      <c r="J1726" s="5">
        <v>30.300000000000001</v>
      </c>
      <c r="K1726" s="4">
        <v>9</v>
      </c>
      <c r="L1726" s="1" t="s">
        <v>1057</v>
      </c>
      <c r="M1726" s="1" t="s">
        <v>47</v>
      </c>
      <c r="N1726" s="1"/>
      <c r="O1726" s="1" t="s">
        <v>11891</v>
      </c>
      <c r="P1726" s="1" t="s">
        <v>11892</v>
      </c>
      <c r="Q1726" s="1"/>
      <c r="R1726" s="1"/>
      <c r="S1726" s="1"/>
      <c r="T1726" s="1" t="s">
        <v>11893</v>
      </c>
      <c r="U1726" s="1"/>
      <c r="V1726" s="1"/>
      <c r="W1726" s="1"/>
      <c r="X1726" s="1"/>
      <c r="Y1726" s="7">
        <v>2779898</v>
      </c>
      <c r="Z1726" s="1"/>
      <c r="AA1726" s="1"/>
      <c r="AB1726" s="1"/>
      <c r="AC1726" s="1"/>
      <c r="AD1726" s="1"/>
      <c r="AE1726" s="1" t="s">
        <v>51</v>
      </c>
      <c r="AF1726" s="1" t="s">
        <v>51</v>
      </c>
      <c r="AG1726" s="1" t="s">
        <v>51</v>
      </c>
      <c r="AH1726" s="1"/>
      <c r="AI1726" s="1"/>
      <c r="AJ1726" s="3">
        <v>2</v>
      </c>
      <c r="AK1726" s="1" t="s">
        <v>89</v>
      </c>
      <c r="AL1726" s="3">
        <v>2</v>
      </c>
      <c r="AM1726" s="4">
        <v>13.275</v>
      </c>
      <c r="AN1726" s="4">
        <v>13.275</v>
      </c>
      <c r="AO1726" s="1" t="s">
        <v>11894</v>
      </c>
      <c r="AP1726" s="1" t="s">
        <v>11895</v>
      </c>
      <c r="AQ1726" s="1" t="s">
        <v>11896</v>
      </c>
      <c r="AR1726" s="1" t="s">
        <v>11897</v>
      </c>
    </row>
    <row r="1727">
      <c r="A1727" s="2">
        <f ca="1">DATE(2005,10,03)</f>
        <v>0</v>
      </c>
      <c r="B1727" s="2">
        <f ca="1">DATE(2006,02,01)</f>
        <v>0</v>
      </c>
      <c r="C1727" s="1" t="s">
        <v>11898</v>
      </c>
      <c r="D1727" s="3">
        <v>2834</v>
      </c>
      <c r="E1727" s="1" t="s">
        <v>43</v>
      </c>
      <c r="F1727" s="1" t="s">
        <v>11899</v>
      </c>
      <c r="G1727" s="1" t="s">
        <v>5704</v>
      </c>
      <c r="H1727" s="4">
        <v>0.48999999999999999</v>
      </c>
      <c r="I1727" s="8">
        <v>7</v>
      </c>
      <c r="J1727" s="5">
        <v>35</v>
      </c>
      <c r="K1727" s="4">
        <v>7</v>
      </c>
      <c r="L1727" s="1" t="s">
        <v>46</v>
      </c>
      <c r="M1727" s="1" t="s">
        <v>47</v>
      </c>
      <c r="N1727" s="1" t="s">
        <v>11900</v>
      </c>
      <c r="O1727" s="1" t="s">
        <v>48</v>
      </c>
      <c r="P1727" s="1" t="s">
        <v>11901</v>
      </c>
      <c r="Q1727" s="1" t="s">
        <v>145</v>
      </c>
      <c r="R1727" s="1" t="s">
        <v>145</v>
      </c>
      <c r="S1727" s="6">
        <v>4.1428599999999998</v>
      </c>
      <c r="T1727" s="1" t="s">
        <v>50</v>
      </c>
      <c r="U1727" s="1"/>
      <c r="V1727" s="1"/>
      <c r="W1727" s="1"/>
      <c r="X1727" s="5">
        <v>86.299999999999997</v>
      </c>
      <c r="Y1727" s="7">
        <v>5000000</v>
      </c>
      <c r="Z1727" s="1"/>
      <c r="AA1727" s="1" t="s">
        <v>11902</v>
      </c>
      <c r="AB1727" s="1" t="s">
        <v>11903</v>
      </c>
      <c r="AC1727" s="1" t="s">
        <v>7759</v>
      </c>
      <c r="AD1727" s="1" t="s">
        <v>11904</v>
      </c>
      <c r="AE1727" s="1" t="s">
        <v>51</v>
      </c>
      <c r="AF1727" s="1" t="s">
        <v>51</v>
      </c>
      <c r="AG1727" s="1" t="s">
        <v>47</v>
      </c>
      <c r="AH1727" s="1"/>
      <c r="AI1727" s="1"/>
      <c r="AJ1727" s="3">
        <v>1</v>
      </c>
      <c r="AK1727" s="1" t="s">
        <v>89</v>
      </c>
      <c r="AL1727" s="3">
        <v>4</v>
      </c>
      <c r="AM1727" s="1"/>
      <c r="AN1727" s="1"/>
      <c r="AO1727" s="1" t="s">
        <v>11905</v>
      </c>
      <c r="AP1727" s="1" t="s">
        <v>7510</v>
      </c>
      <c r="AQ1727" s="1" t="s">
        <v>11906</v>
      </c>
      <c r="AR1727" s="1" t="s">
        <v>11901</v>
      </c>
    </row>
    <row r="1728">
      <c r="A1728" s="2">
        <f ca="1">DATE(2005,10,19)</f>
        <v>0</v>
      </c>
      <c r="B1728" s="2">
        <f ca="1">DATE(2006,02,01)</f>
        <v>0</v>
      </c>
      <c r="C1728" s="1" t="s">
        <v>11907</v>
      </c>
      <c r="D1728" s="3">
        <v>6211</v>
      </c>
      <c r="E1728" s="1" t="s">
        <v>43</v>
      </c>
      <c r="F1728" s="1" t="s">
        <v>11908</v>
      </c>
      <c r="G1728" s="1" t="s">
        <v>789</v>
      </c>
      <c r="H1728" s="4">
        <v>1.05</v>
      </c>
      <c r="I1728" s="4">
        <v>7</v>
      </c>
      <c r="J1728" s="5">
        <v>90</v>
      </c>
      <c r="K1728" s="4">
        <v>15</v>
      </c>
      <c r="L1728" s="1" t="s">
        <v>46</v>
      </c>
      <c r="M1728" s="1" t="s">
        <v>47</v>
      </c>
      <c r="N1728" s="3">
        <v>884481102</v>
      </c>
      <c r="O1728" s="1" t="s">
        <v>48</v>
      </c>
      <c r="P1728" s="1" t="s">
        <v>11909</v>
      </c>
      <c r="Q1728" s="4">
        <v>1.3999999999999999</v>
      </c>
      <c r="R1728" s="4">
        <v>1.3999999999999999</v>
      </c>
      <c r="S1728" s="8">
        <v>4.2000000000000002</v>
      </c>
      <c r="T1728" s="1" t="s">
        <v>50</v>
      </c>
      <c r="U1728" s="1"/>
      <c r="V1728" s="1"/>
      <c r="W1728" s="1"/>
      <c r="X1728" s="5">
        <v>65</v>
      </c>
      <c r="Y1728" s="7">
        <v>4783670</v>
      </c>
      <c r="Z1728" s="7">
        <v>1216330</v>
      </c>
      <c r="AA1728" s="1" t="s">
        <v>11902</v>
      </c>
      <c r="AB1728" s="1" t="s">
        <v>5265</v>
      </c>
      <c r="AC1728" s="1" t="s">
        <v>7759</v>
      </c>
      <c r="AD1728" s="1" t="s">
        <v>5265</v>
      </c>
      <c r="AE1728" s="1" t="s">
        <v>51</v>
      </c>
      <c r="AF1728" s="1" t="s">
        <v>51</v>
      </c>
      <c r="AG1728" s="1" t="s">
        <v>51</v>
      </c>
      <c r="AH1728" s="1"/>
      <c r="AI1728" s="1"/>
      <c r="AJ1728" s="3">
        <v>1</v>
      </c>
      <c r="AK1728" s="1" t="s">
        <v>52</v>
      </c>
      <c r="AL1728" s="3">
        <v>3</v>
      </c>
      <c r="AM1728" s="8">
        <v>19.899999999999999</v>
      </c>
      <c r="AN1728" s="1"/>
      <c r="AO1728" s="1" t="s">
        <v>11910</v>
      </c>
      <c r="AP1728" s="1" t="s">
        <v>789</v>
      </c>
      <c r="AQ1728" s="1" t="s">
        <v>11911</v>
      </c>
      <c r="AR1728" s="1" t="s">
        <v>11909</v>
      </c>
    </row>
    <row r="1729">
      <c r="A1729" s="2">
        <f ca="1">DATE(2005,03,14)</f>
        <v>0</v>
      </c>
      <c r="B1729" s="2">
        <f ca="1">DATE(2006,02,01)</f>
        <v>0</v>
      </c>
      <c r="C1729" s="1" t="s">
        <v>11912</v>
      </c>
      <c r="D1729" s="3">
        <v>2834</v>
      </c>
      <c r="E1729" s="1" t="s">
        <v>43</v>
      </c>
      <c r="F1729" s="1" t="s">
        <v>11913</v>
      </c>
      <c r="G1729" s="1" t="s">
        <v>11914</v>
      </c>
      <c r="H1729" s="4">
        <v>0.63</v>
      </c>
      <c r="I1729" s="4">
        <v>7</v>
      </c>
      <c r="J1729" s="5">
        <v>33.799999999999997</v>
      </c>
      <c r="K1729" s="4">
        <v>9</v>
      </c>
      <c r="L1729" s="1" t="s">
        <v>46</v>
      </c>
      <c r="M1729" s="1" t="s">
        <v>47</v>
      </c>
      <c r="N1729" s="1" t="s">
        <v>11915</v>
      </c>
      <c r="O1729" s="1" t="s">
        <v>48</v>
      </c>
      <c r="P1729" s="1" t="s">
        <v>11916</v>
      </c>
      <c r="Q1729" s="4">
        <v>1.3999999999999999</v>
      </c>
      <c r="R1729" s="4">
        <v>1.3999999999999999</v>
      </c>
      <c r="S1729" s="8">
        <v>4.2000000000000002</v>
      </c>
      <c r="T1729" s="1" t="s">
        <v>50</v>
      </c>
      <c r="U1729" s="1"/>
      <c r="V1729" s="1"/>
      <c r="W1729" s="1"/>
      <c r="X1729" s="5">
        <v>74.799999999999997</v>
      </c>
      <c r="Y1729" s="7">
        <v>3750000</v>
      </c>
      <c r="Z1729" s="1"/>
      <c r="AA1729" s="1" t="s">
        <v>11902</v>
      </c>
      <c r="AB1729" s="1" t="s">
        <v>11917</v>
      </c>
      <c r="AC1729" s="1" t="s">
        <v>7759</v>
      </c>
      <c r="AD1729" s="1" t="s">
        <v>11918</v>
      </c>
      <c r="AE1729" s="1" t="s">
        <v>51</v>
      </c>
      <c r="AF1729" s="1" t="s">
        <v>51</v>
      </c>
      <c r="AG1729" s="1" t="s">
        <v>47</v>
      </c>
      <c r="AH1729" s="1"/>
      <c r="AI1729" s="1"/>
      <c r="AJ1729" s="3">
        <v>2</v>
      </c>
      <c r="AK1729" s="1" t="s">
        <v>89</v>
      </c>
      <c r="AL1729" s="3">
        <v>4</v>
      </c>
      <c r="AM1729" s="8">
        <v>9.9299999999999997</v>
      </c>
      <c r="AN1729" s="1"/>
      <c r="AO1729" s="1" t="s">
        <v>11919</v>
      </c>
      <c r="AP1729" s="1" t="s">
        <v>11920</v>
      </c>
      <c r="AQ1729" s="1" t="s">
        <v>11921</v>
      </c>
      <c r="AR1729" s="1" t="s">
        <v>11916</v>
      </c>
    </row>
    <row r="1730">
      <c r="A1730" s="2">
        <f ca="1">DATE(2005,11,04)</f>
        <v>0</v>
      </c>
      <c r="B1730" s="2">
        <f ca="1">DATE(2006,02,02)</f>
        <v>0</v>
      </c>
      <c r="C1730" s="1" t="s">
        <v>11922</v>
      </c>
      <c r="D1730" s="3">
        <v>3841</v>
      </c>
      <c r="E1730" s="1" t="s">
        <v>43</v>
      </c>
      <c r="F1730" s="1" t="s">
        <v>11923</v>
      </c>
      <c r="G1730" s="1" t="s">
        <v>11924</v>
      </c>
      <c r="H1730" s="4">
        <v>0.69999999999999996</v>
      </c>
      <c r="I1730" s="8">
        <v>7</v>
      </c>
      <c r="J1730" s="5">
        <v>35</v>
      </c>
      <c r="K1730" s="4">
        <v>10</v>
      </c>
      <c r="L1730" s="1" t="s">
        <v>46</v>
      </c>
      <c r="M1730" s="1" t="s">
        <v>47</v>
      </c>
      <c r="N1730" s="1" t="s">
        <v>11925</v>
      </c>
      <c r="O1730" s="1" t="s">
        <v>48</v>
      </c>
      <c r="P1730" s="1" t="s">
        <v>11926</v>
      </c>
      <c r="Q1730" s="1" t="s">
        <v>145</v>
      </c>
      <c r="R1730" s="1" t="s">
        <v>145</v>
      </c>
      <c r="S1730" s="8">
        <v>4</v>
      </c>
      <c r="T1730" s="1" t="s">
        <v>50</v>
      </c>
      <c r="U1730" s="1"/>
      <c r="V1730" s="1"/>
      <c r="W1730" s="1"/>
      <c r="X1730" s="5">
        <v>40</v>
      </c>
      <c r="Y1730" s="7">
        <v>3500000</v>
      </c>
      <c r="Z1730" s="1"/>
      <c r="AA1730" s="1" t="s">
        <v>11927</v>
      </c>
      <c r="AB1730" s="1" t="s">
        <v>11928</v>
      </c>
      <c r="AC1730" s="1" t="s">
        <v>7759</v>
      </c>
      <c r="AD1730" s="1" t="s">
        <v>11929</v>
      </c>
      <c r="AE1730" s="1" t="s">
        <v>51</v>
      </c>
      <c r="AF1730" s="1" t="s">
        <v>51</v>
      </c>
      <c r="AG1730" s="1" t="s">
        <v>47</v>
      </c>
      <c r="AH1730" s="1"/>
      <c r="AI1730" s="1"/>
      <c r="AJ1730" s="3">
        <v>2</v>
      </c>
      <c r="AK1730" s="1" t="s">
        <v>89</v>
      </c>
      <c r="AL1730" s="3">
        <v>3</v>
      </c>
      <c r="AM1730" s="8">
        <v>10.35</v>
      </c>
      <c r="AN1730" s="1"/>
      <c r="AO1730" s="1" t="s">
        <v>11930</v>
      </c>
      <c r="AP1730" s="1" t="s">
        <v>11931</v>
      </c>
      <c r="AQ1730" s="1" t="s">
        <v>11932</v>
      </c>
      <c r="AR1730" s="1" t="s">
        <v>11926</v>
      </c>
    </row>
    <row r="1731">
      <c r="A1731" s="2">
        <f ca="1">DATE(2005,09,29)</f>
        <v>0</v>
      </c>
      <c r="B1731" s="2">
        <f ca="1">DATE(2006,02,02)</f>
        <v>0</v>
      </c>
      <c r="C1731" s="1" t="s">
        <v>11933</v>
      </c>
      <c r="D1731" s="3">
        <v>6794</v>
      </c>
      <c r="E1731" s="1" t="s">
        <v>43</v>
      </c>
      <c r="F1731" s="1" t="s">
        <v>11934</v>
      </c>
      <c r="G1731" s="1" t="s">
        <v>11935</v>
      </c>
      <c r="H1731" s="4">
        <v>0.78000000000000003</v>
      </c>
      <c r="I1731" s="4">
        <v>8</v>
      </c>
      <c r="J1731" s="5">
        <v>38</v>
      </c>
      <c r="K1731" s="4">
        <v>9.75</v>
      </c>
      <c r="L1731" s="1" t="s">
        <v>46</v>
      </c>
      <c r="M1731" s="1" t="s">
        <v>47</v>
      </c>
      <c r="N1731" s="1" t="s">
        <v>11936</v>
      </c>
      <c r="O1731" s="1" t="s">
        <v>48</v>
      </c>
      <c r="P1731" s="1" t="s">
        <v>11937</v>
      </c>
      <c r="Q1731" s="1" t="s">
        <v>145</v>
      </c>
      <c r="R1731" s="1" t="s">
        <v>145</v>
      </c>
      <c r="S1731" s="6">
        <v>3.79487</v>
      </c>
      <c r="T1731" s="1" t="s">
        <v>50</v>
      </c>
      <c r="U1731" s="1"/>
      <c r="V1731" s="1"/>
      <c r="W1731" s="1"/>
      <c r="X1731" s="5">
        <v>36</v>
      </c>
      <c r="Y1731" s="7">
        <v>3900000</v>
      </c>
      <c r="Z1731" s="1"/>
      <c r="AA1731" s="1" t="s">
        <v>11938</v>
      </c>
      <c r="AB1731" s="1" t="s">
        <v>11939</v>
      </c>
      <c r="AC1731" s="1" t="s">
        <v>11940</v>
      </c>
      <c r="AD1731" s="1" t="s">
        <v>11941</v>
      </c>
      <c r="AE1731" s="1" t="s">
        <v>51</v>
      </c>
      <c r="AF1731" s="1" t="s">
        <v>51</v>
      </c>
      <c r="AG1731" s="1" t="s">
        <v>51</v>
      </c>
      <c r="AH1731" s="1"/>
      <c r="AI1731" s="1"/>
      <c r="AJ1731" s="3">
        <v>1</v>
      </c>
      <c r="AK1731" s="1" t="s">
        <v>52</v>
      </c>
      <c r="AL1731" s="3">
        <v>2</v>
      </c>
      <c r="AM1731" s="8">
        <v>9.25</v>
      </c>
      <c r="AN1731" s="1"/>
      <c r="AO1731" s="1" t="s">
        <v>11942</v>
      </c>
      <c r="AP1731" s="1" t="s">
        <v>11935</v>
      </c>
      <c r="AQ1731" s="1" t="s">
        <v>11943</v>
      </c>
      <c r="AR1731" s="1" t="s">
        <v>11944</v>
      </c>
    </row>
    <row r="1732">
      <c r="A1732" s="2">
        <f ca="1">DATE(2005,10,11)</f>
        <v>0</v>
      </c>
      <c r="B1732" s="2">
        <f ca="1">DATE(2006,02,02)</f>
        <v>0</v>
      </c>
      <c r="C1732" s="1" t="s">
        <v>11945</v>
      </c>
      <c r="D1732" s="3">
        <v>6324</v>
      </c>
      <c r="E1732" s="1" t="s">
        <v>43</v>
      </c>
      <c r="F1732" s="1" t="s">
        <v>11946</v>
      </c>
      <c r="G1732" s="1" t="s">
        <v>11947</v>
      </c>
      <c r="H1732" s="4">
        <v>0.27100000000000002</v>
      </c>
      <c r="I1732" s="4">
        <v>1.3899999999999999</v>
      </c>
      <c r="J1732" s="5">
        <v>366.60000000000002</v>
      </c>
      <c r="K1732" s="4">
        <v>19.5</v>
      </c>
      <c r="L1732" s="1" t="s">
        <v>46</v>
      </c>
      <c r="M1732" s="1" t="s">
        <v>47</v>
      </c>
      <c r="N1732" s="1" t="s">
        <v>11948</v>
      </c>
      <c r="O1732" s="1" t="s">
        <v>108</v>
      </c>
      <c r="P1732" s="1" t="s">
        <v>11949</v>
      </c>
      <c r="Q1732" s="1" t="s">
        <v>145</v>
      </c>
      <c r="R1732" s="1" t="s">
        <v>145</v>
      </c>
      <c r="S1732" s="8">
        <v>3.7200000000000002</v>
      </c>
      <c r="T1732" s="1" t="s">
        <v>50</v>
      </c>
      <c r="U1732" s="1"/>
      <c r="V1732" s="1"/>
      <c r="W1732" s="1"/>
      <c r="X1732" s="5">
        <v>300</v>
      </c>
      <c r="Y1732" s="7">
        <v>10600000</v>
      </c>
      <c r="Z1732" s="7">
        <v>8200000</v>
      </c>
      <c r="AA1732" s="1" t="s">
        <v>11950</v>
      </c>
      <c r="AB1732" s="1" t="s">
        <v>11951</v>
      </c>
      <c r="AC1732" s="1" t="s">
        <v>10709</v>
      </c>
      <c r="AD1732" s="1" t="s">
        <v>11952</v>
      </c>
      <c r="AE1732" s="1" t="s">
        <v>51</v>
      </c>
      <c r="AF1732" s="1" t="s">
        <v>51</v>
      </c>
      <c r="AG1732" s="1" t="s">
        <v>51</v>
      </c>
      <c r="AH1732" s="1"/>
      <c r="AI1732" s="1"/>
      <c r="AJ1732" s="3">
        <v>3</v>
      </c>
      <c r="AK1732" s="1" t="s">
        <v>110</v>
      </c>
      <c r="AL1732" s="3">
        <v>7</v>
      </c>
      <c r="AM1732" s="8">
        <v>21.98</v>
      </c>
      <c r="AN1732" s="1"/>
      <c r="AO1732" s="1" t="s">
        <v>11953</v>
      </c>
      <c r="AP1732" s="1" t="s">
        <v>11954</v>
      </c>
      <c r="AQ1732" s="1" t="s">
        <v>11955</v>
      </c>
      <c r="AR1732" s="1" t="s">
        <v>11949</v>
      </c>
    </row>
    <row r="1733">
      <c r="A1733" s="2">
        <f ca="1">DATE(2005,10,19)</f>
        <v>0</v>
      </c>
      <c r="B1733" s="2">
        <f ca="1">DATE(2006,02,02)</f>
        <v>0</v>
      </c>
      <c r="C1733" s="1" t="s">
        <v>11956</v>
      </c>
      <c r="D1733" s="3">
        <v>3674</v>
      </c>
      <c r="E1733" s="1" t="s">
        <v>43</v>
      </c>
      <c r="F1733" s="1" t="s">
        <v>11957</v>
      </c>
      <c r="G1733" s="1" t="s">
        <v>11958</v>
      </c>
      <c r="H1733" s="4">
        <v>0.63</v>
      </c>
      <c r="I1733" s="4">
        <v>7</v>
      </c>
      <c r="J1733" s="5">
        <v>163.59999999999999</v>
      </c>
      <c r="K1733" s="4">
        <v>9</v>
      </c>
      <c r="L1733" s="1" t="s">
        <v>1057</v>
      </c>
      <c r="M1733" s="1" t="s">
        <v>47</v>
      </c>
      <c r="N1733" s="1" t="s">
        <v>11959</v>
      </c>
      <c r="O1733" s="1" t="s">
        <v>48</v>
      </c>
      <c r="P1733" s="1" t="s">
        <v>11960</v>
      </c>
      <c r="Q1733" s="4">
        <v>1.389</v>
      </c>
      <c r="R1733" s="4">
        <v>1.389</v>
      </c>
      <c r="S1733" s="6">
        <v>4.2222200000000001</v>
      </c>
      <c r="T1733" s="1" t="s">
        <v>50</v>
      </c>
      <c r="U1733" s="1"/>
      <c r="V1733" s="1"/>
      <c r="W1733" s="1"/>
      <c r="X1733" s="5">
        <v>230</v>
      </c>
      <c r="Y1733" s="7">
        <v>9090909</v>
      </c>
      <c r="Z1733" s="7">
        <v>9090909</v>
      </c>
      <c r="AA1733" s="1" t="s">
        <v>11927</v>
      </c>
      <c r="AB1733" s="1" t="s">
        <v>11961</v>
      </c>
      <c r="AC1733" s="1" t="s">
        <v>7759</v>
      </c>
      <c r="AD1733" s="1" t="s">
        <v>11962</v>
      </c>
      <c r="AE1733" s="1" t="s">
        <v>51</v>
      </c>
      <c r="AF1733" s="1" t="s">
        <v>51</v>
      </c>
      <c r="AG1733" s="1" t="s">
        <v>51</v>
      </c>
      <c r="AH1733" s="1"/>
      <c r="AI1733" s="1"/>
      <c r="AJ1733" s="3">
        <v>3</v>
      </c>
      <c r="AK1733" s="1" t="s">
        <v>110</v>
      </c>
      <c r="AL1733" s="3">
        <v>6</v>
      </c>
      <c r="AM1733" s="8">
        <v>8.5399999999999991</v>
      </c>
      <c r="AN1733" s="1"/>
      <c r="AO1733" s="1" t="s">
        <v>11963</v>
      </c>
      <c r="AP1733" s="1" t="s">
        <v>11964</v>
      </c>
      <c r="AQ1733" s="1" t="s">
        <v>11965</v>
      </c>
      <c r="AR1733" s="1" t="s">
        <v>11966</v>
      </c>
    </row>
    <row r="1734">
      <c r="A1734" s="2">
        <f ca="1">DATE(2005,09,02)</f>
        <v>0</v>
      </c>
      <c r="B1734" s="2">
        <f ca="1">DATE(2006,02,03)</f>
        <v>0</v>
      </c>
      <c r="C1734" s="1" t="s">
        <v>11967</v>
      </c>
      <c r="D1734" s="3">
        <v>4922</v>
      </c>
      <c r="E1734" s="1" t="s">
        <v>43</v>
      </c>
      <c r="F1734" s="1" t="s">
        <v>11968</v>
      </c>
      <c r="G1734" s="1" t="s">
        <v>11969</v>
      </c>
      <c r="H1734" s="4">
        <v>1.208</v>
      </c>
      <c r="I1734" s="4">
        <v>5.75</v>
      </c>
      <c r="J1734" s="5">
        <v>441</v>
      </c>
      <c r="K1734" s="4">
        <v>21</v>
      </c>
      <c r="L1734" s="1" t="s">
        <v>85</v>
      </c>
      <c r="M1734" s="1" t="s">
        <v>47</v>
      </c>
      <c r="N1734" s="1" t="s">
        <v>11970</v>
      </c>
      <c r="O1734" s="1" t="s">
        <v>108</v>
      </c>
      <c r="P1734" s="1" t="s">
        <v>11971</v>
      </c>
      <c r="Q1734" s="4">
        <v>1.167</v>
      </c>
      <c r="R1734" s="4">
        <v>1.155</v>
      </c>
      <c r="S1734" s="6">
        <v>3.4285700000000001</v>
      </c>
      <c r="T1734" s="1" t="s">
        <v>50</v>
      </c>
      <c r="U1734" s="1"/>
      <c r="V1734" s="1"/>
      <c r="W1734" s="7">
        <v>15000000</v>
      </c>
      <c r="X1734" s="5">
        <v>345</v>
      </c>
      <c r="Y1734" s="7">
        <v>21000000</v>
      </c>
      <c r="Z1734" s="1"/>
      <c r="AA1734" s="1" t="s">
        <v>11972</v>
      </c>
      <c r="AB1734" s="1" t="s">
        <v>5265</v>
      </c>
      <c r="AC1734" s="1" t="s">
        <v>7759</v>
      </c>
      <c r="AD1734" s="1" t="s">
        <v>5265</v>
      </c>
      <c r="AE1734" s="1" t="s">
        <v>51</v>
      </c>
      <c r="AF1734" s="1" t="s">
        <v>51</v>
      </c>
      <c r="AG1734" s="1" t="s">
        <v>51</v>
      </c>
      <c r="AH1734" s="1"/>
      <c r="AI1734" s="1"/>
      <c r="AJ1734" s="3">
        <v>3</v>
      </c>
      <c r="AK1734" s="1" t="s">
        <v>110</v>
      </c>
      <c r="AL1734" s="3">
        <v>8</v>
      </c>
      <c r="AM1734" s="8">
        <v>22.649999999999999</v>
      </c>
      <c r="AN1734" s="1"/>
      <c r="AO1734" s="1" t="s">
        <v>11973</v>
      </c>
      <c r="AP1734" s="1" t="s">
        <v>11974</v>
      </c>
      <c r="AQ1734" s="1" t="s">
        <v>11975</v>
      </c>
      <c r="AR1734" s="1" t="s">
        <v>11971</v>
      </c>
    </row>
    <row r="1735">
      <c r="A1735" s="2">
        <f ca="1">DATE(2005,07,11)</f>
        <v>0</v>
      </c>
      <c r="B1735" s="2">
        <f ca="1">DATE(2006,02,06)</f>
        <v>0</v>
      </c>
      <c r="C1735" s="1" t="s">
        <v>11976</v>
      </c>
      <c r="D1735" s="3">
        <v>6798</v>
      </c>
      <c r="E1735" s="1" t="s">
        <v>43</v>
      </c>
      <c r="F1735" s="1" t="s">
        <v>11977</v>
      </c>
      <c r="G1735" s="1" t="s">
        <v>11978</v>
      </c>
      <c r="H1735" s="4">
        <v>1.0129999999999999</v>
      </c>
      <c r="I1735" s="8">
        <v>6.75</v>
      </c>
      <c r="J1735" s="5">
        <v>60</v>
      </c>
      <c r="K1735" s="4">
        <v>15</v>
      </c>
      <c r="L1735" s="1" t="s">
        <v>46</v>
      </c>
      <c r="M1735" s="1" t="s">
        <v>47</v>
      </c>
      <c r="N1735" s="1" t="s">
        <v>11979</v>
      </c>
      <c r="O1735" s="1" t="s">
        <v>108</v>
      </c>
      <c r="P1735" s="1" t="s">
        <v>11980</v>
      </c>
      <c r="Q1735" s="1" t="s">
        <v>145</v>
      </c>
      <c r="R1735" s="1" t="s">
        <v>145</v>
      </c>
      <c r="S1735" s="8">
        <v>4.0499999999999998</v>
      </c>
      <c r="T1735" s="1" t="s">
        <v>50</v>
      </c>
      <c r="U1735" s="1"/>
      <c r="V1735" s="1"/>
      <c r="W1735" s="1"/>
      <c r="X1735" s="5">
        <v>287.5</v>
      </c>
      <c r="Y1735" s="7">
        <v>2120800</v>
      </c>
      <c r="Z1735" s="7">
        <v>1879200</v>
      </c>
      <c r="AA1735" s="1" t="s">
        <v>11981</v>
      </c>
      <c r="AB1735" s="1" t="s">
        <v>11982</v>
      </c>
      <c r="AC1735" s="1" t="s">
        <v>11983</v>
      </c>
      <c r="AD1735" s="1" t="s">
        <v>11984</v>
      </c>
      <c r="AE1735" s="1" t="s">
        <v>51</v>
      </c>
      <c r="AF1735" s="1" t="s">
        <v>51</v>
      </c>
      <c r="AG1735" s="1" t="s">
        <v>51</v>
      </c>
      <c r="AH1735" s="1"/>
      <c r="AI1735" s="1"/>
      <c r="AJ1735" s="3">
        <v>4</v>
      </c>
      <c r="AK1735" s="1" t="s">
        <v>1209</v>
      </c>
      <c r="AL1735" s="3">
        <v>7</v>
      </c>
      <c r="AM1735" s="8">
        <v>14</v>
      </c>
      <c r="AN1735" s="1"/>
      <c r="AO1735" s="1" t="s">
        <v>11985</v>
      </c>
      <c r="AP1735" s="1" t="s">
        <v>11986</v>
      </c>
      <c r="AQ1735" s="1" t="s">
        <v>11987</v>
      </c>
      <c r="AR1735" s="1" t="s">
        <v>11988</v>
      </c>
    </row>
    <row r="1736">
      <c r="A1736" s="2">
        <f ca="1">DATE(2005,08,15)</f>
        <v>0</v>
      </c>
      <c r="B1736" s="2">
        <f ca="1">DATE(2006,02,07)</f>
        <v>0</v>
      </c>
      <c r="C1736" s="1" t="s">
        <v>11989</v>
      </c>
      <c r="D1736" s="3">
        <v>3021</v>
      </c>
      <c r="E1736" s="1" t="s">
        <v>43</v>
      </c>
      <c r="F1736" s="1" t="s">
        <v>11990</v>
      </c>
      <c r="G1736" s="1" t="s">
        <v>11991</v>
      </c>
      <c r="H1736" s="4">
        <v>1.4179999999999999</v>
      </c>
      <c r="I1736" s="4">
        <v>6.75</v>
      </c>
      <c r="J1736" s="5">
        <v>207.90000000000001</v>
      </c>
      <c r="K1736" s="4">
        <v>21</v>
      </c>
      <c r="L1736" s="1" t="s">
        <v>46</v>
      </c>
      <c r="M1736" s="1" t="s">
        <v>47</v>
      </c>
      <c r="N1736" s="3">
        <v>227046109</v>
      </c>
      <c r="O1736" s="1" t="s">
        <v>48</v>
      </c>
      <c r="P1736" s="1" t="s">
        <v>11992</v>
      </c>
      <c r="Q1736" s="4">
        <v>1.3500000000000001</v>
      </c>
      <c r="R1736" s="4">
        <v>1.3500000000000001</v>
      </c>
      <c r="S1736" s="8">
        <v>4.0499999999999998</v>
      </c>
      <c r="T1736" s="1" t="s">
        <v>50</v>
      </c>
      <c r="U1736" s="1"/>
      <c r="V1736" s="1"/>
      <c r="W1736" s="1"/>
      <c r="X1736" s="5">
        <v>145</v>
      </c>
      <c r="Y1736" s="7">
        <v>4950000</v>
      </c>
      <c r="Z1736" s="7">
        <v>4950000</v>
      </c>
      <c r="AA1736" s="1" t="s">
        <v>11993</v>
      </c>
      <c r="AB1736" s="1" t="s">
        <v>11994</v>
      </c>
      <c r="AC1736" s="1" t="s">
        <v>8611</v>
      </c>
      <c r="AD1736" s="1" t="s">
        <v>11995</v>
      </c>
      <c r="AE1736" s="1" t="s">
        <v>51</v>
      </c>
      <c r="AF1736" s="1" t="s">
        <v>51</v>
      </c>
      <c r="AG1736" s="1" t="s">
        <v>51</v>
      </c>
      <c r="AH1736" s="1"/>
      <c r="AI1736" s="1"/>
      <c r="AJ1736" s="3">
        <v>2</v>
      </c>
      <c r="AK1736" s="1" t="s">
        <v>89</v>
      </c>
      <c r="AL1736" s="3">
        <v>6</v>
      </c>
      <c r="AM1736" s="8">
        <v>28.550000000000001</v>
      </c>
      <c r="AN1736" s="1"/>
      <c r="AO1736" s="1" t="s">
        <v>11996</v>
      </c>
      <c r="AP1736" s="1" t="s">
        <v>11997</v>
      </c>
      <c r="AQ1736" s="1" t="s">
        <v>11998</v>
      </c>
      <c r="AR1736" s="1" t="s">
        <v>11992</v>
      </c>
    </row>
    <row r="1737">
      <c r="A1737" s="2">
        <f ca="1">DATE(2005,11,23)</f>
        <v>0</v>
      </c>
      <c r="B1737" s="2">
        <f ca="1">DATE(2006,02,08)</f>
        <v>0</v>
      </c>
      <c r="C1737" s="1" t="s">
        <v>11999</v>
      </c>
      <c r="D1737" s="3">
        <v>1311</v>
      </c>
      <c r="E1737" s="1" t="s">
        <v>43</v>
      </c>
      <c r="F1737" s="1" t="s">
        <v>12000</v>
      </c>
      <c r="G1737" s="1" t="s">
        <v>12001</v>
      </c>
      <c r="H1737" s="4">
        <v>0.65000000000000002</v>
      </c>
      <c r="I1737" s="4">
        <v>5</v>
      </c>
      <c r="J1737" s="5">
        <v>650</v>
      </c>
      <c r="K1737" s="4">
        <v>13</v>
      </c>
      <c r="L1737" s="1" t="s">
        <v>46</v>
      </c>
      <c r="M1737" s="1" t="s">
        <v>47</v>
      </c>
      <c r="N1737" s="3">
        <v>269279402</v>
      </c>
      <c r="O1737" s="1" t="s">
        <v>108</v>
      </c>
      <c r="P1737" s="1" t="s">
        <v>12002</v>
      </c>
      <c r="Q1737" s="1" t="s">
        <v>145</v>
      </c>
      <c r="R1737" s="1" t="s">
        <v>145</v>
      </c>
      <c r="S1737" s="8">
        <v>3</v>
      </c>
      <c r="T1737" s="1" t="s">
        <v>50</v>
      </c>
      <c r="U1737" s="1"/>
      <c r="V1737" s="1"/>
      <c r="W1737" s="1"/>
      <c r="X1737" s="5">
        <v>750</v>
      </c>
      <c r="Y1737" s="7">
        <v>50000000</v>
      </c>
      <c r="Z1737" s="1"/>
      <c r="AA1737" s="1" t="s">
        <v>12003</v>
      </c>
      <c r="AB1737" s="1" t="s">
        <v>5265</v>
      </c>
      <c r="AC1737" s="1" t="s">
        <v>7759</v>
      </c>
      <c r="AD1737" s="1" t="s">
        <v>5265</v>
      </c>
      <c r="AE1737" s="1" t="s">
        <v>51</v>
      </c>
      <c r="AF1737" s="1" t="s">
        <v>51</v>
      </c>
      <c r="AG1737" s="1" t="s">
        <v>51</v>
      </c>
      <c r="AH1737" s="1"/>
      <c r="AI1737" s="1"/>
      <c r="AJ1737" s="3">
        <v>3</v>
      </c>
      <c r="AK1737" s="1" t="s">
        <v>110</v>
      </c>
      <c r="AL1737" s="3">
        <v>6</v>
      </c>
      <c r="AM1737" s="8">
        <v>13.050000000000001</v>
      </c>
      <c r="AN1737" s="1"/>
      <c r="AO1737" s="1" t="s">
        <v>12004</v>
      </c>
      <c r="AP1737" s="1" t="s">
        <v>12005</v>
      </c>
      <c r="AQ1737" s="1" t="s">
        <v>12006</v>
      </c>
      <c r="AR1737" s="1" t="s">
        <v>12007</v>
      </c>
    </row>
    <row r="1738">
      <c r="A1738" s="2">
        <f ca="1">DATE(2005,12,01)</f>
        <v>0</v>
      </c>
      <c r="B1738" s="2">
        <f ca="1">DATE(2006,02,08)</f>
        <v>0</v>
      </c>
      <c r="C1738" s="1" t="s">
        <v>12008</v>
      </c>
      <c r="D1738" s="3">
        <v>5812</v>
      </c>
      <c r="E1738" s="1" t="s">
        <v>43</v>
      </c>
      <c r="F1738" s="1" t="s">
        <v>12009</v>
      </c>
      <c r="G1738" s="1" t="s">
        <v>3332</v>
      </c>
      <c r="H1738" s="4">
        <v>1.19</v>
      </c>
      <c r="I1738" s="8">
        <v>7</v>
      </c>
      <c r="J1738" s="5">
        <v>160.90000000000001</v>
      </c>
      <c r="K1738" s="4">
        <v>17</v>
      </c>
      <c r="L1738" s="1" t="s">
        <v>46</v>
      </c>
      <c r="M1738" s="1" t="s">
        <v>47</v>
      </c>
      <c r="N1738" s="3">
        <v>619430101</v>
      </c>
      <c r="O1738" s="1" t="s">
        <v>108</v>
      </c>
      <c r="P1738" s="1" t="s">
        <v>12010</v>
      </c>
      <c r="Q1738" s="4">
        <v>1.3999999999999999</v>
      </c>
      <c r="R1738" s="4">
        <v>1.3999999999999999</v>
      </c>
      <c r="S1738" s="8">
        <v>4.2000000000000002</v>
      </c>
      <c r="T1738" s="1" t="s">
        <v>50</v>
      </c>
      <c r="U1738" s="1"/>
      <c r="V1738" s="1"/>
      <c r="W1738" s="1"/>
      <c r="X1738" s="5">
        <v>150</v>
      </c>
      <c r="Y1738" s="7">
        <v>6000000</v>
      </c>
      <c r="Z1738" s="7">
        <v>3465000</v>
      </c>
      <c r="AA1738" s="1" t="s">
        <v>12011</v>
      </c>
      <c r="AB1738" s="1" t="s">
        <v>12012</v>
      </c>
      <c r="AC1738" s="1" t="s">
        <v>12013</v>
      </c>
      <c r="AD1738" s="1" t="s">
        <v>12014</v>
      </c>
      <c r="AE1738" s="1" t="s">
        <v>51</v>
      </c>
      <c r="AF1738" s="1" t="s">
        <v>51</v>
      </c>
      <c r="AG1738" s="1" t="s">
        <v>51</v>
      </c>
      <c r="AH1738" s="1"/>
      <c r="AI1738" s="1"/>
      <c r="AJ1738" s="3">
        <v>1</v>
      </c>
      <c r="AK1738" s="1" t="s">
        <v>89</v>
      </c>
      <c r="AL1738" s="3">
        <v>5</v>
      </c>
      <c r="AM1738" s="8">
        <v>17.899999999999999</v>
      </c>
      <c r="AN1738" s="1"/>
      <c r="AO1738" s="1" t="s">
        <v>12015</v>
      </c>
      <c r="AP1738" s="1" t="s">
        <v>9668</v>
      </c>
      <c r="AQ1738" s="1" t="s">
        <v>12016</v>
      </c>
      <c r="AR1738" s="1" t="s">
        <v>12017</v>
      </c>
    </row>
    <row r="1739">
      <c r="A1739" s="2">
        <f ca="1">DATE(2005,10,05)</f>
        <v>0</v>
      </c>
      <c r="B1739" s="2">
        <f ca="1">DATE(2006,02,08)</f>
        <v>0</v>
      </c>
      <c r="C1739" s="1" t="s">
        <v>12018</v>
      </c>
      <c r="D1739" s="3">
        <v>8071</v>
      </c>
      <c r="E1739" s="1" t="s">
        <v>43</v>
      </c>
      <c r="F1739" s="1" t="s">
        <v>12019</v>
      </c>
      <c r="G1739" s="1" t="s">
        <v>796</v>
      </c>
      <c r="H1739" s="4">
        <v>1.1200000000000001</v>
      </c>
      <c r="I1739" s="4">
        <v>7</v>
      </c>
      <c r="J1739" s="5">
        <v>100.8</v>
      </c>
      <c r="K1739" s="4">
        <v>16</v>
      </c>
      <c r="L1739" s="1" t="s">
        <v>46</v>
      </c>
      <c r="M1739" s="1" t="s">
        <v>47</v>
      </c>
      <c r="N1739" s="1" t="s">
        <v>12020</v>
      </c>
      <c r="O1739" s="1" t="s">
        <v>48</v>
      </c>
      <c r="P1739" s="1" t="s">
        <v>12021</v>
      </c>
      <c r="Q1739" s="1" t="s">
        <v>145</v>
      </c>
      <c r="R1739" s="1" t="s">
        <v>145</v>
      </c>
      <c r="S1739" s="10">
        <v>4.1875</v>
      </c>
      <c r="T1739" s="1" t="s">
        <v>50</v>
      </c>
      <c r="U1739" s="1"/>
      <c r="V1739" s="1"/>
      <c r="W1739" s="1"/>
      <c r="X1739" s="5">
        <v>86.299999999999997</v>
      </c>
      <c r="Y1739" s="7">
        <v>5800000</v>
      </c>
      <c r="Z1739" s="7">
        <v>500000</v>
      </c>
      <c r="AA1739" s="1" t="s">
        <v>12003</v>
      </c>
      <c r="AB1739" s="1" t="s">
        <v>12022</v>
      </c>
      <c r="AC1739" s="1" t="s">
        <v>7759</v>
      </c>
      <c r="AD1739" s="1" t="s">
        <v>12023</v>
      </c>
      <c r="AE1739" s="1" t="s">
        <v>51</v>
      </c>
      <c r="AF1739" s="1" t="s">
        <v>51</v>
      </c>
      <c r="AG1739" s="1" t="s">
        <v>51</v>
      </c>
      <c r="AH1739" s="1"/>
      <c r="AI1739" s="1"/>
      <c r="AJ1739" s="3">
        <v>1</v>
      </c>
      <c r="AK1739" s="1" t="s">
        <v>52</v>
      </c>
      <c r="AL1739" s="3">
        <v>5</v>
      </c>
      <c r="AM1739" s="8">
        <v>20.649999999999999</v>
      </c>
      <c r="AN1739" s="1"/>
      <c r="AO1739" s="1" t="s">
        <v>12024</v>
      </c>
      <c r="AP1739" s="1" t="s">
        <v>796</v>
      </c>
      <c r="AQ1739" s="1" t="s">
        <v>12025</v>
      </c>
      <c r="AR1739" s="1" t="s">
        <v>12021</v>
      </c>
    </row>
    <row r="1740">
      <c r="A1740" s="2">
        <f ca="1">DATE(2005,10,06)</f>
        <v>0</v>
      </c>
      <c r="B1740" s="2">
        <f ca="1">DATE(2006,02,08)</f>
        <v>0</v>
      </c>
      <c r="C1740" s="1" t="s">
        <v>12026</v>
      </c>
      <c r="D1740" s="3">
        <v>4812</v>
      </c>
      <c r="E1740" s="1" t="s">
        <v>43</v>
      </c>
      <c r="F1740" s="1" t="s">
        <v>12027</v>
      </c>
      <c r="G1740" s="1" t="s">
        <v>11641</v>
      </c>
      <c r="H1740" s="4">
        <v>0.78000000000000003</v>
      </c>
      <c r="I1740" s="4">
        <v>6.5</v>
      </c>
      <c r="J1740" s="5">
        <v>172.5</v>
      </c>
      <c r="K1740" s="4">
        <v>12</v>
      </c>
      <c r="L1740" s="1" t="s">
        <v>46</v>
      </c>
      <c r="M1740" s="1" t="s">
        <v>47</v>
      </c>
      <c r="N1740" s="1" t="s">
        <v>12028</v>
      </c>
      <c r="O1740" s="1" t="s">
        <v>48</v>
      </c>
      <c r="P1740" s="1" t="s">
        <v>12029</v>
      </c>
      <c r="Q1740" s="1" t="s">
        <v>145</v>
      </c>
      <c r="R1740" s="1" t="s">
        <v>145</v>
      </c>
      <c r="S1740" s="6">
        <v>3.8333300000000001</v>
      </c>
      <c r="T1740" s="1" t="s">
        <v>50</v>
      </c>
      <c r="U1740" s="1"/>
      <c r="V1740" s="1"/>
      <c r="W1740" s="1"/>
      <c r="X1740" s="5">
        <v>175</v>
      </c>
      <c r="Y1740" s="7">
        <v>14375000</v>
      </c>
      <c r="Z1740" s="1"/>
      <c r="AA1740" s="1" t="s">
        <v>12003</v>
      </c>
      <c r="AB1740" s="1" t="s">
        <v>5265</v>
      </c>
      <c r="AC1740" s="1" t="s">
        <v>7759</v>
      </c>
      <c r="AD1740" s="1" t="s">
        <v>5265</v>
      </c>
      <c r="AE1740" s="1" t="s">
        <v>51</v>
      </c>
      <c r="AF1740" s="1" t="s">
        <v>51</v>
      </c>
      <c r="AG1740" s="1" t="s">
        <v>51</v>
      </c>
      <c r="AH1740" s="1"/>
      <c r="AI1740" s="1"/>
      <c r="AJ1740" s="3">
        <v>2</v>
      </c>
      <c r="AK1740" s="1" t="s">
        <v>89</v>
      </c>
      <c r="AL1740" s="3">
        <v>5</v>
      </c>
      <c r="AM1740" s="8">
        <v>11.949999999999999</v>
      </c>
      <c r="AN1740" s="1"/>
      <c r="AO1740" s="1" t="s">
        <v>12030</v>
      </c>
      <c r="AP1740" s="1" t="s">
        <v>1905</v>
      </c>
      <c r="AQ1740" s="1" t="s">
        <v>12031</v>
      </c>
      <c r="AR1740" s="1" t="s">
        <v>12029</v>
      </c>
    </row>
    <row r="1741">
      <c r="A1741" s="2">
        <f ca="1">DATE(2005,10,05)</f>
        <v>0</v>
      </c>
      <c r="B1741" s="2">
        <f ca="1">DATE(2006,02,09)</f>
        <v>0</v>
      </c>
      <c r="C1741" s="1" t="s">
        <v>12032</v>
      </c>
      <c r="D1741" s="3">
        <v>2836</v>
      </c>
      <c r="E1741" s="1" t="s">
        <v>43</v>
      </c>
      <c r="F1741" s="1" t="s">
        <v>12033</v>
      </c>
      <c r="G1741" s="1" t="s">
        <v>1297</v>
      </c>
      <c r="H1741" s="4">
        <v>0.41999999999999998</v>
      </c>
      <c r="I1741" s="8">
        <v>7</v>
      </c>
      <c r="J1741" s="5">
        <v>33</v>
      </c>
      <c r="K1741" s="4">
        <v>6</v>
      </c>
      <c r="L1741" s="1" t="s">
        <v>46</v>
      </c>
      <c r="M1741" s="1" t="s">
        <v>47</v>
      </c>
      <c r="N1741" s="1" t="s">
        <v>12034</v>
      </c>
      <c r="O1741" s="1" t="s">
        <v>48</v>
      </c>
      <c r="P1741" s="1" t="s">
        <v>12035</v>
      </c>
      <c r="Q1741" s="1" t="s">
        <v>145</v>
      </c>
      <c r="R1741" s="1" t="s">
        <v>145</v>
      </c>
      <c r="S1741" s="6">
        <v>4.1666699999999999</v>
      </c>
      <c r="T1741" s="1" t="s">
        <v>50</v>
      </c>
      <c r="U1741" s="1"/>
      <c r="V1741" s="1"/>
      <c r="W1741" s="1"/>
      <c r="X1741" s="5">
        <v>86.299999999999997</v>
      </c>
      <c r="Y1741" s="7">
        <v>5500000</v>
      </c>
      <c r="Z1741" s="1"/>
      <c r="AA1741" s="1" t="s">
        <v>12036</v>
      </c>
      <c r="AB1741" s="1" t="s">
        <v>12037</v>
      </c>
      <c r="AC1741" s="1" t="s">
        <v>7759</v>
      </c>
      <c r="AD1741" s="1" t="s">
        <v>12038</v>
      </c>
      <c r="AE1741" s="1" t="s">
        <v>51</v>
      </c>
      <c r="AF1741" s="1" t="s">
        <v>51</v>
      </c>
      <c r="AG1741" s="1" t="s">
        <v>47</v>
      </c>
      <c r="AH1741" s="1"/>
      <c r="AI1741" s="1"/>
      <c r="AJ1741" s="3">
        <v>1</v>
      </c>
      <c r="AK1741" s="1" t="s">
        <v>52</v>
      </c>
      <c r="AL1741" s="3">
        <v>4</v>
      </c>
      <c r="AM1741" s="8">
        <v>6.7199999999999998</v>
      </c>
      <c r="AN1741" s="1"/>
      <c r="AO1741" s="1" t="s">
        <v>12039</v>
      </c>
      <c r="AP1741" s="1" t="s">
        <v>1297</v>
      </c>
      <c r="AQ1741" s="1" t="s">
        <v>12040</v>
      </c>
      <c r="AR1741" s="1" t="s">
        <v>12035</v>
      </c>
    </row>
    <row r="1742">
      <c r="A1742" s="2">
        <f ca="1">DATE(2005,09,13)</f>
        <v>0</v>
      </c>
      <c r="B1742" s="2">
        <f ca="1">DATE(2006,02,09)</f>
        <v>0</v>
      </c>
      <c r="C1742" s="1" t="s">
        <v>12041</v>
      </c>
      <c r="D1742" s="3">
        <v>6331</v>
      </c>
      <c r="E1742" s="1" t="s">
        <v>43</v>
      </c>
      <c r="F1742" s="1" t="s">
        <v>12042</v>
      </c>
      <c r="G1742" s="1" t="s">
        <v>84</v>
      </c>
      <c r="H1742" s="4">
        <v>0.63</v>
      </c>
      <c r="I1742" s="4">
        <v>7</v>
      </c>
      <c r="J1742" s="5">
        <v>94.5</v>
      </c>
      <c r="K1742" s="4">
        <v>9</v>
      </c>
      <c r="L1742" s="1" t="s">
        <v>46</v>
      </c>
      <c r="M1742" s="1" t="s">
        <v>47</v>
      </c>
      <c r="N1742" s="1" t="s">
        <v>12043</v>
      </c>
      <c r="O1742" s="1" t="s">
        <v>48</v>
      </c>
      <c r="P1742" s="1" t="s">
        <v>12044</v>
      </c>
      <c r="Q1742" s="1" t="s">
        <v>145</v>
      </c>
      <c r="R1742" s="1" t="s">
        <v>145</v>
      </c>
      <c r="S1742" s="6">
        <v>4.11111</v>
      </c>
      <c r="T1742" s="1" t="s">
        <v>50</v>
      </c>
      <c r="U1742" s="1"/>
      <c r="V1742" s="1"/>
      <c r="W1742" s="1"/>
      <c r="X1742" s="5">
        <v>110</v>
      </c>
      <c r="Y1742" s="7">
        <v>6000000</v>
      </c>
      <c r="Z1742" s="7">
        <v>4500000</v>
      </c>
      <c r="AA1742" s="1" t="s">
        <v>12036</v>
      </c>
      <c r="AB1742" s="1" t="s">
        <v>12045</v>
      </c>
      <c r="AC1742" s="1" t="s">
        <v>7759</v>
      </c>
      <c r="AD1742" s="1" t="s">
        <v>12046</v>
      </c>
      <c r="AE1742" s="1" t="s">
        <v>51</v>
      </c>
      <c r="AF1742" s="1" t="s">
        <v>51</v>
      </c>
      <c r="AG1742" s="1" t="s">
        <v>51</v>
      </c>
      <c r="AH1742" s="1"/>
      <c r="AI1742" s="1"/>
      <c r="AJ1742" s="3">
        <v>1</v>
      </c>
      <c r="AK1742" s="1" t="s">
        <v>52</v>
      </c>
      <c r="AL1742" s="3">
        <v>3</v>
      </c>
      <c r="AM1742" s="8">
        <v>9</v>
      </c>
      <c r="AN1742" s="1"/>
      <c r="AO1742" s="1" t="s">
        <v>12047</v>
      </c>
      <c r="AP1742" s="1" t="s">
        <v>84</v>
      </c>
      <c r="AQ1742" s="1" t="s">
        <v>12048</v>
      </c>
      <c r="AR1742" s="1" t="s">
        <v>12049</v>
      </c>
    </row>
    <row r="1743">
      <c r="A1743" s="2">
        <f ca="1">DATE(2005,11,10)</f>
        <v>0</v>
      </c>
      <c r="B1743" s="2">
        <f ca="1">DATE(2006,02,09)</f>
        <v>0</v>
      </c>
      <c r="C1743" s="1" t="s">
        <v>12050</v>
      </c>
      <c r="D1743" s="3">
        <v>4613</v>
      </c>
      <c r="E1743" s="1" t="s">
        <v>43</v>
      </c>
      <c r="F1743" s="1" t="s">
        <v>12051</v>
      </c>
      <c r="G1743" s="1" t="s">
        <v>12052</v>
      </c>
      <c r="H1743" s="4">
        <v>1.286</v>
      </c>
      <c r="I1743" s="4">
        <v>5.2489999999999997</v>
      </c>
      <c r="J1743" s="5">
        <v>539</v>
      </c>
      <c r="K1743" s="4">
        <v>24.5</v>
      </c>
      <c r="L1743" s="1" t="s">
        <v>85</v>
      </c>
      <c r="M1743" s="1" t="s">
        <v>47</v>
      </c>
      <c r="N1743" s="1" t="s">
        <v>12053</v>
      </c>
      <c r="O1743" s="1" t="s">
        <v>108</v>
      </c>
      <c r="P1743" s="1" t="s">
        <v>12054</v>
      </c>
      <c r="Q1743" s="4">
        <v>1.0489999999999999</v>
      </c>
      <c r="R1743" s="4">
        <v>1.0489999999999999</v>
      </c>
      <c r="S1743" s="6">
        <v>3.1510199999999999</v>
      </c>
      <c r="T1743" s="1" t="s">
        <v>50</v>
      </c>
      <c r="U1743" s="1"/>
      <c r="V1743" s="1"/>
      <c r="W1743" s="7">
        <v>20850000</v>
      </c>
      <c r="X1743" s="1"/>
      <c r="Y1743" s="7">
        <v>22000000</v>
      </c>
      <c r="Z1743" s="1"/>
      <c r="AA1743" s="1" t="s">
        <v>12036</v>
      </c>
      <c r="AB1743" s="1" t="s">
        <v>5265</v>
      </c>
      <c r="AC1743" s="1" t="s">
        <v>7759</v>
      </c>
      <c r="AD1743" s="1" t="s">
        <v>5265</v>
      </c>
      <c r="AE1743" s="1" t="s">
        <v>51</v>
      </c>
      <c r="AF1743" s="1" t="s">
        <v>51</v>
      </c>
      <c r="AG1743" s="1" t="s">
        <v>51</v>
      </c>
      <c r="AH1743" s="1"/>
      <c r="AI1743" s="1"/>
      <c r="AJ1743" s="3">
        <v>4</v>
      </c>
      <c r="AK1743" s="1" t="s">
        <v>1209</v>
      </c>
      <c r="AL1743" s="3">
        <v>12</v>
      </c>
      <c r="AM1743" s="8">
        <v>24</v>
      </c>
      <c r="AN1743" s="1"/>
      <c r="AO1743" s="1" t="s">
        <v>12055</v>
      </c>
      <c r="AP1743" s="1" t="s">
        <v>12056</v>
      </c>
      <c r="AQ1743" s="1" t="s">
        <v>12057</v>
      </c>
      <c r="AR1743" s="1" t="s">
        <v>12058</v>
      </c>
    </row>
    <row r="1744">
      <c r="A1744" s="2">
        <f ca="1">DATE(2005,10,27)</f>
        <v>0</v>
      </c>
      <c r="B1744" s="2">
        <f ca="1">DATE(2006,02,13)</f>
        <v>0</v>
      </c>
      <c r="C1744" s="1" t="s">
        <v>12059</v>
      </c>
      <c r="D1744" s="3">
        <v>7011</v>
      </c>
      <c r="E1744" s="1" t="s">
        <v>43</v>
      </c>
      <c r="F1744" s="1" t="s">
        <v>12060</v>
      </c>
      <c r="G1744" s="1" t="s">
        <v>9071</v>
      </c>
      <c r="H1744" s="4">
        <v>1.3</v>
      </c>
      <c r="I1744" s="4">
        <v>6.5</v>
      </c>
      <c r="J1744" s="5">
        <v>360</v>
      </c>
      <c r="K1744" s="4">
        <v>20</v>
      </c>
      <c r="L1744" s="1" t="s">
        <v>46</v>
      </c>
      <c r="M1744" s="1" t="s">
        <v>47</v>
      </c>
      <c r="N1744" s="1" t="s">
        <v>12061</v>
      </c>
      <c r="O1744" s="1" t="s">
        <v>48</v>
      </c>
      <c r="P1744" s="1" t="s">
        <v>12062</v>
      </c>
      <c r="Q1744" s="1" t="s">
        <v>145</v>
      </c>
      <c r="R1744" s="1" t="s">
        <v>145</v>
      </c>
      <c r="S1744" s="8">
        <v>3.8999999999999999</v>
      </c>
      <c r="T1744" s="1" t="s">
        <v>50</v>
      </c>
      <c r="U1744" s="1"/>
      <c r="V1744" s="1"/>
      <c r="W1744" s="1"/>
      <c r="X1744" s="5">
        <v>300</v>
      </c>
      <c r="Y1744" s="7">
        <v>15000000</v>
      </c>
      <c r="Z1744" s="7">
        <v>3000000</v>
      </c>
      <c r="AA1744" s="1" t="s">
        <v>12063</v>
      </c>
      <c r="AB1744" s="1" t="s">
        <v>12064</v>
      </c>
      <c r="AC1744" s="1" t="s">
        <v>7759</v>
      </c>
      <c r="AD1744" s="1" t="s">
        <v>12065</v>
      </c>
      <c r="AE1744" s="1" t="s">
        <v>51</v>
      </c>
      <c r="AF1744" s="1" t="s">
        <v>51</v>
      </c>
      <c r="AG1744" s="1" t="s">
        <v>51</v>
      </c>
      <c r="AH1744" s="1"/>
      <c r="AI1744" s="1"/>
      <c r="AJ1744" s="3">
        <v>2</v>
      </c>
      <c r="AK1744" s="1" t="s">
        <v>89</v>
      </c>
      <c r="AL1744" s="3">
        <v>7</v>
      </c>
      <c r="AM1744" s="8">
        <v>19.899999999999999</v>
      </c>
      <c r="AN1744" s="1"/>
      <c r="AO1744" s="1" t="s">
        <v>12066</v>
      </c>
      <c r="AP1744" s="1" t="s">
        <v>4103</v>
      </c>
      <c r="AQ1744" s="1" t="s">
        <v>12067</v>
      </c>
      <c r="AR1744" s="1" t="s">
        <v>12068</v>
      </c>
    </row>
    <row r="1745">
      <c r="A1745" s="2">
        <f ca="1">DATE(2005,09,26)</f>
        <v>0</v>
      </c>
      <c r="B1745" s="2">
        <f ca="1">DATE(2006,02,15)</f>
        <v>0</v>
      </c>
      <c r="C1745" s="1" t="s">
        <v>12069</v>
      </c>
      <c r="D1745" s="3">
        <v>6726</v>
      </c>
      <c r="E1745" s="1" t="s">
        <v>43</v>
      </c>
      <c r="F1745" s="1" t="s">
        <v>12070</v>
      </c>
      <c r="G1745" s="1" t="s">
        <v>9271</v>
      </c>
      <c r="H1745" s="4">
        <v>0.56000000000000005</v>
      </c>
      <c r="I1745" s="4">
        <v>7</v>
      </c>
      <c r="J1745" s="5">
        <v>80</v>
      </c>
      <c r="K1745" s="4">
        <v>8</v>
      </c>
      <c r="L1745" s="1" t="s">
        <v>46</v>
      </c>
      <c r="M1745" s="1" t="s">
        <v>47</v>
      </c>
      <c r="N1745" s="3">
        <v>379414204</v>
      </c>
      <c r="O1745" s="1" t="s">
        <v>87</v>
      </c>
      <c r="P1745" s="1" t="s">
        <v>12071</v>
      </c>
      <c r="Q1745" s="1" t="s">
        <v>145</v>
      </c>
      <c r="R1745" s="1" t="s">
        <v>145</v>
      </c>
      <c r="S1745" s="8">
        <v>2.25</v>
      </c>
      <c r="T1745" s="1" t="s">
        <v>50</v>
      </c>
      <c r="U1745" s="8">
        <v>8</v>
      </c>
      <c r="V1745" s="8">
        <v>8</v>
      </c>
      <c r="W1745" s="7">
        <v>10000000</v>
      </c>
      <c r="X1745" s="5">
        <v>80</v>
      </c>
      <c r="Y1745" s="7">
        <v>10000000</v>
      </c>
      <c r="Z1745" s="1"/>
      <c r="AA1745" s="1" t="s">
        <v>12072</v>
      </c>
      <c r="AB1745" s="1" t="s">
        <v>12073</v>
      </c>
      <c r="AC1745" s="1" t="s">
        <v>2068</v>
      </c>
      <c r="AD1745" s="1" t="s">
        <v>12074</v>
      </c>
      <c r="AE1745" s="1" t="s">
        <v>51</v>
      </c>
      <c r="AF1745" s="1" t="s">
        <v>51</v>
      </c>
      <c r="AG1745" s="1" t="s">
        <v>51</v>
      </c>
      <c r="AH1745" s="1"/>
      <c r="AI1745" s="1"/>
      <c r="AJ1745" s="3">
        <v>1</v>
      </c>
      <c r="AK1745" s="1" t="s">
        <v>52</v>
      </c>
      <c r="AL1745" s="3">
        <v>3</v>
      </c>
      <c r="AM1745" s="8">
        <v>8.1500000000000004</v>
      </c>
      <c r="AN1745" s="1"/>
      <c r="AO1745" s="1" t="s">
        <v>12075</v>
      </c>
      <c r="AP1745" s="1" t="s">
        <v>9271</v>
      </c>
      <c r="AQ1745" s="1" t="s">
        <v>12076</v>
      </c>
      <c r="AR1745" s="1" t="s">
        <v>12071</v>
      </c>
    </row>
    <row r="1746">
      <c r="A1746" s="2">
        <f ca="1">DATE(2005,11,14)</f>
        <v>0</v>
      </c>
      <c r="B1746" s="2">
        <f ca="1">DATE(2006,02,22)</f>
        <v>0</v>
      </c>
      <c r="C1746" s="1" t="s">
        <v>12077</v>
      </c>
      <c r="D1746" s="3">
        <v>7375</v>
      </c>
      <c r="E1746" s="1" t="s">
        <v>43</v>
      </c>
      <c r="F1746" s="1" t="s">
        <v>12078</v>
      </c>
      <c r="G1746" s="1" t="s">
        <v>8553</v>
      </c>
      <c r="H1746" s="4">
        <v>0.69999999999999996</v>
      </c>
      <c r="I1746" s="8">
        <v>7</v>
      </c>
      <c r="J1746" s="5">
        <v>76.900000000000006</v>
      </c>
      <c r="K1746" s="4">
        <v>10</v>
      </c>
      <c r="L1746" s="1" t="s">
        <v>46</v>
      </c>
      <c r="M1746" s="1" t="s">
        <v>47</v>
      </c>
      <c r="N1746" s="1" t="s">
        <v>12079</v>
      </c>
      <c r="O1746" s="1" t="s">
        <v>48</v>
      </c>
      <c r="P1746" s="1" t="s">
        <v>12080</v>
      </c>
      <c r="Q1746" s="1" t="s">
        <v>145</v>
      </c>
      <c r="R1746" s="1" t="s">
        <v>145</v>
      </c>
      <c r="S1746" s="8">
        <v>4.2000000000000002</v>
      </c>
      <c r="T1746" s="1" t="s">
        <v>50</v>
      </c>
      <c r="U1746" s="1"/>
      <c r="V1746" s="1"/>
      <c r="W1746" s="1"/>
      <c r="X1746" s="5">
        <v>86.299999999999997</v>
      </c>
      <c r="Y1746" s="7">
        <v>5000000</v>
      </c>
      <c r="Z1746" s="7">
        <v>2687362</v>
      </c>
      <c r="AA1746" s="1" t="s">
        <v>12081</v>
      </c>
      <c r="AB1746" s="1" t="s">
        <v>12082</v>
      </c>
      <c r="AC1746" s="1" t="s">
        <v>8611</v>
      </c>
      <c r="AD1746" s="1" t="s">
        <v>12083</v>
      </c>
      <c r="AE1746" s="1" t="s">
        <v>51</v>
      </c>
      <c r="AF1746" s="1" t="s">
        <v>51</v>
      </c>
      <c r="AG1746" s="1" t="s">
        <v>47</v>
      </c>
      <c r="AH1746" s="1"/>
      <c r="AI1746" s="1"/>
      <c r="AJ1746" s="3">
        <v>2</v>
      </c>
      <c r="AK1746" s="1" t="s">
        <v>89</v>
      </c>
      <c r="AL1746" s="3">
        <v>4</v>
      </c>
      <c r="AM1746" s="8">
        <v>12.289999999999999</v>
      </c>
      <c r="AN1746" s="1"/>
      <c r="AO1746" s="1" t="s">
        <v>12084</v>
      </c>
      <c r="AP1746" s="1" t="s">
        <v>8556</v>
      </c>
      <c r="AQ1746" s="1" t="s">
        <v>12085</v>
      </c>
      <c r="AR1746" s="1" t="s">
        <v>12086</v>
      </c>
    </row>
    <row r="1747">
      <c r="A1747" s="2">
        <f ca="1">DATE(2005,11,17)</f>
        <v>0</v>
      </c>
      <c r="B1747" s="2">
        <f ca="1">DATE(2006,02,23)</f>
        <v>0</v>
      </c>
      <c r="C1747" s="1" t="s">
        <v>12087</v>
      </c>
      <c r="D1747" s="3">
        <v>6726</v>
      </c>
      <c r="E1747" s="1" t="s">
        <v>43</v>
      </c>
      <c r="F1747" s="1" t="s">
        <v>12088</v>
      </c>
      <c r="G1747" s="1" t="s">
        <v>45</v>
      </c>
      <c r="H1747" s="4">
        <v>0.67500000000000004</v>
      </c>
      <c r="I1747" s="4">
        <v>4.5</v>
      </c>
      <c r="J1747" s="5">
        <v>195.59999999999999</v>
      </c>
      <c r="K1747" s="4">
        <v>15</v>
      </c>
      <c r="L1747" s="1" t="s">
        <v>46</v>
      </c>
      <c r="M1747" s="1" t="s">
        <v>47</v>
      </c>
      <c r="N1747" s="1" t="s">
        <v>12089</v>
      </c>
      <c r="O1747" s="1" t="s">
        <v>108</v>
      </c>
      <c r="P1747" s="1" t="s">
        <v>12090</v>
      </c>
      <c r="Q1747" s="4">
        <v>0.96699999999999997</v>
      </c>
      <c r="R1747" s="4">
        <v>0.53300000000000003</v>
      </c>
      <c r="S1747" s="8">
        <v>3</v>
      </c>
      <c r="T1747" s="1" t="s">
        <v>50</v>
      </c>
      <c r="U1747" s="8">
        <v>15</v>
      </c>
      <c r="V1747" s="8">
        <v>15</v>
      </c>
      <c r="W1747" s="7">
        <v>100000</v>
      </c>
      <c r="X1747" s="5">
        <v>1.5</v>
      </c>
      <c r="Y1747" s="7">
        <v>13040000</v>
      </c>
      <c r="Z1747" s="1"/>
      <c r="AA1747" s="1"/>
      <c r="AB1747" s="1"/>
      <c r="AC1747" s="1"/>
      <c r="AD1747" s="1"/>
      <c r="AE1747" s="1" t="s">
        <v>51</v>
      </c>
      <c r="AF1747" s="1" t="s">
        <v>51</v>
      </c>
      <c r="AG1747" s="1" t="s">
        <v>51</v>
      </c>
      <c r="AH1747" s="1"/>
      <c r="AI1747" s="1"/>
      <c r="AJ1747" s="3">
        <v>1</v>
      </c>
      <c r="AK1747" s="1" t="s">
        <v>52</v>
      </c>
      <c r="AL1747" s="3">
        <v>13</v>
      </c>
      <c r="AM1747" s="8">
        <v>15.01</v>
      </c>
      <c r="AN1747" s="1"/>
      <c r="AO1747" s="1" t="s">
        <v>12091</v>
      </c>
      <c r="AP1747" s="1" t="s">
        <v>45</v>
      </c>
      <c r="AQ1747" s="1" t="s">
        <v>12092</v>
      </c>
      <c r="AR1747" s="1" t="s">
        <v>12093</v>
      </c>
    </row>
    <row r="1748">
      <c r="A1748" s="2">
        <f ca="1">DATE(2006,01,23)</f>
        <v>0</v>
      </c>
      <c r="B1748" s="2">
        <f ca="1">DATE(2006,02,23)</f>
        <v>0</v>
      </c>
      <c r="C1748" s="1" t="s">
        <v>12094</v>
      </c>
      <c r="D1748" s="3">
        <v>4581</v>
      </c>
      <c r="E1748" s="1" t="s">
        <v>3013</v>
      </c>
      <c r="F1748" s="1" t="s">
        <v>12095</v>
      </c>
      <c r="G1748" s="1" t="s">
        <v>12096</v>
      </c>
      <c r="H1748" s="4">
        <v>0.22900000000000001</v>
      </c>
      <c r="I1748" s="4">
        <v>1.0900000000000001</v>
      </c>
      <c r="J1748" s="5">
        <v>609.5</v>
      </c>
      <c r="K1748" s="4">
        <v>21</v>
      </c>
      <c r="L1748" s="1" t="s">
        <v>651</v>
      </c>
      <c r="M1748" s="1" t="s">
        <v>47</v>
      </c>
      <c r="N1748" s="3">
        <v>400506101</v>
      </c>
      <c r="O1748" s="1" t="s">
        <v>108</v>
      </c>
      <c r="P1748" s="1" t="s">
        <v>12097</v>
      </c>
      <c r="Q1748" s="4">
        <v>0.218</v>
      </c>
      <c r="R1748" s="4">
        <v>0.218</v>
      </c>
      <c r="S1748" s="4">
        <v>0.65400000000000003</v>
      </c>
      <c r="T1748" s="1" t="s">
        <v>50</v>
      </c>
      <c r="U1748" s="1"/>
      <c r="V1748" s="1"/>
      <c r="W1748" s="1"/>
      <c r="X1748" s="1"/>
      <c r="Y1748" s="1"/>
      <c r="Z1748" s="7">
        <v>29025652</v>
      </c>
      <c r="AA1748" s="1" t="s">
        <v>12098</v>
      </c>
      <c r="AB1748" s="1" t="s">
        <v>12099</v>
      </c>
      <c r="AC1748" s="1" t="s">
        <v>2068</v>
      </c>
      <c r="AD1748" s="1" t="s">
        <v>12100</v>
      </c>
      <c r="AE1748" s="1" t="s">
        <v>47</v>
      </c>
      <c r="AF1748" s="1" t="s">
        <v>51</v>
      </c>
      <c r="AG1748" s="1" t="s">
        <v>51</v>
      </c>
      <c r="AH1748" s="1"/>
      <c r="AI1748" s="1"/>
      <c r="AJ1748" s="3">
        <v>1</v>
      </c>
      <c r="AK1748" s="1" t="s">
        <v>52</v>
      </c>
      <c r="AL1748" s="3">
        <v>4</v>
      </c>
      <c r="AM1748" s="8">
        <v>28.949999999999999</v>
      </c>
      <c r="AN1748" s="1"/>
      <c r="AO1748" s="1" t="s">
        <v>12101</v>
      </c>
      <c r="AP1748" s="1" t="s">
        <v>12096</v>
      </c>
      <c r="AQ1748" s="1" t="s">
        <v>12102</v>
      </c>
      <c r="AR1748" s="1" t="s">
        <v>12103</v>
      </c>
    </row>
    <row r="1749">
      <c r="A1749" s="2">
        <f ca="1">DATE(2005,10,21)</f>
        <v>0</v>
      </c>
      <c r="B1749" s="2">
        <f ca="1">DATE(2006,02,27)</f>
        <v>0</v>
      </c>
      <c r="C1749" s="1" t="s">
        <v>12104</v>
      </c>
      <c r="D1749" s="3">
        <v>6726</v>
      </c>
      <c r="E1749" s="1" t="s">
        <v>43</v>
      </c>
      <c r="F1749" s="1" t="s">
        <v>12105</v>
      </c>
      <c r="G1749" s="1" t="s">
        <v>5110</v>
      </c>
      <c r="H1749" s="4">
        <v>0.41999999999999998</v>
      </c>
      <c r="I1749" s="8">
        <v>7</v>
      </c>
      <c r="J1749" s="5">
        <v>115</v>
      </c>
      <c r="K1749" s="4">
        <v>6</v>
      </c>
      <c r="L1749" s="1" t="s">
        <v>46</v>
      </c>
      <c r="M1749" s="1" t="s">
        <v>47</v>
      </c>
      <c r="N1749" s="3">
        <v>400096202</v>
      </c>
      <c r="O1749" s="1" t="s">
        <v>87</v>
      </c>
      <c r="P1749" s="1" t="s">
        <v>12106</v>
      </c>
      <c r="Q1749" s="1" t="s">
        <v>145</v>
      </c>
      <c r="R1749" s="1" t="s">
        <v>145</v>
      </c>
      <c r="S1749" s="6">
        <v>4.1666699999999999</v>
      </c>
      <c r="T1749" s="1" t="s">
        <v>50</v>
      </c>
      <c r="U1749" s="8">
        <v>6</v>
      </c>
      <c r="V1749" s="8">
        <v>6</v>
      </c>
      <c r="W1749" s="7">
        <v>25000000</v>
      </c>
      <c r="X1749" s="5">
        <v>150</v>
      </c>
      <c r="Y1749" s="7">
        <v>19166667</v>
      </c>
      <c r="Z1749" s="1"/>
      <c r="AA1749" s="1" t="s">
        <v>12107</v>
      </c>
      <c r="AB1749" s="1" t="s">
        <v>12108</v>
      </c>
      <c r="AC1749" s="1" t="s">
        <v>12109</v>
      </c>
      <c r="AD1749" s="1" t="s">
        <v>12110</v>
      </c>
      <c r="AE1749" s="1" t="s">
        <v>51</v>
      </c>
      <c r="AF1749" s="1" t="s">
        <v>51</v>
      </c>
      <c r="AG1749" s="1" t="s">
        <v>51</v>
      </c>
      <c r="AH1749" s="1"/>
      <c r="AI1749" s="1"/>
      <c r="AJ1749" s="3">
        <v>1</v>
      </c>
      <c r="AK1749" s="1" t="s">
        <v>52</v>
      </c>
      <c r="AL1749" s="3">
        <v>1</v>
      </c>
      <c r="AM1749" s="8">
        <v>6.0999999999999996</v>
      </c>
      <c r="AN1749" s="1"/>
      <c r="AO1749" s="1" t="s">
        <v>12111</v>
      </c>
      <c r="AP1749" s="1" t="s">
        <v>5110</v>
      </c>
      <c r="AQ1749" s="1" t="s">
        <v>5110</v>
      </c>
      <c r="AR1749" s="1" t="s">
        <v>12112</v>
      </c>
    </row>
    <row r="1750">
      <c r="A1750" s="2">
        <f ca="1">DATE(2005,09,30)</f>
        <v>0</v>
      </c>
      <c r="B1750" s="2">
        <f ca="1">DATE(2006,03,02)</f>
        <v>0</v>
      </c>
      <c r="C1750" s="1" t="s">
        <v>12113</v>
      </c>
      <c r="D1750" s="3">
        <v>6726</v>
      </c>
      <c r="E1750" s="1" t="s">
        <v>43</v>
      </c>
      <c r="F1750" s="1" t="s">
        <v>12114</v>
      </c>
      <c r="G1750" s="1" t="s">
        <v>11203</v>
      </c>
      <c r="H1750" s="4">
        <v>0.40000000000000002</v>
      </c>
      <c r="I1750" s="4">
        <v>5</v>
      </c>
      <c r="J1750" s="5">
        <v>120</v>
      </c>
      <c r="K1750" s="4">
        <v>8</v>
      </c>
      <c r="L1750" s="1" t="s">
        <v>46</v>
      </c>
      <c r="M1750" s="1" t="s">
        <v>47</v>
      </c>
      <c r="N1750" s="1" t="s">
        <v>12115</v>
      </c>
      <c r="O1750" s="1" t="s">
        <v>77</v>
      </c>
      <c r="P1750" s="1" t="s">
        <v>12116</v>
      </c>
      <c r="Q1750" s="1" t="s">
        <v>145</v>
      </c>
      <c r="R1750" s="1" t="s">
        <v>145</v>
      </c>
      <c r="S1750" s="1"/>
      <c r="T1750" s="1" t="s">
        <v>50</v>
      </c>
      <c r="U1750" s="8">
        <v>8</v>
      </c>
      <c r="V1750" s="8">
        <v>8</v>
      </c>
      <c r="W1750" s="7">
        <v>12500000</v>
      </c>
      <c r="X1750" s="5">
        <v>100</v>
      </c>
      <c r="Y1750" s="7">
        <v>15000000</v>
      </c>
      <c r="Z1750" s="1"/>
      <c r="AA1750" s="1"/>
      <c r="AB1750" s="1"/>
      <c r="AC1750" s="1"/>
      <c r="AD1750" s="1"/>
      <c r="AE1750" s="1" t="s">
        <v>51</v>
      </c>
      <c r="AF1750" s="1" t="s">
        <v>51</v>
      </c>
      <c r="AG1750" s="1" t="s">
        <v>51</v>
      </c>
      <c r="AH1750" s="1"/>
      <c r="AI1750" s="1"/>
      <c r="AJ1750" s="3">
        <v>1</v>
      </c>
      <c r="AK1750" s="1" t="s">
        <v>52</v>
      </c>
      <c r="AL1750" s="3">
        <v>2</v>
      </c>
      <c r="AM1750" s="1"/>
      <c r="AN1750" s="1"/>
      <c r="AO1750" s="1" t="s">
        <v>12117</v>
      </c>
      <c r="AP1750" s="1" t="s">
        <v>11203</v>
      </c>
      <c r="AQ1750" s="1" t="s">
        <v>12118</v>
      </c>
      <c r="AR1750" s="1" t="s">
        <v>12116</v>
      </c>
    </row>
    <row r="1751">
      <c r="A1751" s="2">
        <f ca="1">DATE(2005,12,22)</f>
        <v>0</v>
      </c>
      <c r="B1751" s="2">
        <f ca="1">DATE(2006,03,08)</f>
        <v>0</v>
      </c>
      <c r="C1751" s="1" t="s">
        <v>12119</v>
      </c>
      <c r="D1751" s="3">
        <v>2834</v>
      </c>
      <c r="E1751" s="1" t="s">
        <v>43</v>
      </c>
      <c r="F1751" s="1" t="s">
        <v>12120</v>
      </c>
      <c r="G1751" s="1" t="s">
        <v>12121</v>
      </c>
      <c r="H1751" s="4">
        <v>0.56000000000000005</v>
      </c>
      <c r="I1751" s="4">
        <v>7</v>
      </c>
      <c r="J1751" s="5">
        <v>44</v>
      </c>
      <c r="K1751" s="4">
        <v>8</v>
      </c>
      <c r="L1751" s="1" t="s">
        <v>46</v>
      </c>
      <c r="M1751" s="1" t="s">
        <v>47</v>
      </c>
      <c r="N1751" s="1" t="s">
        <v>12122</v>
      </c>
      <c r="O1751" s="1" t="s">
        <v>48</v>
      </c>
      <c r="P1751" s="1" t="s">
        <v>12123</v>
      </c>
      <c r="Q1751" s="1" t="s">
        <v>145</v>
      </c>
      <c r="R1751" s="1" t="s">
        <v>145</v>
      </c>
      <c r="S1751" s="8">
        <v>7</v>
      </c>
      <c r="T1751" s="1" t="s">
        <v>50</v>
      </c>
      <c r="U1751" s="1"/>
      <c r="V1751" s="1"/>
      <c r="W1751" s="1"/>
      <c r="X1751" s="5">
        <v>86.299999999999997</v>
      </c>
      <c r="Y1751" s="7">
        <v>5500000</v>
      </c>
      <c r="Z1751" s="1"/>
      <c r="AA1751" s="1" t="s">
        <v>12124</v>
      </c>
      <c r="AB1751" s="1" t="s">
        <v>12125</v>
      </c>
      <c r="AC1751" s="1" t="s">
        <v>8611</v>
      </c>
      <c r="AD1751" s="1" t="s">
        <v>12126</v>
      </c>
      <c r="AE1751" s="1" t="s">
        <v>51</v>
      </c>
      <c r="AF1751" s="1" t="s">
        <v>51</v>
      </c>
      <c r="AG1751" s="1" t="s">
        <v>47</v>
      </c>
      <c r="AH1751" s="1"/>
      <c r="AI1751" s="1"/>
      <c r="AJ1751" s="3">
        <v>2</v>
      </c>
      <c r="AK1751" s="1" t="s">
        <v>89</v>
      </c>
      <c r="AL1751" s="3">
        <v>4</v>
      </c>
      <c r="AM1751" s="1"/>
      <c r="AN1751" s="1"/>
      <c r="AO1751" s="1" t="s">
        <v>12127</v>
      </c>
      <c r="AP1751" s="1" t="s">
        <v>12128</v>
      </c>
      <c r="AQ1751" s="1" t="s">
        <v>12129</v>
      </c>
      <c r="AR1751" s="1" t="s">
        <v>12123</v>
      </c>
    </row>
    <row r="1752">
      <c r="A1752" s="2">
        <f ca="1">DATE(2005,12,20)</f>
        <v>0</v>
      </c>
      <c r="B1752" s="2">
        <f ca="1">DATE(2006,03,08)</f>
        <v>0</v>
      </c>
      <c r="C1752" s="1" t="s">
        <v>12130</v>
      </c>
      <c r="D1752" s="3">
        <v>3825</v>
      </c>
      <c r="E1752" s="1" t="s">
        <v>43</v>
      </c>
      <c r="F1752" s="1" t="s">
        <v>12131</v>
      </c>
      <c r="G1752" s="1" t="s">
        <v>307</v>
      </c>
      <c r="H1752" s="4">
        <v>1.085</v>
      </c>
      <c r="I1752" s="8">
        <v>7</v>
      </c>
      <c r="J1752" s="5">
        <v>100.8</v>
      </c>
      <c r="K1752" s="4">
        <v>15.5</v>
      </c>
      <c r="L1752" s="1" t="s">
        <v>46</v>
      </c>
      <c r="M1752" s="1" t="s">
        <v>47</v>
      </c>
      <c r="N1752" s="3">
        <v>270006109</v>
      </c>
      <c r="O1752" s="1" t="s">
        <v>48</v>
      </c>
      <c r="P1752" s="1" t="s">
        <v>12132</v>
      </c>
      <c r="Q1752" s="1" t="s">
        <v>145</v>
      </c>
      <c r="R1752" s="1" t="s">
        <v>145</v>
      </c>
      <c r="S1752" s="8">
        <v>4.2000000000000002</v>
      </c>
      <c r="T1752" s="1" t="s">
        <v>50</v>
      </c>
      <c r="U1752" s="1"/>
      <c r="V1752" s="1"/>
      <c r="W1752" s="1"/>
      <c r="X1752" s="5">
        <v>115</v>
      </c>
      <c r="Y1752" s="7">
        <v>6130000</v>
      </c>
      <c r="Z1752" s="7">
        <v>370000</v>
      </c>
      <c r="AA1752" s="1" t="s">
        <v>12133</v>
      </c>
      <c r="AB1752" s="1" t="s">
        <v>11877</v>
      </c>
      <c r="AC1752" s="1" t="s">
        <v>7759</v>
      </c>
      <c r="AD1752" s="1" t="s">
        <v>12134</v>
      </c>
      <c r="AE1752" s="1" t="s">
        <v>51</v>
      </c>
      <c r="AF1752" s="1" t="s">
        <v>51</v>
      </c>
      <c r="AG1752" s="1" t="s">
        <v>51</v>
      </c>
      <c r="AH1752" s="1"/>
      <c r="AI1752" s="1"/>
      <c r="AJ1752" s="3">
        <v>2</v>
      </c>
      <c r="AK1752" s="1" t="s">
        <v>89</v>
      </c>
      <c r="AL1752" s="3">
        <v>5</v>
      </c>
      <c r="AM1752" s="8">
        <v>15.5</v>
      </c>
      <c r="AN1752" s="1"/>
      <c r="AO1752" s="1" t="s">
        <v>12135</v>
      </c>
      <c r="AP1752" s="1" t="s">
        <v>332</v>
      </c>
      <c r="AQ1752" s="1" t="s">
        <v>12136</v>
      </c>
      <c r="AR1752" s="1" t="s">
        <v>12132</v>
      </c>
    </row>
    <row r="1753">
      <c r="A1753" s="2">
        <f ca="1">DATE(2005,09,15)</f>
        <v>0</v>
      </c>
      <c r="B1753" s="2">
        <f ca="1">DATE(2006,03,08)</f>
        <v>0</v>
      </c>
      <c r="C1753" s="1" t="s">
        <v>12137</v>
      </c>
      <c r="D1753" s="3">
        <v>6726</v>
      </c>
      <c r="E1753" s="1" t="s">
        <v>43</v>
      </c>
      <c r="F1753" s="1" t="s">
        <v>12138</v>
      </c>
      <c r="G1753" s="1" t="s">
        <v>8742</v>
      </c>
      <c r="H1753" s="4">
        <v>0.253</v>
      </c>
      <c r="I1753" s="4">
        <v>5</v>
      </c>
      <c r="J1753" s="5">
        <v>46.5</v>
      </c>
      <c r="K1753" s="4">
        <v>5.0499999999999998</v>
      </c>
      <c r="L1753" s="1" t="s">
        <v>2698</v>
      </c>
      <c r="M1753" s="1" t="s">
        <v>47</v>
      </c>
      <c r="N1753" s="3">
        <v>382094209</v>
      </c>
      <c r="O1753" s="1" t="s">
        <v>77</v>
      </c>
      <c r="P1753" s="1" t="s">
        <v>12139</v>
      </c>
      <c r="Q1753" s="1" t="s">
        <v>145</v>
      </c>
      <c r="R1753" s="1" t="s">
        <v>145</v>
      </c>
      <c r="S1753" s="8">
        <v>3</v>
      </c>
      <c r="T1753" s="1" t="s">
        <v>50</v>
      </c>
      <c r="U1753" s="8">
        <v>5.25</v>
      </c>
      <c r="V1753" s="8">
        <v>5.25</v>
      </c>
      <c r="W1753" s="7">
        <v>1000000</v>
      </c>
      <c r="X1753" s="5">
        <v>5.2999999999999998</v>
      </c>
      <c r="Y1753" s="7">
        <v>9200000</v>
      </c>
      <c r="Z1753" s="1"/>
      <c r="AA1753" s="2">
        <f ca="1">DATE(2006,08,05)</f>
        <v>0</v>
      </c>
      <c r="AB1753" s="4">
        <v>0.001</v>
      </c>
      <c r="AC1753" s="3">
        <v>150</v>
      </c>
      <c r="AD1753" s="8">
        <v>100</v>
      </c>
      <c r="AE1753" s="1" t="s">
        <v>51</v>
      </c>
      <c r="AF1753" s="1" t="s">
        <v>51</v>
      </c>
      <c r="AG1753" s="1" t="s">
        <v>51</v>
      </c>
      <c r="AH1753" s="1"/>
      <c r="AI1753" s="1"/>
      <c r="AJ1753" s="3">
        <v>1</v>
      </c>
      <c r="AK1753" s="1" t="s">
        <v>52</v>
      </c>
      <c r="AL1753" s="3">
        <v>2</v>
      </c>
      <c r="AM1753" s="1"/>
      <c r="AN1753" s="1"/>
      <c r="AO1753" s="1" t="s">
        <v>12140</v>
      </c>
      <c r="AP1753" s="1" t="s">
        <v>8742</v>
      </c>
      <c r="AQ1753" s="1" t="s">
        <v>12141</v>
      </c>
      <c r="AR1753" s="1" t="s">
        <v>12142</v>
      </c>
    </row>
    <row r="1754">
      <c r="A1754" s="2">
        <f ca="1">DATE(2005,09,15)</f>
        <v>0</v>
      </c>
      <c r="B1754" s="2">
        <f ca="1">DATE(2006,03,08)</f>
        <v>0</v>
      </c>
      <c r="C1754" s="1" t="s">
        <v>12137</v>
      </c>
      <c r="D1754" s="3">
        <v>6726</v>
      </c>
      <c r="E1754" s="1" t="s">
        <v>43</v>
      </c>
      <c r="F1754" s="1" t="s">
        <v>12138</v>
      </c>
      <c r="G1754" s="1" t="s">
        <v>8742</v>
      </c>
      <c r="H1754" s="4">
        <v>0.213</v>
      </c>
      <c r="I1754" s="4">
        <v>5</v>
      </c>
      <c r="J1754" s="5">
        <v>4.2999999999999998</v>
      </c>
      <c r="K1754" s="4">
        <v>4.25</v>
      </c>
      <c r="L1754" s="1" t="s">
        <v>152</v>
      </c>
      <c r="M1754" s="1" t="s">
        <v>47</v>
      </c>
      <c r="N1754" s="1"/>
      <c r="O1754" s="1" t="s">
        <v>77</v>
      </c>
      <c r="P1754" s="1" t="s">
        <v>12139</v>
      </c>
      <c r="Q1754" s="1" t="s">
        <v>145</v>
      </c>
      <c r="R1754" s="1" t="s">
        <v>145</v>
      </c>
      <c r="S1754" s="8">
        <v>3</v>
      </c>
      <c r="T1754" s="1" t="s">
        <v>50</v>
      </c>
      <c r="U1754" s="8">
        <v>5.25</v>
      </c>
      <c r="V1754" s="8">
        <v>5.25</v>
      </c>
      <c r="W1754" s="7">
        <v>1000000</v>
      </c>
      <c r="X1754" s="5">
        <v>5.2999999999999998</v>
      </c>
      <c r="Y1754" s="7">
        <v>1000000</v>
      </c>
      <c r="Z1754" s="1"/>
      <c r="AA1754" s="2">
        <f ca="1">DATE(2006,08,05)</f>
        <v>0</v>
      </c>
      <c r="AB1754" s="4">
        <v>0.001</v>
      </c>
      <c r="AC1754" s="3">
        <v>150</v>
      </c>
      <c r="AD1754" s="8">
        <v>100</v>
      </c>
      <c r="AE1754" s="1" t="s">
        <v>51</v>
      </c>
      <c r="AF1754" s="1" t="s">
        <v>51</v>
      </c>
      <c r="AG1754" s="1" t="s">
        <v>51</v>
      </c>
      <c r="AH1754" s="1"/>
      <c r="AI1754" s="1"/>
      <c r="AJ1754" s="3">
        <v>1</v>
      </c>
      <c r="AK1754" s="1" t="s">
        <v>52</v>
      </c>
      <c r="AL1754" s="3">
        <v>2</v>
      </c>
      <c r="AM1754" s="1"/>
      <c r="AN1754" s="1"/>
      <c r="AO1754" s="1" t="s">
        <v>12140</v>
      </c>
      <c r="AP1754" s="1" t="s">
        <v>8742</v>
      </c>
      <c r="AQ1754" s="1" t="s">
        <v>12141</v>
      </c>
      <c r="AR1754" s="1" t="s">
        <v>12142</v>
      </c>
    </row>
    <row r="1755">
      <c r="A1755" s="2">
        <f ca="1">DATE(2006,02,17)</f>
        <v>0</v>
      </c>
      <c r="B1755" s="2">
        <f ca="1">DATE(2006,03,10)</f>
        <v>0</v>
      </c>
      <c r="C1755" s="1" t="s">
        <v>12143</v>
      </c>
      <c r="D1755" s="3">
        <v>4512</v>
      </c>
      <c r="E1755" s="1" t="s">
        <v>1445</v>
      </c>
      <c r="F1755" s="1" t="s">
        <v>12144</v>
      </c>
      <c r="G1755" s="1" t="s">
        <v>12145</v>
      </c>
      <c r="H1755" s="4">
        <v>0.57999999999999996</v>
      </c>
      <c r="I1755" s="4">
        <v>2.9849999999999999</v>
      </c>
      <c r="J1755" s="5">
        <v>463.80000000000001</v>
      </c>
      <c r="K1755" s="8">
        <v>19.43</v>
      </c>
      <c r="L1755" s="1" t="s">
        <v>651</v>
      </c>
      <c r="M1755" s="1" t="s">
        <v>47</v>
      </c>
      <c r="N1755" s="1" t="s">
        <v>12146</v>
      </c>
      <c r="O1755" s="1" t="s">
        <v>108</v>
      </c>
      <c r="P1755" s="1" t="s">
        <v>12147</v>
      </c>
      <c r="Q1755" s="1" t="s">
        <v>145</v>
      </c>
      <c r="R1755" s="1" t="s">
        <v>145</v>
      </c>
      <c r="S1755" s="1"/>
      <c r="T1755" s="1" t="s">
        <v>60</v>
      </c>
      <c r="U1755" s="8">
        <v>22.390000000000001</v>
      </c>
      <c r="V1755" s="8">
        <v>22.390000000000001</v>
      </c>
      <c r="W1755" s="7">
        <v>35618098</v>
      </c>
      <c r="X1755" s="5">
        <v>797.5</v>
      </c>
      <c r="Y1755" s="7">
        <v>2660103</v>
      </c>
      <c r="Z1755" s="7">
        <v>21209462</v>
      </c>
      <c r="AA1755" s="1"/>
      <c r="AB1755" s="1" t="s">
        <v>5265</v>
      </c>
      <c r="AC1755" s="1" t="s">
        <v>7759</v>
      </c>
      <c r="AD1755" s="1" t="s">
        <v>5265</v>
      </c>
      <c r="AE1755" s="1" t="s">
        <v>47</v>
      </c>
      <c r="AF1755" s="1" t="s">
        <v>51</v>
      </c>
      <c r="AG1755" s="1" t="s">
        <v>51</v>
      </c>
      <c r="AH1755" s="1"/>
      <c r="AI1755" s="1"/>
      <c r="AJ1755" s="3">
        <v>2</v>
      </c>
      <c r="AK1755" s="1" t="s">
        <v>89</v>
      </c>
      <c r="AL1755" s="3">
        <v>2</v>
      </c>
      <c r="AM1755" s="1"/>
      <c r="AN1755" s="1"/>
      <c r="AO1755" s="1" t="s">
        <v>12148</v>
      </c>
      <c r="AP1755" s="1" t="s">
        <v>12149</v>
      </c>
      <c r="AQ1755" s="1" t="s">
        <v>12150</v>
      </c>
      <c r="AR1755" s="1" t="s">
        <v>12151</v>
      </c>
    </row>
    <row r="1756">
      <c r="A1756" s="2">
        <f ca="1">DATE(2005,12,19)</f>
        <v>0</v>
      </c>
      <c r="B1756" s="2">
        <f ca="1">DATE(2006,03,14)</f>
        <v>0</v>
      </c>
      <c r="C1756" s="1" t="s">
        <v>12152</v>
      </c>
      <c r="D1756" s="3">
        <v>3728</v>
      </c>
      <c r="E1756" s="1" t="s">
        <v>43</v>
      </c>
      <c r="F1756" s="1" t="s">
        <v>12153</v>
      </c>
      <c r="G1756" s="1" t="s">
        <v>12154</v>
      </c>
      <c r="H1756" s="4">
        <v>1.47</v>
      </c>
      <c r="I1756" s="8">
        <v>7</v>
      </c>
      <c r="J1756" s="5">
        <v>230</v>
      </c>
      <c r="K1756" s="4">
        <v>21</v>
      </c>
      <c r="L1756" s="1" t="s">
        <v>46</v>
      </c>
      <c r="M1756" s="1" t="s">
        <v>47</v>
      </c>
      <c r="N1756" s="3">
        <v>893641100</v>
      </c>
      <c r="O1756" s="1" t="s">
        <v>108</v>
      </c>
      <c r="P1756" s="1" t="s">
        <v>12155</v>
      </c>
      <c r="Q1756" s="4">
        <v>1.3999999999999999</v>
      </c>
      <c r="R1756" s="4">
        <v>1.3999999999999999</v>
      </c>
      <c r="S1756" s="8">
        <v>4.2000000000000002</v>
      </c>
      <c r="T1756" s="1" t="s">
        <v>50</v>
      </c>
      <c r="U1756" s="1"/>
      <c r="V1756" s="1"/>
      <c r="W1756" s="1"/>
      <c r="X1756" s="5">
        <v>200</v>
      </c>
      <c r="Y1756" s="1"/>
      <c r="Z1756" s="7">
        <v>10954570</v>
      </c>
      <c r="AA1756" s="1" t="s">
        <v>12156</v>
      </c>
      <c r="AB1756" s="1" t="s">
        <v>12157</v>
      </c>
      <c r="AC1756" s="1" t="s">
        <v>10709</v>
      </c>
      <c r="AD1756" s="1" t="s">
        <v>12158</v>
      </c>
      <c r="AE1756" s="1" t="s">
        <v>51</v>
      </c>
      <c r="AF1756" s="1" t="s">
        <v>51</v>
      </c>
      <c r="AG1756" s="1" t="s">
        <v>51</v>
      </c>
      <c r="AH1756" s="1"/>
      <c r="AI1756" s="1"/>
      <c r="AJ1756" s="3">
        <v>2</v>
      </c>
      <c r="AK1756" s="1" t="s">
        <v>89</v>
      </c>
      <c r="AL1756" s="3">
        <v>5</v>
      </c>
      <c r="AM1756" s="8">
        <v>24.100000000000001</v>
      </c>
      <c r="AN1756" s="1"/>
      <c r="AO1756" s="1" t="s">
        <v>12159</v>
      </c>
      <c r="AP1756" s="1" t="s">
        <v>12160</v>
      </c>
      <c r="AQ1756" s="1" t="s">
        <v>12161</v>
      </c>
      <c r="AR1756" s="1" t="s">
        <v>12155</v>
      </c>
    </row>
    <row r="1757">
      <c r="A1757" s="2">
        <f ca="1">DATE(2005,09,02)</f>
        <v>0</v>
      </c>
      <c r="B1757" s="2">
        <f ca="1">DATE(2006,03,15)</f>
        <v>0</v>
      </c>
      <c r="C1757" s="1" t="s">
        <v>12162</v>
      </c>
      <c r="D1757" s="3">
        <v>6726</v>
      </c>
      <c r="E1757" s="1" t="s">
        <v>43</v>
      </c>
      <c r="F1757" s="1" t="s">
        <v>12163</v>
      </c>
      <c r="G1757" s="1" t="s">
        <v>11331</v>
      </c>
      <c r="H1757" s="4">
        <v>0.29999999999999999</v>
      </c>
      <c r="I1757" s="4">
        <v>5</v>
      </c>
      <c r="J1757" s="5">
        <v>150</v>
      </c>
      <c r="K1757" s="4">
        <v>6</v>
      </c>
      <c r="L1757" s="1" t="s">
        <v>46</v>
      </c>
      <c r="M1757" s="1" t="s">
        <v>47</v>
      </c>
      <c r="N1757" s="1" t="s">
        <v>12164</v>
      </c>
      <c r="O1757" s="1" t="s">
        <v>87</v>
      </c>
      <c r="P1757" s="1" t="s">
        <v>12165</v>
      </c>
      <c r="Q1757" s="1" t="s">
        <v>145</v>
      </c>
      <c r="R1757" s="1" t="s">
        <v>145</v>
      </c>
      <c r="S1757" s="1"/>
      <c r="T1757" s="1" t="s">
        <v>50</v>
      </c>
      <c r="U1757" s="8">
        <v>6</v>
      </c>
      <c r="V1757" s="8">
        <v>6</v>
      </c>
      <c r="W1757" s="7">
        <v>25000000</v>
      </c>
      <c r="X1757" s="5">
        <v>150</v>
      </c>
      <c r="Y1757" s="7">
        <v>25000000</v>
      </c>
      <c r="Z1757" s="1"/>
      <c r="AA1757" s="2">
        <f ca="1">DATE(2009,02,27)</f>
        <v>0</v>
      </c>
      <c r="AB1757" s="1"/>
      <c r="AC1757" s="3">
        <v>1080</v>
      </c>
      <c r="AD1757" s="1"/>
      <c r="AE1757" s="1" t="s">
        <v>51</v>
      </c>
      <c r="AF1757" s="1" t="s">
        <v>51</v>
      </c>
      <c r="AG1757" s="1" t="s">
        <v>51</v>
      </c>
      <c r="AH1757" s="1"/>
      <c r="AI1757" s="1"/>
      <c r="AJ1757" s="3">
        <v>1</v>
      </c>
      <c r="AK1757" s="1" t="s">
        <v>52</v>
      </c>
      <c r="AL1757" s="3">
        <v>4</v>
      </c>
      <c r="AM1757" s="1"/>
      <c r="AN1757" s="1"/>
      <c r="AO1757" s="1" t="s">
        <v>12166</v>
      </c>
      <c r="AP1757" s="1" t="s">
        <v>11331</v>
      </c>
      <c r="AQ1757" s="1" t="s">
        <v>12167</v>
      </c>
      <c r="AR1757" s="1" t="s">
        <v>12168</v>
      </c>
    </row>
    <row r="1758">
      <c r="A1758" s="2">
        <f ca="1">DATE(2005,07,15)</f>
        <v>0</v>
      </c>
      <c r="B1758" s="2">
        <f ca="1">DATE(2006,03,17)</f>
        <v>0</v>
      </c>
      <c r="C1758" s="1" t="s">
        <v>12169</v>
      </c>
      <c r="D1758" s="3">
        <v>6726</v>
      </c>
      <c r="E1758" s="1" t="s">
        <v>43</v>
      </c>
      <c r="F1758" s="1" t="s">
        <v>12170</v>
      </c>
      <c r="G1758" s="1" t="s">
        <v>9810</v>
      </c>
      <c r="H1758" s="4">
        <v>0.56000000000000005</v>
      </c>
      <c r="I1758" s="4">
        <v>7</v>
      </c>
      <c r="J1758" s="5">
        <v>50</v>
      </c>
      <c r="K1758" s="4">
        <v>8</v>
      </c>
      <c r="L1758" s="1" t="s">
        <v>46</v>
      </c>
      <c r="M1758" s="1" t="s">
        <v>47</v>
      </c>
      <c r="N1758" s="1" t="s">
        <v>12171</v>
      </c>
      <c r="O1758" s="1" t="s">
        <v>77</v>
      </c>
      <c r="P1758" s="1" t="s">
        <v>12172</v>
      </c>
      <c r="Q1758" s="1" t="s">
        <v>145</v>
      </c>
      <c r="R1758" s="1" t="s">
        <v>145</v>
      </c>
      <c r="S1758" s="8">
        <v>2.5</v>
      </c>
      <c r="T1758" s="1" t="s">
        <v>50</v>
      </c>
      <c r="U1758" s="8">
        <v>8</v>
      </c>
      <c r="V1758" s="8">
        <v>8</v>
      </c>
      <c r="W1758" s="7">
        <v>9375000</v>
      </c>
      <c r="X1758" s="5">
        <v>75</v>
      </c>
      <c r="Y1758" s="7">
        <v>6250000</v>
      </c>
      <c r="Z1758" s="1"/>
      <c r="AA1758" s="2">
        <f ca="1">DATE(2007,03,12)</f>
        <v>0</v>
      </c>
      <c r="AB1758" s="4">
        <v>20</v>
      </c>
      <c r="AC1758" s="3">
        <v>360</v>
      </c>
      <c r="AD1758" s="8">
        <v>1562500</v>
      </c>
      <c r="AE1758" s="1" t="s">
        <v>51</v>
      </c>
      <c r="AF1758" s="1" t="s">
        <v>51</v>
      </c>
      <c r="AG1758" s="1" t="s">
        <v>51</v>
      </c>
      <c r="AH1758" s="1"/>
      <c r="AI1758" s="1"/>
      <c r="AJ1758" s="3">
        <v>1</v>
      </c>
      <c r="AK1758" s="1" t="s">
        <v>89</v>
      </c>
      <c r="AL1758" s="3">
        <v>3</v>
      </c>
      <c r="AM1758" s="1"/>
      <c r="AN1758" s="1"/>
      <c r="AO1758" s="1" t="s">
        <v>12173</v>
      </c>
      <c r="AP1758" s="1" t="s">
        <v>12174</v>
      </c>
      <c r="AQ1758" s="1" t="s">
        <v>12175</v>
      </c>
      <c r="AR1758" s="1" t="s">
        <v>12176</v>
      </c>
    </row>
    <row r="1759">
      <c r="A1759" s="2">
        <f ca="1">DATE(2005,12,02)</f>
        <v>0</v>
      </c>
      <c r="B1759" s="2">
        <f ca="1">DATE(2006,03,21)</f>
        <v>0</v>
      </c>
      <c r="C1759" s="1" t="s">
        <v>12177</v>
      </c>
      <c r="D1759" s="3">
        <v>3825</v>
      </c>
      <c r="E1759" s="1" t="s">
        <v>43</v>
      </c>
      <c r="F1759" s="1" t="s">
        <v>12178</v>
      </c>
      <c r="G1759" s="1" t="s">
        <v>45</v>
      </c>
      <c r="H1759" s="4">
        <v>0.97999999999999998</v>
      </c>
      <c r="I1759" s="8">
        <v>7</v>
      </c>
      <c r="J1759" s="5">
        <v>75.599999999999994</v>
      </c>
      <c r="K1759" s="4">
        <v>14</v>
      </c>
      <c r="L1759" s="1" t="s">
        <v>46</v>
      </c>
      <c r="M1759" s="1" t="s">
        <v>47</v>
      </c>
      <c r="N1759" s="3">
        <v>653339101</v>
      </c>
      <c r="O1759" s="1" t="s">
        <v>48</v>
      </c>
      <c r="P1759" s="1" t="s">
        <v>12179</v>
      </c>
      <c r="Q1759" s="4">
        <v>1.4290000000000001</v>
      </c>
      <c r="R1759" s="4">
        <v>1.4290000000000001</v>
      </c>
      <c r="S1759" s="6">
        <v>4.1428599999999998</v>
      </c>
      <c r="T1759" s="1" t="s">
        <v>50</v>
      </c>
      <c r="U1759" s="1"/>
      <c r="V1759" s="1"/>
      <c r="W1759" s="1"/>
      <c r="X1759" s="5">
        <v>80</v>
      </c>
      <c r="Y1759" s="7">
        <v>4000000</v>
      </c>
      <c r="Z1759" s="7">
        <v>1400000</v>
      </c>
      <c r="AA1759" s="1" t="s">
        <v>12180</v>
      </c>
      <c r="AB1759" s="1" t="s">
        <v>12181</v>
      </c>
      <c r="AC1759" s="1" t="s">
        <v>7759</v>
      </c>
      <c r="AD1759" s="1" t="s">
        <v>12182</v>
      </c>
      <c r="AE1759" s="1" t="s">
        <v>51</v>
      </c>
      <c r="AF1759" s="1" t="s">
        <v>51</v>
      </c>
      <c r="AG1759" s="1" t="s">
        <v>47</v>
      </c>
      <c r="AH1759" s="1"/>
      <c r="AI1759" s="1"/>
      <c r="AJ1759" s="3">
        <v>1</v>
      </c>
      <c r="AK1759" s="1" t="s">
        <v>52</v>
      </c>
      <c r="AL1759" s="3">
        <v>3</v>
      </c>
      <c r="AM1759" s="8">
        <v>17.100000000000001</v>
      </c>
      <c r="AN1759" s="1"/>
      <c r="AO1759" s="1" t="s">
        <v>12183</v>
      </c>
      <c r="AP1759" s="1" t="s">
        <v>45</v>
      </c>
      <c r="AQ1759" s="1" t="s">
        <v>12184</v>
      </c>
      <c r="AR1759" s="1" t="s">
        <v>12185</v>
      </c>
    </row>
    <row r="1760">
      <c r="A1760" s="2">
        <f ca="1">DATE(2005,08,26)</f>
        <v>0</v>
      </c>
      <c r="B1760" s="2">
        <f ca="1">DATE(2006,03,22)</f>
        <v>0</v>
      </c>
      <c r="C1760" s="1" t="s">
        <v>12186</v>
      </c>
      <c r="D1760" s="3">
        <v>6726</v>
      </c>
      <c r="E1760" s="1" t="s">
        <v>43</v>
      </c>
      <c r="F1760" s="1" t="s">
        <v>12187</v>
      </c>
      <c r="G1760" s="1" t="s">
        <v>11203</v>
      </c>
      <c r="H1760" s="4">
        <v>0.56000000000000005</v>
      </c>
      <c r="I1760" s="4">
        <v>7</v>
      </c>
      <c r="J1760" s="5">
        <v>100</v>
      </c>
      <c r="K1760" s="4">
        <v>8</v>
      </c>
      <c r="L1760" s="1" t="s">
        <v>46</v>
      </c>
      <c r="M1760" s="1" t="s">
        <v>47</v>
      </c>
      <c r="N1760" s="1" t="s">
        <v>12188</v>
      </c>
      <c r="O1760" s="1" t="s">
        <v>87</v>
      </c>
      <c r="P1760" s="1" t="s">
        <v>12116</v>
      </c>
      <c r="Q1760" s="1" t="s">
        <v>145</v>
      </c>
      <c r="R1760" s="1" t="s">
        <v>145</v>
      </c>
      <c r="S1760" s="4">
        <v>3.125</v>
      </c>
      <c r="T1760" s="1" t="s">
        <v>50</v>
      </c>
      <c r="U1760" s="8">
        <v>8</v>
      </c>
      <c r="V1760" s="8">
        <v>8</v>
      </c>
      <c r="W1760" s="7">
        <v>18750000</v>
      </c>
      <c r="X1760" s="5">
        <v>150</v>
      </c>
      <c r="Y1760" s="7">
        <v>12500000</v>
      </c>
      <c r="Z1760" s="1"/>
      <c r="AA1760" s="2">
        <f ca="1">DATE(2007,03,17)</f>
        <v>0</v>
      </c>
      <c r="AB1760" s="4">
        <v>20</v>
      </c>
      <c r="AC1760" s="3">
        <v>360</v>
      </c>
      <c r="AD1760" s="8">
        <v>3125000</v>
      </c>
      <c r="AE1760" s="1" t="s">
        <v>51</v>
      </c>
      <c r="AF1760" s="1" t="s">
        <v>51</v>
      </c>
      <c r="AG1760" s="1" t="s">
        <v>51</v>
      </c>
      <c r="AH1760" s="1"/>
      <c r="AI1760" s="1"/>
      <c r="AJ1760" s="3">
        <v>1</v>
      </c>
      <c r="AK1760" s="1" t="s">
        <v>52</v>
      </c>
      <c r="AL1760" s="3">
        <v>1</v>
      </c>
      <c r="AM1760" s="8">
        <v>8.3499999999999996</v>
      </c>
      <c r="AN1760" s="1"/>
      <c r="AO1760" s="1" t="s">
        <v>12117</v>
      </c>
      <c r="AP1760" s="1" t="s">
        <v>11203</v>
      </c>
      <c r="AQ1760" s="1" t="s">
        <v>11203</v>
      </c>
      <c r="AR1760" s="1" t="s">
        <v>11204</v>
      </c>
    </row>
    <row r="1761">
      <c r="A1761" s="2">
        <f ca="1">DATE(2006,01,06)</f>
        <v>0</v>
      </c>
      <c r="B1761" s="2">
        <f ca="1">DATE(2006,03,23)</f>
        <v>0</v>
      </c>
      <c r="C1761" s="1" t="s">
        <v>12189</v>
      </c>
      <c r="D1761" s="3">
        <v>6000</v>
      </c>
      <c r="E1761" s="1" t="s">
        <v>210</v>
      </c>
      <c r="F1761" s="1" t="s">
        <v>12190</v>
      </c>
      <c r="G1761" s="1" t="s">
        <v>12191</v>
      </c>
      <c r="H1761" s="4">
        <v>0.71199999999999997</v>
      </c>
      <c r="I1761" s="4">
        <v>3.4990000000000001</v>
      </c>
      <c r="J1761" s="5">
        <v>197.80000000000001</v>
      </c>
      <c r="K1761" s="8">
        <v>20.350000000000001</v>
      </c>
      <c r="L1761" s="1" t="s">
        <v>651</v>
      </c>
      <c r="M1761" s="1" t="s">
        <v>47</v>
      </c>
      <c r="N1761" s="1" t="s">
        <v>12192</v>
      </c>
      <c r="O1761" s="1" t="s">
        <v>108</v>
      </c>
      <c r="P1761" s="1" t="s">
        <v>12193</v>
      </c>
      <c r="Q1761" s="4">
        <v>0.69799999999999995</v>
      </c>
      <c r="R1761" s="4">
        <v>0.70299999999999996</v>
      </c>
      <c r="S1761" s="6">
        <v>2.0982799999999999</v>
      </c>
      <c r="T1761" s="1" t="s">
        <v>60</v>
      </c>
      <c r="U1761" s="1"/>
      <c r="V1761" s="1"/>
      <c r="W1761" s="7">
        <v>136600000</v>
      </c>
      <c r="X1761" s="1"/>
      <c r="Y1761" s="7">
        <v>3558281</v>
      </c>
      <c r="Z1761" s="7">
        <v>6160000</v>
      </c>
      <c r="AA1761" s="1"/>
      <c r="AB1761" s="1" t="s">
        <v>5265</v>
      </c>
      <c r="AC1761" s="1" t="s">
        <v>7759</v>
      </c>
      <c r="AD1761" s="1" t="s">
        <v>5265</v>
      </c>
      <c r="AE1761" s="1" t="s">
        <v>47</v>
      </c>
      <c r="AF1761" s="1" t="s">
        <v>51</v>
      </c>
      <c r="AG1761" s="1" t="s">
        <v>51</v>
      </c>
      <c r="AH1761" s="1"/>
      <c r="AI1761" s="1"/>
      <c r="AJ1761" s="3">
        <v>2</v>
      </c>
      <c r="AK1761" s="1" t="s">
        <v>89</v>
      </c>
      <c r="AL1761" s="3">
        <v>2</v>
      </c>
      <c r="AM1761" s="1"/>
      <c r="AN1761" s="1"/>
      <c r="AO1761" s="1" t="s">
        <v>12194</v>
      </c>
      <c r="AP1761" s="1" t="s">
        <v>12195</v>
      </c>
      <c r="AQ1761" s="1" t="s">
        <v>12196</v>
      </c>
      <c r="AR1761" s="1" t="s">
        <v>12193</v>
      </c>
    </row>
    <row r="1762">
      <c r="A1762" s="2">
        <f ca="1">DATE(2005,11,07)</f>
        <v>0</v>
      </c>
      <c r="B1762" s="2">
        <f ca="1">DATE(2006,03,23)</f>
        <v>0</v>
      </c>
      <c r="C1762" s="1" t="s">
        <v>12197</v>
      </c>
      <c r="D1762" s="3">
        <v>7389</v>
      </c>
      <c r="E1762" s="1" t="s">
        <v>43</v>
      </c>
      <c r="F1762" s="1" t="s">
        <v>12198</v>
      </c>
      <c r="G1762" s="1" t="s">
        <v>2938</v>
      </c>
      <c r="H1762" s="4">
        <v>1.19</v>
      </c>
      <c r="I1762" s="8">
        <v>7</v>
      </c>
      <c r="J1762" s="5">
        <v>127.5</v>
      </c>
      <c r="K1762" s="4">
        <v>17</v>
      </c>
      <c r="L1762" s="1" t="s">
        <v>46</v>
      </c>
      <c r="M1762" s="1" t="s">
        <v>47</v>
      </c>
      <c r="N1762" s="1" t="s">
        <v>12199</v>
      </c>
      <c r="O1762" s="1" t="s">
        <v>48</v>
      </c>
      <c r="P1762" s="1" t="s">
        <v>12200</v>
      </c>
      <c r="Q1762" s="1" t="s">
        <v>145</v>
      </c>
      <c r="R1762" s="1" t="s">
        <v>145</v>
      </c>
      <c r="S1762" s="6">
        <v>3.8235299999999999</v>
      </c>
      <c r="T1762" s="1" t="s">
        <v>50</v>
      </c>
      <c r="U1762" s="1"/>
      <c r="V1762" s="1"/>
      <c r="W1762" s="1"/>
      <c r="X1762" s="5">
        <v>230</v>
      </c>
      <c r="Y1762" s="7">
        <v>7500000</v>
      </c>
      <c r="Z1762" s="1"/>
      <c r="AA1762" s="1" t="s">
        <v>12201</v>
      </c>
      <c r="AB1762" s="1" t="s">
        <v>12202</v>
      </c>
      <c r="AC1762" s="1" t="s">
        <v>7759</v>
      </c>
      <c r="AD1762" s="1" t="s">
        <v>12203</v>
      </c>
      <c r="AE1762" s="1" t="s">
        <v>51</v>
      </c>
      <c r="AF1762" s="1" t="s">
        <v>51</v>
      </c>
      <c r="AG1762" s="1" t="s">
        <v>51</v>
      </c>
      <c r="AH1762" s="1"/>
      <c r="AI1762" s="1"/>
      <c r="AJ1762" s="3">
        <v>1</v>
      </c>
      <c r="AK1762" s="1" t="s">
        <v>52</v>
      </c>
      <c r="AL1762" s="3">
        <v>5</v>
      </c>
      <c r="AM1762" s="8">
        <v>21</v>
      </c>
      <c r="AN1762" s="1"/>
      <c r="AO1762" s="1" t="s">
        <v>12204</v>
      </c>
      <c r="AP1762" s="1" t="s">
        <v>2938</v>
      </c>
      <c r="AQ1762" s="1" t="s">
        <v>12205</v>
      </c>
      <c r="AR1762" s="1" t="s">
        <v>12206</v>
      </c>
    </row>
    <row r="1763">
      <c r="A1763" s="2">
        <f ca="1">DATE(2005,12,16)</f>
        <v>0</v>
      </c>
      <c r="B1763" s="2">
        <f ca="1">DATE(2006,03,23)</f>
        <v>0</v>
      </c>
      <c r="C1763" s="1" t="s">
        <v>12207</v>
      </c>
      <c r="D1763" s="3">
        <v>7383</v>
      </c>
      <c r="E1763" s="1" t="s">
        <v>43</v>
      </c>
      <c r="F1763" s="1" t="s">
        <v>12208</v>
      </c>
      <c r="G1763" s="1" t="s">
        <v>8344</v>
      </c>
      <c r="H1763" s="4">
        <v>0.34999999999999998</v>
      </c>
      <c r="I1763" s="8">
        <v>7</v>
      </c>
      <c r="J1763" s="5">
        <v>19</v>
      </c>
      <c r="K1763" s="4">
        <v>5</v>
      </c>
      <c r="L1763" s="1" t="s">
        <v>46</v>
      </c>
      <c r="M1763" s="1" t="s">
        <v>47</v>
      </c>
      <c r="N1763" s="1" t="s">
        <v>12209</v>
      </c>
      <c r="O1763" s="1" t="s">
        <v>48</v>
      </c>
      <c r="P1763" s="1" t="s">
        <v>8348</v>
      </c>
      <c r="Q1763" s="1" t="s">
        <v>145</v>
      </c>
      <c r="R1763" s="1" t="s">
        <v>145</v>
      </c>
      <c r="S1763" s="8">
        <v>4.2000000000000002</v>
      </c>
      <c r="T1763" s="1" t="s">
        <v>50</v>
      </c>
      <c r="U1763" s="8">
        <v>6.5</v>
      </c>
      <c r="V1763" s="8">
        <v>5.5</v>
      </c>
      <c r="W1763" s="7">
        <v>3400000</v>
      </c>
      <c r="X1763" s="5">
        <v>20.399999999999999</v>
      </c>
      <c r="Y1763" s="7">
        <v>3800000</v>
      </c>
      <c r="Z1763" s="1"/>
      <c r="AA1763" s="1" t="s">
        <v>12210</v>
      </c>
      <c r="AB1763" s="1" t="s">
        <v>12211</v>
      </c>
      <c r="AC1763" s="1" t="s">
        <v>12212</v>
      </c>
      <c r="AD1763" s="1" t="s">
        <v>12213</v>
      </c>
      <c r="AE1763" s="1" t="s">
        <v>51</v>
      </c>
      <c r="AF1763" s="1" t="s">
        <v>51</v>
      </c>
      <c r="AG1763" s="1" t="s">
        <v>51</v>
      </c>
      <c r="AH1763" s="1"/>
      <c r="AI1763" s="1"/>
      <c r="AJ1763" s="3">
        <v>1</v>
      </c>
      <c r="AK1763" s="1" t="s">
        <v>52</v>
      </c>
      <c r="AL1763" s="3">
        <v>1</v>
      </c>
      <c r="AM1763" s="1"/>
      <c r="AN1763" s="1"/>
      <c r="AO1763" s="1" t="s">
        <v>8344</v>
      </c>
      <c r="AP1763" s="1" t="s">
        <v>8344</v>
      </c>
      <c r="AQ1763" s="1" t="s">
        <v>8344</v>
      </c>
      <c r="AR1763" s="1" t="s">
        <v>8348</v>
      </c>
    </row>
    <row r="1764">
      <c r="A1764" s="2">
        <f ca="1">DATE(2005,12,01)</f>
        <v>0</v>
      </c>
      <c r="B1764" s="2">
        <f ca="1">DATE(2006,03,23)</f>
        <v>0</v>
      </c>
      <c r="C1764" s="1" t="s">
        <v>12214</v>
      </c>
      <c r="D1764" s="3">
        <v>5812</v>
      </c>
      <c r="E1764" s="1" t="s">
        <v>166</v>
      </c>
      <c r="F1764" s="1" t="s">
        <v>12215</v>
      </c>
      <c r="G1764" s="1" t="s">
        <v>12216</v>
      </c>
      <c r="H1764" s="8">
        <v>1.3899999999999999</v>
      </c>
      <c r="I1764" s="8">
        <v>6</v>
      </c>
      <c r="J1764" s="5">
        <v>671.70000000000005</v>
      </c>
      <c r="K1764" s="4">
        <v>23.161999999999999</v>
      </c>
      <c r="L1764" s="1" t="s">
        <v>46</v>
      </c>
      <c r="M1764" s="1" t="s">
        <v>47</v>
      </c>
      <c r="N1764" s="1" t="s">
        <v>12217</v>
      </c>
      <c r="O1764" s="1" t="s">
        <v>108</v>
      </c>
      <c r="P1764" s="1" t="s">
        <v>12218</v>
      </c>
      <c r="Q1764" s="8">
        <v>0.90000000000000002</v>
      </c>
      <c r="R1764" s="4">
        <v>1.2</v>
      </c>
      <c r="S1764" s="6">
        <v>3.0001699999999998</v>
      </c>
      <c r="T1764" s="1" t="s">
        <v>50</v>
      </c>
      <c r="U1764" s="1"/>
      <c r="V1764" s="1"/>
      <c r="W1764" s="1"/>
      <c r="X1764" s="5">
        <v>600</v>
      </c>
      <c r="Y1764" s="7">
        <v>29000000</v>
      </c>
      <c r="Z1764" s="1"/>
      <c r="AA1764" s="1" t="s">
        <v>12201</v>
      </c>
      <c r="AB1764" s="1" t="s">
        <v>5265</v>
      </c>
      <c r="AC1764" s="1" t="s">
        <v>7759</v>
      </c>
      <c r="AD1764" s="1" t="s">
        <v>5265</v>
      </c>
      <c r="AE1764" s="1" t="s">
        <v>51</v>
      </c>
      <c r="AF1764" s="1" t="s">
        <v>51</v>
      </c>
      <c r="AG1764" s="1" t="s">
        <v>51</v>
      </c>
      <c r="AH1764" s="1" t="s">
        <v>12219</v>
      </c>
      <c r="AI1764" s="1" t="s">
        <v>12220</v>
      </c>
      <c r="AJ1764" s="3">
        <v>2</v>
      </c>
      <c r="AK1764" s="1" t="s">
        <v>89</v>
      </c>
      <c r="AL1764" s="3">
        <v>11</v>
      </c>
      <c r="AM1764" s="8">
        <v>28.170000000000002</v>
      </c>
      <c r="AN1764" s="1"/>
      <c r="AO1764" s="1" t="s">
        <v>12221</v>
      </c>
      <c r="AP1764" s="1" t="s">
        <v>12222</v>
      </c>
      <c r="AQ1764" s="1" t="s">
        <v>12223</v>
      </c>
      <c r="AR1764" s="1" t="s">
        <v>12224</v>
      </c>
    </row>
    <row r="1765">
      <c r="A1765" s="2">
        <f ca="1">DATE(2006,01,20)</f>
        <v>0</v>
      </c>
      <c r="B1765" s="2">
        <f ca="1">DATE(2006,03,28)</f>
        <v>0</v>
      </c>
      <c r="C1765" s="1" t="s">
        <v>12225</v>
      </c>
      <c r="D1765" s="3">
        <v>6726</v>
      </c>
      <c r="E1765" s="1" t="s">
        <v>43</v>
      </c>
      <c r="F1765" s="1"/>
      <c r="G1765" s="1" t="s">
        <v>5747</v>
      </c>
      <c r="H1765" s="4">
        <v>0.90000000000000002</v>
      </c>
      <c r="I1765" s="4">
        <v>4.5</v>
      </c>
      <c r="J1765" s="5">
        <v>188</v>
      </c>
      <c r="K1765" s="4">
        <v>20</v>
      </c>
      <c r="L1765" s="1" t="s">
        <v>46</v>
      </c>
      <c r="M1765" s="1" t="s">
        <v>47</v>
      </c>
      <c r="N1765" s="3">
        <v>337347108</v>
      </c>
      <c r="O1765" s="1"/>
      <c r="P1765" s="1" t="s">
        <v>12226</v>
      </c>
      <c r="Q1765" s="1" t="s">
        <v>145</v>
      </c>
      <c r="R1765" s="1" t="s">
        <v>145</v>
      </c>
      <c r="S1765" s="8">
        <v>3</v>
      </c>
      <c r="T1765" s="1" t="s">
        <v>50</v>
      </c>
      <c r="U1765" s="8">
        <v>20</v>
      </c>
      <c r="V1765" s="8">
        <v>20</v>
      </c>
      <c r="W1765" s="7">
        <v>1000</v>
      </c>
      <c r="X1765" s="5">
        <v>0</v>
      </c>
      <c r="Y1765" s="7">
        <v>9400000</v>
      </c>
      <c r="Z1765" s="1"/>
      <c r="AA1765" s="2">
        <f ca="1">DATE(2007,09,24)</f>
        <v>0</v>
      </c>
      <c r="AB1765" s="1"/>
      <c r="AC1765" s="3">
        <v>180</v>
      </c>
      <c r="AD1765" s="1"/>
      <c r="AE1765" s="1" t="s">
        <v>51</v>
      </c>
      <c r="AF1765" s="1" t="s">
        <v>51</v>
      </c>
      <c r="AG1765" s="1" t="s">
        <v>51</v>
      </c>
      <c r="AH1765" s="1"/>
      <c r="AI1765" s="1"/>
      <c r="AJ1765" s="3">
        <v>1</v>
      </c>
      <c r="AK1765" s="1" t="s">
        <v>52</v>
      </c>
      <c r="AL1765" s="3">
        <v>13</v>
      </c>
      <c r="AM1765" s="8">
        <v>20.199999999999999</v>
      </c>
      <c r="AN1765" s="1"/>
      <c r="AO1765" s="1" t="s">
        <v>12227</v>
      </c>
      <c r="AP1765" s="1" t="s">
        <v>5747</v>
      </c>
      <c r="AQ1765" s="1" t="s">
        <v>12228</v>
      </c>
      <c r="AR1765" s="1" t="s">
        <v>12229</v>
      </c>
    </row>
    <row r="1766">
      <c r="A1766" s="2">
        <f ca="1">DATE(2006,03,13)</f>
        <v>0</v>
      </c>
      <c r="B1766" s="2">
        <f ca="1">DATE(2006,03,29)</f>
        <v>0</v>
      </c>
      <c r="C1766" s="1" t="s">
        <v>12230</v>
      </c>
      <c r="D1766" s="3">
        <v>3663</v>
      </c>
      <c r="E1766" s="1" t="s">
        <v>744</v>
      </c>
      <c r="F1766" s="1" t="s">
        <v>12231</v>
      </c>
      <c r="G1766" s="1" t="s">
        <v>411</v>
      </c>
      <c r="H1766" s="4">
        <v>1.26</v>
      </c>
      <c r="I1766" s="4">
        <v>7</v>
      </c>
      <c r="J1766" s="5">
        <v>112.5</v>
      </c>
      <c r="K1766" s="4">
        <v>18</v>
      </c>
      <c r="L1766" s="1" t="s">
        <v>651</v>
      </c>
      <c r="M1766" s="1" t="s">
        <v>47</v>
      </c>
      <c r="N1766" s="1" t="s">
        <v>12232</v>
      </c>
      <c r="O1766" s="1" t="s">
        <v>48</v>
      </c>
      <c r="P1766" s="1" t="s">
        <v>12233</v>
      </c>
      <c r="Q1766" s="1" t="s">
        <v>145</v>
      </c>
      <c r="R1766" s="1" t="s">
        <v>145</v>
      </c>
      <c r="S1766" s="6">
        <v>4.2222200000000001</v>
      </c>
      <c r="T1766" s="1" t="s">
        <v>50</v>
      </c>
      <c r="U1766" s="8">
        <v>16</v>
      </c>
      <c r="V1766" s="8">
        <v>14</v>
      </c>
      <c r="W1766" s="7">
        <v>6250000</v>
      </c>
      <c r="X1766" s="5">
        <v>93.799999999999997</v>
      </c>
      <c r="Y1766" s="7">
        <v>5000000</v>
      </c>
      <c r="Z1766" s="7">
        <v>1250000</v>
      </c>
      <c r="AA1766" s="1" t="s">
        <v>12234</v>
      </c>
      <c r="AB1766" s="1" t="s">
        <v>12235</v>
      </c>
      <c r="AC1766" s="1" t="s">
        <v>7759</v>
      </c>
      <c r="AD1766" s="1" t="s">
        <v>12236</v>
      </c>
      <c r="AE1766" s="1" t="s">
        <v>47</v>
      </c>
      <c r="AF1766" s="1" t="s">
        <v>51</v>
      </c>
      <c r="AG1766" s="1" t="s">
        <v>47</v>
      </c>
      <c r="AH1766" s="1"/>
      <c r="AI1766" s="1"/>
      <c r="AJ1766" s="3">
        <v>1</v>
      </c>
      <c r="AK1766" s="1" t="s">
        <v>52</v>
      </c>
      <c r="AL1766" s="3">
        <v>3</v>
      </c>
      <c r="AM1766" s="8">
        <v>19</v>
      </c>
      <c r="AN1766" s="1"/>
      <c r="AO1766" s="1" t="s">
        <v>12237</v>
      </c>
      <c r="AP1766" s="1" t="s">
        <v>411</v>
      </c>
      <c r="AQ1766" s="1" t="s">
        <v>12238</v>
      </c>
      <c r="AR1766" s="1" t="s">
        <v>12233</v>
      </c>
    </row>
    <row r="1767">
      <c r="A1767" s="2">
        <f ca="1">DATE(2006,03,13)</f>
        <v>0</v>
      </c>
      <c r="B1767" s="2">
        <f ca="1">DATE(2006,03,30)</f>
        <v>0</v>
      </c>
      <c r="C1767" s="1" t="s">
        <v>12239</v>
      </c>
      <c r="D1767" s="3">
        <v>3674</v>
      </c>
      <c r="E1767" s="1" t="s">
        <v>2958</v>
      </c>
      <c r="F1767" s="1" t="s">
        <v>12240</v>
      </c>
      <c r="G1767" s="1" t="s">
        <v>796</v>
      </c>
      <c r="H1767" s="4">
        <v>0.45000000000000001</v>
      </c>
      <c r="I1767" s="4">
        <v>5</v>
      </c>
      <c r="J1767" s="5">
        <v>468</v>
      </c>
      <c r="K1767" s="4">
        <v>9</v>
      </c>
      <c r="L1767" s="1" t="s">
        <v>651</v>
      </c>
      <c r="M1767" s="1" t="s">
        <v>47</v>
      </c>
      <c r="N1767" s="1" t="s">
        <v>12241</v>
      </c>
      <c r="O1767" s="1" t="s">
        <v>48</v>
      </c>
      <c r="P1767" s="1" t="s">
        <v>12242</v>
      </c>
      <c r="Q1767" s="1" t="s">
        <v>145</v>
      </c>
      <c r="R1767" s="1" t="s">
        <v>145</v>
      </c>
      <c r="S1767" s="6">
        <v>3.2222200000000001</v>
      </c>
      <c r="T1767" s="1" t="s">
        <v>50</v>
      </c>
      <c r="U1767" s="1"/>
      <c r="V1767" s="1"/>
      <c r="W1767" s="1"/>
      <c r="X1767" s="5">
        <v>200</v>
      </c>
      <c r="Y1767" s="7">
        <v>12561753</v>
      </c>
      <c r="Z1767" s="7">
        <v>39438247</v>
      </c>
      <c r="AA1767" s="1" t="s">
        <v>12243</v>
      </c>
      <c r="AB1767" s="1" t="s">
        <v>12244</v>
      </c>
      <c r="AC1767" s="1" t="s">
        <v>12245</v>
      </c>
      <c r="AD1767" s="1" t="s">
        <v>12246</v>
      </c>
      <c r="AE1767" s="1" t="s">
        <v>47</v>
      </c>
      <c r="AF1767" s="1" t="s">
        <v>51</v>
      </c>
      <c r="AG1767" s="1" t="s">
        <v>47</v>
      </c>
      <c r="AH1767" s="3">
        <v>3009</v>
      </c>
      <c r="AI1767" s="1" t="s">
        <v>12247</v>
      </c>
      <c r="AJ1767" s="3">
        <v>1</v>
      </c>
      <c r="AK1767" s="1" t="s">
        <v>89</v>
      </c>
      <c r="AL1767" s="3">
        <v>6</v>
      </c>
      <c r="AM1767" s="8">
        <v>8.75</v>
      </c>
      <c r="AN1767" s="1"/>
      <c r="AO1767" s="1" t="s">
        <v>12248</v>
      </c>
      <c r="AP1767" s="1" t="s">
        <v>12249</v>
      </c>
      <c r="AQ1767" s="1" t="s">
        <v>12250</v>
      </c>
      <c r="AR1767" s="1" t="s">
        <v>12251</v>
      </c>
    </row>
    <row r="1768">
      <c r="A1768" s="2">
        <f ca="1">DATE(2005,11,29)</f>
        <v>0</v>
      </c>
      <c r="B1768" s="2">
        <f ca="1">DATE(2006,04,04)</f>
        <v>0</v>
      </c>
      <c r="C1768" s="1" t="s">
        <v>12252</v>
      </c>
      <c r="D1768" s="3">
        <v>7372</v>
      </c>
      <c r="E1768" s="1" t="s">
        <v>43</v>
      </c>
      <c r="F1768" s="1" t="s">
        <v>12253</v>
      </c>
      <c r="G1768" s="1" t="s">
        <v>796</v>
      </c>
      <c r="H1768" s="4">
        <v>1.1200000000000001</v>
      </c>
      <c r="I1768" s="4">
        <v>7</v>
      </c>
      <c r="J1768" s="5">
        <v>96</v>
      </c>
      <c r="K1768" s="4">
        <v>16</v>
      </c>
      <c r="L1768" s="1" t="s">
        <v>46</v>
      </c>
      <c r="M1768" s="1" t="s">
        <v>47</v>
      </c>
      <c r="N1768" s="1" t="s">
        <v>12254</v>
      </c>
      <c r="O1768" s="1" t="s">
        <v>48</v>
      </c>
      <c r="P1768" s="1" t="s">
        <v>12255</v>
      </c>
      <c r="Q1768" s="1" t="s">
        <v>145</v>
      </c>
      <c r="R1768" s="1" t="s">
        <v>145</v>
      </c>
      <c r="S1768" s="10">
        <v>4.1875</v>
      </c>
      <c r="T1768" s="1" t="s">
        <v>50</v>
      </c>
      <c r="U1768" s="1"/>
      <c r="V1768" s="1"/>
      <c r="W1768" s="1"/>
      <c r="X1768" s="5">
        <v>65</v>
      </c>
      <c r="Y1768" s="7">
        <v>6000000</v>
      </c>
      <c r="Z1768" s="1"/>
      <c r="AA1768" s="1" t="s">
        <v>12256</v>
      </c>
      <c r="AB1768" s="1" t="s">
        <v>12257</v>
      </c>
      <c r="AC1768" s="1" t="s">
        <v>7759</v>
      </c>
      <c r="AD1768" s="1" t="s">
        <v>12258</v>
      </c>
      <c r="AE1768" s="1" t="s">
        <v>51</v>
      </c>
      <c r="AF1768" s="1" t="s">
        <v>51</v>
      </c>
      <c r="AG1768" s="1" t="s">
        <v>47</v>
      </c>
      <c r="AH1768" s="1"/>
      <c r="AI1768" s="1"/>
      <c r="AJ1768" s="3">
        <v>1</v>
      </c>
      <c r="AK1768" s="1" t="s">
        <v>52</v>
      </c>
      <c r="AL1768" s="3">
        <v>4</v>
      </c>
      <c r="AM1768" s="8">
        <v>24.780000000000001</v>
      </c>
      <c r="AN1768" s="1"/>
      <c r="AO1768" s="1" t="s">
        <v>12259</v>
      </c>
      <c r="AP1768" s="1" t="s">
        <v>796</v>
      </c>
      <c r="AQ1768" s="1" t="s">
        <v>12260</v>
      </c>
      <c r="AR1768" s="1" t="s">
        <v>12255</v>
      </c>
    </row>
    <row r="1769">
      <c r="A1769" s="2">
        <f ca="1">DATE(2005,09,29)</f>
        <v>0</v>
      </c>
      <c r="B1769" s="2">
        <f ca="1">DATE(2006,04,05)</f>
        <v>0</v>
      </c>
      <c r="C1769" s="1" t="s">
        <v>12261</v>
      </c>
      <c r="D1769" s="3">
        <v>2084</v>
      </c>
      <c r="E1769" s="1" t="s">
        <v>43</v>
      </c>
      <c r="F1769" s="1" t="s">
        <v>12262</v>
      </c>
      <c r="G1769" s="1" t="s">
        <v>10908</v>
      </c>
      <c r="H1769" s="4">
        <v>0.63</v>
      </c>
      <c r="I1769" s="4">
        <v>7</v>
      </c>
      <c r="J1769" s="5">
        <v>31.5</v>
      </c>
      <c r="K1769" s="4">
        <v>9</v>
      </c>
      <c r="L1769" s="1" t="s">
        <v>46</v>
      </c>
      <c r="M1769" s="1" t="s">
        <v>47</v>
      </c>
      <c r="N1769" s="3">
        <v>148435100</v>
      </c>
      <c r="O1769" s="1" t="s">
        <v>87</v>
      </c>
      <c r="P1769" s="1" t="s">
        <v>12263</v>
      </c>
      <c r="Q1769" s="1" t="s">
        <v>145</v>
      </c>
      <c r="R1769" s="1" t="s">
        <v>145</v>
      </c>
      <c r="S1769" s="6">
        <v>4.11111</v>
      </c>
      <c r="T1769" s="1" t="s">
        <v>50</v>
      </c>
      <c r="U1769" s="1"/>
      <c r="V1769" s="1"/>
      <c r="W1769" s="7">
        <v>2500000</v>
      </c>
      <c r="X1769" s="1"/>
      <c r="Y1769" s="7">
        <v>3500000</v>
      </c>
      <c r="Z1769" s="1"/>
      <c r="AA1769" s="1" t="s">
        <v>12264</v>
      </c>
      <c r="AB1769" s="1" t="s">
        <v>12265</v>
      </c>
      <c r="AC1769" s="1" t="s">
        <v>7759</v>
      </c>
      <c r="AD1769" s="1" t="s">
        <v>12266</v>
      </c>
      <c r="AE1769" s="1" t="s">
        <v>51</v>
      </c>
      <c r="AF1769" s="1" t="s">
        <v>51</v>
      </c>
      <c r="AG1769" s="1" t="s">
        <v>51</v>
      </c>
      <c r="AH1769" s="1"/>
      <c r="AI1769" s="1"/>
      <c r="AJ1769" s="3">
        <v>1</v>
      </c>
      <c r="AK1769" s="1" t="s">
        <v>52</v>
      </c>
      <c r="AL1769" s="3">
        <v>3</v>
      </c>
      <c r="AM1769" s="8">
        <v>9</v>
      </c>
      <c r="AN1769" s="1"/>
      <c r="AO1769" s="1" t="s">
        <v>12267</v>
      </c>
      <c r="AP1769" s="1" t="s">
        <v>10908</v>
      </c>
      <c r="AQ1769" s="1" t="s">
        <v>12268</v>
      </c>
      <c r="AR1769" s="1" t="s">
        <v>12263</v>
      </c>
    </row>
    <row r="1770">
      <c r="A1770" s="2">
        <f ca="1">DATE(2005,11,18)</f>
        <v>0</v>
      </c>
      <c r="B1770" s="2">
        <f ca="1">DATE(2006,04,05)</f>
        <v>0</v>
      </c>
      <c r="C1770" s="1" t="s">
        <v>12269</v>
      </c>
      <c r="D1770" s="3">
        <v>6141</v>
      </c>
      <c r="E1770" s="1" t="s">
        <v>43</v>
      </c>
      <c r="F1770" s="1" t="s">
        <v>12270</v>
      </c>
      <c r="G1770" s="1" t="s">
        <v>9810</v>
      </c>
      <c r="H1770" s="4">
        <v>0.56000000000000005</v>
      </c>
      <c r="I1770" s="4">
        <v>7</v>
      </c>
      <c r="J1770" s="5">
        <v>60</v>
      </c>
      <c r="K1770" s="4">
        <v>8</v>
      </c>
      <c r="L1770" s="1" t="s">
        <v>46</v>
      </c>
      <c r="M1770" s="1" t="s">
        <v>47</v>
      </c>
      <c r="N1770" s="3">
        <v>369822200</v>
      </c>
      <c r="O1770" s="1" t="s">
        <v>87</v>
      </c>
      <c r="P1770" s="1" t="s">
        <v>12271</v>
      </c>
      <c r="Q1770" s="1" t="s">
        <v>145</v>
      </c>
      <c r="R1770" s="1" t="s">
        <v>145</v>
      </c>
      <c r="S1770" s="8">
        <v>3</v>
      </c>
      <c r="T1770" s="1" t="s">
        <v>50</v>
      </c>
      <c r="U1770" s="8">
        <v>6</v>
      </c>
      <c r="V1770" s="8">
        <v>6</v>
      </c>
      <c r="W1770" s="7">
        <v>10000000</v>
      </c>
      <c r="X1770" s="5">
        <v>60</v>
      </c>
      <c r="Y1770" s="7">
        <v>7500000</v>
      </c>
      <c r="Z1770" s="1"/>
      <c r="AA1770" s="2">
        <f ca="1">DATE(2006,09,02)</f>
        <v>0</v>
      </c>
      <c r="AB1770" s="4">
        <v>20</v>
      </c>
      <c r="AC1770" s="3">
        <v>150</v>
      </c>
      <c r="AD1770" s="8">
        <v>1875000</v>
      </c>
      <c r="AE1770" s="1" t="s">
        <v>51</v>
      </c>
      <c r="AF1770" s="1" t="s">
        <v>51</v>
      </c>
      <c r="AG1770" s="1" t="s">
        <v>51</v>
      </c>
      <c r="AH1770" s="1"/>
      <c r="AI1770" s="1"/>
      <c r="AJ1770" s="3">
        <v>1</v>
      </c>
      <c r="AK1770" s="1" t="s">
        <v>52</v>
      </c>
      <c r="AL1770" s="3">
        <v>4</v>
      </c>
      <c r="AM1770" s="8">
        <v>8.2599999999999998</v>
      </c>
      <c r="AN1770" s="1"/>
      <c r="AO1770" s="1" t="s">
        <v>12272</v>
      </c>
      <c r="AP1770" s="1" t="s">
        <v>9810</v>
      </c>
      <c r="AQ1770" s="1" t="s">
        <v>12273</v>
      </c>
      <c r="AR1770" s="1" t="s">
        <v>12274</v>
      </c>
    </row>
    <row r="1771">
      <c r="A1771" s="2">
        <f ca="1">DATE(2006,02,06)</f>
        <v>0</v>
      </c>
      <c r="B1771" s="2">
        <f ca="1">DATE(2006,04,05)</f>
        <v>0</v>
      </c>
      <c r="C1771" s="1" t="s">
        <v>12275</v>
      </c>
      <c r="D1771" s="3">
        <v>3433</v>
      </c>
      <c r="E1771" s="1" t="s">
        <v>43</v>
      </c>
      <c r="F1771" s="1" t="s">
        <v>12276</v>
      </c>
      <c r="G1771" s="1" t="s">
        <v>12277</v>
      </c>
      <c r="H1771" s="4">
        <v>1.0529999999999999</v>
      </c>
      <c r="I1771" s="4">
        <v>5.8499999999999996</v>
      </c>
      <c r="J1771" s="5">
        <v>423.5</v>
      </c>
      <c r="K1771" s="4">
        <v>18</v>
      </c>
      <c r="L1771" s="1" t="s">
        <v>46</v>
      </c>
      <c r="M1771" s="1" t="s">
        <v>47</v>
      </c>
      <c r="N1771" s="1" t="s">
        <v>12278</v>
      </c>
      <c r="O1771" s="1" t="s">
        <v>108</v>
      </c>
      <c r="P1771" s="1" t="s">
        <v>12279</v>
      </c>
      <c r="Q1771" s="1" t="s">
        <v>145</v>
      </c>
      <c r="R1771" s="1" t="s">
        <v>145</v>
      </c>
      <c r="S1771" s="8">
        <v>3.4500000000000002</v>
      </c>
      <c r="T1771" s="1" t="s">
        <v>50</v>
      </c>
      <c r="U1771" s="1"/>
      <c r="V1771" s="1"/>
      <c r="W1771" s="1"/>
      <c r="X1771" s="5">
        <v>460</v>
      </c>
      <c r="Y1771" s="7">
        <v>20917647</v>
      </c>
      <c r="Z1771" s="7">
        <v>2611764</v>
      </c>
      <c r="AA1771" s="1" t="s">
        <v>12264</v>
      </c>
      <c r="AB1771" s="1" t="s">
        <v>12280</v>
      </c>
      <c r="AC1771" s="1" t="s">
        <v>7759</v>
      </c>
      <c r="AD1771" s="1" t="s">
        <v>12281</v>
      </c>
      <c r="AE1771" s="1" t="s">
        <v>51</v>
      </c>
      <c r="AF1771" s="1" t="s">
        <v>51</v>
      </c>
      <c r="AG1771" s="1" t="s">
        <v>51</v>
      </c>
      <c r="AH1771" s="1"/>
      <c r="AI1771" s="1"/>
      <c r="AJ1771" s="3">
        <v>3</v>
      </c>
      <c r="AK1771" s="1" t="s">
        <v>110</v>
      </c>
      <c r="AL1771" s="3">
        <v>7</v>
      </c>
      <c r="AM1771" s="8">
        <v>20.050000000000001</v>
      </c>
      <c r="AN1771" s="1"/>
      <c r="AO1771" s="1" t="s">
        <v>12282</v>
      </c>
      <c r="AP1771" s="1" t="s">
        <v>12283</v>
      </c>
      <c r="AQ1771" s="1" t="s">
        <v>12284</v>
      </c>
      <c r="AR1771" s="1" t="s">
        <v>12285</v>
      </c>
    </row>
    <row r="1772">
      <c r="A1772" s="2">
        <f ca="1">DATE(2005,06,30)</f>
        <v>0</v>
      </c>
      <c r="B1772" s="2">
        <f ca="1">DATE(2006,04,06)</f>
        <v>0</v>
      </c>
      <c r="C1772" s="1" t="s">
        <v>12286</v>
      </c>
      <c r="D1772" s="3">
        <v>2515</v>
      </c>
      <c r="E1772" s="1" t="s">
        <v>43</v>
      </c>
      <c r="F1772" s="1" t="s">
        <v>12287</v>
      </c>
      <c r="G1772" s="1" t="s">
        <v>12288</v>
      </c>
      <c r="H1772" s="4">
        <v>1.04</v>
      </c>
      <c r="I1772" s="4">
        <v>6.5</v>
      </c>
      <c r="J1772" s="5">
        <v>448</v>
      </c>
      <c r="K1772" s="4">
        <v>16</v>
      </c>
      <c r="L1772" s="1" t="s">
        <v>46</v>
      </c>
      <c r="M1772" s="1" t="s">
        <v>47</v>
      </c>
      <c r="N1772" s="3">
        <v>812139301</v>
      </c>
      <c r="O1772" s="1" t="s">
        <v>108</v>
      </c>
      <c r="P1772" s="1" t="s">
        <v>12289</v>
      </c>
      <c r="Q1772" s="1" t="s">
        <v>145</v>
      </c>
      <c r="R1772" s="1" t="s">
        <v>145</v>
      </c>
      <c r="S1772" s="10">
        <v>4.0125000000000002</v>
      </c>
      <c r="T1772" s="1" t="s">
        <v>50</v>
      </c>
      <c r="U1772" s="1"/>
      <c r="V1772" s="1"/>
      <c r="W1772" s="1"/>
      <c r="X1772" s="5">
        <v>402.5</v>
      </c>
      <c r="Y1772" s="7">
        <v>20000000</v>
      </c>
      <c r="Z1772" s="7">
        <v>8000000</v>
      </c>
      <c r="AA1772" s="1" t="s">
        <v>12290</v>
      </c>
      <c r="AB1772" s="1" t="s">
        <v>12291</v>
      </c>
      <c r="AC1772" s="1" t="s">
        <v>7759</v>
      </c>
      <c r="AD1772" s="1" t="s">
        <v>12292</v>
      </c>
      <c r="AE1772" s="1" t="s">
        <v>51</v>
      </c>
      <c r="AF1772" s="1" t="s">
        <v>51</v>
      </c>
      <c r="AG1772" s="1" t="s">
        <v>51</v>
      </c>
      <c r="AH1772" s="1"/>
      <c r="AI1772" s="1"/>
      <c r="AJ1772" s="3">
        <v>4</v>
      </c>
      <c r="AK1772" s="1" t="s">
        <v>10120</v>
      </c>
      <c r="AL1772" s="3">
        <v>8</v>
      </c>
      <c r="AM1772" s="8">
        <v>17.5</v>
      </c>
      <c r="AN1772" s="1"/>
      <c r="AO1772" s="1" t="s">
        <v>12293</v>
      </c>
      <c r="AP1772" s="1" t="s">
        <v>12294</v>
      </c>
      <c r="AQ1772" s="1" t="s">
        <v>12295</v>
      </c>
      <c r="AR1772" s="1" t="s">
        <v>12296</v>
      </c>
    </row>
    <row r="1773">
      <c r="A1773" s="2">
        <f ca="1">DATE(2006,03,16)</f>
        <v>0</v>
      </c>
      <c r="B1773" s="2">
        <f ca="1">DATE(2006,04,07)</f>
        <v>0</v>
      </c>
      <c r="C1773" s="1" t="s">
        <v>12297</v>
      </c>
      <c r="D1773" s="3">
        <v>4412</v>
      </c>
      <c r="E1773" s="1" t="s">
        <v>3764</v>
      </c>
      <c r="F1773" s="1" t="s">
        <v>12298</v>
      </c>
      <c r="G1773" s="1" t="s">
        <v>12299</v>
      </c>
      <c r="H1773" s="4">
        <v>1.19</v>
      </c>
      <c r="I1773" s="8">
        <v>7</v>
      </c>
      <c r="J1773" s="5">
        <v>147.80000000000001</v>
      </c>
      <c r="K1773" s="8">
        <v>17</v>
      </c>
      <c r="L1773" s="1" t="s">
        <v>152</v>
      </c>
      <c r="M1773" s="1" t="s">
        <v>47</v>
      </c>
      <c r="N1773" s="1" t="s">
        <v>12300</v>
      </c>
      <c r="O1773" s="1" t="s">
        <v>48</v>
      </c>
      <c r="P1773" s="1" t="s">
        <v>12301</v>
      </c>
      <c r="Q1773" s="1" t="s">
        <v>145</v>
      </c>
      <c r="R1773" s="1" t="s">
        <v>145</v>
      </c>
      <c r="S1773" s="6">
        <v>4.1764700000000001</v>
      </c>
      <c r="T1773" s="1" t="s">
        <v>60</v>
      </c>
      <c r="U1773" s="8">
        <v>21</v>
      </c>
      <c r="V1773" s="8">
        <v>19</v>
      </c>
      <c r="W1773" s="7">
        <v>8695747</v>
      </c>
      <c r="X1773" s="5">
        <v>173.90000000000001</v>
      </c>
      <c r="Y1773" s="7">
        <v>8695747</v>
      </c>
      <c r="Z1773" s="1"/>
      <c r="AA1773" s="1"/>
      <c r="AB1773" s="1" t="s">
        <v>5265</v>
      </c>
      <c r="AC1773" s="1" t="s">
        <v>7759</v>
      </c>
      <c r="AD1773" s="1" t="s">
        <v>12302</v>
      </c>
      <c r="AE1773" s="1" t="s">
        <v>51</v>
      </c>
      <c r="AF1773" s="1" t="s">
        <v>51</v>
      </c>
      <c r="AG1773" s="1" t="s">
        <v>51</v>
      </c>
      <c r="AH1773" s="1"/>
      <c r="AI1773" s="1"/>
      <c r="AJ1773" s="3">
        <v>2</v>
      </c>
      <c r="AK1773" s="1" t="s">
        <v>89</v>
      </c>
      <c r="AL1773" s="3">
        <v>2</v>
      </c>
      <c r="AM1773" s="1"/>
      <c r="AN1773" s="1"/>
      <c r="AO1773" s="1" t="s">
        <v>12303</v>
      </c>
      <c r="AP1773" s="1" t="s">
        <v>12304</v>
      </c>
      <c r="AQ1773" s="1" t="s">
        <v>12305</v>
      </c>
      <c r="AR1773" s="1" t="s">
        <v>12306</v>
      </c>
    </row>
    <row r="1774">
      <c r="A1774" s="2">
        <f ca="1">DATE(2006,01,17)</f>
        <v>0</v>
      </c>
      <c r="B1774" s="2">
        <f ca="1">DATE(2006,04,11)</f>
        <v>0</v>
      </c>
      <c r="C1774" s="1" t="s">
        <v>12307</v>
      </c>
      <c r="D1774" s="3">
        <v>2834</v>
      </c>
      <c r="E1774" s="1" t="s">
        <v>43</v>
      </c>
      <c r="F1774" s="1" t="s">
        <v>12308</v>
      </c>
      <c r="G1774" s="1" t="s">
        <v>5110</v>
      </c>
      <c r="H1774" s="4">
        <v>0.63</v>
      </c>
      <c r="I1774" s="4">
        <v>7</v>
      </c>
      <c r="J1774" s="5">
        <v>45</v>
      </c>
      <c r="K1774" s="4">
        <v>9</v>
      </c>
      <c r="L1774" s="1" t="s">
        <v>46</v>
      </c>
      <c r="M1774" s="1" t="s">
        <v>47</v>
      </c>
      <c r="N1774" s="1" t="s">
        <v>12309</v>
      </c>
      <c r="O1774" s="1" t="s">
        <v>48</v>
      </c>
      <c r="P1774" s="1" t="s">
        <v>12310</v>
      </c>
      <c r="Q1774" s="1" t="s">
        <v>145</v>
      </c>
      <c r="R1774" s="1" t="s">
        <v>145</v>
      </c>
      <c r="S1774" s="6">
        <v>4.2222200000000001</v>
      </c>
      <c r="T1774" s="1" t="s">
        <v>50</v>
      </c>
      <c r="U1774" s="1"/>
      <c r="V1774" s="1"/>
      <c r="W1774" s="1"/>
      <c r="X1774" s="5">
        <v>59.799999999999997</v>
      </c>
      <c r="Y1774" s="7">
        <v>5000000</v>
      </c>
      <c r="Z1774" s="1"/>
      <c r="AA1774" s="1" t="s">
        <v>12311</v>
      </c>
      <c r="AB1774" s="1" t="s">
        <v>12312</v>
      </c>
      <c r="AC1774" s="1" t="s">
        <v>7759</v>
      </c>
      <c r="AD1774" s="1" t="s">
        <v>12313</v>
      </c>
      <c r="AE1774" s="1" t="s">
        <v>51</v>
      </c>
      <c r="AF1774" s="1" t="s">
        <v>51</v>
      </c>
      <c r="AG1774" s="1" t="s">
        <v>47</v>
      </c>
      <c r="AH1774" s="1"/>
      <c r="AI1774" s="1"/>
      <c r="AJ1774" s="3">
        <v>1</v>
      </c>
      <c r="AK1774" s="1" t="s">
        <v>89</v>
      </c>
      <c r="AL1774" s="3">
        <v>4</v>
      </c>
      <c r="AM1774" s="8">
        <v>8.6600000000000001</v>
      </c>
      <c r="AN1774" s="1"/>
      <c r="AO1774" s="1" t="s">
        <v>12314</v>
      </c>
      <c r="AP1774" s="1" t="s">
        <v>12315</v>
      </c>
      <c r="AQ1774" s="1" t="s">
        <v>12316</v>
      </c>
      <c r="AR1774" s="1" t="s">
        <v>12317</v>
      </c>
    </row>
    <row r="1775">
      <c r="A1775" s="2">
        <f ca="1">DATE(2005,12,29)</f>
        <v>0</v>
      </c>
      <c r="B1775" s="2">
        <f ca="1">DATE(2006,04,12)</f>
        <v>0</v>
      </c>
      <c r="C1775" s="1" t="s">
        <v>12318</v>
      </c>
      <c r="D1775" s="3">
        <v>2834</v>
      </c>
      <c r="E1775" s="1" t="s">
        <v>43</v>
      </c>
      <c r="F1775" s="1" t="s">
        <v>12319</v>
      </c>
      <c r="G1775" s="1" t="s">
        <v>8151</v>
      </c>
      <c r="H1775" s="4">
        <v>0.69999999999999996</v>
      </c>
      <c r="I1775" s="8">
        <v>7</v>
      </c>
      <c r="J1775" s="5">
        <v>57.5</v>
      </c>
      <c r="K1775" s="4">
        <v>10</v>
      </c>
      <c r="L1775" s="1" t="s">
        <v>46</v>
      </c>
      <c r="M1775" s="1" t="s">
        <v>47</v>
      </c>
      <c r="N1775" s="3">
        <v>921659108</v>
      </c>
      <c r="O1775" s="1" t="s">
        <v>48</v>
      </c>
      <c r="P1775" s="1" t="s">
        <v>12320</v>
      </c>
      <c r="Q1775" s="1" t="s">
        <v>145</v>
      </c>
      <c r="R1775" s="1" t="s">
        <v>145</v>
      </c>
      <c r="S1775" s="8">
        <v>4.2000000000000002</v>
      </c>
      <c r="T1775" s="1" t="s">
        <v>50</v>
      </c>
      <c r="U1775" s="1"/>
      <c r="V1775" s="1"/>
      <c r="W1775" s="1"/>
      <c r="X1775" s="5">
        <v>75</v>
      </c>
      <c r="Y1775" s="7">
        <v>5750000</v>
      </c>
      <c r="Z1775" s="1"/>
      <c r="AA1775" s="1" t="s">
        <v>12321</v>
      </c>
      <c r="AB1775" s="1" t="s">
        <v>12322</v>
      </c>
      <c r="AC1775" s="1" t="s">
        <v>7759</v>
      </c>
      <c r="AD1775" s="1" t="s">
        <v>12323</v>
      </c>
      <c r="AE1775" s="1" t="s">
        <v>51</v>
      </c>
      <c r="AF1775" s="1" t="s">
        <v>51</v>
      </c>
      <c r="AG1775" s="1" t="s">
        <v>47</v>
      </c>
      <c r="AH1775" s="1"/>
      <c r="AI1775" s="1"/>
      <c r="AJ1775" s="3">
        <v>2</v>
      </c>
      <c r="AK1775" s="1" t="s">
        <v>89</v>
      </c>
      <c r="AL1775" s="3">
        <v>3</v>
      </c>
      <c r="AM1775" s="1"/>
      <c r="AN1775" s="1"/>
      <c r="AO1775" s="1" t="s">
        <v>12324</v>
      </c>
      <c r="AP1775" s="1" t="s">
        <v>8158</v>
      </c>
      <c r="AQ1775" s="1" t="s">
        <v>12325</v>
      </c>
      <c r="AR1775" s="1" t="s">
        <v>12326</v>
      </c>
    </row>
    <row r="1776">
      <c r="A1776" s="2">
        <f ca="1">DATE(2005,09,15)</f>
        <v>0</v>
      </c>
      <c r="B1776" s="2">
        <f ca="1">DATE(2006,04,18)</f>
        <v>0</v>
      </c>
      <c r="C1776" s="1" t="s">
        <v>12327</v>
      </c>
      <c r="D1776" s="3">
        <v>6726</v>
      </c>
      <c r="E1776" s="1" t="s">
        <v>43</v>
      </c>
      <c r="F1776" s="1" t="s">
        <v>12328</v>
      </c>
      <c r="G1776" s="1" t="s">
        <v>8742</v>
      </c>
      <c r="H1776" s="4">
        <v>0.30299999999999999</v>
      </c>
      <c r="I1776" s="4">
        <v>6</v>
      </c>
      <c r="J1776" s="5">
        <v>26.300000000000001</v>
      </c>
      <c r="K1776" s="4">
        <v>5.0499999999999998</v>
      </c>
      <c r="L1776" s="1" t="s">
        <v>2698</v>
      </c>
      <c r="M1776" s="1" t="s">
        <v>47</v>
      </c>
      <c r="N1776" s="1"/>
      <c r="O1776" s="1" t="s">
        <v>77</v>
      </c>
      <c r="P1776" s="1" t="s">
        <v>12329</v>
      </c>
      <c r="Q1776" s="1" t="s">
        <v>145</v>
      </c>
      <c r="R1776" s="1" t="s">
        <v>145</v>
      </c>
      <c r="S1776" s="8">
        <v>3.6000000000000001</v>
      </c>
      <c r="T1776" s="1" t="s">
        <v>50</v>
      </c>
      <c r="U1776" s="8">
        <v>5.0499999999999998</v>
      </c>
      <c r="V1776" s="8">
        <v>5.0499999999999998</v>
      </c>
      <c r="W1776" s="7">
        <v>5200000</v>
      </c>
      <c r="X1776" s="5">
        <v>26.300000000000001</v>
      </c>
      <c r="Y1776" s="7">
        <v>5200000</v>
      </c>
      <c r="Z1776" s="1"/>
      <c r="AA1776" s="2">
        <f ca="1">DATE(2006,08,16)</f>
        <v>0</v>
      </c>
      <c r="AB1776" s="4">
        <v>0.002</v>
      </c>
      <c r="AC1776" s="3">
        <v>120</v>
      </c>
      <c r="AD1776" s="8">
        <v>100</v>
      </c>
      <c r="AE1776" s="1" t="s">
        <v>51</v>
      </c>
      <c r="AF1776" s="1" t="s">
        <v>51</v>
      </c>
      <c r="AG1776" s="1" t="s">
        <v>51</v>
      </c>
      <c r="AH1776" s="1"/>
      <c r="AI1776" s="1"/>
      <c r="AJ1776" s="3">
        <v>1</v>
      </c>
      <c r="AK1776" s="1" t="s">
        <v>52</v>
      </c>
      <c r="AL1776" s="3">
        <v>2</v>
      </c>
      <c r="AM1776" s="1"/>
      <c r="AN1776" s="1"/>
      <c r="AO1776" s="1" t="s">
        <v>12330</v>
      </c>
      <c r="AP1776" s="1" t="s">
        <v>8742</v>
      </c>
      <c r="AQ1776" s="1" t="s">
        <v>12141</v>
      </c>
      <c r="AR1776" s="1" t="s">
        <v>12142</v>
      </c>
    </row>
    <row r="1777">
      <c r="A1777" s="2">
        <f ca="1">DATE(2005,09,15)</f>
        <v>0</v>
      </c>
      <c r="B1777" s="2">
        <f ca="1">DATE(2006,04,18)</f>
        <v>0</v>
      </c>
      <c r="C1777" s="1" t="s">
        <v>12327</v>
      </c>
      <c r="D1777" s="3">
        <v>6726</v>
      </c>
      <c r="E1777" s="1" t="s">
        <v>43</v>
      </c>
      <c r="F1777" s="1" t="s">
        <v>12328</v>
      </c>
      <c r="G1777" s="1" t="s">
        <v>8742</v>
      </c>
      <c r="H1777" s="4">
        <v>0.255</v>
      </c>
      <c r="I1777" s="4">
        <v>6</v>
      </c>
      <c r="J1777" s="5">
        <v>3.3999999999999999</v>
      </c>
      <c r="K1777" s="4">
        <v>4.25</v>
      </c>
      <c r="L1777" s="1" t="s">
        <v>46</v>
      </c>
      <c r="M1777" s="1" t="s">
        <v>47</v>
      </c>
      <c r="N1777" s="1"/>
      <c r="O1777" s="1" t="s">
        <v>77</v>
      </c>
      <c r="P1777" s="1" t="s">
        <v>12329</v>
      </c>
      <c r="Q1777" s="1" t="s">
        <v>145</v>
      </c>
      <c r="R1777" s="1" t="s">
        <v>145</v>
      </c>
      <c r="S1777" s="8">
        <v>3.6000000000000001</v>
      </c>
      <c r="T1777" s="1" t="s">
        <v>50</v>
      </c>
      <c r="U1777" s="8">
        <v>5.25</v>
      </c>
      <c r="V1777" s="8">
        <v>5.25</v>
      </c>
      <c r="W1777" s="7">
        <v>800000</v>
      </c>
      <c r="X1777" s="5">
        <v>4.2000000000000002</v>
      </c>
      <c r="Y1777" s="7">
        <v>800000</v>
      </c>
      <c r="Z1777" s="1"/>
      <c r="AA1777" s="2">
        <f ca="1">DATE(2006,08,16)</f>
        <v>0</v>
      </c>
      <c r="AB1777" s="4">
        <v>0.002</v>
      </c>
      <c r="AC1777" s="3">
        <v>120</v>
      </c>
      <c r="AD1777" s="8">
        <v>100</v>
      </c>
      <c r="AE1777" s="1" t="s">
        <v>51</v>
      </c>
      <c r="AF1777" s="1" t="s">
        <v>51</v>
      </c>
      <c r="AG1777" s="1" t="s">
        <v>51</v>
      </c>
      <c r="AH1777" s="1"/>
      <c r="AI1777" s="1"/>
      <c r="AJ1777" s="3">
        <v>1</v>
      </c>
      <c r="AK1777" s="1" t="s">
        <v>52</v>
      </c>
      <c r="AL1777" s="3">
        <v>2</v>
      </c>
      <c r="AM1777" s="1"/>
      <c r="AN1777" s="1"/>
      <c r="AO1777" s="1" t="s">
        <v>12330</v>
      </c>
      <c r="AP1777" s="1" t="s">
        <v>8742</v>
      </c>
      <c r="AQ1777" s="1" t="s">
        <v>12141</v>
      </c>
      <c r="AR1777" s="1" t="s">
        <v>12142</v>
      </c>
    </row>
    <row r="1778">
      <c r="A1778" s="2">
        <f ca="1">DATE(2006,02,13)</f>
        <v>0</v>
      </c>
      <c r="B1778" s="2">
        <f ca="1">DATE(2006,04,18)</f>
        <v>0</v>
      </c>
      <c r="C1778" s="1" t="s">
        <v>12331</v>
      </c>
      <c r="D1778" s="3">
        <v>1389</v>
      </c>
      <c r="E1778" s="1" t="s">
        <v>43</v>
      </c>
      <c r="F1778" s="1" t="s">
        <v>12332</v>
      </c>
      <c r="G1778" s="1" t="s">
        <v>12333</v>
      </c>
      <c r="H1778" s="4">
        <v>1.645</v>
      </c>
      <c r="I1778" s="4">
        <v>7</v>
      </c>
      <c r="J1778" s="5">
        <v>193.19999999999999</v>
      </c>
      <c r="K1778" s="4">
        <v>23.5</v>
      </c>
      <c r="L1778" s="1" t="s">
        <v>46</v>
      </c>
      <c r="M1778" s="1" t="s">
        <v>47</v>
      </c>
      <c r="N1778" s="3">
        <v>936258102</v>
      </c>
      <c r="O1778" s="1" t="s">
        <v>48</v>
      </c>
      <c r="P1778" s="1" t="s">
        <v>12334</v>
      </c>
      <c r="Q1778" s="1" t="s">
        <v>145</v>
      </c>
      <c r="R1778" s="1" t="s">
        <v>145</v>
      </c>
      <c r="S1778" s="8">
        <v>4.2000000000000002</v>
      </c>
      <c r="T1778" s="1" t="s">
        <v>50</v>
      </c>
      <c r="U1778" s="1"/>
      <c r="V1778" s="1"/>
      <c r="W1778" s="1"/>
      <c r="X1778" s="5">
        <v>172.5</v>
      </c>
      <c r="Y1778" s="7">
        <v>7627534</v>
      </c>
      <c r="Z1778" s="7">
        <v>592466</v>
      </c>
      <c r="AA1778" s="1" t="s">
        <v>12335</v>
      </c>
      <c r="AB1778" s="1" t="s">
        <v>12336</v>
      </c>
      <c r="AC1778" s="1" t="s">
        <v>7759</v>
      </c>
      <c r="AD1778" s="1" t="s">
        <v>12337</v>
      </c>
      <c r="AE1778" s="1" t="s">
        <v>51</v>
      </c>
      <c r="AF1778" s="1" t="s">
        <v>51</v>
      </c>
      <c r="AG1778" s="1" t="s">
        <v>51</v>
      </c>
      <c r="AH1778" s="1"/>
      <c r="AI1778" s="1"/>
      <c r="AJ1778" s="3">
        <v>2</v>
      </c>
      <c r="AK1778" s="1" t="s">
        <v>89</v>
      </c>
      <c r="AL1778" s="3">
        <v>3</v>
      </c>
      <c r="AM1778" s="8">
        <v>31.010000000000002</v>
      </c>
      <c r="AN1778" s="1"/>
      <c r="AO1778" s="1" t="s">
        <v>12338</v>
      </c>
      <c r="AP1778" s="1" t="s">
        <v>12339</v>
      </c>
      <c r="AQ1778" s="1" t="s">
        <v>12340</v>
      </c>
      <c r="AR1778" s="1" t="s">
        <v>12341</v>
      </c>
    </row>
    <row r="1779">
      <c r="A1779" s="2">
        <f ca="1">DATE(2005,09,30)</f>
        <v>0</v>
      </c>
      <c r="B1779" s="2">
        <f ca="1">DATE(2006,04,20)</f>
        <v>0</v>
      </c>
      <c r="C1779" s="1" t="s">
        <v>12342</v>
      </c>
      <c r="D1779" s="3">
        <v>1389</v>
      </c>
      <c r="E1779" s="1" t="s">
        <v>43</v>
      </c>
      <c r="F1779" s="1" t="s">
        <v>12343</v>
      </c>
      <c r="G1779" s="1" t="s">
        <v>11830</v>
      </c>
      <c r="H1779" s="4">
        <v>1.5</v>
      </c>
      <c r="I1779" s="4">
        <v>6.25</v>
      </c>
      <c r="J1779" s="5">
        <v>624</v>
      </c>
      <c r="K1779" s="4">
        <v>24</v>
      </c>
      <c r="L1779" s="1" t="s">
        <v>46</v>
      </c>
      <c r="M1779" s="1" t="s">
        <v>47</v>
      </c>
      <c r="N1779" s="1" t="s">
        <v>12344</v>
      </c>
      <c r="O1779" s="1" t="s">
        <v>108</v>
      </c>
      <c r="P1779" s="1" t="s">
        <v>12345</v>
      </c>
      <c r="Q1779" s="4">
        <v>1.25</v>
      </c>
      <c r="R1779" s="4">
        <v>1.25</v>
      </c>
      <c r="S1779" s="8">
        <v>3.75</v>
      </c>
      <c r="T1779" s="1" t="s">
        <v>50</v>
      </c>
      <c r="U1779" s="1"/>
      <c r="V1779" s="1"/>
      <c r="W1779" s="1"/>
      <c r="X1779" s="5">
        <v>300</v>
      </c>
      <c r="Y1779" s="7">
        <v>13000000</v>
      </c>
      <c r="Z1779" s="7">
        <v>13000000</v>
      </c>
      <c r="AA1779" s="1" t="s">
        <v>12346</v>
      </c>
      <c r="AB1779" s="1" t="s">
        <v>5265</v>
      </c>
      <c r="AC1779" s="1" t="s">
        <v>7759</v>
      </c>
      <c r="AD1779" s="1" t="s">
        <v>5265</v>
      </c>
      <c r="AE1779" s="1" t="s">
        <v>51</v>
      </c>
      <c r="AF1779" s="1" t="s">
        <v>51</v>
      </c>
      <c r="AG1779" s="1" t="s">
        <v>51</v>
      </c>
      <c r="AH1779" s="1"/>
      <c r="AI1779" s="1"/>
      <c r="AJ1779" s="3">
        <v>2</v>
      </c>
      <c r="AK1779" s="1" t="s">
        <v>89</v>
      </c>
      <c r="AL1779" s="3">
        <v>8</v>
      </c>
      <c r="AM1779" s="8">
        <v>26.899999999999999</v>
      </c>
      <c r="AN1779" s="1"/>
      <c r="AO1779" s="1" t="s">
        <v>12347</v>
      </c>
      <c r="AP1779" s="1" t="s">
        <v>11836</v>
      </c>
      <c r="AQ1779" s="1" t="s">
        <v>12348</v>
      </c>
      <c r="AR1779" s="1" t="s">
        <v>12345</v>
      </c>
    </row>
    <row r="1780">
      <c r="A1780" s="2">
        <f ca="1">DATE(2006,01,18)</f>
        <v>0</v>
      </c>
      <c r="B1780" s="2">
        <f ca="1">DATE(2006,04,20)</f>
        <v>0</v>
      </c>
      <c r="C1780" s="1" t="s">
        <v>12349</v>
      </c>
      <c r="D1780" s="3">
        <v>2836</v>
      </c>
      <c r="E1780" s="1" t="s">
        <v>43</v>
      </c>
      <c r="F1780" s="1" t="s">
        <v>12350</v>
      </c>
      <c r="G1780" s="1" t="s">
        <v>5704</v>
      </c>
      <c r="H1780" s="4">
        <v>0.69999999999999996</v>
      </c>
      <c r="I1780" s="8">
        <v>7</v>
      </c>
      <c r="J1780" s="5">
        <v>34.399999999999999</v>
      </c>
      <c r="K1780" s="4">
        <v>10</v>
      </c>
      <c r="L1780" s="1" t="s">
        <v>46</v>
      </c>
      <c r="M1780" s="1" t="s">
        <v>47</v>
      </c>
      <c r="N1780" s="3">
        <v>681989109</v>
      </c>
      <c r="O1780" s="1" t="s">
        <v>48</v>
      </c>
      <c r="P1780" s="1" t="s">
        <v>12351</v>
      </c>
      <c r="Q1780" s="1" t="s">
        <v>145</v>
      </c>
      <c r="R1780" s="1" t="s">
        <v>145</v>
      </c>
      <c r="S1780" s="8">
        <v>4.2000000000000002</v>
      </c>
      <c r="T1780" s="1" t="s">
        <v>50</v>
      </c>
      <c r="U1780" s="1"/>
      <c r="V1780" s="1"/>
      <c r="W1780" s="1"/>
      <c r="X1780" s="5">
        <v>80.5</v>
      </c>
      <c r="Y1780" s="7">
        <v>3437500</v>
      </c>
      <c r="Z1780" s="1"/>
      <c r="AA1780" s="1" t="s">
        <v>12346</v>
      </c>
      <c r="AB1780" s="1" t="s">
        <v>12352</v>
      </c>
      <c r="AC1780" s="1" t="s">
        <v>7759</v>
      </c>
      <c r="AD1780" s="1" t="s">
        <v>12353</v>
      </c>
      <c r="AE1780" s="1" t="s">
        <v>51</v>
      </c>
      <c r="AF1780" s="1" t="s">
        <v>51</v>
      </c>
      <c r="AG1780" s="1" t="s">
        <v>47</v>
      </c>
      <c r="AH1780" s="1"/>
      <c r="AI1780" s="1"/>
      <c r="AJ1780" s="3">
        <v>1</v>
      </c>
      <c r="AK1780" s="1" t="s">
        <v>52</v>
      </c>
      <c r="AL1780" s="3">
        <v>4</v>
      </c>
      <c r="AM1780" s="8">
        <v>10.029999999999999</v>
      </c>
      <c r="AN1780" s="1"/>
      <c r="AO1780" s="1" t="s">
        <v>12354</v>
      </c>
      <c r="AP1780" s="1" t="s">
        <v>5704</v>
      </c>
      <c r="AQ1780" s="1" t="s">
        <v>12355</v>
      </c>
      <c r="AR1780" s="1" t="s">
        <v>12351</v>
      </c>
    </row>
    <row r="1781">
      <c r="A1781" s="2">
        <f ca="1">DATE(2006,02,02)</f>
        <v>0</v>
      </c>
      <c r="B1781" s="2">
        <f ca="1">DATE(2006,04,25)</f>
        <v>0</v>
      </c>
      <c r="C1781" s="1" t="s">
        <v>12356</v>
      </c>
      <c r="D1781" s="3">
        <v>6726</v>
      </c>
      <c r="E1781" s="1" t="s">
        <v>43</v>
      </c>
      <c r="F1781" s="1" t="s">
        <v>12357</v>
      </c>
      <c r="G1781" s="1" t="s">
        <v>45</v>
      </c>
      <c r="H1781" s="4">
        <v>0.90000000000000002</v>
      </c>
      <c r="I1781" s="4">
        <v>4.5</v>
      </c>
      <c r="J1781" s="5">
        <v>900</v>
      </c>
      <c r="K1781" s="4">
        <v>20</v>
      </c>
      <c r="L1781" s="1" t="s">
        <v>4422</v>
      </c>
      <c r="M1781" s="1" t="s">
        <v>47</v>
      </c>
      <c r="N1781" s="1" t="s">
        <v>12358</v>
      </c>
      <c r="O1781" s="1" t="s">
        <v>108</v>
      </c>
      <c r="P1781" s="1" t="s">
        <v>12359</v>
      </c>
      <c r="Q1781" s="4">
        <v>1</v>
      </c>
      <c r="R1781" s="4">
        <v>0.5</v>
      </c>
      <c r="S1781" s="8">
        <v>3</v>
      </c>
      <c r="T1781" s="1" t="s">
        <v>50</v>
      </c>
      <c r="U1781" s="8">
        <v>20</v>
      </c>
      <c r="V1781" s="8">
        <v>20</v>
      </c>
      <c r="W1781" s="7">
        <v>50000</v>
      </c>
      <c r="X1781" s="5">
        <v>1</v>
      </c>
      <c r="Y1781" s="7">
        <v>45000000</v>
      </c>
      <c r="Z1781" s="1"/>
      <c r="AA1781" s="2">
        <f ca="1">DATE(2006,10,22)</f>
        <v>0</v>
      </c>
      <c r="AB1781" s="1"/>
      <c r="AC1781" s="3">
        <v>180</v>
      </c>
      <c r="AD1781" s="1"/>
      <c r="AE1781" s="1" t="s">
        <v>51</v>
      </c>
      <c r="AF1781" s="1" t="s">
        <v>51</v>
      </c>
      <c r="AG1781" s="1" t="s">
        <v>51</v>
      </c>
      <c r="AH1781" s="1"/>
      <c r="AI1781" s="1"/>
      <c r="AJ1781" s="3">
        <v>1</v>
      </c>
      <c r="AK1781" s="1" t="s">
        <v>52</v>
      </c>
      <c r="AL1781" s="3">
        <v>19</v>
      </c>
      <c r="AM1781" s="8">
        <v>20.030000000000001</v>
      </c>
      <c r="AN1781" s="1"/>
      <c r="AO1781" s="1" t="s">
        <v>12360</v>
      </c>
      <c r="AP1781" s="1" t="s">
        <v>45</v>
      </c>
      <c r="AQ1781" s="1" t="s">
        <v>12361</v>
      </c>
      <c r="AR1781" s="1" t="s">
        <v>12362</v>
      </c>
    </row>
    <row r="1782">
      <c r="A1782" s="2">
        <f ca="1">DATE(2006,04,04)</f>
        <v>0</v>
      </c>
      <c r="B1782" s="2">
        <f ca="1">DATE(2006,04,25)</f>
        <v>0</v>
      </c>
      <c r="C1782" s="1" t="s">
        <v>12363</v>
      </c>
      <c r="D1782" s="3">
        <v>7372</v>
      </c>
      <c r="E1782" s="1" t="s">
        <v>166</v>
      </c>
      <c r="F1782" s="1" t="s">
        <v>12364</v>
      </c>
      <c r="G1782" s="1" t="s">
        <v>796</v>
      </c>
      <c r="H1782" s="4">
        <v>1.1200000000000001</v>
      </c>
      <c r="I1782" s="4">
        <v>7</v>
      </c>
      <c r="J1782" s="5">
        <v>104</v>
      </c>
      <c r="K1782" s="4">
        <v>16</v>
      </c>
      <c r="L1782" s="1" t="s">
        <v>46</v>
      </c>
      <c r="M1782" s="1" t="s">
        <v>47</v>
      </c>
      <c r="N1782" s="1" t="s">
        <v>12365</v>
      </c>
      <c r="O1782" s="1" t="s">
        <v>48</v>
      </c>
      <c r="P1782" s="1" t="s">
        <v>12366</v>
      </c>
      <c r="Q1782" s="1" t="s">
        <v>145</v>
      </c>
      <c r="R1782" s="1" t="s">
        <v>145</v>
      </c>
      <c r="S1782" s="10">
        <v>4.1875</v>
      </c>
      <c r="T1782" s="1" t="s">
        <v>50</v>
      </c>
      <c r="U1782" s="8">
        <v>20</v>
      </c>
      <c r="V1782" s="8">
        <v>18</v>
      </c>
      <c r="W1782" s="7">
        <v>8000000</v>
      </c>
      <c r="X1782" s="5">
        <v>152</v>
      </c>
      <c r="Y1782" s="7">
        <v>5000000</v>
      </c>
      <c r="Z1782" s="7">
        <v>1500000</v>
      </c>
      <c r="AA1782" s="1" t="s">
        <v>12367</v>
      </c>
      <c r="AB1782" s="1" t="s">
        <v>12368</v>
      </c>
      <c r="AC1782" s="1" t="s">
        <v>7759</v>
      </c>
      <c r="AD1782" s="1" t="s">
        <v>12369</v>
      </c>
      <c r="AE1782" s="1" t="s">
        <v>51</v>
      </c>
      <c r="AF1782" s="1" t="s">
        <v>51</v>
      </c>
      <c r="AG1782" s="1" t="s">
        <v>51</v>
      </c>
      <c r="AH1782" s="1"/>
      <c r="AI1782" s="1"/>
      <c r="AJ1782" s="3">
        <v>1</v>
      </c>
      <c r="AK1782" s="1" t="s">
        <v>52</v>
      </c>
      <c r="AL1782" s="3">
        <v>6</v>
      </c>
      <c r="AM1782" s="1"/>
      <c r="AN1782" s="1"/>
      <c r="AO1782" s="1" t="s">
        <v>12370</v>
      </c>
      <c r="AP1782" s="1" t="s">
        <v>796</v>
      </c>
      <c r="AQ1782" s="1" t="s">
        <v>12371</v>
      </c>
      <c r="AR1782" s="1" t="s">
        <v>12372</v>
      </c>
    </row>
    <row r="1783">
      <c r="A1783" s="2">
        <f ca="1">DATE(2005,08,05)</f>
        <v>0</v>
      </c>
      <c r="B1783" s="2">
        <f ca="1">DATE(2006,04,25)</f>
        <v>0</v>
      </c>
      <c r="C1783" s="1" t="s">
        <v>12373</v>
      </c>
      <c r="D1783" s="3">
        <v>6726</v>
      </c>
      <c r="E1783" s="1" t="s">
        <v>43</v>
      </c>
      <c r="F1783" s="1" t="s">
        <v>12374</v>
      </c>
      <c r="G1783" s="1" t="s">
        <v>45</v>
      </c>
      <c r="H1783" s="4">
        <v>0.90000000000000002</v>
      </c>
      <c r="I1783" s="4">
        <v>4.5</v>
      </c>
      <c r="J1783" s="5">
        <v>147</v>
      </c>
      <c r="K1783" s="4">
        <v>20</v>
      </c>
      <c r="L1783" s="1" t="s">
        <v>46</v>
      </c>
      <c r="M1783" s="1" t="s">
        <v>47</v>
      </c>
      <c r="N1783" s="3">
        <v>378968101</v>
      </c>
      <c r="O1783" s="1" t="s">
        <v>108</v>
      </c>
      <c r="P1783" s="1" t="s">
        <v>12375</v>
      </c>
      <c r="Q1783" s="4">
        <v>1</v>
      </c>
      <c r="R1783" s="4">
        <v>0.5</v>
      </c>
      <c r="S1783" s="8">
        <v>3</v>
      </c>
      <c r="T1783" s="1" t="s">
        <v>50</v>
      </c>
      <c r="U1783" s="8">
        <v>20</v>
      </c>
      <c r="V1783" s="8">
        <v>20</v>
      </c>
      <c r="W1783" s="7">
        <v>50000</v>
      </c>
      <c r="X1783" s="5">
        <v>1</v>
      </c>
      <c r="Y1783" s="7">
        <v>7350000</v>
      </c>
      <c r="Z1783" s="1"/>
      <c r="AA1783" s="1"/>
      <c r="AB1783" s="1"/>
      <c r="AC1783" s="1"/>
      <c r="AD1783" s="1"/>
      <c r="AE1783" s="1" t="s">
        <v>51</v>
      </c>
      <c r="AF1783" s="1" t="s">
        <v>51</v>
      </c>
      <c r="AG1783" s="1" t="s">
        <v>51</v>
      </c>
      <c r="AH1783" s="1"/>
      <c r="AI1783" s="1"/>
      <c r="AJ1783" s="3">
        <v>1</v>
      </c>
      <c r="AK1783" s="1" t="s">
        <v>52</v>
      </c>
      <c r="AL1783" s="3">
        <v>11</v>
      </c>
      <c r="AM1783" s="8">
        <v>20</v>
      </c>
      <c r="AN1783" s="1"/>
      <c r="AO1783" s="1" t="s">
        <v>12376</v>
      </c>
      <c r="AP1783" s="1" t="s">
        <v>45</v>
      </c>
      <c r="AQ1783" s="1" t="s">
        <v>12377</v>
      </c>
      <c r="AR1783" s="1" t="s">
        <v>12378</v>
      </c>
    </row>
    <row r="1784">
      <c r="A1784" s="2">
        <f ca="1">DATE(2005,12,12)</f>
        <v>0</v>
      </c>
      <c r="B1784" s="2">
        <f ca="1">DATE(2006,04,25)</f>
        <v>0</v>
      </c>
      <c r="C1784" s="1" t="s">
        <v>12379</v>
      </c>
      <c r="D1784" s="3">
        <v>6726</v>
      </c>
      <c r="E1784" s="1" t="s">
        <v>845</v>
      </c>
      <c r="F1784" s="1" t="s">
        <v>12380</v>
      </c>
      <c r="G1784" s="1" t="s">
        <v>11935</v>
      </c>
      <c r="H1784" s="4">
        <v>0.32000000000000001</v>
      </c>
      <c r="I1784" s="4">
        <v>4</v>
      </c>
      <c r="J1784" s="5">
        <v>100</v>
      </c>
      <c r="K1784" s="4">
        <v>8</v>
      </c>
      <c r="L1784" s="1" t="s">
        <v>1057</v>
      </c>
      <c r="M1784" s="1" t="s">
        <v>47</v>
      </c>
      <c r="N1784" s="1"/>
      <c r="O1784" s="1" t="s">
        <v>87</v>
      </c>
      <c r="P1784" s="1" t="s">
        <v>12381</v>
      </c>
      <c r="Q1784" s="1" t="s">
        <v>145</v>
      </c>
      <c r="R1784" s="1" t="s">
        <v>145</v>
      </c>
      <c r="S1784" s="8">
        <v>2.5</v>
      </c>
      <c r="T1784" s="1" t="s">
        <v>50</v>
      </c>
      <c r="U1784" s="8">
        <v>8</v>
      </c>
      <c r="V1784" s="8">
        <v>8</v>
      </c>
      <c r="W1784" s="7">
        <v>12500000</v>
      </c>
      <c r="X1784" s="5">
        <v>100</v>
      </c>
      <c r="Y1784" s="7">
        <v>12500000</v>
      </c>
      <c r="Z1784" s="1"/>
      <c r="AA1784" s="2">
        <f ca="1">DATE(2006,10,22)</f>
        <v>0</v>
      </c>
      <c r="AB1784" s="4">
        <v>20</v>
      </c>
      <c r="AC1784" s="3">
        <v>180</v>
      </c>
      <c r="AD1784" s="8">
        <v>3125000</v>
      </c>
      <c r="AE1784" s="1" t="s">
        <v>51</v>
      </c>
      <c r="AF1784" s="1" t="s">
        <v>51</v>
      </c>
      <c r="AG1784" s="1" t="s">
        <v>51</v>
      </c>
      <c r="AH1784" s="1"/>
      <c r="AI1784" s="1"/>
      <c r="AJ1784" s="3">
        <v>1</v>
      </c>
      <c r="AK1784" s="1" t="s">
        <v>52</v>
      </c>
      <c r="AL1784" s="3">
        <v>3</v>
      </c>
      <c r="AM1784" s="8">
        <v>8.5999999999999996</v>
      </c>
      <c r="AN1784" s="1"/>
      <c r="AO1784" s="1" t="s">
        <v>12382</v>
      </c>
      <c r="AP1784" s="1" t="s">
        <v>11935</v>
      </c>
      <c r="AQ1784" s="1" t="s">
        <v>12383</v>
      </c>
      <c r="AR1784" s="1" t="s">
        <v>12384</v>
      </c>
    </row>
    <row r="1785">
      <c r="A1785" s="2">
        <f ca="1">DATE(2006,01,06)</f>
        <v>0</v>
      </c>
      <c r="B1785" s="2">
        <f ca="1">DATE(2006,04,26)</f>
        <v>0</v>
      </c>
      <c r="C1785" s="1" t="s">
        <v>12385</v>
      </c>
      <c r="D1785" s="3">
        <v>1799</v>
      </c>
      <c r="E1785" s="1" t="s">
        <v>43</v>
      </c>
      <c r="F1785" s="1" t="s">
        <v>12386</v>
      </c>
      <c r="G1785" s="1" t="s">
        <v>1223</v>
      </c>
      <c r="H1785" s="4">
        <v>0.45200000000000001</v>
      </c>
      <c r="I1785" s="8">
        <v>6.9500000000000002</v>
      </c>
      <c r="J1785" s="5">
        <v>17.600000000000001</v>
      </c>
      <c r="K1785" s="4">
        <v>6.5</v>
      </c>
      <c r="L1785" s="1" t="s">
        <v>46</v>
      </c>
      <c r="M1785" s="1" t="s">
        <v>47</v>
      </c>
      <c r="N1785" s="1" t="s">
        <v>12387</v>
      </c>
      <c r="O1785" s="1" t="s">
        <v>48</v>
      </c>
      <c r="P1785" s="1" t="s">
        <v>12388</v>
      </c>
      <c r="Q1785" s="1" t="s">
        <v>145</v>
      </c>
      <c r="R1785" s="1" t="s">
        <v>145</v>
      </c>
      <c r="S1785" s="8">
        <v>4</v>
      </c>
      <c r="T1785" s="1" t="s">
        <v>50</v>
      </c>
      <c r="U1785" s="8">
        <v>14</v>
      </c>
      <c r="V1785" s="8">
        <v>12</v>
      </c>
      <c r="W1785" s="7">
        <v>1100000</v>
      </c>
      <c r="X1785" s="5">
        <v>14.300000000000001</v>
      </c>
      <c r="Y1785" s="7">
        <v>2700000</v>
      </c>
      <c r="Z1785" s="1"/>
      <c r="AA1785" s="1" t="s">
        <v>12389</v>
      </c>
      <c r="AB1785" s="1" t="s">
        <v>12390</v>
      </c>
      <c r="AC1785" s="1" t="s">
        <v>12391</v>
      </c>
      <c r="AD1785" s="1" t="s">
        <v>12392</v>
      </c>
      <c r="AE1785" s="1" t="s">
        <v>51</v>
      </c>
      <c r="AF1785" s="1" t="s">
        <v>51</v>
      </c>
      <c r="AG1785" s="1" t="s">
        <v>51</v>
      </c>
      <c r="AH1785" s="1"/>
      <c r="AI1785" s="1"/>
      <c r="AJ1785" s="3">
        <v>1</v>
      </c>
      <c r="AK1785" s="1" t="s">
        <v>52</v>
      </c>
      <c r="AL1785" s="3">
        <v>3</v>
      </c>
      <c r="AM1785" s="1"/>
      <c r="AN1785" s="1"/>
      <c r="AO1785" s="1" t="s">
        <v>12393</v>
      </c>
      <c r="AP1785" s="1" t="s">
        <v>1223</v>
      </c>
      <c r="AQ1785" s="1" t="s">
        <v>12394</v>
      </c>
      <c r="AR1785" s="1" t="s">
        <v>12395</v>
      </c>
    </row>
    <row r="1786">
      <c r="A1786" s="2">
        <f ca="1">DATE(2005,12,23)</f>
        <v>0</v>
      </c>
      <c r="B1786" s="2">
        <f ca="1">DATE(2006,04,27)</f>
        <v>0</v>
      </c>
      <c r="C1786" s="1" t="s">
        <v>12396</v>
      </c>
      <c r="D1786" s="3">
        <v>3679</v>
      </c>
      <c r="E1786" s="1" t="s">
        <v>43</v>
      </c>
      <c r="F1786" s="1" t="s">
        <v>12397</v>
      </c>
      <c r="G1786" s="1" t="s">
        <v>11761</v>
      </c>
      <c r="H1786" s="4">
        <v>1.26</v>
      </c>
      <c r="I1786" s="4">
        <v>7</v>
      </c>
      <c r="J1786" s="5">
        <v>127.09999999999999</v>
      </c>
      <c r="K1786" s="4">
        <v>18</v>
      </c>
      <c r="L1786" s="1" t="s">
        <v>46</v>
      </c>
      <c r="M1786" s="1" t="s">
        <v>47</v>
      </c>
      <c r="N1786" s="1" t="s">
        <v>12398</v>
      </c>
      <c r="O1786" s="1" t="s">
        <v>48</v>
      </c>
      <c r="P1786" s="1" t="s">
        <v>12399</v>
      </c>
      <c r="Q1786" s="1" t="s">
        <v>145</v>
      </c>
      <c r="R1786" s="1" t="s">
        <v>145</v>
      </c>
      <c r="S1786" s="6">
        <v>4.1666699999999999</v>
      </c>
      <c r="T1786" s="1" t="s">
        <v>50</v>
      </c>
      <c r="U1786" s="1"/>
      <c r="V1786" s="1"/>
      <c r="W1786" s="1"/>
      <c r="X1786" s="5">
        <v>125</v>
      </c>
      <c r="Y1786" s="7">
        <v>2941200</v>
      </c>
      <c r="Z1786" s="7">
        <v>4117670</v>
      </c>
      <c r="AA1786" s="1" t="s">
        <v>12400</v>
      </c>
      <c r="AB1786" s="1" t="s">
        <v>12401</v>
      </c>
      <c r="AC1786" s="1" t="s">
        <v>7759</v>
      </c>
      <c r="AD1786" s="1" t="s">
        <v>12402</v>
      </c>
      <c r="AE1786" s="1" t="s">
        <v>51</v>
      </c>
      <c r="AF1786" s="1" t="s">
        <v>51</v>
      </c>
      <c r="AG1786" s="1" t="s">
        <v>51</v>
      </c>
      <c r="AH1786" s="1"/>
      <c r="AI1786" s="1"/>
      <c r="AJ1786" s="3">
        <v>2</v>
      </c>
      <c r="AK1786" s="1" t="s">
        <v>89</v>
      </c>
      <c r="AL1786" s="3">
        <v>4</v>
      </c>
      <c r="AM1786" s="8">
        <v>18</v>
      </c>
      <c r="AN1786" s="1"/>
      <c r="AO1786" s="1" t="s">
        <v>12403</v>
      </c>
      <c r="AP1786" s="1" t="s">
        <v>11768</v>
      </c>
      <c r="AQ1786" s="1" t="s">
        <v>12404</v>
      </c>
      <c r="AR1786" s="1" t="s">
        <v>12399</v>
      </c>
    </row>
    <row r="1787">
      <c r="A1787" s="2">
        <f ca="1">DATE(2006,02,10)</f>
        <v>0</v>
      </c>
      <c r="B1787" s="2">
        <f ca="1">DATE(2006,04,27)</f>
        <v>0</v>
      </c>
      <c r="C1787" s="1" t="s">
        <v>12405</v>
      </c>
      <c r="D1787" s="3">
        <v>6351</v>
      </c>
      <c r="E1787" s="1" t="s">
        <v>517</v>
      </c>
      <c r="F1787" s="1" t="s">
        <v>12406</v>
      </c>
      <c r="G1787" s="1" t="s">
        <v>8954</v>
      </c>
      <c r="H1787" s="4">
        <v>0.878</v>
      </c>
      <c r="I1787" s="8">
        <v>6.75</v>
      </c>
      <c r="J1787" s="5">
        <v>122.3</v>
      </c>
      <c r="K1787" s="4">
        <v>13</v>
      </c>
      <c r="L1787" s="1" t="s">
        <v>12407</v>
      </c>
      <c r="M1787" s="1" t="s">
        <v>47</v>
      </c>
      <c r="N1787" s="1" t="s">
        <v>12408</v>
      </c>
      <c r="O1787" s="1" t="s">
        <v>67</v>
      </c>
      <c r="P1787" s="1" t="s">
        <v>12409</v>
      </c>
      <c r="Q1787" s="1" t="s">
        <v>145</v>
      </c>
      <c r="R1787" s="1" t="s">
        <v>145</v>
      </c>
      <c r="S1787" s="8">
        <v>4</v>
      </c>
      <c r="T1787" s="1" t="s">
        <v>50</v>
      </c>
      <c r="U1787" s="1"/>
      <c r="V1787" s="1"/>
      <c r="W1787" s="1"/>
      <c r="X1787" s="5">
        <v>250</v>
      </c>
      <c r="Y1787" s="7">
        <v>1350000</v>
      </c>
      <c r="Z1787" s="7">
        <v>8059405</v>
      </c>
      <c r="AA1787" s="1" t="s">
        <v>12400</v>
      </c>
      <c r="AB1787" s="1" t="s">
        <v>12410</v>
      </c>
      <c r="AC1787" s="1" t="s">
        <v>7759</v>
      </c>
      <c r="AD1787" s="1" t="s">
        <v>12411</v>
      </c>
      <c r="AE1787" s="1" t="s">
        <v>51</v>
      </c>
      <c r="AF1787" s="1" t="s">
        <v>51</v>
      </c>
      <c r="AG1787" s="1" t="s">
        <v>51</v>
      </c>
      <c r="AH1787" s="1"/>
      <c r="AI1787" s="1"/>
      <c r="AJ1787" s="3">
        <v>2</v>
      </c>
      <c r="AK1787" s="1" t="s">
        <v>89</v>
      </c>
      <c r="AL1787" s="3">
        <v>3</v>
      </c>
      <c r="AM1787" s="1"/>
      <c r="AN1787" s="1"/>
      <c r="AO1787" s="1" t="s">
        <v>12412</v>
      </c>
      <c r="AP1787" s="1" t="s">
        <v>8958</v>
      </c>
      <c r="AQ1787" s="1" t="s">
        <v>12413</v>
      </c>
      <c r="AR1787" s="1" t="s">
        <v>12414</v>
      </c>
    </row>
    <row r="1788">
      <c r="A1788" s="2">
        <f ca="1">DATE(2006,04,18)</f>
        <v>0</v>
      </c>
      <c r="B1788" s="2">
        <f ca="1">DATE(2006,04,28)</f>
        <v>0</v>
      </c>
      <c r="C1788" s="1" t="s">
        <v>12415</v>
      </c>
      <c r="D1788" s="3">
        <v>2834</v>
      </c>
      <c r="E1788" s="1" t="s">
        <v>166</v>
      </c>
      <c r="F1788" s="1" t="s">
        <v>12416</v>
      </c>
      <c r="G1788" s="1" t="s">
        <v>12417</v>
      </c>
      <c r="H1788" s="4">
        <v>0.47999999999999998</v>
      </c>
      <c r="I1788" s="4">
        <v>6</v>
      </c>
      <c r="J1788" s="5">
        <v>88</v>
      </c>
      <c r="K1788" s="4">
        <v>8</v>
      </c>
      <c r="L1788" s="1" t="s">
        <v>46</v>
      </c>
      <c r="M1788" s="1" t="s">
        <v>47</v>
      </c>
      <c r="N1788" s="1"/>
      <c r="O1788" s="1" t="s">
        <v>3171</v>
      </c>
      <c r="P1788" s="1" t="s">
        <v>12418</v>
      </c>
      <c r="Q1788" s="4">
        <v>1.25</v>
      </c>
      <c r="R1788" s="4">
        <v>1.25</v>
      </c>
      <c r="S1788" s="8">
        <v>3.5</v>
      </c>
      <c r="T1788" s="1" t="s">
        <v>50</v>
      </c>
      <c r="U1788" s="8">
        <v>7.6399999999999997</v>
      </c>
      <c r="V1788" s="8">
        <v>7.6399999999999997</v>
      </c>
      <c r="W1788" s="7">
        <v>10000000</v>
      </c>
      <c r="X1788" s="5">
        <v>76.400000000000006</v>
      </c>
      <c r="Y1788" s="7">
        <v>11000000</v>
      </c>
      <c r="Z1788" s="1"/>
      <c r="AA1788" s="1" t="s">
        <v>12419</v>
      </c>
      <c r="AB1788" s="1" t="s">
        <v>5265</v>
      </c>
      <c r="AC1788" s="1" t="s">
        <v>5266</v>
      </c>
      <c r="AD1788" s="1" t="s">
        <v>5265</v>
      </c>
      <c r="AE1788" s="1" t="s">
        <v>51</v>
      </c>
      <c r="AF1788" s="1" t="s">
        <v>51</v>
      </c>
      <c r="AG1788" s="1" t="s">
        <v>51</v>
      </c>
      <c r="AH1788" s="1"/>
      <c r="AI1788" s="1"/>
      <c r="AJ1788" s="3">
        <v>2</v>
      </c>
      <c r="AK1788" s="1" t="s">
        <v>89</v>
      </c>
      <c r="AL1788" s="3">
        <v>7</v>
      </c>
      <c r="AM1788" s="1"/>
      <c r="AN1788" s="1"/>
      <c r="AO1788" s="1" t="s">
        <v>12420</v>
      </c>
      <c r="AP1788" s="1" t="s">
        <v>12421</v>
      </c>
      <c r="AQ1788" s="1" t="s">
        <v>12422</v>
      </c>
      <c r="AR1788" s="1" t="s">
        <v>12423</v>
      </c>
    </row>
    <row r="1789">
      <c r="A1789" s="2">
        <f ca="1">DATE(2006,02,08)</f>
        <v>0</v>
      </c>
      <c r="B1789" s="2">
        <f ca="1">DATE(2006,05,03)</f>
        <v>0</v>
      </c>
      <c r="C1789" s="1" t="s">
        <v>12424</v>
      </c>
      <c r="D1789" s="3">
        <v>2911</v>
      </c>
      <c r="E1789" s="1" t="s">
        <v>43</v>
      </c>
      <c r="F1789" s="1" t="s">
        <v>12425</v>
      </c>
      <c r="G1789" s="1" t="s">
        <v>8972</v>
      </c>
      <c r="H1789" s="4">
        <v>1.04</v>
      </c>
      <c r="I1789" s="4">
        <v>6.5</v>
      </c>
      <c r="J1789" s="5">
        <v>160</v>
      </c>
      <c r="K1789" s="4">
        <v>16</v>
      </c>
      <c r="L1789" s="1" t="s">
        <v>46</v>
      </c>
      <c r="M1789" s="1" t="s">
        <v>47</v>
      </c>
      <c r="N1789" s="3">
        <v>246647101</v>
      </c>
      <c r="O1789" s="1" t="s">
        <v>108</v>
      </c>
      <c r="P1789" s="1" t="s">
        <v>12426</v>
      </c>
      <c r="Q1789" s="1" t="s">
        <v>145</v>
      </c>
      <c r="R1789" s="1" t="s">
        <v>145</v>
      </c>
      <c r="S1789" s="4">
        <v>0.625</v>
      </c>
      <c r="T1789" s="1" t="s">
        <v>50</v>
      </c>
      <c r="U1789" s="1"/>
      <c r="V1789" s="1"/>
      <c r="W1789" s="1"/>
      <c r="X1789" s="5">
        <v>230</v>
      </c>
      <c r="Y1789" s="7">
        <v>10000000</v>
      </c>
      <c r="Z1789" s="1"/>
      <c r="AA1789" s="1" t="s">
        <v>12427</v>
      </c>
      <c r="AB1789" s="1" t="s">
        <v>12428</v>
      </c>
      <c r="AC1789" s="1" t="s">
        <v>7759</v>
      </c>
      <c r="AD1789" s="1" t="s">
        <v>12429</v>
      </c>
      <c r="AE1789" s="1" t="s">
        <v>51</v>
      </c>
      <c r="AF1789" s="1" t="s">
        <v>51</v>
      </c>
      <c r="AG1789" s="1" t="s">
        <v>51</v>
      </c>
      <c r="AH1789" s="1" t="s">
        <v>12430</v>
      </c>
      <c r="AI1789" s="1" t="s">
        <v>12431</v>
      </c>
      <c r="AJ1789" s="3">
        <v>2</v>
      </c>
      <c r="AK1789" s="1" t="s">
        <v>89</v>
      </c>
      <c r="AL1789" s="3">
        <v>7</v>
      </c>
      <c r="AM1789" s="1"/>
      <c r="AN1789" s="1"/>
      <c r="AO1789" s="1" t="s">
        <v>12432</v>
      </c>
      <c r="AP1789" s="1" t="s">
        <v>11528</v>
      </c>
      <c r="AQ1789" s="1" t="s">
        <v>12433</v>
      </c>
      <c r="AR1789" s="1" t="s">
        <v>12434</v>
      </c>
    </row>
    <row r="1790">
      <c r="A1790" s="2">
        <f ca="1">DATE(2005,11,10)</f>
        <v>0</v>
      </c>
      <c r="B1790" s="2">
        <f ca="1">DATE(2006,05,03)</f>
        <v>0</v>
      </c>
      <c r="C1790" s="1" t="s">
        <v>12435</v>
      </c>
      <c r="D1790" s="3">
        <v>7389</v>
      </c>
      <c r="E1790" s="1" t="s">
        <v>43</v>
      </c>
      <c r="F1790" s="1" t="s">
        <v>12436</v>
      </c>
      <c r="G1790" s="1" t="s">
        <v>12437</v>
      </c>
      <c r="H1790" s="4">
        <v>0.90000000000000002</v>
      </c>
      <c r="I1790" s="4">
        <v>6</v>
      </c>
      <c r="J1790" s="5">
        <v>375</v>
      </c>
      <c r="K1790" s="4">
        <v>15</v>
      </c>
      <c r="L1790" s="1" t="s">
        <v>152</v>
      </c>
      <c r="M1790" s="1" t="s">
        <v>47</v>
      </c>
      <c r="N1790" s="1" t="s">
        <v>12438</v>
      </c>
      <c r="O1790" s="1" t="s">
        <v>108</v>
      </c>
      <c r="P1790" s="1" t="s">
        <v>12439</v>
      </c>
      <c r="Q1790" s="1" t="s">
        <v>145</v>
      </c>
      <c r="R1790" s="1" t="s">
        <v>145</v>
      </c>
      <c r="S1790" s="8">
        <v>3.6000000000000001</v>
      </c>
      <c r="T1790" s="1" t="s">
        <v>50</v>
      </c>
      <c r="U1790" s="1"/>
      <c r="V1790" s="1"/>
      <c r="W1790" s="1"/>
      <c r="X1790" s="5">
        <v>450</v>
      </c>
      <c r="Y1790" s="7">
        <v>25000000</v>
      </c>
      <c r="Z1790" s="1"/>
      <c r="AA1790" s="1" t="s">
        <v>12427</v>
      </c>
      <c r="AB1790" s="1" t="s">
        <v>12440</v>
      </c>
      <c r="AC1790" s="1" t="s">
        <v>7759</v>
      </c>
      <c r="AD1790" s="1" t="s">
        <v>12441</v>
      </c>
      <c r="AE1790" s="1" t="s">
        <v>51</v>
      </c>
      <c r="AF1790" s="1" t="s">
        <v>51</v>
      </c>
      <c r="AG1790" s="1" t="s">
        <v>51</v>
      </c>
      <c r="AH1790" s="1"/>
      <c r="AI1790" s="1"/>
      <c r="AJ1790" s="3">
        <v>2</v>
      </c>
      <c r="AK1790" s="1" t="s">
        <v>110</v>
      </c>
      <c r="AL1790" s="3">
        <v>7</v>
      </c>
      <c r="AM1790" s="1"/>
      <c r="AN1790" s="1"/>
      <c r="AO1790" s="1" t="s">
        <v>12442</v>
      </c>
      <c r="AP1790" s="1" t="s">
        <v>12443</v>
      </c>
      <c r="AQ1790" s="1" t="s">
        <v>12444</v>
      </c>
      <c r="AR1790" s="1" t="s">
        <v>12439</v>
      </c>
    </row>
    <row r="1791">
      <c r="A1791" s="2">
        <f ca="1">DATE(2006,03,01)</f>
        <v>0</v>
      </c>
      <c r="B1791" s="2">
        <f ca="1">DATE(2006,05,04)</f>
        <v>0</v>
      </c>
      <c r="C1791" s="1" t="s">
        <v>12445</v>
      </c>
      <c r="D1791" s="3">
        <v>3845</v>
      </c>
      <c r="E1791" s="1" t="s">
        <v>43</v>
      </c>
      <c r="F1791" s="1" t="s">
        <v>12446</v>
      </c>
      <c r="G1791" s="1" t="s">
        <v>12447</v>
      </c>
      <c r="H1791" s="4">
        <v>1.05</v>
      </c>
      <c r="I1791" s="4">
        <v>7</v>
      </c>
      <c r="J1791" s="5">
        <v>106.5</v>
      </c>
      <c r="K1791" s="4">
        <v>15</v>
      </c>
      <c r="L1791" s="1" t="s">
        <v>46</v>
      </c>
      <c r="M1791" s="1" t="s">
        <v>47</v>
      </c>
      <c r="N1791" s="1" t="s">
        <v>12448</v>
      </c>
      <c r="O1791" s="1" t="s">
        <v>48</v>
      </c>
      <c r="P1791" s="1" t="s">
        <v>12449</v>
      </c>
      <c r="Q1791" s="4">
        <v>1.3999999999999999</v>
      </c>
      <c r="R1791" s="4">
        <v>1.3999999999999999</v>
      </c>
      <c r="S1791" s="8">
        <v>4.2000000000000002</v>
      </c>
      <c r="T1791" s="1" t="s">
        <v>50</v>
      </c>
      <c r="U1791" s="1"/>
      <c r="V1791" s="1"/>
      <c r="W1791" s="1"/>
      <c r="X1791" s="5">
        <v>85</v>
      </c>
      <c r="Y1791" s="7">
        <v>7100000</v>
      </c>
      <c r="Z1791" s="1"/>
      <c r="AA1791" s="1" t="s">
        <v>12450</v>
      </c>
      <c r="AB1791" s="1" t="s">
        <v>5265</v>
      </c>
      <c r="AC1791" s="1" t="s">
        <v>7759</v>
      </c>
      <c r="AD1791" s="1" t="s">
        <v>5265</v>
      </c>
      <c r="AE1791" s="1" t="s">
        <v>51</v>
      </c>
      <c r="AF1791" s="1" t="s">
        <v>51</v>
      </c>
      <c r="AG1791" s="1" t="s">
        <v>47</v>
      </c>
      <c r="AH1791" s="1"/>
      <c r="AI1791" s="1"/>
      <c r="AJ1791" s="3">
        <v>2</v>
      </c>
      <c r="AK1791" s="1" t="s">
        <v>89</v>
      </c>
      <c r="AL1791" s="3">
        <v>4</v>
      </c>
      <c r="AM1791" s="8">
        <v>16.600000000000001</v>
      </c>
      <c r="AN1791" s="1"/>
      <c r="AO1791" s="1" t="s">
        <v>12451</v>
      </c>
      <c r="AP1791" s="1" t="s">
        <v>12452</v>
      </c>
      <c r="AQ1791" s="1" t="s">
        <v>12453</v>
      </c>
      <c r="AR1791" s="1" t="s">
        <v>12454</v>
      </c>
    </row>
    <row r="1792">
      <c r="A1792" s="2">
        <f ca="1">DATE(2005,11,22)</f>
        <v>0</v>
      </c>
      <c r="B1792" s="2">
        <f ca="1">DATE(2006,05,09)</f>
        <v>0</v>
      </c>
      <c r="C1792" s="1" t="s">
        <v>12455</v>
      </c>
      <c r="D1792" s="3">
        <v>1221</v>
      </c>
      <c r="E1792" s="1" t="s">
        <v>43</v>
      </c>
      <c r="F1792" s="1" t="s">
        <v>12456</v>
      </c>
      <c r="G1792" s="1" t="s">
        <v>813</v>
      </c>
      <c r="H1792" s="4">
        <v>1.5</v>
      </c>
      <c r="I1792" s="4">
        <v>6</v>
      </c>
      <c r="J1792" s="5">
        <v>300</v>
      </c>
      <c r="K1792" s="4">
        <v>25</v>
      </c>
      <c r="L1792" s="1" t="s">
        <v>85</v>
      </c>
      <c r="M1792" s="1" t="s">
        <v>47</v>
      </c>
      <c r="N1792" s="1" t="s">
        <v>12457</v>
      </c>
      <c r="O1792" s="1" t="s">
        <v>48</v>
      </c>
      <c r="P1792" s="1" t="s">
        <v>12458</v>
      </c>
      <c r="Q1792" s="4">
        <v>1.2</v>
      </c>
      <c r="R1792" s="4">
        <v>1.2</v>
      </c>
      <c r="S1792" s="1"/>
      <c r="T1792" s="1" t="s">
        <v>50</v>
      </c>
      <c r="U1792" s="1"/>
      <c r="V1792" s="1"/>
      <c r="W1792" s="7">
        <v>10000000</v>
      </c>
      <c r="X1792" s="1"/>
      <c r="Y1792" s="7">
        <v>12000000</v>
      </c>
      <c r="Z1792" s="1"/>
      <c r="AA1792" s="1" t="s">
        <v>12459</v>
      </c>
      <c r="AB1792" s="1" t="s">
        <v>5265</v>
      </c>
      <c r="AC1792" s="1" t="s">
        <v>7759</v>
      </c>
      <c r="AD1792" s="1" t="s">
        <v>5265</v>
      </c>
      <c r="AE1792" s="1" t="s">
        <v>51</v>
      </c>
      <c r="AF1792" s="1" t="s">
        <v>51</v>
      </c>
      <c r="AG1792" s="1" t="s">
        <v>51</v>
      </c>
      <c r="AH1792" s="1"/>
      <c r="AI1792" s="1"/>
      <c r="AJ1792" s="3">
        <v>1</v>
      </c>
      <c r="AK1792" s="1" t="s">
        <v>89</v>
      </c>
      <c r="AL1792" s="3">
        <v>9</v>
      </c>
      <c r="AM1792" s="8">
        <v>25</v>
      </c>
      <c r="AN1792" s="1"/>
      <c r="AO1792" s="1" t="s">
        <v>12460</v>
      </c>
      <c r="AP1792" s="1" t="s">
        <v>11528</v>
      </c>
      <c r="AQ1792" s="1" t="s">
        <v>12461</v>
      </c>
      <c r="AR1792" s="1" t="s">
        <v>12458</v>
      </c>
    </row>
    <row r="1793">
      <c r="A1793" s="2">
        <f ca="1">DATE(2006,02,10)</f>
        <v>0</v>
      </c>
      <c r="B1793" s="2">
        <f ca="1">DATE(2006,05,09)</f>
        <v>0</v>
      </c>
      <c r="C1793" s="1" t="s">
        <v>12462</v>
      </c>
      <c r="D1793" s="3">
        <v>2834</v>
      </c>
      <c r="E1793" s="1" t="s">
        <v>43</v>
      </c>
      <c r="F1793" s="1" t="s">
        <v>12463</v>
      </c>
      <c r="G1793" s="1" t="s">
        <v>12464</v>
      </c>
      <c r="H1793" s="4">
        <v>0.45500000000000002</v>
      </c>
      <c r="I1793" s="4">
        <v>7</v>
      </c>
      <c r="J1793" s="5">
        <v>40.600000000000001</v>
      </c>
      <c r="K1793" s="4">
        <v>6.5</v>
      </c>
      <c r="L1793" s="1" t="s">
        <v>46</v>
      </c>
      <c r="M1793" s="1" t="s">
        <v>47</v>
      </c>
      <c r="N1793" s="1" t="s">
        <v>12465</v>
      </c>
      <c r="O1793" s="1" t="s">
        <v>48</v>
      </c>
      <c r="P1793" s="1" t="s">
        <v>12466</v>
      </c>
      <c r="Q1793" s="1" t="s">
        <v>145</v>
      </c>
      <c r="R1793" s="1" t="s">
        <v>145</v>
      </c>
      <c r="S1793" s="6">
        <v>4.2307699999999997</v>
      </c>
      <c r="T1793" s="1" t="s">
        <v>50</v>
      </c>
      <c r="U1793" s="1"/>
      <c r="V1793" s="1"/>
      <c r="W1793" s="1"/>
      <c r="X1793" s="5">
        <v>75</v>
      </c>
      <c r="Y1793" s="7">
        <v>6250000</v>
      </c>
      <c r="Z1793" s="1"/>
      <c r="AA1793" s="1" t="s">
        <v>12459</v>
      </c>
      <c r="AB1793" s="1" t="s">
        <v>12467</v>
      </c>
      <c r="AC1793" s="1" t="s">
        <v>7759</v>
      </c>
      <c r="AD1793" s="1" t="s">
        <v>12468</v>
      </c>
      <c r="AE1793" s="1" t="s">
        <v>51</v>
      </c>
      <c r="AF1793" s="1" t="s">
        <v>51</v>
      </c>
      <c r="AG1793" s="1" t="s">
        <v>47</v>
      </c>
      <c r="AH1793" s="1"/>
      <c r="AI1793" s="1"/>
      <c r="AJ1793" s="3">
        <v>2</v>
      </c>
      <c r="AK1793" s="1" t="s">
        <v>89</v>
      </c>
      <c r="AL1793" s="3">
        <v>4</v>
      </c>
      <c r="AM1793" s="1"/>
      <c r="AN1793" s="1"/>
      <c r="AO1793" s="1" t="s">
        <v>12469</v>
      </c>
      <c r="AP1793" s="1" t="s">
        <v>12470</v>
      </c>
      <c r="AQ1793" s="1" t="s">
        <v>12471</v>
      </c>
      <c r="AR1793" s="1" t="s">
        <v>12472</v>
      </c>
    </row>
    <row r="1794">
      <c r="A1794" s="2">
        <f ca="1">DATE(2005,12,14)</f>
        <v>0</v>
      </c>
      <c r="B1794" s="2">
        <f ca="1">DATE(2006,05,10)</f>
        <v>0</v>
      </c>
      <c r="C1794" s="1" t="s">
        <v>12473</v>
      </c>
      <c r="D1794" s="3">
        <v>7363</v>
      </c>
      <c r="E1794" s="1" t="s">
        <v>43</v>
      </c>
      <c r="F1794" s="1" t="s">
        <v>12474</v>
      </c>
      <c r="G1794" s="1" t="s">
        <v>5479</v>
      </c>
      <c r="H1794" s="4">
        <v>1.05</v>
      </c>
      <c r="I1794" s="4">
        <v>7</v>
      </c>
      <c r="J1794" s="5">
        <v>202.5</v>
      </c>
      <c r="K1794" s="4">
        <v>15</v>
      </c>
      <c r="L1794" s="1" t="s">
        <v>4851</v>
      </c>
      <c r="M1794" s="1" t="s">
        <v>47</v>
      </c>
      <c r="N1794" s="1" t="s">
        <v>12475</v>
      </c>
      <c r="O1794" s="1" t="s">
        <v>48</v>
      </c>
      <c r="P1794" s="1" t="s">
        <v>12476</v>
      </c>
      <c r="Q1794" s="1" t="s">
        <v>145</v>
      </c>
      <c r="R1794" s="1" t="s">
        <v>145</v>
      </c>
      <c r="S1794" s="8">
        <v>4.0499999999999998</v>
      </c>
      <c r="T1794" s="1" t="s">
        <v>50</v>
      </c>
      <c r="U1794" s="1"/>
      <c r="V1794" s="1"/>
      <c r="W1794" s="1"/>
      <c r="X1794" s="5">
        <v>287.5</v>
      </c>
      <c r="Y1794" s="7">
        <v>13500000</v>
      </c>
      <c r="Z1794" s="1"/>
      <c r="AA1794" s="1" t="s">
        <v>12477</v>
      </c>
      <c r="AB1794" s="1" t="s">
        <v>12478</v>
      </c>
      <c r="AC1794" s="1" t="s">
        <v>7759</v>
      </c>
      <c r="AD1794" s="1" t="s">
        <v>12479</v>
      </c>
      <c r="AE1794" s="1" t="s">
        <v>51</v>
      </c>
      <c r="AF1794" s="1" t="s">
        <v>51</v>
      </c>
      <c r="AG1794" s="1" t="s">
        <v>51</v>
      </c>
      <c r="AH1794" s="1"/>
      <c r="AI1794" s="1"/>
      <c r="AJ1794" s="3">
        <v>1</v>
      </c>
      <c r="AK1794" s="1" t="s">
        <v>52</v>
      </c>
      <c r="AL1794" s="3">
        <v>7</v>
      </c>
      <c r="AM1794" s="8">
        <v>15.029999999999999</v>
      </c>
      <c r="AN1794" s="1"/>
      <c r="AO1794" s="1" t="s">
        <v>12480</v>
      </c>
      <c r="AP1794" s="1" t="s">
        <v>5479</v>
      </c>
      <c r="AQ1794" s="1" t="s">
        <v>12481</v>
      </c>
      <c r="AR1794" s="1" t="s">
        <v>12482</v>
      </c>
    </row>
    <row r="1795">
      <c r="A1795" s="2">
        <f ca="1">DATE(2006,02,03)</f>
        <v>0</v>
      </c>
      <c r="B1795" s="2">
        <f ca="1">DATE(2006,05,11)</f>
        <v>0</v>
      </c>
      <c r="C1795" s="1" t="s">
        <v>12483</v>
      </c>
      <c r="D1795" s="3">
        <v>6726</v>
      </c>
      <c r="E1795" s="1" t="s">
        <v>43</v>
      </c>
      <c r="F1795" s="1" t="s">
        <v>12484</v>
      </c>
      <c r="G1795" s="1" t="s">
        <v>7222</v>
      </c>
      <c r="H1795" s="4">
        <v>0.54000000000000004</v>
      </c>
      <c r="I1795" s="4">
        <v>9</v>
      </c>
      <c r="J1795" s="5">
        <v>36</v>
      </c>
      <c r="K1795" s="4">
        <v>6</v>
      </c>
      <c r="L1795" s="1" t="s">
        <v>46</v>
      </c>
      <c r="M1795" s="1" t="s">
        <v>47</v>
      </c>
      <c r="N1795" s="1" t="s">
        <v>12485</v>
      </c>
      <c r="O1795" s="1" t="s">
        <v>77</v>
      </c>
      <c r="P1795" s="1" t="s">
        <v>7339</v>
      </c>
      <c r="Q1795" s="1" t="s">
        <v>145</v>
      </c>
      <c r="R1795" s="1" t="s">
        <v>145</v>
      </c>
      <c r="S1795" s="1"/>
      <c r="T1795" s="1" t="s">
        <v>50</v>
      </c>
      <c r="U1795" s="8">
        <v>6</v>
      </c>
      <c r="V1795" s="8">
        <v>6</v>
      </c>
      <c r="W1795" s="7">
        <v>3500000</v>
      </c>
      <c r="X1795" s="5">
        <v>21</v>
      </c>
      <c r="Y1795" s="7">
        <v>6000000</v>
      </c>
      <c r="Z1795" s="1"/>
      <c r="AA1795" s="1"/>
      <c r="AB1795" s="1"/>
      <c r="AC1795" s="1"/>
      <c r="AD1795" s="1"/>
      <c r="AE1795" s="1" t="s">
        <v>51</v>
      </c>
      <c r="AF1795" s="1" t="s">
        <v>51</v>
      </c>
      <c r="AG1795" s="1" t="s">
        <v>51</v>
      </c>
      <c r="AH1795" s="1"/>
      <c r="AI1795" s="1"/>
      <c r="AJ1795" s="3">
        <v>1</v>
      </c>
      <c r="AK1795" s="1" t="s">
        <v>52</v>
      </c>
      <c r="AL1795" s="3">
        <v>1</v>
      </c>
      <c r="AM1795" s="1"/>
      <c r="AN1795" s="1"/>
      <c r="AO1795" s="1" t="s">
        <v>7222</v>
      </c>
      <c r="AP1795" s="1" t="s">
        <v>7222</v>
      </c>
      <c r="AQ1795" s="1" t="s">
        <v>7222</v>
      </c>
      <c r="AR1795" s="1" t="s">
        <v>7339</v>
      </c>
    </row>
    <row r="1796">
      <c r="A1796" s="2">
        <f ca="1">DATE(2006,02,13)</f>
        <v>0</v>
      </c>
      <c r="B1796" s="2">
        <f ca="1">DATE(2006,05,11)</f>
        <v>0</v>
      </c>
      <c r="C1796" s="1" t="s">
        <v>12486</v>
      </c>
      <c r="D1796" s="3">
        <v>4941</v>
      </c>
      <c r="E1796" s="1" t="s">
        <v>43</v>
      </c>
      <c r="F1796" s="1" t="s">
        <v>12487</v>
      </c>
      <c r="G1796" s="1" t="s">
        <v>11604</v>
      </c>
      <c r="H1796" s="4">
        <v>0.83999999999999997</v>
      </c>
      <c r="I1796" s="8">
        <v>7</v>
      </c>
      <c r="J1796" s="5">
        <v>72</v>
      </c>
      <c r="K1796" s="4">
        <v>12</v>
      </c>
      <c r="L1796" s="1" t="s">
        <v>46</v>
      </c>
      <c r="M1796" s="1" t="s">
        <v>47</v>
      </c>
      <c r="N1796" s="1" t="s">
        <v>12488</v>
      </c>
      <c r="O1796" s="1" t="s">
        <v>48</v>
      </c>
      <c r="P1796" s="1" t="s">
        <v>12489</v>
      </c>
      <c r="Q1796" s="1" t="s">
        <v>145</v>
      </c>
      <c r="R1796" s="1" t="s">
        <v>145</v>
      </c>
      <c r="S1796" s="8">
        <v>4</v>
      </c>
      <c r="T1796" s="1" t="s">
        <v>50</v>
      </c>
      <c r="U1796" s="1"/>
      <c r="V1796" s="1"/>
      <c r="W1796" s="1"/>
      <c r="X1796" s="5">
        <v>51.799999999999997</v>
      </c>
      <c r="Y1796" s="7">
        <v>6000000</v>
      </c>
      <c r="Z1796" s="1"/>
      <c r="AA1796" s="1" t="s">
        <v>12490</v>
      </c>
      <c r="AB1796" s="1" t="s">
        <v>12491</v>
      </c>
      <c r="AC1796" s="1" t="s">
        <v>7759</v>
      </c>
      <c r="AD1796" s="1" t="s">
        <v>12492</v>
      </c>
      <c r="AE1796" s="1" t="s">
        <v>51</v>
      </c>
      <c r="AF1796" s="1" t="s">
        <v>51</v>
      </c>
      <c r="AG1796" s="1" t="s">
        <v>47</v>
      </c>
      <c r="AH1796" s="1"/>
      <c r="AI1796" s="1"/>
      <c r="AJ1796" s="3">
        <v>1</v>
      </c>
      <c r="AK1796" s="1" t="s">
        <v>52</v>
      </c>
      <c r="AL1796" s="3">
        <v>3</v>
      </c>
      <c r="AM1796" s="8">
        <v>16.649999999999999</v>
      </c>
      <c r="AN1796" s="1"/>
      <c r="AO1796" s="1" t="s">
        <v>12493</v>
      </c>
      <c r="AP1796" s="1" t="s">
        <v>11604</v>
      </c>
      <c r="AQ1796" s="1" t="s">
        <v>12494</v>
      </c>
      <c r="AR1796" s="1" t="s">
        <v>12489</v>
      </c>
    </row>
    <row r="1797">
      <c r="A1797" s="2">
        <f ca="1">DATE(2006,02,10)</f>
        <v>0</v>
      </c>
      <c r="B1797" s="2">
        <f ca="1">DATE(2006,05,12)</f>
        <v>0</v>
      </c>
      <c r="C1797" s="1" t="s">
        <v>12495</v>
      </c>
      <c r="D1797" s="3">
        <v>3841</v>
      </c>
      <c r="E1797" s="1" t="s">
        <v>43</v>
      </c>
      <c r="F1797" s="1" t="s">
        <v>12496</v>
      </c>
      <c r="G1797" s="1" t="s">
        <v>5110</v>
      </c>
      <c r="H1797" s="4">
        <v>0.56000000000000005</v>
      </c>
      <c r="I1797" s="4">
        <v>7</v>
      </c>
      <c r="J1797" s="5">
        <v>36.799999999999997</v>
      </c>
      <c r="K1797" s="4">
        <v>8</v>
      </c>
      <c r="L1797" s="1" t="s">
        <v>46</v>
      </c>
      <c r="M1797" s="1" t="s">
        <v>47</v>
      </c>
      <c r="N1797" s="1" t="s">
        <v>12497</v>
      </c>
      <c r="O1797" s="1" t="s">
        <v>48</v>
      </c>
      <c r="P1797" s="1" t="s">
        <v>12498</v>
      </c>
      <c r="Q1797" s="4">
        <v>1.5</v>
      </c>
      <c r="R1797" s="4">
        <v>1.375</v>
      </c>
      <c r="S1797" s="4">
        <v>4.125</v>
      </c>
      <c r="T1797" s="1" t="s">
        <v>50</v>
      </c>
      <c r="U1797" s="1"/>
      <c r="V1797" s="1"/>
      <c r="W1797" s="1"/>
      <c r="X1797" s="5">
        <v>50</v>
      </c>
      <c r="Y1797" s="7">
        <v>4600000</v>
      </c>
      <c r="Z1797" s="1"/>
      <c r="AA1797" s="1" t="s">
        <v>12499</v>
      </c>
      <c r="AB1797" s="1" t="s">
        <v>12500</v>
      </c>
      <c r="AC1797" s="1" t="s">
        <v>7759</v>
      </c>
      <c r="AD1797" s="1" t="s">
        <v>12501</v>
      </c>
      <c r="AE1797" s="1" t="s">
        <v>51</v>
      </c>
      <c r="AF1797" s="1" t="s">
        <v>51</v>
      </c>
      <c r="AG1797" s="1" t="s">
        <v>47</v>
      </c>
      <c r="AH1797" s="1"/>
      <c r="AI1797" s="1"/>
      <c r="AJ1797" s="3">
        <v>1</v>
      </c>
      <c r="AK1797" s="1" t="s">
        <v>52</v>
      </c>
      <c r="AL1797" s="3">
        <v>4</v>
      </c>
      <c r="AM1797" s="8">
        <v>8.25</v>
      </c>
      <c r="AN1797" s="1"/>
      <c r="AO1797" s="1" t="s">
        <v>12502</v>
      </c>
      <c r="AP1797" s="1" t="s">
        <v>5110</v>
      </c>
      <c r="AQ1797" s="1" t="s">
        <v>12503</v>
      </c>
      <c r="AR1797" s="1" t="s">
        <v>12504</v>
      </c>
    </row>
    <row r="1798">
      <c r="A1798" s="2">
        <f ca="1">DATE(2006,03,13)</f>
        <v>0</v>
      </c>
      <c r="B1798" s="2">
        <f ca="1">DATE(2006,05,16)</f>
        <v>0</v>
      </c>
      <c r="C1798" s="1" t="s">
        <v>12505</v>
      </c>
      <c r="D1798" s="3">
        <v>3841</v>
      </c>
      <c r="E1798" s="1" t="s">
        <v>43</v>
      </c>
      <c r="F1798" s="1" t="s">
        <v>12506</v>
      </c>
      <c r="G1798" s="1" t="s">
        <v>5110</v>
      </c>
      <c r="H1798" s="4">
        <v>0.56000000000000005</v>
      </c>
      <c r="I1798" s="4">
        <v>7</v>
      </c>
      <c r="J1798" s="5">
        <v>32</v>
      </c>
      <c r="K1798" s="4">
        <v>8</v>
      </c>
      <c r="L1798" s="1" t="s">
        <v>46</v>
      </c>
      <c r="M1798" s="1" t="s">
        <v>47</v>
      </c>
      <c r="N1798" s="1" t="s">
        <v>12507</v>
      </c>
      <c r="O1798" s="1" t="s">
        <v>48</v>
      </c>
      <c r="P1798" s="1" t="s">
        <v>12508</v>
      </c>
      <c r="Q1798" s="1" t="s">
        <v>145</v>
      </c>
      <c r="R1798" s="1" t="s">
        <v>145</v>
      </c>
      <c r="S1798" s="4">
        <v>4.125</v>
      </c>
      <c r="T1798" s="1" t="s">
        <v>50</v>
      </c>
      <c r="U1798" s="1"/>
      <c r="V1798" s="1"/>
      <c r="W1798" s="1"/>
      <c r="X1798" s="5">
        <v>50</v>
      </c>
      <c r="Y1798" s="7">
        <v>4000000</v>
      </c>
      <c r="Z1798" s="1"/>
      <c r="AA1798" s="1" t="s">
        <v>12509</v>
      </c>
      <c r="AB1798" s="1" t="s">
        <v>12510</v>
      </c>
      <c r="AC1798" s="1" t="s">
        <v>7759</v>
      </c>
      <c r="AD1798" s="1" t="s">
        <v>12511</v>
      </c>
      <c r="AE1798" s="1" t="s">
        <v>51</v>
      </c>
      <c r="AF1798" s="1" t="s">
        <v>51</v>
      </c>
      <c r="AG1798" s="1" t="s">
        <v>47</v>
      </c>
      <c r="AH1798" s="1"/>
      <c r="AI1798" s="1"/>
      <c r="AJ1798" s="3">
        <v>1</v>
      </c>
      <c r="AK1798" s="1" t="s">
        <v>52</v>
      </c>
      <c r="AL1798" s="3">
        <v>3</v>
      </c>
      <c r="AM1798" s="8">
        <v>8.1899999999999995</v>
      </c>
      <c r="AN1798" s="1"/>
      <c r="AO1798" s="1" t="s">
        <v>12512</v>
      </c>
      <c r="AP1798" s="1" t="s">
        <v>5110</v>
      </c>
      <c r="AQ1798" s="1" t="s">
        <v>12513</v>
      </c>
      <c r="AR1798" s="1" t="s">
        <v>12514</v>
      </c>
    </row>
    <row r="1799">
      <c r="A1799" s="2">
        <f ca="1">DATE(2006,02,16)</f>
        <v>0</v>
      </c>
      <c r="B1799" s="2">
        <f ca="1">DATE(2006,05,17)</f>
        <v>0</v>
      </c>
      <c r="C1799" s="1" t="s">
        <v>12515</v>
      </c>
      <c r="D1799" s="3">
        <v>5812</v>
      </c>
      <c r="E1799" s="1" t="s">
        <v>43</v>
      </c>
      <c r="F1799" s="1"/>
      <c r="G1799" s="1" t="s">
        <v>12516</v>
      </c>
      <c r="H1799" s="4">
        <v>1.105</v>
      </c>
      <c r="I1799" s="4">
        <v>6.5</v>
      </c>
      <c r="J1799" s="5">
        <v>425</v>
      </c>
      <c r="K1799" s="4">
        <v>17</v>
      </c>
      <c r="L1799" s="1" t="s">
        <v>46</v>
      </c>
      <c r="M1799" s="1" t="s">
        <v>47</v>
      </c>
      <c r="N1799" s="3">
        <v>121208201</v>
      </c>
      <c r="O1799" s="1"/>
      <c r="P1799" s="1" t="s">
        <v>12517</v>
      </c>
      <c r="Q1799" s="1" t="s">
        <v>145</v>
      </c>
      <c r="R1799" s="1" t="s">
        <v>145</v>
      </c>
      <c r="S1799" s="8">
        <v>3.8999999999999999</v>
      </c>
      <c r="T1799" s="1" t="s">
        <v>50</v>
      </c>
      <c r="U1799" s="1"/>
      <c r="V1799" s="1"/>
      <c r="W1799" s="1"/>
      <c r="X1799" s="5">
        <v>400</v>
      </c>
      <c r="Y1799" s="7">
        <v>25000000</v>
      </c>
      <c r="Z1799" s="1"/>
      <c r="AA1799" s="1" t="s">
        <v>12518</v>
      </c>
      <c r="AB1799" s="1" t="s">
        <v>12519</v>
      </c>
      <c r="AC1799" s="1" t="s">
        <v>7759</v>
      </c>
      <c r="AD1799" s="1" t="s">
        <v>12520</v>
      </c>
      <c r="AE1799" s="1" t="s">
        <v>51</v>
      </c>
      <c r="AF1799" s="1" t="s">
        <v>51</v>
      </c>
      <c r="AG1799" s="1" t="s">
        <v>51</v>
      </c>
      <c r="AH1799" s="1"/>
      <c r="AI1799" s="1"/>
      <c r="AJ1799" s="3">
        <v>4</v>
      </c>
      <c r="AK1799" s="1" t="s">
        <v>1209</v>
      </c>
      <c r="AL1799" s="3">
        <v>9</v>
      </c>
      <c r="AM1799" s="8">
        <v>17.5</v>
      </c>
      <c r="AN1799" s="1"/>
      <c r="AO1799" s="1" t="s">
        <v>12521</v>
      </c>
      <c r="AP1799" s="1" t="s">
        <v>12522</v>
      </c>
      <c r="AQ1799" s="1" t="s">
        <v>12523</v>
      </c>
      <c r="AR1799" s="1" t="s">
        <v>12524</v>
      </c>
    </row>
    <row r="1800">
      <c r="A1800" s="2">
        <f ca="1">DATE(2005,08,10)</f>
        <v>0</v>
      </c>
      <c r="B1800" s="2">
        <f ca="1">DATE(2006,05,17)</f>
        <v>0</v>
      </c>
      <c r="C1800" s="1" t="s">
        <v>12525</v>
      </c>
      <c r="D1800" s="3">
        <v>6211</v>
      </c>
      <c r="E1800" s="1" t="s">
        <v>43</v>
      </c>
      <c r="F1800" s="1" t="s">
        <v>12526</v>
      </c>
      <c r="G1800" s="1" t="s">
        <v>12527</v>
      </c>
      <c r="H1800" s="4">
        <v>1.19</v>
      </c>
      <c r="I1800" s="8">
        <v>7</v>
      </c>
      <c r="J1800" s="5">
        <v>126.90000000000001</v>
      </c>
      <c r="K1800" s="4">
        <v>17</v>
      </c>
      <c r="L1800" s="1" t="s">
        <v>46</v>
      </c>
      <c r="M1800" s="1" t="s">
        <v>47</v>
      </c>
      <c r="N1800" s="3">
        <v>709600100</v>
      </c>
      <c r="O1800" s="1" t="s">
        <v>48</v>
      </c>
      <c r="P1800" s="1" t="s">
        <v>12528</v>
      </c>
      <c r="Q1800" s="4">
        <v>1.3999999999999999</v>
      </c>
      <c r="R1800" s="4">
        <v>1.3999999999999999</v>
      </c>
      <c r="S1800" s="8">
        <v>4.2000000000000002</v>
      </c>
      <c r="T1800" s="1" t="s">
        <v>50</v>
      </c>
      <c r="U1800" s="1"/>
      <c r="V1800" s="1"/>
      <c r="W1800" s="1"/>
      <c r="X1800" s="5">
        <v>100</v>
      </c>
      <c r="Y1800" s="7">
        <v>6258000</v>
      </c>
      <c r="Z1800" s="7">
        <v>1207761</v>
      </c>
      <c r="AA1800" s="1" t="s">
        <v>12518</v>
      </c>
      <c r="AB1800" s="1" t="s">
        <v>5265</v>
      </c>
      <c r="AC1800" s="1" t="s">
        <v>7759</v>
      </c>
      <c r="AD1800" s="1" t="s">
        <v>5265</v>
      </c>
      <c r="AE1800" s="1" t="s">
        <v>51</v>
      </c>
      <c r="AF1800" s="1" t="s">
        <v>51</v>
      </c>
      <c r="AG1800" s="1" t="s">
        <v>47</v>
      </c>
      <c r="AH1800" s="1"/>
      <c r="AI1800" s="1"/>
      <c r="AJ1800" s="3">
        <v>2</v>
      </c>
      <c r="AK1800" s="1" t="s">
        <v>89</v>
      </c>
      <c r="AL1800" s="3">
        <v>5</v>
      </c>
      <c r="AM1800" s="8">
        <v>19.5</v>
      </c>
      <c r="AN1800" s="1"/>
      <c r="AO1800" s="1" t="s">
        <v>12529</v>
      </c>
      <c r="AP1800" s="1" t="s">
        <v>12530</v>
      </c>
      <c r="AQ1800" s="1" t="s">
        <v>12531</v>
      </c>
      <c r="AR1800" s="1" t="s">
        <v>12532</v>
      </c>
    </row>
    <row r="1801">
      <c r="A1801" s="2">
        <f ca="1">DATE(2006,03,10)</f>
        <v>0</v>
      </c>
      <c r="B1801" s="2">
        <f ca="1">DATE(2006,05,18)</f>
        <v>0</v>
      </c>
      <c r="C1801" s="1" t="s">
        <v>12533</v>
      </c>
      <c r="D1801" s="3">
        <v>6331</v>
      </c>
      <c r="E1801" s="1" t="s">
        <v>43</v>
      </c>
      <c r="F1801" s="1" t="s">
        <v>12534</v>
      </c>
      <c r="G1801" s="1" t="s">
        <v>12535</v>
      </c>
      <c r="H1801" s="4">
        <v>1.1200000000000001</v>
      </c>
      <c r="I1801" s="4">
        <v>7</v>
      </c>
      <c r="J1801" s="5">
        <v>83.5</v>
      </c>
      <c r="K1801" s="4">
        <v>16</v>
      </c>
      <c r="L1801" s="1" t="s">
        <v>46</v>
      </c>
      <c r="M1801" s="1" t="s">
        <v>47</v>
      </c>
      <c r="N1801" s="3">
        <v>237502109</v>
      </c>
      <c r="O1801" s="1" t="s">
        <v>108</v>
      </c>
      <c r="P1801" s="1" t="s">
        <v>12536</v>
      </c>
      <c r="Q1801" s="1" t="s">
        <v>145</v>
      </c>
      <c r="R1801" s="1" t="s">
        <v>145</v>
      </c>
      <c r="S1801" s="10">
        <v>4.1875</v>
      </c>
      <c r="T1801" s="1" t="s">
        <v>50</v>
      </c>
      <c r="U1801" s="1"/>
      <c r="V1801" s="1"/>
      <c r="W1801" s="1"/>
      <c r="X1801" s="5">
        <v>85</v>
      </c>
      <c r="Y1801" s="7">
        <v>5217391</v>
      </c>
      <c r="Z1801" s="1"/>
      <c r="AA1801" s="1" t="s">
        <v>12537</v>
      </c>
      <c r="AB1801" s="1" t="s">
        <v>12538</v>
      </c>
      <c r="AC1801" s="1" t="s">
        <v>7759</v>
      </c>
      <c r="AD1801" s="1" t="s">
        <v>12539</v>
      </c>
      <c r="AE1801" s="1" t="s">
        <v>51</v>
      </c>
      <c r="AF1801" s="1" t="s">
        <v>51</v>
      </c>
      <c r="AG1801" s="1" t="s">
        <v>51</v>
      </c>
      <c r="AH1801" s="1"/>
      <c r="AI1801" s="1"/>
      <c r="AJ1801" s="3">
        <v>2</v>
      </c>
      <c r="AK1801" s="1" t="s">
        <v>89</v>
      </c>
      <c r="AL1801" s="3">
        <v>5</v>
      </c>
      <c r="AM1801" s="8">
        <v>18.760000000000002</v>
      </c>
      <c r="AN1801" s="1"/>
      <c r="AO1801" s="1" t="s">
        <v>12540</v>
      </c>
      <c r="AP1801" s="1" t="s">
        <v>12541</v>
      </c>
      <c r="AQ1801" s="1" t="s">
        <v>12542</v>
      </c>
      <c r="AR1801" s="1" t="s">
        <v>12543</v>
      </c>
    </row>
    <row r="1802">
      <c r="A1802" s="2">
        <f ca="1">DATE(2006,03,10)</f>
        <v>0</v>
      </c>
      <c r="B1802" s="2">
        <f ca="1">DATE(2006,05,19)</f>
        <v>0</v>
      </c>
      <c r="C1802" s="1" t="s">
        <v>12544</v>
      </c>
      <c r="D1802" s="3">
        <v>6726</v>
      </c>
      <c r="E1802" s="1" t="s">
        <v>43</v>
      </c>
      <c r="F1802" s="1" t="s">
        <v>12545</v>
      </c>
      <c r="G1802" s="1" t="s">
        <v>4327</v>
      </c>
      <c r="H1802" s="4">
        <v>0.90000000000000002</v>
      </c>
      <c r="I1802" s="4">
        <v>4.5</v>
      </c>
      <c r="J1802" s="5">
        <v>200</v>
      </c>
      <c r="K1802" s="4">
        <v>20</v>
      </c>
      <c r="L1802" s="1" t="s">
        <v>46</v>
      </c>
      <c r="M1802" s="1" t="s">
        <v>47</v>
      </c>
      <c r="N1802" s="3">
        <v>183833102</v>
      </c>
      <c r="O1802" s="1" t="s">
        <v>108</v>
      </c>
      <c r="P1802" s="1" t="s">
        <v>4328</v>
      </c>
      <c r="Q1802" s="1" t="s">
        <v>145</v>
      </c>
      <c r="R1802" s="1" t="s">
        <v>145</v>
      </c>
      <c r="S1802" s="8">
        <v>3</v>
      </c>
      <c r="T1802" s="1" t="s">
        <v>50</v>
      </c>
      <c r="U1802" s="8">
        <v>20</v>
      </c>
      <c r="V1802" s="8">
        <v>20</v>
      </c>
      <c r="W1802" s="7">
        <v>50000</v>
      </c>
      <c r="X1802" s="5">
        <v>1</v>
      </c>
      <c r="Y1802" s="7">
        <v>10000000</v>
      </c>
      <c r="Z1802" s="1"/>
      <c r="AA1802" s="2">
        <f ca="1">DATE(2006,11,15)</f>
        <v>0</v>
      </c>
      <c r="AB1802" s="1"/>
      <c r="AC1802" s="3">
        <v>180</v>
      </c>
      <c r="AD1802" s="1"/>
      <c r="AE1802" s="1" t="s">
        <v>51</v>
      </c>
      <c r="AF1802" s="1" t="s">
        <v>51</v>
      </c>
      <c r="AG1802" s="1" t="s">
        <v>51</v>
      </c>
      <c r="AH1802" s="1"/>
      <c r="AI1802" s="1"/>
      <c r="AJ1802" s="3">
        <v>1</v>
      </c>
      <c r="AK1802" s="1" t="s">
        <v>52</v>
      </c>
      <c r="AL1802" s="3">
        <v>1</v>
      </c>
      <c r="AM1802" s="1"/>
      <c r="AN1802" s="1"/>
      <c r="AO1802" s="1" t="s">
        <v>4327</v>
      </c>
      <c r="AP1802" s="1" t="s">
        <v>4327</v>
      </c>
      <c r="AQ1802" s="1" t="s">
        <v>4327</v>
      </c>
      <c r="AR1802" s="1" t="s">
        <v>4328</v>
      </c>
    </row>
    <row r="1803">
      <c r="A1803" s="2">
        <f ca="1">DATE(2006,02,08)</f>
        <v>0</v>
      </c>
      <c r="B1803" s="2">
        <f ca="1">DATE(2006,05,23)</f>
        <v>0</v>
      </c>
      <c r="C1803" s="1" t="s">
        <v>12546</v>
      </c>
      <c r="D1803" s="3">
        <v>4813</v>
      </c>
      <c r="E1803" s="1" t="s">
        <v>43</v>
      </c>
      <c r="F1803" s="1" t="s">
        <v>1086</v>
      </c>
      <c r="G1803" s="1" t="s">
        <v>9986</v>
      </c>
      <c r="H1803" s="4">
        <v>1.02</v>
      </c>
      <c r="I1803" s="4">
        <v>6</v>
      </c>
      <c r="J1803" s="5">
        <v>531.29999999999995</v>
      </c>
      <c r="K1803" s="4">
        <v>17</v>
      </c>
      <c r="L1803" s="1" t="s">
        <v>46</v>
      </c>
      <c r="M1803" s="1" t="s">
        <v>47</v>
      </c>
      <c r="N1803" s="1" t="s">
        <v>12547</v>
      </c>
      <c r="O1803" s="1" t="s">
        <v>108</v>
      </c>
      <c r="P1803" s="1" t="s">
        <v>12548</v>
      </c>
      <c r="Q1803" s="1" t="s">
        <v>145</v>
      </c>
      <c r="R1803" s="1" t="s">
        <v>145</v>
      </c>
      <c r="S1803" s="8">
        <v>3.6000000000000001</v>
      </c>
      <c r="T1803" s="1" t="s">
        <v>50</v>
      </c>
      <c r="U1803" s="1"/>
      <c r="V1803" s="1"/>
      <c r="W1803" s="1"/>
      <c r="X1803" s="5">
        <v>250</v>
      </c>
      <c r="Y1803" s="7">
        <v>31250000</v>
      </c>
      <c r="Z1803" s="1"/>
      <c r="AA1803" s="1" t="s">
        <v>12549</v>
      </c>
      <c r="AB1803" s="1" t="s">
        <v>12550</v>
      </c>
      <c r="AC1803" s="1" t="s">
        <v>7759</v>
      </c>
      <c r="AD1803" s="1" t="s">
        <v>12551</v>
      </c>
      <c r="AE1803" s="1" t="s">
        <v>51</v>
      </c>
      <c r="AF1803" s="1" t="s">
        <v>51</v>
      </c>
      <c r="AG1803" s="1" t="s">
        <v>47</v>
      </c>
      <c r="AH1803" s="1"/>
      <c r="AI1803" s="1"/>
      <c r="AJ1803" s="3">
        <v>3</v>
      </c>
      <c r="AK1803" s="1" t="s">
        <v>110</v>
      </c>
      <c r="AL1803" s="3">
        <v>6</v>
      </c>
      <c r="AM1803" s="8">
        <v>14.85</v>
      </c>
      <c r="AN1803" s="1"/>
      <c r="AO1803" s="1" t="s">
        <v>12552</v>
      </c>
      <c r="AP1803" s="1" t="s">
        <v>9993</v>
      </c>
      <c r="AQ1803" s="1" t="s">
        <v>12553</v>
      </c>
      <c r="AR1803" s="1" t="s">
        <v>12554</v>
      </c>
    </row>
    <row r="1804">
      <c r="A1804" s="2">
        <f ca="1">DATE(2005,09,15)</f>
        <v>0</v>
      </c>
      <c r="B1804" s="2">
        <f ca="1">DATE(2006,05,24)</f>
        <v>0</v>
      </c>
      <c r="C1804" s="1" t="s">
        <v>12555</v>
      </c>
      <c r="D1804" s="3">
        <v>6141</v>
      </c>
      <c r="E1804" s="1" t="s">
        <v>43</v>
      </c>
      <c r="F1804" s="1" t="s">
        <v>12556</v>
      </c>
      <c r="G1804" s="1" t="s">
        <v>12557</v>
      </c>
      <c r="H1804" s="4">
        <v>1.8140000000000001</v>
      </c>
      <c r="I1804" s="4">
        <v>4.6500000000000004</v>
      </c>
      <c r="J1804" s="9">
        <v>2399.3000000000002</v>
      </c>
      <c r="K1804" s="4">
        <v>39</v>
      </c>
      <c r="L1804" s="1" t="s">
        <v>152</v>
      </c>
      <c r="M1804" s="1" t="s">
        <v>47</v>
      </c>
      <c r="N1804" s="1" t="s">
        <v>12558</v>
      </c>
      <c r="O1804" s="1" t="s">
        <v>108</v>
      </c>
      <c r="P1804" s="1" t="s">
        <v>12559</v>
      </c>
      <c r="Q1804" s="4">
        <v>1.1539999999999999</v>
      </c>
      <c r="R1804" s="4">
        <v>0.69699999999999995</v>
      </c>
      <c r="S1804" s="10">
        <v>2.5640999999999998</v>
      </c>
      <c r="T1804" s="1" t="s">
        <v>50</v>
      </c>
      <c r="U1804" s="1"/>
      <c r="V1804" s="1"/>
      <c r="W1804" s="7">
        <v>61535098</v>
      </c>
      <c r="X1804" s="1"/>
      <c r="Y1804" s="7">
        <v>61520912</v>
      </c>
      <c r="Z1804" s="1"/>
      <c r="AA1804" s="1" t="s">
        <v>12560</v>
      </c>
      <c r="AB1804" s="1" t="s">
        <v>5265</v>
      </c>
      <c r="AC1804" s="1" t="s">
        <v>7759</v>
      </c>
      <c r="AD1804" s="1" t="s">
        <v>5265</v>
      </c>
      <c r="AE1804" s="1" t="s">
        <v>51</v>
      </c>
      <c r="AF1804" s="1" t="s">
        <v>51</v>
      </c>
      <c r="AG1804" s="1" t="s">
        <v>51</v>
      </c>
      <c r="AH1804" s="1"/>
      <c r="AI1804" s="1"/>
      <c r="AJ1804" s="3">
        <v>4</v>
      </c>
      <c r="AK1804" s="1" t="s">
        <v>1209</v>
      </c>
      <c r="AL1804" s="3">
        <v>10</v>
      </c>
      <c r="AM1804" s="8">
        <v>46</v>
      </c>
      <c r="AN1804" s="1"/>
      <c r="AO1804" s="1" t="s">
        <v>12561</v>
      </c>
      <c r="AP1804" s="1" t="s">
        <v>12562</v>
      </c>
      <c r="AQ1804" s="1" t="s">
        <v>12563</v>
      </c>
      <c r="AR1804" s="1" t="s">
        <v>12564</v>
      </c>
    </row>
    <row r="1805">
      <c r="A1805" s="2">
        <f ca="1">DATE(2006,02,03)</f>
        <v>0</v>
      </c>
      <c r="B1805" s="2">
        <f ca="1">DATE(2006,05,25)</f>
        <v>0</v>
      </c>
      <c r="C1805" s="1" t="s">
        <v>12565</v>
      </c>
      <c r="D1805" s="3">
        <v>3494</v>
      </c>
      <c r="E1805" s="1" t="s">
        <v>43</v>
      </c>
      <c r="F1805" s="1" t="s">
        <v>12566</v>
      </c>
      <c r="G1805" s="1" t="s">
        <v>12567</v>
      </c>
      <c r="H1805" s="4">
        <v>0.95999999999999996</v>
      </c>
      <c r="I1805" s="4">
        <v>6</v>
      </c>
      <c r="J1805" s="5">
        <v>400</v>
      </c>
      <c r="K1805" s="4">
        <v>16</v>
      </c>
      <c r="L1805" s="1" t="s">
        <v>152</v>
      </c>
      <c r="M1805" s="1" t="s">
        <v>47</v>
      </c>
      <c r="N1805" s="3">
        <v>624758108</v>
      </c>
      <c r="O1805" s="1" t="s">
        <v>108</v>
      </c>
      <c r="P1805" s="1" t="s">
        <v>12568</v>
      </c>
      <c r="Q1805" s="4">
        <v>1.1879999999999999</v>
      </c>
      <c r="R1805" s="4">
        <v>1.1879999999999999</v>
      </c>
      <c r="S1805" s="4">
        <v>3.625</v>
      </c>
      <c r="T1805" s="1" t="s">
        <v>50</v>
      </c>
      <c r="U1805" s="1"/>
      <c r="V1805" s="1"/>
      <c r="W1805" s="1"/>
      <c r="X1805" s="5">
        <v>400</v>
      </c>
      <c r="Y1805" s="7">
        <v>25000000</v>
      </c>
      <c r="Z1805" s="1"/>
      <c r="AA1805" s="1" t="s">
        <v>12569</v>
      </c>
      <c r="AB1805" s="1" t="s">
        <v>5265</v>
      </c>
      <c r="AC1805" s="1" t="s">
        <v>7759</v>
      </c>
      <c r="AD1805" s="1" t="s">
        <v>5265</v>
      </c>
      <c r="AE1805" s="1" t="s">
        <v>51</v>
      </c>
      <c r="AF1805" s="1" t="s">
        <v>51</v>
      </c>
      <c r="AG1805" s="1" t="s">
        <v>51</v>
      </c>
      <c r="AH1805" s="1" t="s">
        <v>12570</v>
      </c>
      <c r="AI1805" s="1" t="s">
        <v>12571</v>
      </c>
      <c r="AJ1805" s="3">
        <v>3</v>
      </c>
      <c r="AK1805" s="1" t="s">
        <v>110</v>
      </c>
      <c r="AL1805" s="3">
        <v>7</v>
      </c>
      <c r="AM1805" s="8">
        <v>16.75</v>
      </c>
      <c r="AN1805" s="1"/>
      <c r="AO1805" s="1" t="s">
        <v>12572</v>
      </c>
      <c r="AP1805" s="1" t="s">
        <v>12573</v>
      </c>
      <c r="AQ1805" s="1" t="s">
        <v>12574</v>
      </c>
      <c r="AR1805" s="1" t="s">
        <v>12568</v>
      </c>
    </row>
    <row r="1806">
      <c r="A1806" s="2">
        <f ca="1">DATE(2005,10,07)</f>
        <v>0</v>
      </c>
      <c r="B1806" s="2">
        <f ca="1">DATE(2006,05,26)</f>
        <v>0</v>
      </c>
      <c r="C1806" s="1" t="s">
        <v>12575</v>
      </c>
      <c r="D1806" s="3">
        <v>6726</v>
      </c>
      <c r="E1806" s="1" t="s">
        <v>43</v>
      </c>
      <c r="F1806" s="1" t="s">
        <v>12576</v>
      </c>
      <c r="G1806" s="1" t="s">
        <v>5704</v>
      </c>
      <c r="H1806" s="4">
        <v>0.90000000000000002</v>
      </c>
      <c r="I1806" s="4">
        <v>4.5</v>
      </c>
      <c r="J1806" s="5">
        <v>140</v>
      </c>
      <c r="K1806" s="4">
        <v>20</v>
      </c>
      <c r="L1806" s="1" t="s">
        <v>4851</v>
      </c>
      <c r="M1806" s="1" t="s">
        <v>47</v>
      </c>
      <c r="N1806" s="3">
        <v>278271101</v>
      </c>
      <c r="O1806" s="1" t="s">
        <v>108</v>
      </c>
      <c r="P1806" s="1" t="s">
        <v>12577</v>
      </c>
      <c r="Q1806" s="1" t="s">
        <v>145</v>
      </c>
      <c r="R1806" s="1" t="s">
        <v>145</v>
      </c>
      <c r="S1806" s="8">
        <v>3</v>
      </c>
      <c r="T1806" s="1" t="s">
        <v>50</v>
      </c>
      <c r="U1806" s="8">
        <v>20</v>
      </c>
      <c r="V1806" s="8">
        <v>20</v>
      </c>
      <c r="W1806" s="7">
        <v>50000</v>
      </c>
      <c r="X1806" s="5">
        <v>1</v>
      </c>
      <c r="Y1806" s="7">
        <v>7000000</v>
      </c>
      <c r="Z1806" s="1"/>
      <c r="AA1806" s="2">
        <f ca="1">DATE(2006,11,22)</f>
        <v>0</v>
      </c>
      <c r="AB1806" s="1"/>
      <c r="AC1806" s="3">
        <v>180</v>
      </c>
      <c r="AD1806" s="1"/>
      <c r="AE1806" s="1" t="s">
        <v>51</v>
      </c>
      <c r="AF1806" s="1" t="s">
        <v>51</v>
      </c>
      <c r="AG1806" s="1" t="s">
        <v>51</v>
      </c>
      <c r="AH1806" s="1"/>
      <c r="AI1806" s="1"/>
      <c r="AJ1806" s="3">
        <v>1</v>
      </c>
      <c r="AK1806" s="1" t="s">
        <v>52</v>
      </c>
      <c r="AL1806" s="3">
        <v>9</v>
      </c>
      <c r="AM1806" s="1"/>
      <c r="AN1806" s="1"/>
      <c r="AO1806" s="1" t="s">
        <v>12578</v>
      </c>
      <c r="AP1806" s="1" t="s">
        <v>5704</v>
      </c>
      <c r="AQ1806" s="1" t="s">
        <v>12579</v>
      </c>
      <c r="AR1806" s="1" t="s">
        <v>12580</v>
      </c>
    </row>
    <row r="1807">
      <c r="A1807" s="2">
        <f ca="1">DATE(2006,03,06)</f>
        <v>0</v>
      </c>
      <c r="B1807" s="2">
        <f ca="1">DATE(2006,06,01)</f>
        <v>0</v>
      </c>
      <c r="C1807" s="1" t="s">
        <v>12581</v>
      </c>
      <c r="D1807" s="3">
        <v>4833</v>
      </c>
      <c r="E1807" s="1" t="s">
        <v>1998</v>
      </c>
      <c r="F1807" s="1"/>
      <c r="G1807" s="1" t="s">
        <v>12582</v>
      </c>
      <c r="H1807" s="4">
        <v>0.71999999999999997</v>
      </c>
      <c r="I1807" s="4">
        <v>5.1429999999999998</v>
      </c>
      <c r="J1807" s="5">
        <v>345.89999999999998</v>
      </c>
      <c r="K1807" s="4">
        <v>14</v>
      </c>
      <c r="L1807" s="1" t="s">
        <v>46</v>
      </c>
      <c r="M1807" s="1" t="s">
        <v>47</v>
      </c>
      <c r="N1807" s="1" t="s">
        <v>12583</v>
      </c>
      <c r="O1807" s="1"/>
      <c r="P1807" s="1" t="s">
        <v>12584</v>
      </c>
      <c r="Q1807" s="1" t="s">
        <v>145</v>
      </c>
      <c r="R1807" s="1" t="s">
        <v>145</v>
      </c>
      <c r="S1807" s="1"/>
      <c r="T1807" s="1" t="s">
        <v>50</v>
      </c>
      <c r="U1807" s="1"/>
      <c r="V1807" s="1"/>
      <c r="W1807" s="1"/>
      <c r="X1807" s="5">
        <v>175</v>
      </c>
      <c r="Y1807" s="7">
        <v>7190680</v>
      </c>
      <c r="Z1807" s="7">
        <v>17518709</v>
      </c>
      <c r="AA1807" s="1" t="s">
        <v>12585</v>
      </c>
      <c r="AB1807" s="1" t="s">
        <v>12586</v>
      </c>
      <c r="AC1807" s="1" t="s">
        <v>7759</v>
      </c>
      <c r="AD1807" s="1" t="s">
        <v>12587</v>
      </c>
      <c r="AE1807" s="1" t="s">
        <v>51</v>
      </c>
      <c r="AF1807" s="1" t="s">
        <v>51</v>
      </c>
      <c r="AG1807" s="1" t="s">
        <v>47</v>
      </c>
      <c r="AH1807" s="1"/>
      <c r="AI1807" s="1"/>
      <c r="AJ1807" s="3">
        <v>2</v>
      </c>
      <c r="AK1807" s="1" t="s">
        <v>89</v>
      </c>
      <c r="AL1807" s="3">
        <v>3</v>
      </c>
      <c r="AM1807" s="8">
        <v>18.199999999999999</v>
      </c>
      <c r="AN1807" s="1"/>
      <c r="AO1807" s="1" t="s">
        <v>12588</v>
      </c>
      <c r="AP1807" s="1" t="s">
        <v>10216</v>
      </c>
      <c r="AQ1807" s="1" t="s">
        <v>12589</v>
      </c>
      <c r="AR1807" s="1" t="s">
        <v>12590</v>
      </c>
    </row>
    <row r="1808">
      <c r="A1808" s="2">
        <f ca="1">DATE(2005,07,06)</f>
        <v>0</v>
      </c>
      <c r="B1808" s="2">
        <f ca="1">DATE(2006,06,01)</f>
        <v>0</v>
      </c>
      <c r="C1808" s="1" t="s">
        <v>12591</v>
      </c>
      <c r="D1808" s="3">
        <v>7997</v>
      </c>
      <c r="E1808" s="1" t="s">
        <v>43</v>
      </c>
      <c r="F1808" s="1" t="s">
        <v>12592</v>
      </c>
      <c r="G1808" s="1" t="s">
        <v>12593</v>
      </c>
      <c r="H1808" s="4">
        <v>0.91000000000000003</v>
      </c>
      <c r="I1808" s="4">
        <v>7</v>
      </c>
      <c r="J1808" s="5">
        <v>99.5</v>
      </c>
      <c r="K1808" s="4">
        <v>13</v>
      </c>
      <c r="L1808" s="1" t="s">
        <v>46</v>
      </c>
      <c r="M1808" s="1" t="s">
        <v>47</v>
      </c>
      <c r="N1808" s="1" t="s">
        <v>12594</v>
      </c>
      <c r="O1808" s="1" t="s">
        <v>48</v>
      </c>
      <c r="P1808" s="1" t="s">
        <v>12595</v>
      </c>
      <c r="Q1808" s="4">
        <v>1.3999999999999999</v>
      </c>
      <c r="R1808" s="4">
        <v>1.3999999999999999</v>
      </c>
      <c r="S1808" s="8">
        <v>4.2000000000000002</v>
      </c>
      <c r="T1808" s="1" t="s">
        <v>50</v>
      </c>
      <c r="U1808" s="1"/>
      <c r="V1808" s="1"/>
      <c r="W1808" s="1"/>
      <c r="X1808" s="1"/>
      <c r="Y1808" s="7">
        <v>7650000</v>
      </c>
      <c r="Z1808" s="1"/>
      <c r="AA1808" s="1" t="s">
        <v>12585</v>
      </c>
      <c r="AB1808" s="1" t="s">
        <v>12596</v>
      </c>
      <c r="AC1808" s="1" t="s">
        <v>7759</v>
      </c>
      <c r="AD1808" s="1" t="s">
        <v>12597</v>
      </c>
      <c r="AE1808" s="1" t="s">
        <v>51</v>
      </c>
      <c r="AF1808" s="1" t="s">
        <v>51</v>
      </c>
      <c r="AG1808" s="1" t="s">
        <v>51</v>
      </c>
      <c r="AH1808" s="1"/>
      <c r="AI1808" s="1"/>
      <c r="AJ1808" s="3">
        <v>2</v>
      </c>
      <c r="AK1808" s="1" t="s">
        <v>89</v>
      </c>
      <c r="AL1808" s="3">
        <v>5</v>
      </c>
      <c r="AM1808" s="8">
        <v>13.25</v>
      </c>
      <c r="AN1808" s="1"/>
      <c r="AO1808" s="1" t="s">
        <v>12598</v>
      </c>
      <c r="AP1808" s="1" t="s">
        <v>12599</v>
      </c>
      <c r="AQ1808" s="1" t="s">
        <v>12600</v>
      </c>
      <c r="AR1808" s="1" t="s">
        <v>12601</v>
      </c>
    </row>
    <row r="1809">
      <c r="A1809" s="2">
        <f ca="1">DATE(2006,02,06)</f>
        <v>0</v>
      </c>
      <c r="B1809" s="2">
        <f ca="1">DATE(2006,06,02)</f>
        <v>0</v>
      </c>
      <c r="C1809" s="1" t="s">
        <v>12602</v>
      </c>
      <c r="D1809" s="3">
        <v>3841</v>
      </c>
      <c r="E1809" s="1" t="s">
        <v>43</v>
      </c>
      <c r="F1809" s="1" t="s">
        <v>12603</v>
      </c>
      <c r="G1809" s="1" t="s">
        <v>12604</v>
      </c>
      <c r="H1809" s="4">
        <v>0.63</v>
      </c>
      <c r="I1809" s="4">
        <v>7</v>
      </c>
      <c r="J1809" s="5">
        <v>83.700000000000003</v>
      </c>
      <c r="K1809" s="4">
        <v>9</v>
      </c>
      <c r="L1809" s="1" t="s">
        <v>46</v>
      </c>
      <c r="M1809" s="1" t="s">
        <v>47</v>
      </c>
      <c r="N1809" s="1" t="s">
        <v>12605</v>
      </c>
      <c r="O1809" s="1" t="s">
        <v>48</v>
      </c>
      <c r="P1809" s="1" t="s">
        <v>12606</v>
      </c>
      <c r="Q1809" s="1" t="s">
        <v>145</v>
      </c>
      <c r="R1809" s="1" t="s">
        <v>145</v>
      </c>
      <c r="S1809" s="6">
        <v>4.2222200000000001</v>
      </c>
      <c r="T1809" s="1" t="s">
        <v>50</v>
      </c>
      <c r="U1809" s="1"/>
      <c r="V1809" s="1"/>
      <c r="W1809" s="1"/>
      <c r="X1809" s="5">
        <v>149.5</v>
      </c>
      <c r="Y1809" s="7">
        <v>9300000</v>
      </c>
      <c r="Z1809" s="1"/>
      <c r="AA1809" s="1" t="s">
        <v>12607</v>
      </c>
      <c r="AB1809" s="1" t="s">
        <v>12608</v>
      </c>
      <c r="AC1809" s="1" t="s">
        <v>7759</v>
      </c>
      <c r="AD1809" s="1" t="s">
        <v>12609</v>
      </c>
      <c r="AE1809" s="1" t="s">
        <v>51</v>
      </c>
      <c r="AF1809" s="1" t="s">
        <v>51</v>
      </c>
      <c r="AG1809" s="1" t="s">
        <v>51</v>
      </c>
      <c r="AH1809" s="1"/>
      <c r="AI1809" s="1"/>
      <c r="AJ1809" s="3">
        <v>2</v>
      </c>
      <c r="AK1809" s="1" t="s">
        <v>89</v>
      </c>
      <c r="AL1809" s="3">
        <v>3</v>
      </c>
      <c r="AM1809" s="1"/>
      <c r="AN1809" s="1"/>
      <c r="AO1809" s="1" t="s">
        <v>12610</v>
      </c>
      <c r="AP1809" s="1" t="s">
        <v>12611</v>
      </c>
      <c r="AQ1809" s="1" t="s">
        <v>12612</v>
      </c>
      <c r="AR1809" s="1" t="s">
        <v>12613</v>
      </c>
    </row>
    <row r="1810">
      <c r="A1810" s="2">
        <f ca="1">DATE(2006,02,10)</f>
        <v>0</v>
      </c>
      <c r="B1810" s="2">
        <f ca="1">DATE(2006,06,02)</f>
        <v>0</v>
      </c>
      <c r="C1810" s="1" t="s">
        <v>12614</v>
      </c>
      <c r="D1810" s="3">
        <v>8731</v>
      </c>
      <c r="E1810" s="1" t="s">
        <v>43</v>
      </c>
      <c r="F1810" s="1" t="s">
        <v>12615</v>
      </c>
      <c r="G1810" s="1" t="s">
        <v>11331</v>
      </c>
      <c r="H1810" s="4">
        <v>0.41999999999999998</v>
      </c>
      <c r="I1810" s="8">
        <v>7</v>
      </c>
      <c r="J1810" s="5">
        <v>21</v>
      </c>
      <c r="K1810" s="4">
        <v>6</v>
      </c>
      <c r="L1810" s="1" t="s">
        <v>46</v>
      </c>
      <c r="M1810" s="1" t="s">
        <v>47</v>
      </c>
      <c r="N1810" s="3">
        <v>550351100</v>
      </c>
      <c r="O1810" s="1" t="s">
        <v>48</v>
      </c>
      <c r="P1810" s="1" t="s">
        <v>12616</v>
      </c>
      <c r="Q1810" s="1" t="s">
        <v>145</v>
      </c>
      <c r="R1810" s="1" t="s">
        <v>145</v>
      </c>
      <c r="S1810" s="6">
        <v>4.1666699999999999</v>
      </c>
      <c r="T1810" s="1" t="s">
        <v>50</v>
      </c>
      <c r="U1810" s="1"/>
      <c r="V1810" s="1"/>
      <c r="W1810" s="1"/>
      <c r="X1810" s="5">
        <v>57.5</v>
      </c>
      <c r="Y1810" s="7">
        <v>3500000</v>
      </c>
      <c r="Z1810" s="1"/>
      <c r="AA1810" s="1" t="s">
        <v>12607</v>
      </c>
      <c r="AB1810" s="1" t="s">
        <v>12617</v>
      </c>
      <c r="AC1810" s="1" t="s">
        <v>7759</v>
      </c>
      <c r="AD1810" s="1" t="s">
        <v>12618</v>
      </c>
      <c r="AE1810" s="1" t="s">
        <v>51</v>
      </c>
      <c r="AF1810" s="1" t="s">
        <v>51</v>
      </c>
      <c r="AG1810" s="1" t="s">
        <v>47</v>
      </c>
      <c r="AH1810" s="1"/>
      <c r="AI1810" s="1"/>
      <c r="AJ1810" s="3">
        <v>1</v>
      </c>
      <c r="AK1810" s="1" t="s">
        <v>52</v>
      </c>
      <c r="AL1810" s="3">
        <v>3</v>
      </c>
      <c r="AM1810" s="8">
        <v>6.0999999999999996</v>
      </c>
      <c r="AN1810" s="1"/>
      <c r="AO1810" s="1" t="s">
        <v>12619</v>
      </c>
      <c r="AP1810" s="1" t="s">
        <v>11331</v>
      </c>
      <c r="AQ1810" s="1" t="s">
        <v>12620</v>
      </c>
      <c r="AR1810" s="1" t="s">
        <v>12616</v>
      </c>
    </row>
    <row r="1811">
      <c r="A1811" s="2">
        <f ca="1">DATE(2005,12,20)</f>
        <v>0</v>
      </c>
      <c r="B1811" s="2">
        <f ca="1">DATE(2006,06,04)</f>
        <v>0</v>
      </c>
      <c r="C1811" s="1" t="s">
        <v>12621</v>
      </c>
      <c r="D1811" s="3">
        <v>6726</v>
      </c>
      <c r="E1811" s="1" t="s">
        <v>43</v>
      </c>
      <c r="F1811" s="1" t="s">
        <v>12622</v>
      </c>
      <c r="G1811" s="1" t="s">
        <v>9810</v>
      </c>
      <c r="H1811" s="4">
        <v>0.56000000000000005</v>
      </c>
      <c r="I1811" s="4">
        <v>7</v>
      </c>
      <c r="J1811" s="5">
        <v>150</v>
      </c>
      <c r="K1811" s="4">
        <v>8</v>
      </c>
      <c r="L1811" s="1" t="s">
        <v>46</v>
      </c>
      <c r="M1811" s="1" t="s">
        <v>47</v>
      </c>
      <c r="N1811" s="1" t="s">
        <v>12623</v>
      </c>
      <c r="O1811" s="1" t="s">
        <v>87</v>
      </c>
      <c r="P1811" s="1" t="s">
        <v>12624</v>
      </c>
      <c r="Q1811" s="1" t="s">
        <v>145</v>
      </c>
      <c r="R1811" s="1" t="s">
        <v>145</v>
      </c>
      <c r="S1811" s="8">
        <v>3</v>
      </c>
      <c r="T1811" s="1" t="s">
        <v>50</v>
      </c>
      <c r="U1811" s="8">
        <v>6</v>
      </c>
      <c r="V1811" s="8">
        <v>6</v>
      </c>
      <c r="W1811" s="7">
        <v>10000000</v>
      </c>
      <c r="X1811" s="5">
        <v>60</v>
      </c>
      <c r="Y1811" s="7">
        <v>18750000</v>
      </c>
      <c r="Z1811" s="1"/>
      <c r="AA1811" s="2">
        <f ca="1">DATE(2006,12,01)</f>
        <v>0</v>
      </c>
      <c r="AB1811" s="4">
        <v>20</v>
      </c>
      <c r="AC1811" s="3">
        <v>180</v>
      </c>
      <c r="AD1811" s="8">
        <v>4687500</v>
      </c>
      <c r="AE1811" s="1" t="s">
        <v>51</v>
      </c>
      <c r="AF1811" s="1" t="s">
        <v>51</v>
      </c>
      <c r="AG1811" s="1" t="s">
        <v>51</v>
      </c>
      <c r="AH1811" s="1"/>
      <c r="AI1811" s="1"/>
      <c r="AJ1811" s="3">
        <v>1</v>
      </c>
      <c r="AK1811" s="1" t="s">
        <v>52</v>
      </c>
      <c r="AL1811" s="3">
        <v>4</v>
      </c>
      <c r="AM1811" s="1"/>
      <c r="AN1811" s="1"/>
      <c r="AO1811" s="1" t="s">
        <v>12625</v>
      </c>
      <c r="AP1811" s="1" t="s">
        <v>9810</v>
      </c>
      <c r="AQ1811" s="1" t="s">
        <v>12626</v>
      </c>
      <c r="AR1811" s="1" t="s">
        <v>12627</v>
      </c>
    </row>
    <row r="1812">
      <c r="A1812" s="2">
        <f ca="1">DATE(2005,09,30)</f>
        <v>0</v>
      </c>
      <c r="B1812" s="2">
        <f ca="1">DATE(2006,06,05)</f>
        <v>0</v>
      </c>
      <c r="C1812" s="1" t="s">
        <v>12628</v>
      </c>
      <c r="D1812" s="3">
        <v>6726</v>
      </c>
      <c r="E1812" s="1" t="s">
        <v>43</v>
      </c>
      <c r="F1812" s="1" t="s">
        <v>12629</v>
      </c>
      <c r="G1812" s="1" t="s">
        <v>10277</v>
      </c>
      <c r="H1812" s="4">
        <v>0.23999999999999999</v>
      </c>
      <c r="I1812" s="4">
        <v>4</v>
      </c>
      <c r="J1812" s="5">
        <v>16.5</v>
      </c>
      <c r="K1812" s="4">
        <v>6</v>
      </c>
      <c r="L1812" s="1" t="s">
        <v>46</v>
      </c>
      <c r="M1812" s="1" t="s">
        <v>47</v>
      </c>
      <c r="N1812" s="1" t="s">
        <v>12630</v>
      </c>
      <c r="O1812" s="1" t="s">
        <v>77</v>
      </c>
      <c r="P1812" s="1" t="s">
        <v>12631</v>
      </c>
      <c r="Q1812" s="1" t="s">
        <v>145</v>
      </c>
      <c r="R1812" s="1" t="s">
        <v>145</v>
      </c>
      <c r="S1812" s="8">
        <v>2.5</v>
      </c>
      <c r="T1812" s="1" t="s">
        <v>50</v>
      </c>
      <c r="U1812" s="8">
        <v>8</v>
      </c>
      <c r="V1812" s="8">
        <v>8</v>
      </c>
      <c r="W1812" s="7">
        <v>2500000</v>
      </c>
      <c r="X1812" s="5">
        <v>20</v>
      </c>
      <c r="Y1812" s="7">
        <v>2750000</v>
      </c>
      <c r="Z1812" s="1"/>
      <c r="AA1812" s="2">
        <f ca="1">DATE(2006,09,03)</f>
        <v>0</v>
      </c>
      <c r="AB1812" s="4">
        <v>26.667000000000002</v>
      </c>
      <c r="AC1812" s="3">
        <v>90</v>
      </c>
      <c r="AD1812" s="8">
        <v>1000000</v>
      </c>
      <c r="AE1812" s="1" t="s">
        <v>51</v>
      </c>
      <c r="AF1812" s="1" t="s">
        <v>51</v>
      </c>
      <c r="AG1812" s="1" t="s">
        <v>51</v>
      </c>
      <c r="AH1812" s="1"/>
      <c r="AI1812" s="1"/>
      <c r="AJ1812" s="3">
        <v>1</v>
      </c>
      <c r="AK1812" s="1" t="s">
        <v>52</v>
      </c>
      <c r="AL1812" s="3">
        <v>2</v>
      </c>
      <c r="AM1812" s="1"/>
      <c r="AN1812" s="1"/>
      <c r="AO1812" s="1" t="s">
        <v>12632</v>
      </c>
      <c r="AP1812" s="1" t="s">
        <v>10277</v>
      </c>
      <c r="AQ1812" s="1" t="s">
        <v>12633</v>
      </c>
      <c r="AR1812" s="1" t="s">
        <v>12631</v>
      </c>
    </row>
    <row r="1813">
      <c r="A1813" s="2">
        <f ca="1">DATE(2006,03,01)</f>
        <v>0</v>
      </c>
      <c r="B1813" s="2">
        <f ca="1">DATE(2006,06,06)</f>
        <v>0</v>
      </c>
      <c r="C1813" s="1" t="s">
        <v>12634</v>
      </c>
      <c r="D1813" s="3">
        <v>6531</v>
      </c>
      <c r="E1813" s="1" t="s">
        <v>43</v>
      </c>
      <c r="F1813" s="1" t="s">
        <v>12635</v>
      </c>
      <c r="G1813" s="1" t="s">
        <v>12096</v>
      </c>
      <c r="H1813" s="4">
        <v>0.83999999999999997</v>
      </c>
      <c r="I1813" s="8">
        <v>7</v>
      </c>
      <c r="J1813" s="5">
        <v>72</v>
      </c>
      <c r="K1813" s="4">
        <v>12</v>
      </c>
      <c r="L1813" s="1" t="s">
        <v>46</v>
      </c>
      <c r="M1813" s="1" t="s">
        <v>47</v>
      </c>
      <c r="N1813" s="3">
        <v>543524300</v>
      </c>
      <c r="O1813" s="1" t="s">
        <v>48</v>
      </c>
      <c r="P1813" s="1" t="s">
        <v>12636</v>
      </c>
      <c r="Q1813" s="4">
        <v>1.4059999999999999</v>
      </c>
      <c r="R1813" s="4">
        <v>1.3999999999999999</v>
      </c>
      <c r="S1813" s="8">
        <v>4.2000000000000002</v>
      </c>
      <c r="T1813" s="1" t="s">
        <v>50</v>
      </c>
      <c r="U1813" s="1"/>
      <c r="V1813" s="1"/>
      <c r="W1813" s="1"/>
      <c r="X1813" s="5">
        <v>86.299999999999997</v>
      </c>
      <c r="Y1813" s="7">
        <v>4000000</v>
      </c>
      <c r="Z1813" s="7">
        <v>2000000</v>
      </c>
      <c r="AA1813" s="1" t="s">
        <v>12637</v>
      </c>
      <c r="AB1813" s="1" t="s">
        <v>12638</v>
      </c>
      <c r="AC1813" s="1" t="s">
        <v>7759</v>
      </c>
      <c r="AD1813" s="1" t="s">
        <v>12639</v>
      </c>
      <c r="AE1813" s="1" t="s">
        <v>51</v>
      </c>
      <c r="AF1813" s="1" t="s">
        <v>51</v>
      </c>
      <c r="AG1813" s="1" t="s">
        <v>47</v>
      </c>
      <c r="AH1813" s="1"/>
      <c r="AI1813" s="1"/>
      <c r="AJ1813" s="3">
        <v>1</v>
      </c>
      <c r="AK1813" s="1" t="s">
        <v>52</v>
      </c>
      <c r="AL1813" s="3">
        <v>4</v>
      </c>
      <c r="AM1813" s="8">
        <v>15</v>
      </c>
      <c r="AN1813" s="1"/>
      <c r="AO1813" s="1" t="s">
        <v>12640</v>
      </c>
      <c r="AP1813" s="1" t="s">
        <v>12096</v>
      </c>
      <c r="AQ1813" s="1" t="s">
        <v>12641</v>
      </c>
      <c r="AR1813" s="1" t="s">
        <v>12636</v>
      </c>
    </row>
    <row r="1814">
      <c r="A1814" s="2">
        <f ca="1">DATE(2006,03,09)</f>
        <v>0</v>
      </c>
      <c r="B1814" s="2">
        <f ca="1">DATE(2006,06,12)</f>
        <v>0</v>
      </c>
      <c r="C1814" s="1" t="s">
        <v>12642</v>
      </c>
      <c r="D1814" s="3">
        <v>3674</v>
      </c>
      <c r="E1814" s="1" t="s">
        <v>12643</v>
      </c>
      <c r="F1814" s="1" t="s">
        <v>12644</v>
      </c>
      <c r="G1814" s="1" t="s">
        <v>160</v>
      </c>
      <c r="H1814" s="4">
        <v>1.05</v>
      </c>
      <c r="I1814" s="4">
        <v>7</v>
      </c>
      <c r="J1814" s="5">
        <v>127.5</v>
      </c>
      <c r="K1814" s="4">
        <v>15</v>
      </c>
      <c r="L1814" s="1" t="s">
        <v>1057</v>
      </c>
      <c r="M1814" s="1" t="s">
        <v>47</v>
      </c>
      <c r="N1814" s="1" t="s">
        <v>12645</v>
      </c>
      <c r="O1814" s="1" t="s">
        <v>48</v>
      </c>
      <c r="P1814" s="1" t="s">
        <v>12646</v>
      </c>
      <c r="Q1814" s="1" t="s">
        <v>145</v>
      </c>
      <c r="R1814" s="1" t="s">
        <v>145</v>
      </c>
      <c r="S1814" s="6">
        <v>4.3333300000000001</v>
      </c>
      <c r="T1814" s="1" t="s">
        <v>50</v>
      </c>
      <c r="U1814" s="1"/>
      <c r="V1814" s="1"/>
      <c r="W1814" s="1"/>
      <c r="X1814" s="5">
        <v>115</v>
      </c>
      <c r="Y1814" s="7">
        <v>8500000</v>
      </c>
      <c r="Z1814" s="1"/>
      <c r="AA1814" s="1" t="s">
        <v>12647</v>
      </c>
      <c r="AB1814" s="1" t="s">
        <v>12648</v>
      </c>
      <c r="AC1814" s="1" t="s">
        <v>7759</v>
      </c>
      <c r="AD1814" s="1" t="s">
        <v>12649</v>
      </c>
      <c r="AE1814" s="1" t="s">
        <v>51</v>
      </c>
      <c r="AF1814" s="1" t="s">
        <v>51</v>
      </c>
      <c r="AG1814" s="1" t="s">
        <v>51</v>
      </c>
      <c r="AH1814" s="1" t="s">
        <v>12650</v>
      </c>
      <c r="AI1814" s="1" t="s">
        <v>12651</v>
      </c>
      <c r="AJ1814" s="3">
        <v>1</v>
      </c>
      <c r="AK1814" s="1" t="s">
        <v>89</v>
      </c>
      <c r="AL1814" s="3">
        <v>4</v>
      </c>
      <c r="AM1814" s="8">
        <v>14.5</v>
      </c>
      <c r="AN1814" s="1"/>
      <c r="AO1814" s="1" t="s">
        <v>12652</v>
      </c>
      <c r="AP1814" s="1" t="s">
        <v>12653</v>
      </c>
      <c r="AQ1814" s="1" t="s">
        <v>12654</v>
      </c>
      <c r="AR1814" s="1" t="s">
        <v>12655</v>
      </c>
    </row>
    <row r="1815">
      <c r="A1815" s="2">
        <f ca="1">DATE(2006,03,30)</f>
        <v>0</v>
      </c>
      <c r="B1815" s="2">
        <f ca="1">DATE(2006,06,13)</f>
        <v>0</v>
      </c>
      <c r="C1815" s="1" t="s">
        <v>12656</v>
      </c>
      <c r="D1815" s="3">
        <v>2869</v>
      </c>
      <c r="E1815" s="1" t="s">
        <v>43</v>
      </c>
      <c r="F1815" s="1" t="s">
        <v>12657</v>
      </c>
      <c r="G1815" s="1" t="s">
        <v>8285</v>
      </c>
      <c r="H1815" s="8">
        <v>1.55</v>
      </c>
      <c r="I1815" s="4">
        <v>6.7389999999999999</v>
      </c>
      <c r="J1815" s="5">
        <v>419.80000000000001</v>
      </c>
      <c r="K1815" s="4">
        <v>23</v>
      </c>
      <c r="L1815" s="1" t="s">
        <v>46</v>
      </c>
      <c r="M1815" s="1" t="s">
        <v>47</v>
      </c>
      <c r="N1815" s="1" t="s">
        <v>12658</v>
      </c>
      <c r="O1815" s="1" t="s">
        <v>108</v>
      </c>
      <c r="P1815" s="1" t="s">
        <v>12659</v>
      </c>
      <c r="Q1815" s="4">
        <v>1.349</v>
      </c>
      <c r="R1815" s="4">
        <v>1.01</v>
      </c>
      <c r="S1815" s="10">
        <v>4.3913000000000002</v>
      </c>
      <c r="T1815" s="1" t="s">
        <v>50</v>
      </c>
      <c r="U1815" s="1"/>
      <c r="V1815" s="1"/>
      <c r="W1815" s="1"/>
      <c r="X1815" s="5">
        <v>150</v>
      </c>
      <c r="Y1815" s="7">
        <v>11000000</v>
      </c>
      <c r="Z1815" s="7">
        <v>7250000</v>
      </c>
      <c r="AA1815" s="1" t="s">
        <v>12660</v>
      </c>
      <c r="AB1815" s="1" t="s">
        <v>12661</v>
      </c>
      <c r="AC1815" s="1" t="s">
        <v>7759</v>
      </c>
      <c r="AD1815" s="1" t="s">
        <v>12662</v>
      </c>
      <c r="AE1815" s="1" t="s">
        <v>51</v>
      </c>
      <c r="AF1815" s="1" t="s">
        <v>51</v>
      </c>
      <c r="AG1815" s="1" t="s">
        <v>51</v>
      </c>
      <c r="AH1815" s="1"/>
      <c r="AI1815" s="1"/>
      <c r="AJ1815" s="3">
        <v>2</v>
      </c>
      <c r="AK1815" s="1" t="s">
        <v>89</v>
      </c>
      <c r="AL1815" s="3">
        <v>3</v>
      </c>
      <c r="AM1815" s="8">
        <v>30</v>
      </c>
      <c r="AN1815" s="1"/>
      <c r="AO1815" s="1" t="s">
        <v>12663</v>
      </c>
      <c r="AP1815" s="1" t="s">
        <v>7208</v>
      </c>
      <c r="AQ1815" s="1" t="s">
        <v>12664</v>
      </c>
      <c r="AR1815" s="1" t="s">
        <v>12659</v>
      </c>
    </row>
    <row r="1816">
      <c r="A1816" s="2">
        <f ca="1">DATE(2006,03,14)</f>
        <v>0</v>
      </c>
      <c r="B1816" s="2">
        <f ca="1">DATE(2006,06,14)</f>
        <v>0</v>
      </c>
      <c r="C1816" s="1" t="s">
        <v>12665</v>
      </c>
      <c r="D1816" s="3">
        <v>5941</v>
      </c>
      <c r="E1816" s="1" t="s">
        <v>43</v>
      </c>
      <c r="F1816" s="1" t="s">
        <v>12666</v>
      </c>
      <c r="G1816" s="1" t="s">
        <v>5645</v>
      </c>
      <c r="H1816" s="4">
        <v>0.80500000000000005</v>
      </c>
      <c r="I1816" s="4">
        <v>7</v>
      </c>
      <c r="J1816" s="5">
        <v>69</v>
      </c>
      <c r="K1816" s="4">
        <v>11.5</v>
      </c>
      <c r="L1816" s="1" t="s">
        <v>46</v>
      </c>
      <c r="M1816" s="1" t="s">
        <v>47</v>
      </c>
      <c r="N1816" s="1" t="s">
        <v>12667</v>
      </c>
      <c r="O1816" s="1" t="s">
        <v>48</v>
      </c>
      <c r="P1816" s="1" t="s">
        <v>12668</v>
      </c>
      <c r="Q1816" s="1" t="s">
        <v>145</v>
      </c>
      <c r="R1816" s="1" t="s">
        <v>145</v>
      </c>
      <c r="S1816" s="6">
        <v>4.1739100000000002</v>
      </c>
      <c r="T1816" s="1" t="s">
        <v>50</v>
      </c>
      <c r="U1816" s="1"/>
      <c r="V1816" s="1"/>
      <c r="W1816" s="1"/>
      <c r="X1816" s="5">
        <v>115</v>
      </c>
      <c r="Y1816" s="7">
        <v>6000000</v>
      </c>
      <c r="Z1816" s="1"/>
      <c r="AA1816" s="1" t="s">
        <v>12669</v>
      </c>
      <c r="AB1816" s="1" t="s">
        <v>12670</v>
      </c>
      <c r="AC1816" s="1" t="s">
        <v>7759</v>
      </c>
      <c r="AD1816" s="1" t="s">
        <v>12671</v>
      </c>
      <c r="AE1816" s="1" t="s">
        <v>51</v>
      </c>
      <c r="AF1816" s="1" t="s">
        <v>51</v>
      </c>
      <c r="AG1816" s="1" t="s">
        <v>51</v>
      </c>
      <c r="AH1816" s="1"/>
      <c r="AI1816" s="1"/>
      <c r="AJ1816" s="3">
        <v>2</v>
      </c>
      <c r="AK1816" s="1" t="s">
        <v>89</v>
      </c>
      <c r="AL1816" s="3">
        <v>3</v>
      </c>
      <c r="AM1816" s="8">
        <v>11.1</v>
      </c>
      <c r="AN1816" s="1"/>
      <c r="AO1816" s="1" t="s">
        <v>12672</v>
      </c>
      <c r="AP1816" s="1" t="s">
        <v>3866</v>
      </c>
      <c r="AQ1816" s="1" t="s">
        <v>12673</v>
      </c>
      <c r="AR1816" s="1" t="s">
        <v>12674</v>
      </c>
    </row>
    <row r="1817">
      <c r="A1817" s="2">
        <f ca="1">DATE(2006,03,24)</f>
        <v>0</v>
      </c>
      <c r="B1817" s="2">
        <f ca="1">DATE(2006,06,14)</f>
        <v>0</v>
      </c>
      <c r="C1817" s="1" t="s">
        <v>12675</v>
      </c>
      <c r="D1817" s="3">
        <v>5063</v>
      </c>
      <c r="E1817" s="1" t="s">
        <v>43</v>
      </c>
      <c r="F1817" s="1" t="s">
        <v>12676</v>
      </c>
      <c r="G1817" s="1" t="s">
        <v>2938</v>
      </c>
      <c r="H1817" s="4">
        <v>0.91000000000000003</v>
      </c>
      <c r="I1817" s="4">
        <v>7</v>
      </c>
      <c r="J1817" s="5">
        <v>110.5</v>
      </c>
      <c r="K1817" s="4">
        <v>13</v>
      </c>
      <c r="L1817" s="1" t="s">
        <v>46</v>
      </c>
      <c r="M1817" s="1" t="s">
        <v>47</v>
      </c>
      <c r="N1817" s="1" t="s">
        <v>12677</v>
      </c>
      <c r="O1817" s="1" t="s">
        <v>48</v>
      </c>
      <c r="P1817" s="1" t="s">
        <v>12678</v>
      </c>
      <c r="Q1817" s="1" t="s">
        <v>145</v>
      </c>
      <c r="R1817" s="1" t="s">
        <v>145</v>
      </c>
      <c r="S1817" s="6">
        <v>3.8461500000000002</v>
      </c>
      <c r="T1817" s="1" t="s">
        <v>50</v>
      </c>
      <c r="U1817" s="1"/>
      <c r="V1817" s="1"/>
      <c r="W1817" s="1"/>
      <c r="X1817" s="5">
        <v>112.7</v>
      </c>
      <c r="Y1817" s="7">
        <v>4250000</v>
      </c>
      <c r="Z1817" s="7">
        <v>4250000</v>
      </c>
      <c r="AA1817" s="1" t="s">
        <v>12669</v>
      </c>
      <c r="AB1817" s="1" t="s">
        <v>12679</v>
      </c>
      <c r="AC1817" s="1" t="s">
        <v>7759</v>
      </c>
      <c r="AD1817" s="1" t="s">
        <v>12680</v>
      </c>
      <c r="AE1817" s="1" t="s">
        <v>51</v>
      </c>
      <c r="AF1817" s="1" t="s">
        <v>51</v>
      </c>
      <c r="AG1817" s="1" t="s">
        <v>51</v>
      </c>
      <c r="AH1817" s="1"/>
      <c r="AI1817" s="1"/>
      <c r="AJ1817" s="3">
        <v>1</v>
      </c>
      <c r="AK1817" s="1" t="s">
        <v>52</v>
      </c>
      <c r="AL1817" s="3">
        <v>3</v>
      </c>
      <c r="AM1817" s="8">
        <v>15.210000000000001</v>
      </c>
      <c r="AN1817" s="1"/>
      <c r="AO1817" s="1" t="s">
        <v>12681</v>
      </c>
      <c r="AP1817" s="1" t="s">
        <v>2938</v>
      </c>
      <c r="AQ1817" s="1" t="s">
        <v>12682</v>
      </c>
      <c r="AR1817" s="1" t="s">
        <v>12678</v>
      </c>
    </row>
    <row r="1818">
      <c r="A1818" s="2">
        <f ca="1">DATE(2006,03,24)</f>
        <v>0</v>
      </c>
      <c r="B1818" s="2">
        <f ca="1">DATE(2006,06,14)</f>
        <v>0</v>
      </c>
      <c r="C1818" s="1" t="s">
        <v>12683</v>
      </c>
      <c r="D1818" s="3">
        <v>3845</v>
      </c>
      <c r="E1818" s="1" t="s">
        <v>43</v>
      </c>
      <c r="F1818" s="1" t="s">
        <v>12684</v>
      </c>
      <c r="G1818" s="1" t="s">
        <v>8919</v>
      </c>
      <c r="H1818" s="4">
        <v>0.56000000000000005</v>
      </c>
      <c r="I1818" s="4">
        <v>7</v>
      </c>
      <c r="J1818" s="5">
        <v>54.399999999999999</v>
      </c>
      <c r="K1818" s="4">
        <v>8</v>
      </c>
      <c r="L1818" s="1" t="s">
        <v>46</v>
      </c>
      <c r="M1818" s="1" t="s">
        <v>47</v>
      </c>
      <c r="N1818" s="3">
        <v>928645100</v>
      </c>
      <c r="O1818" s="1" t="s">
        <v>48</v>
      </c>
      <c r="P1818" s="1" t="s">
        <v>12685</v>
      </c>
      <c r="Q1818" s="1" t="s">
        <v>145</v>
      </c>
      <c r="R1818" s="1" t="s">
        <v>145</v>
      </c>
      <c r="S1818" s="8">
        <v>4.25</v>
      </c>
      <c r="T1818" s="1" t="s">
        <v>50</v>
      </c>
      <c r="U1818" s="1"/>
      <c r="V1818" s="1"/>
      <c r="W1818" s="1"/>
      <c r="X1818" s="5">
        <v>86.299999999999997</v>
      </c>
      <c r="Y1818" s="7">
        <v>6800000</v>
      </c>
      <c r="Z1818" s="1"/>
      <c r="AA1818" s="1" t="s">
        <v>12669</v>
      </c>
      <c r="AB1818" s="1" t="s">
        <v>12686</v>
      </c>
      <c r="AC1818" s="1" t="s">
        <v>7759</v>
      </c>
      <c r="AD1818" s="1" t="s">
        <v>12687</v>
      </c>
      <c r="AE1818" s="1" t="s">
        <v>51</v>
      </c>
      <c r="AF1818" s="1" t="s">
        <v>51</v>
      </c>
      <c r="AG1818" s="1" t="s">
        <v>47</v>
      </c>
      <c r="AH1818" s="1"/>
      <c r="AI1818" s="1"/>
      <c r="AJ1818" s="3">
        <v>2</v>
      </c>
      <c r="AK1818" s="1" t="s">
        <v>89</v>
      </c>
      <c r="AL1818" s="3">
        <v>4</v>
      </c>
      <c r="AM1818" s="8">
        <v>8.8000000000000007</v>
      </c>
      <c r="AN1818" s="1"/>
      <c r="AO1818" s="1" t="s">
        <v>12688</v>
      </c>
      <c r="AP1818" s="1" t="s">
        <v>8923</v>
      </c>
      <c r="AQ1818" s="1" t="s">
        <v>12689</v>
      </c>
      <c r="AR1818" s="1" t="s">
        <v>12690</v>
      </c>
    </row>
    <row r="1819">
      <c r="A1819" s="2">
        <f ca="1">DATE(2006,02,28)</f>
        <v>0</v>
      </c>
      <c r="B1819" s="2">
        <f ca="1">DATE(2006,06,15)</f>
        <v>0</v>
      </c>
      <c r="C1819" s="1" t="s">
        <v>12691</v>
      </c>
      <c r="D1819" s="3">
        <v>7372</v>
      </c>
      <c r="E1819" s="1" t="s">
        <v>43</v>
      </c>
      <c r="F1819" s="1" t="s">
        <v>12692</v>
      </c>
      <c r="G1819" s="1" t="s">
        <v>160</v>
      </c>
      <c r="H1819" s="4">
        <v>0.56000000000000005</v>
      </c>
      <c r="I1819" s="4">
        <v>7</v>
      </c>
      <c r="J1819" s="5">
        <v>56.5</v>
      </c>
      <c r="K1819" s="4">
        <v>8</v>
      </c>
      <c r="L1819" s="1" t="s">
        <v>46</v>
      </c>
      <c r="M1819" s="1" t="s">
        <v>47</v>
      </c>
      <c r="N1819" s="1" t="s">
        <v>12693</v>
      </c>
      <c r="O1819" s="1" t="s">
        <v>48</v>
      </c>
      <c r="P1819" s="1" t="s">
        <v>12694</v>
      </c>
      <c r="Q1819" s="1" t="s">
        <v>145</v>
      </c>
      <c r="R1819" s="1" t="s">
        <v>145</v>
      </c>
      <c r="S1819" s="8">
        <v>4.2000000000000002</v>
      </c>
      <c r="T1819" s="1" t="s">
        <v>50</v>
      </c>
      <c r="U1819" s="1"/>
      <c r="V1819" s="1"/>
      <c r="W1819" s="1"/>
      <c r="X1819" s="5">
        <v>75</v>
      </c>
      <c r="Y1819" s="7">
        <v>6532107</v>
      </c>
      <c r="Z1819" s="7">
        <v>533947</v>
      </c>
      <c r="AA1819" s="1" t="s">
        <v>12695</v>
      </c>
      <c r="AB1819" s="1" t="s">
        <v>12696</v>
      </c>
      <c r="AC1819" s="1" t="s">
        <v>7759</v>
      </c>
      <c r="AD1819" s="1" t="s">
        <v>12697</v>
      </c>
      <c r="AE1819" s="1" t="s">
        <v>51</v>
      </c>
      <c r="AF1819" s="1" t="s">
        <v>51</v>
      </c>
      <c r="AG1819" s="1" t="s">
        <v>47</v>
      </c>
      <c r="AH1819" s="1"/>
      <c r="AI1819" s="1"/>
      <c r="AJ1819" s="3">
        <v>1</v>
      </c>
      <c r="AK1819" s="1" t="s">
        <v>89</v>
      </c>
      <c r="AL1819" s="3">
        <v>3</v>
      </c>
      <c r="AM1819" s="1"/>
      <c r="AN1819" s="1"/>
      <c r="AO1819" s="1" t="s">
        <v>12698</v>
      </c>
      <c r="AP1819" s="1" t="s">
        <v>7948</v>
      </c>
      <c r="AQ1819" s="1" t="s">
        <v>12699</v>
      </c>
      <c r="AR1819" s="1" t="s">
        <v>12700</v>
      </c>
    </row>
    <row r="1820">
      <c r="A1820" s="2">
        <f ca="1">DATE(2006,01,11)</f>
        <v>0</v>
      </c>
      <c r="B1820" s="2">
        <f ca="1">DATE(2006,06,21)</f>
        <v>0</v>
      </c>
      <c r="C1820" s="1" t="s">
        <v>12701</v>
      </c>
      <c r="D1820" s="3">
        <v>3674</v>
      </c>
      <c r="E1820" s="1" t="s">
        <v>43</v>
      </c>
      <c r="F1820" s="1" t="s">
        <v>12702</v>
      </c>
      <c r="G1820" s="1" t="s">
        <v>813</v>
      </c>
      <c r="H1820" s="4">
        <v>0.63</v>
      </c>
      <c r="I1820" s="4">
        <v>7</v>
      </c>
      <c r="J1820" s="5">
        <v>49.5</v>
      </c>
      <c r="K1820" s="4">
        <v>9</v>
      </c>
      <c r="L1820" s="1" t="s">
        <v>46</v>
      </c>
      <c r="M1820" s="1" t="s">
        <v>47</v>
      </c>
      <c r="N1820" s="1" t="s">
        <v>12703</v>
      </c>
      <c r="O1820" s="1" t="s">
        <v>48</v>
      </c>
      <c r="P1820" s="1" t="s">
        <v>12704</v>
      </c>
      <c r="Q1820" s="4">
        <v>1.333</v>
      </c>
      <c r="R1820" s="4">
        <v>1.444</v>
      </c>
      <c r="S1820" s="6">
        <v>4.2222200000000001</v>
      </c>
      <c r="T1820" s="1" t="s">
        <v>50</v>
      </c>
      <c r="U1820" s="1"/>
      <c r="V1820" s="1"/>
      <c r="W1820" s="1"/>
      <c r="X1820" s="5">
        <v>86.299999999999997</v>
      </c>
      <c r="Y1820" s="7">
        <v>2540225</v>
      </c>
      <c r="Z1820" s="7">
        <v>2959775</v>
      </c>
      <c r="AA1820" s="1" t="s">
        <v>12705</v>
      </c>
      <c r="AB1820" s="1" t="s">
        <v>12706</v>
      </c>
      <c r="AC1820" s="1" t="s">
        <v>7759</v>
      </c>
      <c r="AD1820" s="1" t="s">
        <v>12707</v>
      </c>
      <c r="AE1820" s="1" t="s">
        <v>51</v>
      </c>
      <c r="AF1820" s="1" t="s">
        <v>51</v>
      </c>
      <c r="AG1820" s="1" t="s">
        <v>47</v>
      </c>
      <c r="AH1820" s="1"/>
      <c r="AI1820" s="1"/>
      <c r="AJ1820" s="3">
        <v>1</v>
      </c>
      <c r="AK1820" s="1" t="s">
        <v>89</v>
      </c>
      <c r="AL1820" s="3">
        <v>5</v>
      </c>
      <c r="AM1820" s="1"/>
      <c r="AN1820" s="1"/>
      <c r="AO1820" s="1" t="s">
        <v>12708</v>
      </c>
      <c r="AP1820" s="1" t="s">
        <v>12709</v>
      </c>
      <c r="AQ1820" s="1" t="s">
        <v>12710</v>
      </c>
      <c r="AR1820" s="1" t="s">
        <v>12711</v>
      </c>
    </row>
    <row r="1821">
      <c r="A1821" s="2">
        <f ca="1">DATE(2006,03,14)</f>
        <v>0</v>
      </c>
      <c r="B1821" s="2">
        <f ca="1">DATE(2006,06,22)</f>
        <v>0</v>
      </c>
      <c r="C1821" s="1" t="s">
        <v>12712</v>
      </c>
      <c r="D1821" s="3">
        <v>6022</v>
      </c>
      <c r="E1821" s="1" t="s">
        <v>43</v>
      </c>
      <c r="F1821" s="1" t="s">
        <v>12713</v>
      </c>
      <c r="G1821" s="1" t="s">
        <v>2582</v>
      </c>
      <c r="H1821" s="4">
        <v>1.26</v>
      </c>
      <c r="I1821" s="4">
        <v>7</v>
      </c>
      <c r="J1821" s="5">
        <v>45</v>
      </c>
      <c r="K1821" s="4">
        <v>18</v>
      </c>
      <c r="L1821" s="1" t="s">
        <v>46</v>
      </c>
      <c r="M1821" s="1" t="s">
        <v>47</v>
      </c>
      <c r="N1821" s="3">
        <v>436893200</v>
      </c>
      <c r="O1821" s="1" t="s">
        <v>48</v>
      </c>
      <c r="P1821" s="1" t="s">
        <v>12714</v>
      </c>
      <c r="Q1821" s="1" t="s">
        <v>145</v>
      </c>
      <c r="R1821" s="1" t="s">
        <v>145</v>
      </c>
      <c r="S1821" s="6">
        <v>4.1666699999999999</v>
      </c>
      <c r="T1821" s="1" t="s">
        <v>50</v>
      </c>
      <c r="U1821" s="1"/>
      <c r="V1821" s="1"/>
      <c r="W1821" s="1"/>
      <c r="X1821" s="5">
        <v>51.799999999999997</v>
      </c>
      <c r="Y1821" s="7">
        <v>2500000</v>
      </c>
      <c r="Z1821" s="1"/>
      <c r="AA1821" s="1" t="s">
        <v>12715</v>
      </c>
      <c r="AB1821" s="1" t="s">
        <v>12716</v>
      </c>
      <c r="AC1821" s="1" t="s">
        <v>7759</v>
      </c>
      <c r="AD1821" s="1" t="s">
        <v>12717</v>
      </c>
      <c r="AE1821" s="1" t="s">
        <v>51</v>
      </c>
      <c r="AF1821" s="1" t="s">
        <v>51</v>
      </c>
      <c r="AG1821" s="1" t="s">
        <v>51</v>
      </c>
      <c r="AH1821" s="1"/>
      <c r="AI1821" s="1"/>
      <c r="AJ1821" s="3">
        <v>1</v>
      </c>
      <c r="AK1821" s="1" t="s">
        <v>52</v>
      </c>
      <c r="AL1821" s="3">
        <v>3</v>
      </c>
      <c r="AM1821" s="8">
        <v>20</v>
      </c>
      <c r="AN1821" s="1"/>
      <c r="AO1821" s="1" t="s">
        <v>12718</v>
      </c>
      <c r="AP1821" s="1" t="s">
        <v>2582</v>
      </c>
      <c r="AQ1821" s="1" t="s">
        <v>12719</v>
      </c>
      <c r="AR1821" s="1" t="s">
        <v>12720</v>
      </c>
    </row>
    <row r="1822">
      <c r="A1822" s="2">
        <f ca="1">DATE(2006,06,06)</f>
        <v>0</v>
      </c>
      <c r="B1822" s="2">
        <f ca="1">DATE(2006,06,22)</f>
        <v>0</v>
      </c>
      <c r="C1822" s="1" t="s">
        <v>12721</v>
      </c>
      <c r="D1822" s="3">
        <v>7372</v>
      </c>
      <c r="E1822" s="1" t="s">
        <v>166</v>
      </c>
      <c r="F1822" s="1" t="s">
        <v>12722</v>
      </c>
      <c r="G1822" s="1" t="s">
        <v>5704</v>
      </c>
      <c r="H1822" s="4">
        <v>0.81000000000000005</v>
      </c>
      <c r="I1822" s="4">
        <v>6.7050000000000001</v>
      </c>
      <c r="J1822" s="5">
        <v>38.700000000000003</v>
      </c>
      <c r="K1822" s="4">
        <v>12.08</v>
      </c>
      <c r="L1822" s="1" t="s">
        <v>46</v>
      </c>
      <c r="M1822" s="1" t="s">
        <v>47</v>
      </c>
      <c r="N1822" s="3">
        <v>871929204</v>
      </c>
      <c r="O1822" s="1" t="s">
        <v>3171</v>
      </c>
      <c r="P1822" s="1" t="s">
        <v>12723</v>
      </c>
      <c r="Q1822" s="1" t="s">
        <v>145</v>
      </c>
      <c r="R1822" s="1" t="s">
        <v>145</v>
      </c>
      <c r="S1822" s="6">
        <v>3.9735100000000001</v>
      </c>
      <c r="T1822" s="1" t="s">
        <v>50</v>
      </c>
      <c r="U1822" s="1"/>
      <c r="V1822" s="1"/>
      <c r="W1822" s="7">
        <v>3200000</v>
      </c>
      <c r="X1822" s="5">
        <v>58.700000000000003</v>
      </c>
      <c r="Y1822" s="7">
        <v>3200000</v>
      </c>
      <c r="Z1822" s="1"/>
      <c r="AA1822" s="1" t="s">
        <v>12724</v>
      </c>
      <c r="AB1822" s="1" t="s">
        <v>2067</v>
      </c>
      <c r="AC1822" s="1" t="s">
        <v>9674</v>
      </c>
      <c r="AD1822" s="1" t="s">
        <v>2067</v>
      </c>
      <c r="AE1822" s="1" t="s">
        <v>51</v>
      </c>
      <c r="AF1822" s="1" t="s">
        <v>51</v>
      </c>
      <c r="AG1822" s="1" t="s">
        <v>51</v>
      </c>
      <c r="AH1822" s="1"/>
      <c r="AI1822" s="1"/>
      <c r="AJ1822" s="3">
        <v>1</v>
      </c>
      <c r="AK1822" s="1" t="s">
        <v>52</v>
      </c>
      <c r="AL1822" s="3">
        <v>7</v>
      </c>
      <c r="AM1822" s="1"/>
      <c r="AN1822" s="1"/>
      <c r="AO1822" s="1" t="s">
        <v>12725</v>
      </c>
      <c r="AP1822" s="1" t="s">
        <v>5704</v>
      </c>
      <c r="AQ1822" s="1" t="s">
        <v>12726</v>
      </c>
      <c r="AR1822" s="1" t="s">
        <v>12727</v>
      </c>
    </row>
    <row r="1823">
      <c r="A1823" s="2">
        <f ca="1">DATE(2006,03,15)</f>
        <v>0</v>
      </c>
      <c r="B1823" s="2">
        <f ca="1">DATE(2006,06,23)</f>
        <v>0</v>
      </c>
      <c r="C1823" s="1" t="s">
        <v>12728</v>
      </c>
      <c r="D1823" s="3">
        <v>6726</v>
      </c>
      <c r="E1823" s="1" t="s">
        <v>43</v>
      </c>
      <c r="F1823" s="1" t="s">
        <v>12729</v>
      </c>
      <c r="G1823" s="1" t="s">
        <v>796</v>
      </c>
      <c r="H1823" s="4">
        <v>0.90000000000000002</v>
      </c>
      <c r="I1823" s="4">
        <v>4.5</v>
      </c>
      <c r="J1823" s="5">
        <v>600</v>
      </c>
      <c r="K1823" s="4">
        <v>20</v>
      </c>
      <c r="L1823" s="1" t="s">
        <v>46</v>
      </c>
      <c r="M1823" s="1" t="s">
        <v>47</v>
      </c>
      <c r="N1823" s="1" t="s">
        <v>12730</v>
      </c>
      <c r="O1823" s="1" t="s">
        <v>108</v>
      </c>
      <c r="P1823" s="1" t="s">
        <v>12731</v>
      </c>
      <c r="Q1823" s="1" t="s">
        <v>145</v>
      </c>
      <c r="R1823" s="1" t="s">
        <v>145</v>
      </c>
      <c r="S1823" s="8">
        <v>3</v>
      </c>
      <c r="T1823" s="1" t="s">
        <v>50</v>
      </c>
      <c r="U1823" s="8">
        <v>20</v>
      </c>
      <c r="V1823" s="8">
        <v>20</v>
      </c>
      <c r="W1823" s="7">
        <v>100000</v>
      </c>
      <c r="X1823" s="5">
        <v>2</v>
      </c>
      <c r="Y1823" s="7">
        <v>30000000</v>
      </c>
      <c r="Z1823" s="1"/>
      <c r="AA1823" s="1"/>
      <c r="AB1823" s="1"/>
      <c r="AC1823" s="1"/>
      <c r="AD1823" s="1"/>
      <c r="AE1823" s="1" t="s">
        <v>51</v>
      </c>
      <c r="AF1823" s="1" t="s">
        <v>51</v>
      </c>
      <c r="AG1823" s="1" t="s">
        <v>51</v>
      </c>
      <c r="AH1823" s="1"/>
      <c r="AI1823" s="1"/>
      <c r="AJ1823" s="3">
        <v>1</v>
      </c>
      <c r="AK1823" s="1" t="s">
        <v>52</v>
      </c>
      <c r="AL1823" s="3">
        <v>6</v>
      </c>
      <c r="AM1823" s="1"/>
      <c r="AN1823" s="1"/>
      <c r="AO1823" s="1" t="s">
        <v>12732</v>
      </c>
      <c r="AP1823" s="1" t="s">
        <v>796</v>
      </c>
      <c r="AQ1823" s="1" t="s">
        <v>12733</v>
      </c>
      <c r="AR1823" s="1" t="s">
        <v>12731</v>
      </c>
    </row>
    <row r="1824">
      <c r="A1824" s="2">
        <f ca="1">DATE(2006,03,22)</f>
        <v>0</v>
      </c>
      <c r="B1824" s="2">
        <f ca="1">DATE(2006,06,27)</f>
        <v>0</v>
      </c>
      <c r="C1824" s="1" t="s">
        <v>12734</v>
      </c>
      <c r="D1824" s="3">
        <v>6726</v>
      </c>
      <c r="E1824" s="1" t="s">
        <v>43</v>
      </c>
      <c r="F1824" s="1"/>
      <c r="G1824" s="1" t="s">
        <v>5747</v>
      </c>
      <c r="H1824" s="1" t="s">
        <v>57</v>
      </c>
      <c r="I1824" s="1" t="s">
        <v>57</v>
      </c>
      <c r="J1824" s="5">
        <v>58.5</v>
      </c>
      <c r="K1824" s="4">
        <v>20</v>
      </c>
      <c r="L1824" s="1" t="s">
        <v>46</v>
      </c>
      <c r="M1824" s="1" t="s">
        <v>47</v>
      </c>
      <c r="N1824" s="3">
        <v>336918107</v>
      </c>
      <c r="O1824" s="1"/>
      <c r="P1824" s="1" t="s">
        <v>12735</v>
      </c>
      <c r="Q1824" s="1"/>
      <c r="R1824" s="1"/>
      <c r="S1824" s="1"/>
      <c r="T1824" s="1" t="s">
        <v>50</v>
      </c>
      <c r="U1824" s="8">
        <v>20</v>
      </c>
      <c r="V1824" s="8">
        <v>20</v>
      </c>
      <c r="W1824" s="7">
        <v>1000</v>
      </c>
      <c r="X1824" s="5">
        <v>0</v>
      </c>
      <c r="Y1824" s="7">
        <v>2925000</v>
      </c>
      <c r="Z1824" s="1"/>
      <c r="AA1824" s="1"/>
      <c r="AB1824" s="1"/>
      <c r="AC1824" s="1"/>
      <c r="AD1824" s="1"/>
      <c r="AE1824" s="1" t="s">
        <v>51</v>
      </c>
      <c r="AF1824" s="1" t="s">
        <v>51</v>
      </c>
      <c r="AG1824" s="1" t="s">
        <v>51</v>
      </c>
      <c r="AH1824" s="1"/>
      <c r="AI1824" s="1"/>
      <c r="AJ1824" s="3">
        <v>1</v>
      </c>
      <c r="AK1824" s="1" t="s">
        <v>52</v>
      </c>
      <c r="AL1824" s="3">
        <v>14</v>
      </c>
      <c r="AM1824" s="1"/>
      <c r="AN1824" s="1"/>
      <c r="AO1824" s="1" t="s">
        <v>12736</v>
      </c>
      <c r="AP1824" s="1" t="s">
        <v>5747</v>
      </c>
      <c r="AQ1824" s="1" t="s">
        <v>12737</v>
      </c>
      <c r="AR1824" s="1" t="s">
        <v>12738</v>
      </c>
    </row>
    <row r="1825">
      <c r="A1825" s="2">
        <f ca="1">DATE(2005,08,17)</f>
        <v>0</v>
      </c>
      <c r="B1825" s="2">
        <f ca="1">DATE(2006,06,27)</f>
        <v>0</v>
      </c>
      <c r="C1825" s="1" t="s">
        <v>12739</v>
      </c>
      <c r="D1825" s="3">
        <v>5611</v>
      </c>
      <c r="E1825" s="1" t="s">
        <v>43</v>
      </c>
      <c r="F1825" s="1" t="s">
        <v>12740</v>
      </c>
      <c r="G1825" s="1" t="s">
        <v>12741</v>
      </c>
      <c r="H1825" s="4">
        <v>1.3</v>
      </c>
      <c r="I1825" s="4">
        <v>6.5</v>
      </c>
      <c r="J1825" s="5">
        <v>376</v>
      </c>
      <c r="K1825" s="4">
        <v>20</v>
      </c>
      <c r="L1825" s="1" t="s">
        <v>46</v>
      </c>
      <c r="M1825" s="1" t="s">
        <v>47</v>
      </c>
      <c r="N1825" s="1" t="s">
        <v>12742</v>
      </c>
      <c r="O1825" s="1" t="s">
        <v>108</v>
      </c>
      <c r="P1825" s="1" t="s">
        <v>12743</v>
      </c>
      <c r="Q1825" s="4">
        <v>1.3</v>
      </c>
      <c r="R1825" s="4">
        <v>1.3</v>
      </c>
      <c r="S1825" s="8">
        <v>3.8999999999999999</v>
      </c>
      <c r="T1825" s="1" t="s">
        <v>50</v>
      </c>
      <c r="U1825" s="1"/>
      <c r="V1825" s="1"/>
      <c r="W1825" s="1"/>
      <c r="X1825" s="5">
        <v>200</v>
      </c>
      <c r="Y1825" s="7">
        <v>18800000</v>
      </c>
      <c r="Z1825" s="1"/>
      <c r="AA1825" s="1" t="s">
        <v>12744</v>
      </c>
      <c r="AB1825" s="1" t="s">
        <v>5265</v>
      </c>
      <c r="AC1825" s="1" t="s">
        <v>7759</v>
      </c>
      <c r="AD1825" s="1" t="s">
        <v>5265</v>
      </c>
      <c r="AE1825" s="1" t="s">
        <v>51</v>
      </c>
      <c r="AF1825" s="1" t="s">
        <v>51</v>
      </c>
      <c r="AG1825" s="1" t="s">
        <v>51</v>
      </c>
      <c r="AH1825" s="1"/>
      <c r="AI1825" s="1"/>
      <c r="AJ1825" s="3">
        <v>2</v>
      </c>
      <c r="AK1825" s="1" t="s">
        <v>89</v>
      </c>
      <c r="AL1825" s="3">
        <v>8</v>
      </c>
      <c r="AM1825" s="8">
        <v>25.550000000000001</v>
      </c>
      <c r="AN1825" s="1"/>
      <c r="AO1825" s="1" t="s">
        <v>12745</v>
      </c>
      <c r="AP1825" s="1" t="s">
        <v>8409</v>
      </c>
      <c r="AQ1825" s="1" t="s">
        <v>12746</v>
      </c>
      <c r="AR1825" s="1" t="s">
        <v>12747</v>
      </c>
    </row>
    <row r="1826">
      <c r="A1826" s="2">
        <f ca="1">DATE(2006,04,21)</f>
        <v>0</v>
      </c>
      <c r="B1826" s="2">
        <f ca="1">DATE(2006,06,27)</f>
        <v>0</v>
      </c>
      <c r="C1826" s="1" t="s">
        <v>12748</v>
      </c>
      <c r="D1826" s="3">
        <v>6726</v>
      </c>
      <c r="E1826" s="1" t="s">
        <v>43</v>
      </c>
      <c r="F1826" s="1" t="s">
        <v>12749</v>
      </c>
      <c r="G1826" s="1" t="s">
        <v>45</v>
      </c>
      <c r="H1826" s="4">
        <v>0.90000000000000002</v>
      </c>
      <c r="I1826" s="4">
        <v>4.5</v>
      </c>
      <c r="J1826" s="5">
        <v>185</v>
      </c>
      <c r="K1826" s="4">
        <v>20</v>
      </c>
      <c r="L1826" s="1" t="s">
        <v>46</v>
      </c>
      <c r="M1826" s="1" t="s">
        <v>47</v>
      </c>
      <c r="N1826" s="1" t="s">
        <v>12750</v>
      </c>
      <c r="O1826" s="1" t="s">
        <v>108</v>
      </c>
      <c r="P1826" s="1" t="s">
        <v>12751</v>
      </c>
      <c r="Q1826" s="4">
        <v>1</v>
      </c>
      <c r="R1826" s="4">
        <v>0.5</v>
      </c>
      <c r="S1826" s="8">
        <v>3</v>
      </c>
      <c r="T1826" s="1" t="s">
        <v>50</v>
      </c>
      <c r="U1826" s="8">
        <v>20</v>
      </c>
      <c r="V1826" s="8">
        <v>20</v>
      </c>
      <c r="W1826" s="7">
        <v>1000</v>
      </c>
      <c r="X1826" s="5">
        <v>0</v>
      </c>
      <c r="Y1826" s="7">
        <v>9250000</v>
      </c>
      <c r="Z1826" s="1"/>
      <c r="AA1826" s="2">
        <f ca="1">DATE(2006,12,24)</f>
        <v>0</v>
      </c>
      <c r="AB1826" s="1"/>
      <c r="AC1826" s="3">
        <v>180</v>
      </c>
      <c r="AD1826" s="1"/>
      <c r="AE1826" s="1" t="s">
        <v>51</v>
      </c>
      <c r="AF1826" s="1" t="s">
        <v>51</v>
      </c>
      <c r="AG1826" s="1" t="s">
        <v>51</v>
      </c>
      <c r="AH1826" s="1"/>
      <c r="AI1826" s="1"/>
      <c r="AJ1826" s="3">
        <v>1</v>
      </c>
      <c r="AK1826" s="1" t="s">
        <v>52</v>
      </c>
      <c r="AL1826" s="3">
        <v>18</v>
      </c>
      <c r="AM1826" s="8">
        <v>20.010000000000002</v>
      </c>
      <c r="AN1826" s="1"/>
      <c r="AO1826" s="1" t="s">
        <v>12752</v>
      </c>
      <c r="AP1826" s="1" t="s">
        <v>45</v>
      </c>
      <c r="AQ1826" s="1" t="s">
        <v>12753</v>
      </c>
      <c r="AR1826" s="1" t="s">
        <v>12754</v>
      </c>
    </row>
    <row r="1827">
      <c r="A1827" s="2">
        <f ca="1">DATE(2006,04,04)</f>
        <v>0</v>
      </c>
      <c r="B1827" s="2">
        <f ca="1">DATE(2006,06,27)</f>
        <v>0</v>
      </c>
      <c r="C1827" s="1" t="s">
        <v>12755</v>
      </c>
      <c r="D1827" s="3">
        <v>7372</v>
      </c>
      <c r="E1827" s="1" t="s">
        <v>43</v>
      </c>
      <c r="F1827" s="1" t="s">
        <v>12756</v>
      </c>
      <c r="G1827" s="1" t="s">
        <v>796</v>
      </c>
      <c r="H1827" s="4">
        <v>0.45500000000000002</v>
      </c>
      <c r="I1827" s="4">
        <v>7</v>
      </c>
      <c r="J1827" s="5">
        <v>69.599999999999994</v>
      </c>
      <c r="K1827" s="4">
        <v>6.5</v>
      </c>
      <c r="L1827" s="1" t="s">
        <v>46</v>
      </c>
      <c r="M1827" s="1" t="s">
        <v>47</v>
      </c>
      <c r="N1827" s="1" t="s">
        <v>12757</v>
      </c>
      <c r="O1827" s="1" t="s">
        <v>48</v>
      </c>
      <c r="P1827" s="1" t="s">
        <v>12758</v>
      </c>
      <c r="Q1827" s="1" t="s">
        <v>145</v>
      </c>
      <c r="R1827" s="1" t="s">
        <v>145</v>
      </c>
      <c r="S1827" s="8">
        <v>4.2000000000000002</v>
      </c>
      <c r="T1827" s="1" t="s">
        <v>50</v>
      </c>
      <c r="U1827" s="1"/>
      <c r="V1827" s="1"/>
      <c r="W1827" s="1"/>
      <c r="X1827" s="5">
        <v>120</v>
      </c>
      <c r="Y1827" s="7">
        <v>8700000</v>
      </c>
      <c r="Z1827" s="7">
        <v>2000000</v>
      </c>
      <c r="AA1827" s="1" t="s">
        <v>12759</v>
      </c>
      <c r="AB1827" s="1" t="s">
        <v>12760</v>
      </c>
      <c r="AC1827" s="1" t="s">
        <v>12761</v>
      </c>
      <c r="AD1827" s="1" t="s">
        <v>12762</v>
      </c>
      <c r="AE1827" s="1" t="s">
        <v>51</v>
      </c>
      <c r="AF1827" s="1" t="s">
        <v>51</v>
      </c>
      <c r="AG1827" s="1" t="s">
        <v>47</v>
      </c>
      <c r="AH1827" s="1"/>
      <c r="AI1827" s="1"/>
      <c r="AJ1827" s="3">
        <v>1</v>
      </c>
      <c r="AK1827" s="1" t="s">
        <v>89</v>
      </c>
      <c r="AL1827" s="3">
        <v>4</v>
      </c>
      <c r="AM1827" s="8">
        <v>6.5300000000000002</v>
      </c>
      <c r="AN1827" s="1"/>
      <c r="AO1827" s="1" t="s">
        <v>12763</v>
      </c>
      <c r="AP1827" s="1" t="s">
        <v>12249</v>
      </c>
      <c r="AQ1827" s="1" t="s">
        <v>12764</v>
      </c>
      <c r="AR1827" s="1" t="s">
        <v>12765</v>
      </c>
    </row>
    <row r="1828">
      <c r="A1828" s="2">
        <f ca="1">DATE(2006,03,10)</f>
        <v>0</v>
      </c>
      <c r="B1828" s="2">
        <f ca="1">DATE(2006,06,27)</f>
        <v>0</v>
      </c>
      <c r="C1828" s="1" t="s">
        <v>12766</v>
      </c>
      <c r="D1828" s="3">
        <v>3442</v>
      </c>
      <c r="E1828" s="1" t="s">
        <v>43</v>
      </c>
      <c r="F1828" s="1" t="s">
        <v>12767</v>
      </c>
      <c r="G1828" s="1" t="s">
        <v>6669</v>
      </c>
      <c r="H1828" s="4">
        <v>0.97999999999999998</v>
      </c>
      <c r="I1828" s="8">
        <v>7</v>
      </c>
      <c r="J1828" s="5">
        <v>123.5</v>
      </c>
      <c r="K1828" s="4">
        <v>14</v>
      </c>
      <c r="L1828" s="1" t="s">
        <v>46</v>
      </c>
      <c r="M1828" s="1" t="s">
        <v>47</v>
      </c>
      <c r="N1828" s="1" t="s">
        <v>12768</v>
      </c>
      <c r="O1828" s="1" t="s">
        <v>48</v>
      </c>
      <c r="P1828" s="1" t="s">
        <v>12769</v>
      </c>
      <c r="Q1828" s="1" t="s">
        <v>145</v>
      </c>
      <c r="R1828" s="1" t="s">
        <v>145</v>
      </c>
      <c r="S1828" s="8">
        <v>4.2000000000000002</v>
      </c>
      <c r="T1828" s="1" t="s">
        <v>50</v>
      </c>
      <c r="U1828" s="1"/>
      <c r="V1828" s="1"/>
      <c r="W1828" s="1"/>
      <c r="X1828" s="5">
        <v>150</v>
      </c>
      <c r="Y1828" s="7">
        <v>8823529</v>
      </c>
      <c r="Z1828" s="1"/>
      <c r="AA1828" s="1" t="s">
        <v>12744</v>
      </c>
      <c r="AB1828" s="1" t="s">
        <v>12770</v>
      </c>
      <c r="AC1828" s="1" t="s">
        <v>7759</v>
      </c>
      <c r="AD1828" s="1" t="s">
        <v>12771</v>
      </c>
      <c r="AE1828" s="1" t="s">
        <v>51</v>
      </c>
      <c r="AF1828" s="1" t="s">
        <v>51</v>
      </c>
      <c r="AG1828" s="1" t="s">
        <v>51</v>
      </c>
      <c r="AH1828" s="1"/>
      <c r="AI1828" s="1"/>
      <c r="AJ1828" s="3">
        <v>2</v>
      </c>
      <c r="AK1828" s="1" t="s">
        <v>89</v>
      </c>
      <c r="AL1828" s="3">
        <v>5</v>
      </c>
      <c r="AM1828" s="8">
        <v>15.5</v>
      </c>
      <c r="AN1828" s="1"/>
      <c r="AO1828" s="1" t="s">
        <v>12772</v>
      </c>
      <c r="AP1828" s="1" t="s">
        <v>6672</v>
      </c>
      <c r="AQ1828" s="1" t="s">
        <v>12773</v>
      </c>
      <c r="AR1828" s="1" t="s">
        <v>12774</v>
      </c>
    </row>
    <row r="1829">
      <c r="A1829" s="2">
        <f ca="1">DATE(2006,04,05)</f>
        <v>0</v>
      </c>
      <c r="B1829" s="2">
        <f ca="1">DATE(2006,06,27)</f>
        <v>0</v>
      </c>
      <c r="C1829" s="1" t="s">
        <v>12775</v>
      </c>
      <c r="D1829" s="3">
        <v>2834</v>
      </c>
      <c r="E1829" s="1" t="s">
        <v>43</v>
      </c>
      <c r="F1829" s="1" t="s">
        <v>12776</v>
      </c>
      <c r="G1829" s="1" t="s">
        <v>4823</v>
      </c>
      <c r="H1829" s="4">
        <v>0.69999999999999996</v>
      </c>
      <c r="I1829" s="8">
        <v>7</v>
      </c>
      <c r="J1829" s="5">
        <v>45</v>
      </c>
      <c r="K1829" s="4">
        <v>10</v>
      </c>
      <c r="L1829" s="1" t="s">
        <v>46</v>
      </c>
      <c r="M1829" s="1" t="s">
        <v>47</v>
      </c>
      <c r="N1829" s="1" t="s">
        <v>12777</v>
      </c>
      <c r="O1829" s="1" t="s">
        <v>48</v>
      </c>
      <c r="P1829" s="1" t="s">
        <v>12778</v>
      </c>
      <c r="Q1829" s="4">
        <v>1.3999999999999999</v>
      </c>
      <c r="R1829" s="4">
        <v>1.3999999999999999</v>
      </c>
      <c r="S1829" s="8">
        <v>4.2000000000000002</v>
      </c>
      <c r="T1829" s="1" t="s">
        <v>50</v>
      </c>
      <c r="U1829" s="1"/>
      <c r="V1829" s="1"/>
      <c r="W1829" s="1"/>
      <c r="X1829" s="5">
        <v>100</v>
      </c>
      <c r="Y1829" s="7">
        <v>4500000</v>
      </c>
      <c r="Z1829" s="1"/>
      <c r="AA1829" s="1" t="s">
        <v>12744</v>
      </c>
      <c r="AB1829" s="1" t="s">
        <v>12779</v>
      </c>
      <c r="AC1829" s="1" t="s">
        <v>7759</v>
      </c>
      <c r="AD1829" s="1" t="s">
        <v>12780</v>
      </c>
      <c r="AE1829" s="1" t="s">
        <v>51</v>
      </c>
      <c r="AF1829" s="1" t="s">
        <v>51</v>
      </c>
      <c r="AG1829" s="1" t="s">
        <v>47</v>
      </c>
      <c r="AH1829" s="1"/>
      <c r="AI1829" s="1"/>
      <c r="AJ1829" s="3">
        <v>2</v>
      </c>
      <c r="AK1829" s="1" t="s">
        <v>89</v>
      </c>
      <c r="AL1829" s="3">
        <v>4</v>
      </c>
      <c r="AM1829" s="8">
        <v>10.1</v>
      </c>
      <c r="AN1829" s="1"/>
      <c r="AO1829" s="1" t="s">
        <v>12781</v>
      </c>
      <c r="AP1829" s="1" t="s">
        <v>4826</v>
      </c>
      <c r="AQ1829" s="1" t="s">
        <v>12782</v>
      </c>
      <c r="AR1829" s="1" t="s">
        <v>12783</v>
      </c>
    </row>
    <row r="1830">
      <c r="A1830" s="2">
        <f ca="1">DATE(2006,04,25)</f>
        <v>0</v>
      </c>
      <c r="B1830" s="2">
        <f ca="1">DATE(2006,06,27)</f>
        <v>0</v>
      </c>
      <c r="C1830" s="1" t="s">
        <v>12784</v>
      </c>
      <c r="D1830" s="3">
        <v>6022</v>
      </c>
      <c r="E1830" s="1" t="s">
        <v>43</v>
      </c>
      <c r="F1830" s="1" t="s">
        <v>12785</v>
      </c>
      <c r="G1830" s="1" t="s">
        <v>12786</v>
      </c>
      <c r="H1830" s="4">
        <v>1.0800000000000001</v>
      </c>
      <c r="I1830" s="4">
        <v>6</v>
      </c>
      <c r="J1830" s="5">
        <v>18</v>
      </c>
      <c r="K1830" s="4">
        <v>18</v>
      </c>
      <c r="L1830" s="1" t="s">
        <v>46</v>
      </c>
      <c r="M1830" s="1" t="s">
        <v>47</v>
      </c>
      <c r="N1830" s="1" t="s">
        <v>12787</v>
      </c>
      <c r="O1830" s="1" t="s">
        <v>48</v>
      </c>
      <c r="P1830" s="1" t="s">
        <v>12788</v>
      </c>
      <c r="Q1830" s="1" t="s">
        <v>145</v>
      </c>
      <c r="R1830" s="1" t="s">
        <v>145</v>
      </c>
      <c r="S1830" s="8">
        <v>3.6000000000000001</v>
      </c>
      <c r="T1830" s="1" t="s">
        <v>50</v>
      </c>
      <c r="U1830" s="8">
        <v>20.25</v>
      </c>
      <c r="V1830" s="8">
        <v>20.25</v>
      </c>
      <c r="W1830" s="7">
        <v>1000000</v>
      </c>
      <c r="X1830" s="5">
        <v>20.300000000000001</v>
      </c>
      <c r="Y1830" s="7">
        <v>1000000</v>
      </c>
      <c r="Z1830" s="1"/>
      <c r="AA1830" s="1" t="s">
        <v>12744</v>
      </c>
      <c r="AB1830" s="1" t="s">
        <v>5265</v>
      </c>
      <c r="AC1830" s="1" t="s">
        <v>7759</v>
      </c>
      <c r="AD1830" s="1" t="s">
        <v>5265</v>
      </c>
      <c r="AE1830" s="1" t="s">
        <v>51</v>
      </c>
      <c r="AF1830" s="1" t="s">
        <v>51</v>
      </c>
      <c r="AG1830" s="1" t="s">
        <v>51</v>
      </c>
      <c r="AH1830" s="1"/>
      <c r="AI1830" s="1"/>
      <c r="AJ1830" s="3">
        <v>1</v>
      </c>
      <c r="AK1830" s="1" t="s">
        <v>52</v>
      </c>
      <c r="AL1830" s="3">
        <v>2</v>
      </c>
      <c r="AM1830" s="8">
        <v>17.960000000000001</v>
      </c>
      <c r="AN1830" s="1"/>
      <c r="AO1830" s="1" t="s">
        <v>12789</v>
      </c>
      <c r="AP1830" s="1" t="s">
        <v>12786</v>
      </c>
      <c r="AQ1830" s="1" t="s">
        <v>12790</v>
      </c>
      <c r="AR1830" s="1" t="s">
        <v>12788</v>
      </c>
    </row>
    <row r="1831">
      <c r="A1831" s="2">
        <f ca="1">DATE(2006,03,30)</f>
        <v>0</v>
      </c>
      <c r="B1831" s="2">
        <f ca="1">DATE(2006,06,28)</f>
        <v>0</v>
      </c>
      <c r="C1831" s="1" t="s">
        <v>12791</v>
      </c>
      <c r="D1831" s="3">
        <v>2869</v>
      </c>
      <c r="E1831" s="1" t="s">
        <v>43</v>
      </c>
      <c r="F1831" s="1" t="s">
        <v>12792</v>
      </c>
      <c r="G1831" s="1" t="s">
        <v>12793</v>
      </c>
      <c r="H1831" s="4">
        <v>2.1499999999999999</v>
      </c>
      <c r="I1831" s="4">
        <v>5</v>
      </c>
      <c r="J1831" s="5">
        <v>389.5</v>
      </c>
      <c r="K1831" s="4">
        <v>43</v>
      </c>
      <c r="L1831" s="1" t="s">
        <v>46</v>
      </c>
      <c r="M1831" s="1" t="s">
        <v>47</v>
      </c>
      <c r="N1831" s="1" t="s">
        <v>12794</v>
      </c>
      <c r="O1831" s="1" t="s">
        <v>108</v>
      </c>
      <c r="P1831" s="1" t="s">
        <v>12795</v>
      </c>
      <c r="Q1831" s="1" t="s">
        <v>145</v>
      </c>
      <c r="R1831" s="1" t="s">
        <v>145</v>
      </c>
      <c r="S1831" s="8">
        <v>3</v>
      </c>
      <c r="T1831" s="1" t="s">
        <v>50</v>
      </c>
      <c r="U1831" s="1"/>
      <c r="V1831" s="1"/>
      <c r="W1831" s="1"/>
      <c r="X1831" s="5">
        <v>50</v>
      </c>
      <c r="Y1831" s="7">
        <v>6410256</v>
      </c>
      <c r="Z1831" s="7">
        <v>2648194</v>
      </c>
      <c r="AA1831" s="1" t="s">
        <v>12796</v>
      </c>
      <c r="AB1831" s="1" t="s">
        <v>12797</v>
      </c>
      <c r="AC1831" s="1" t="s">
        <v>7759</v>
      </c>
      <c r="AD1831" s="1" t="s">
        <v>12798</v>
      </c>
      <c r="AE1831" s="1" t="s">
        <v>51</v>
      </c>
      <c r="AF1831" s="1" t="s">
        <v>51</v>
      </c>
      <c r="AG1831" s="1" t="s">
        <v>51</v>
      </c>
      <c r="AH1831" s="1"/>
      <c r="AI1831" s="1"/>
      <c r="AJ1831" s="3">
        <v>3</v>
      </c>
      <c r="AK1831" s="1" t="s">
        <v>110</v>
      </c>
      <c r="AL1831" s="3">
        <v>6</v>
      </c>
      <c r="AM1831" s="8">
        <v>38.369999999999997</v>
      </c>
      <c r="AN1831" s="1"/>
      <c r="AO1831" s="1" t="s">
        <v>12799</v>
      </c>
      <c r="AP1831" s="1" t="s">
        <v>12800</v>
      </c>
      <c r="AQ1831" s="1" t="s">
        <v>12801</v>
      </c>
      <c r="AR1831" s="1" t="s">
        <v>12802</v>
      </c>
    </row>
    <row r="1832">
      <c r="A1832" s="2">
        <f ca="1">DATE(2006,06,06)</f>
        <v>0</v>
      </c>
      <c r="B1832" s="2">
        <f ca="1">DATE(2006,06,28)</f>
        <v>0</v>
      </c>
      <c r="C1832" s="1" t="s">
        <v>12803</v>
      </c>
      <c r="D1832" s="3">
        <v>7375</v>
      </c>
      <c r="E1832" s="1" t="s">
        <v>1204</v>
      </c>
      <c r="F1832" s="1" t="s">
        <v>12804</v>
      </c>
      <c r="G1832" s="1" t="s">
        <v>12805</v>
      </c>
      <c r="H1832" s="4">
        <v>1.0680000000000001</v>
      </c>
      <c r="I1832" s="8">
        <v>7</v>
      </c>
      <c r="J1832" s="5">
        <v>139.09999999999999</v>
      </c>
      <c r="K1832" s="4">
        <v>15.25</v>
      </c>
      <c r="L1832" s="1" t="s">
        <v>651</v>
      </c>
      <c r="M1832" s="1" t="s">
        <v>47</v>
      </c>
      <c r="N1832" s="1" t="s">
        <v>12806</v>
      </c>
      <c r="O1832" s="1" t="s">
        <v>48</v>
      </c>
      <c r="P1832" s="1" t="s">
        <v>12807</v>
      </c>
      <c r="Q1832" s="1" t="s">
        <v>145</v>
      </c>
      <c r="R1832" s="1" t="s">
        <v>145</v>
      </c>
      <c r="S1832" s="6">
        <v>4.19672</v>
      </c>
      <c r="T1832" s="1" t="s">
        <v>50</v>
      </c>
      <c r="U1832" s="1"/>
      <c r="V1832" s="1"/>
      <c r="W1832" s="1"/>
      <c r="X1832" s="5">
        <v>100</v>
      </c>
      <c r="Y1832" s="7">
        <v>6079710</v>
      </c>
      <c r="Z1832" s="7">
        <v>3039855</v>
      </c>
      <c r="AA1832" s="1" t="s">
        <v>12796</v>
      </c>
      <c r="AB1832" s="1" t="s">
        <v>5265</v>
      </c>
      <c r="AC1832" s="1" t="s">
        <v>7759</v>
      </c>
      <c r="AD1832" s="1" t="s">
        <v>5265</v>
      </c>
      <c r="AE1832" s="1" t="s">
        <v>47</v>
      </c>
      <c r="AF1832" s="1" t="s">
        <v>51</v>
      </c>
      <c r="AG1832" s="1" t="s">
        <v>47</v>
      </c>
      <c r="AH1832" s="1"/>
      <c r="AI1832" s="1"/>
      <c r="AJ1832" s="3">
        <v>2</v>
      </c>
      <c r="AK1832" s="1" t="s">
        <v>89</v>
      </c>
      <c r="AL1832" s="3">
        <v>3</v>
      </c>
      <c r="AM1832" s="8">
        <v>16.739999999999998</v>
      </c>
      <c r="AN1832" s="1"/>
      <c r="AO1832" s="1" t="s">
        <v>12808</v>
      </c>
      <c r="AP1832" s="1" t="s">
        <v>12809</v>
      </c>
      <c r="AQ1832" s="1" t="s">
        <v>12810</v>
      </c>
      <c r="AR1832" s="1" t="s">
        <v>12811</v>
      </c>
    </row>
    <row r="1833">
      <c r="A1833" s="2">
        <f ca="1">DATE(2006,01,23)</f>
        <v>0</v>
      </c>
      <c r="B1833" s="2">
        <f ca="1">DATE(2006,07,10)</f>
        <v>0</v>
      </c>
      <c r="C1833" s="1" t="s">
        <v>12812</v>
      </c>
      <c r="D1833" s="3">
        <v>3674</v>
      </c>
      <c r="E1833" s="1" t="s">
        <v>43</v>
      </c>
      <c r="F1833" s="1" t="s">
        <v>12813</v>
      </c>
      <c r="G1833" s="1" t="s">
        <v>1223</v>
      </c>
      <c r="H1833" s="4">
        <v>0.36599999999999999</v>
      </c>
      <c r="I1833" s="4">
        <v>6.6500000000000004</v>
      </c>
      <c r="J1833" s="5">
        <v>16.5</v>
      </c>
      <c r="K1833" s="4">
        <v>5.5</v>
      </c>
      <c r="L1833" s="1" t="s">
        <v>46</v>
      </c>
      <c r="M1833" s="1" t="s">
        <v>47</v>
      </c>
      <c r="N1833" s="1" t="s">
        <v>12814</v>
      </c>
      <c r="O1833" s="1" t="s">
        <v>48</v>
      </c>
      <c r="P1833" s="1" t="s">
        <v>12815</v>
      </c>
      <c r="Q1833" s="1" t="s">
        <v>145</v>
      </c>
      <c r="R1833" s="1" t="s">
        <v>145</v>
      </c>
      <c r="S1833" s="8">
        <v>4</v>
      </c>
      <c r="T1833" s="1" t="s">
        <v>50</v>
      </c>
      <c r="U1833" s="8">
        <v>6</v>
      </c>
      <c r="V1833" s="8">
        <v>5</v>
      </c>
      <c r="W1833" s="7">
        <v>3000000</v>
      </c>
      <c r="X1833" s="5">
        <v>16.5</v>
      </c>
      <c r="Y1833" s="7">
        <v>3000000</v>
      </c>
      <c r="Z1833" s="1"/>
      <c r="AA1833" s="1" t="s">
        <v>12816</v>
      </c>
      <c r="AB1833" s="1" t="s">
        <v>12817</v>
      </c>
      <c r="AC1833" s="1" t="s">
        <v>12818</v>
      </c>
      <c r="AD1833" s="1" t="s">
        <v>12819</v>
      </c>
      <c r="AE1833" s="1" t="s">
        <v>51</v>
      </c>
      <c r="AF1833" s="1" t="s">
        <v>51</v>
      </c>
      <c r="AG1833" s="1" t="s">
        <v>51</v>
      </c>
      <c r="AH1833" s="1"/>
      <c r="AI1833" s="1"/>
      <c r="AJ1833" s="3">
        <v>1</v>
      </c>
      <c r="AK1833" s="1" t="s">
        <v>52</v>
      </c>
      <c r="AL1833" s="3">
        <v>1</v>
      </c>
      <c r="AM1833" s="1"/>
      <c r="AN1833" s="1"/>
      <c r="AO1833" s="1" t="s">
        <v>12820</v>
      </c>
      <c r="AP1833" s="1" t="s">
        <v>1223</v>
      </c>
      <c r="AQ1833" s="1" t="s">
        <v>1223</v>
      </c>
      <c r="AR1833" s="1" t="s">
        <v>3923</v>
      </c>
    </row>
    <row r="1834">
      <c r="A1834" s="2">
        <f ca="1">DATE(2006,03,17)</f>
        <v>0</v>
      </c>
      <c r="B1834" s="2">
        <f ca="1">DATE(2006,07,11)</f>
        <v>0</v>
      </c>
      <c r="C1834" s="1" t="s">
        <v>12821</v>
      </c>
      <c r="D1834" s="3">
        <v>6311</v>
      </c>
      <c r="E1834" s="1" t="s">
        <v>517</v>
      </c>
      <c r="F1834" s="1" t="s">
        <v>12822</v>
      </c>
      <c r="G1834" s="1" t="s">
        <v>160</v>
      </c>
      <c r="H1834" s="4">
        <v>2.2949999999999999</v>
      </c>
      <c r="I1834" s="4">
        <v>6.75</v>
      </c>
      <c r="J1834" s="5">
        <v>299.19999999999999</v>
      </c>
      <c r="K1834" s="4">
        <v>34</v>
      </c>
      <c r="L1834" s="1" t="s">
        <v>46</v>
      </c>
      <c r="M1834" s="1" t="s">
        <v>47</v>
      </c>
      <c r="N1834" s="1" t="s">
        <v>12823</v>
      </c>
      <c r="O1834" s="1" t="s">
        <v>108</v>
      </c>
      <c r="P1834" s="1" t="s">
        <v>12824</v>
      </c>
      <c r="Q1834" s="4">
        <v>1.3460000000000001</v>
      </c>
      <c r="R1834" s="4">
        <v>1.3460000000000001</v>
      </c>
      <c r="S1834" s="6">
        <v>4.0588199999999999</v>
      </c>
      <c r="T1834" s="1" t="s">
        <v>50</v>
      </c>
      <c r="U1834" s="1"/>
      <c r="V1834" s="1"/>
      <c r="W1834" s="1"/>
      <c r="X1834" s="5">
        <v>400</v>
      </c>
      <c r="Y1834" s="7">
        <v>8800000</v>
      </c>
      <c r="Z1834" s="1"/>
      <c r="AA1834" s="1" t="s">
        <v>12825</v>
      </c>
      <c r="AB1834" s="1" t="s">
        <v>12826</v>
      </c>
      <c r="AC1834" s="1" t="s">
        <v>7759</v>
      </c>
      <c r="AD1834" s="1" t="s">
        <v>12827</v>
      </c>
      <c r="AE1834" s="1" t="s">
        <v>51</v>
      </c>
      <c r="AF1834" s="1" t="s">
        <v>51</v>
      </c>
      <c r="AG1834" s="1" t="s">
        <v>51</v>
      </c>
      <c r="AH1834" s="1"/>
      <c r="AI1834" s="1"/>
      <c r="AJ1834" s="3">
        <v>1</v>
      </c>
      <c r="AK1834" s="1" t="s">
        <v>52</v>
      </c>
      <c r="AL1834" s="3">
        <v>9</v>
      </c>
      <c r="AM1834" s="8">
        <v>34.25</v>
      </c>
      <c r="AN1834" s="8">
        <v>34.75</v>
      </c>
      <c r="AO1834" s="1" t="s">
        <v>12828</v>
      </c>
      <c r="AP1834" s="1" t="s">
        <v>160</v>
      </c>
      <c r="AQ1834" s="1" t="s">
        <v>12829</v>
      </c>
      <c r="AR1834" s="1" t="s">
        <v>12830</v>
      </c>
    </row>
    <row r="1835">
      <c r="A1835" s="2">
        <f ca="1">DATE(2005,09,15)</f>
        <v>0</v>
      </c>
      <c r="B1835" s="2">
        <f ca="1">DATE(2006,07,11)</f>
        <v>0</v>
      </c>
      <c r="C1835" s="1" t="s">
        <v>12831</v>
      </c>
      <c r="D1835" s="3">
        <v>6726</v>
      </c>
      <c r="E1835" s="1" t="s">
        <v>934</v>
      </c>
      <c r="F1835" s="1" t="s">
        <v>12832</v>
      </c>
      <c r="G1835" s="1" t="s">
        <v>8742</v>
      </c>
      <c r="H1835" s="4">
        <v>0.25</v>
      </c>
      <c r="I1835" s="4">
        <v>4.9500000000000002</v>
      </c>
      <c r="J1835" s="5">
        <v>46.5</v>
      </c>
      <c r="K1835" s="4">
        <v>5.0499999999999998</v>
      </c>
      <c r="L1835" s="1" t="s">
        <v>2698</v>
      </c>
      <c r="M1835" s="1" t="s">
        <v>47</v>
      </c>
      <c r="N1835" s="3">
        <v>465090207</v>
      </c>
      <c r="O1835" s="1" t="s">
        <v>77</v>
      </c>
      <c r="P1835" s="1" t="s">
        <v>12833</v>
      </c>
      <c r="Q1835" s="1" t="s">
        <v>145</v>
      </c>
      <c r="R1835" s="1" t="s">
        <v>145</v>
      </c>
      <c r="S1835" s="8">
        <v>3</v>
      </c>
      <c r="T1835" s="1" t="s">
        <v>50</v>
      </c>
      <c r="U1835" s="8">
        <v>5.25</v>
      </c>
      <c r="V1835" s="8">
        <v>5.25</v>
      </c>
      <c r="W1835" s="7">
        <v>1000000</v>
      </c>
      <c r="X1835" s="5">
        <v>5.2999999999999998</v>
      </c>
      <c r="Y1835" s="7">
        <v>9200000</v>
      </c>
      <c r="Z1835" s="1"/>
      <c r="AA1835" s="2">
        <f ca="1">DATE(2006,08,10)</f>
        <v>0</v>
      </c>
      <c r="AB1835" s="4">
        <v>0.001</v>
      </c>
      <c r="AC1835" s="3">
        <v>30</v>
      </c>
      <c r="AD1835" s="8">
        <v>100</v>
      </c>
      <c r="AE1835" s="1" t="s">
        <v>51</v>
      </c>
      <c r="AF1835" s="1" t="s">
        <v>51</v>
      </c>
      <c r="AG1835" s="1" t="s">
        <v>51</v>
      </c>
      <c r="AH1835" s="1"/>
      <c r="AI1835" s="1"/>
      <c r="AJ1835" s="3">
        <v>1</v>
      </c>
      <c r="AK1835" s="1" t="s">
        <v>52</v>
      </c>
      <c r="AL1835" s="3">
        <v>3</v>
      </c>
      <c r="AM1835" s="1"/>
      <c r="AN1835" s="1"/>
      <c r="AO1835" s="1" t="s">
        <v>12834</v>
      </c>
      <c r="AP1835" s="1" t="s">
        <v>8742</v>
      </c>
      <c r="AQ1835" s="1" t="s">
        <v>12835</v>
      </c>
      <c r="AR1835" s="1" t="s">
        <v>12836</v>
      </c>
    </row>
    <row r="1836">
      <c r="A1836" s="2">
        <f ca="1">DATE(2005,09,15)</f>
        <v>0</v>
      </c>
      <c r="B1836" s="2">
        <f ca="1">DATE(2006,07,11)</f>
        <v>0</v>
      </c>
      <c r="C1836" s="1" t="s">
        <v>12831</v>
      </c>
      <c r="D1836" s="3">
        <v>6726</v>
      </c>
      <c r="E1836" s="1" t="s">
        <v>934</v>
      </c>
      <c r="F1836" s="1" t="s">
        <v>12832</v>
      </c>
      <c r="G1836" s="1" t="s">
        <v>8742</v>
      </c>
      <c r="H1836" s="4">
        <v>0.20999999999999999</v>
      </c>
      <c r="I1836" s="4">
        <v>4.9409999999999998</v>
      </c>
      <c r="J1836" s="5">
        <v>4.2999999999999998</v>
      </c>
      <c r="K1836" s="4">
        <v>4.25</v>
      </c>
      <c r="L1836" s="1" t="s">
        <v>46</v>
      </c>
      <c r="M1836" s="1" t="s">
        <v>47</v>
      </c>
      <c r="N1836" s="1"/>
      <c r="O1836" s="1" t="s">
        <v>77</v>
      </c>
      <c r="P1836" s="1" t="s">
        <v>12833</v>
      </c>
      <c r="Q1836" s="1" t="s">
        <v>145</v>
      </c>
      <c r="R1836" s="1" t="s">
        <v>145</v>
      </c>
      <c r="S1836" s="8">
        <v>3</v>
      </c>
      <c r="T1836" s="1" t="s">
        <v>50</v>
      </c>
      <c r="U1836" s="8">
        <v>4.25</v>
      </c>
      <c r="V1836" s="8">
        <v>4.25</v>
      </c>
      <c r="W1836" s="7">
        <v>1000000</v>
      </c>
      <c r="X1836" s="5">
        <v>4.2999999999999998</v>
      </c>
      <c r="Y1836" s="7">
        <v>1000000</v>
      </c>
      <c r="Z1836" s="1"/>
      <c r="AA1836" s="2">
        <f ca="1">DATE(2006,08,10)</f>
        <v>0</v>
      </c>
      <c r="AB1836" s="4">
        <v>0.001</v>
      </c>
      <c r="AC1836" s="3">
        <v>30</v>
      </c>
      <c r="AD1836" s="8">
        <v>100</v>
      </c>
      <c r="AE1836" s="1" t="s">
        <v>51</v>
      </c>
      <c r="AF1836" s="1" t="s">
        <v>51</v>
      </c>
      <c r="AG1836" s="1" t="s">
        <v>51</v>
      </c>
      <c r="AH1836" s="1"/>
      <c r="AI1836" s="1"/>
      <c r="AJ1836" s="3">
        <v>1</v>
      </c>
      <c r="AK1836" s="1" t="s">
        <v>52</v>
      </c>
      <c r="AL1836" s="3">
        <v>3</v>
      </c>
      <c r="AM1836" s="1"/>
      <c r="AN1836" s="1"/>
      <c r="AO1836" s="1" t="s">
        <v>12834</v>
      </c>
      <c r="AP1836" s="1" t="s">
        <v>8742</v>
      </c>
      <c r="AQ1836" s="1" t="s">
        <v>12835</v>
      </c>
      <c r="AR1836" s="1" t="s">
        <v>12836</v>
      </c>
    </row>
    <row r="1837">
      <c r="A1837" s="2">
        <f ca="1">DATE(2006,03,21)</f>
        <v>0</v>
      </c>
      <c r="B1837" s="2">
        <f ca="1">DATE(2006,07,12)</f>
        <v>0</v>
      </c>
      <c r="C1837" s="1" t="s">
        <v>12837</v>
      </c>
      <c r="D1837" s="3">
        <v>6211</v>
      </c>
      <c r="E1837" s="1" t="s">
        <v>43</v>
      </c>
      <c r="F1837" s="1" t="s">
        <v>12838</v>
      </c>
      <c r="G1837" s="1" t="s">
        <v>12839</v>
      </c>
      <c r="H1837" s="4">
        <v>1</v>
      </c>
      <c r="I1837" s="4">
        <v>6.25</v>
      </c>
      <c r="J1837" s="5">
        <v>179.5</v>
      </c>
      <c r="K1837" s="4">
        <v>16</v>
      </c>
      <c r="L1837" s="1" t="s">
        <v>46</v>
      </c>
      <c r="M1837" s="1" t="s">
        <v>47</v>
      </c>
      <c r="N1837" s="3">
        <v>223621103</v>
      </c>
      <c r="O1837" s="1" t="s">
        <v>48</v>
      </c>
      <c r="P1837" s="1" t="s">
        <v>12840</v>
      </c>
      <c r="Q1837" s="1" t="s">
        <v>145</v>
      </c>
      <c r="R1837" s="1" t="s">
        <v>145</v>
      </c>
      <c r="S1837" s="8">
        <v>3.75</v>
      </c>
      <c r="T1837" s="1" t="s">
        <v>50</v>
      </c>
      <c r="U1837" s="1"/>
      <c r="V1837" s="1"/>
      <c r="W1837" s="1"/>
      <c r="X1837" s="5">
        <v>100</v>
      </c>
      <c r="Y1837" s="1"/>
      <c r="Z1837" s="7">
        <v>11217392</v>
      </c>
      <c r="AA1837" s="1" t="s">
        <v>12841</v>
      </c>
      <c r="AB1837" s="1" t="s">
        <v>5265</v>
      </c>
      <c r="AC1837" s="1" t="s">
        <v>7759</v>
      </c>
      <c r="AD1837" s="1" t="s">
        <v>5265</v>
      </c>
      <c r="AE1837" s="1" t="s">
        <v>51</v>
      </c>
      <c r="AF1837" s="1" t="s">
        <v>51</v>
      </c>
      <c r="AG1837" s="1" t="s">
        <v>51</v>
      </c>
      <c r="AH1837" s="1"/>
      <c r="AI1837" s="1" t="s">
        <v>12842</v>
      </c>
      <c r="AJ1837" s="3">
        <v>3</v>
      </c>
      <c r="AK1837" s="1" t="s">
        <v>110</v>
      </c>
      <c r="AL1837" s="3">
        <v>5</v>
      </c>
      <c r="AM1837" s="1"/>
      <c r="AN1837" s="1"/>
      <c r="AO1837" s="1" t="s">
        <v>12843</v>
      </c>
      <c r="AP1837" s="1" t="s">
        <v>12844</v>
      </c>
      <c r="AQ1837" s="1" t="s">
        <v>12845</v>
      </c>
      <c r="AR1837" s="1" t="s">
        <v>12846</v>
      </c>
    </row>
    <row r="1838">
      <c r="A1838" s="2">
        <f ca="1">DATE(2006,07,06)</f>
        <v>0</v>
      </c>
      <c r="B1838" s="2">
        <f ca="1">DATE(2006,07,13)</f>
        <v>0</v>
      </c>
      <c r="C1838" s="1" t="s">
        <v>12847</v>
      </c>
      <c r="D1838" s="3">
        <v>6035</v>
      </c>
      <c r="E1838" s="1" t="s">
        <v>43</v>
      </c>
      <c r="F1838" s="1"/>
      <c r="G1838" s="1" t="s">
        <v>4327</v>
      </c>
      <c r="H1838" s="1" t="s">
        <v>57</v>
      </c>
      <c r="I1838" s="1" t="s">
        <v>57</v>
      </c>
      <c r="J1838" s="5">
        <v>21</v>
      </c>
      <c r="K1838" s="4">
        <v>15</v>
      </c>
      <c r="L1838" s="1" t="s">
        <v>46</v>
      </c>
      <c r="M1838" s="1" t="s">
        <v>47</v>
      </c>
      <c r="N1838" s="3">
        <v>866264203</v>
      </c>
      <c r="O1838" s="1"/>
      <c r="P1838" s="1" t="s">
        <v>12848</v>
      </c>
      <c r="Q1838" s="1"/>
      <c r="R1838" s="1"/>
      <c r="S1838" s="1"/>
      <c r="T1838" s="1" t="s">
        <v>50</v>
      </c>
      <c r="U1838" s="8">
        <v>16</v>
      </c>
      <c r="V1838" s="8">
        <v>14</v>
      </c>
      <c r="W1838" s="7">
        <v>1400000</v>
      </c>
      <c r="X1838" s="5">
        <v>21</v>
      </c>
      <c r="Y1838" s="7">
        <v>1400000</v>
      </c>
      <c r="Z1838" s="1"/>
      <c r="AA1838" s="1"/>
      <c r="AB1838" s="1"/>
      <c r="AC1838" s="1"/>
      <c r="AD1838" s="1"/>
      <c r="AE1838" s="1" t="s">
        <v>51</v>
      </c>
      <c r="AF1838" s="1" t="s">
        <v>51</v>
      </c>
      <c r="AG1838" s="1" t="s">
        <v>51</v>
      </c>
      <c r="AH1838" s="1"/>
      <c r="AI1838" s="1"/>
      <c r="AJ1838" s="3">
        <v>1</v>
      </c>
      <c r="AK1838" s="1" t="s">
        <v>52</v>
      </c>
      <c r="AL1838" s="3">
        <v>3</v>
      </c>
      <c r="AM1838" s="8">
        <v>15</v>
      </c>
      <c r="AN1838" s="1"/>
      <c r="AO1838" s="1" t="s">
        <v>12849</v>
      </c>
      <c r="AP1838" s="1" t="s">
        <v>4327</v>
      </c>
      <c r="AQ1838" s="1" t="s">
        <v>12850</v>
      </c>
      <c r="AR1838" s="1" t="s">
        <v>12848</v>
      </c>
    </row>
    <row r="1839">
      <c r="A1839" s="2">
        <f ca="1">DATE(2006,03,31)</f>
        <v>0</v>
      </c>
      <c r="B1839" s="2">
        <f ca="1">DATE(2006,07,13)</f>
        <v>0</v>
      </c>
      <c r="C1839" s="1" t="s">
        <v>12851</v>
      </c>
      <c r="D1839" s="3">
        <v>4612</v>
      </c>
      <c r="E1839" s="1" t="s">
        <v>43</v>
      </c>
      <c r="F1839" s="1" t="s">
        <v>12852</v>
      </c>
      <c r="G1839" s="1" t="s">
        <v>813</v>
      </c>
      <c r="H1839" s="4">
        <v>1.2649999999999999</v>
      </c>
      <c r="I1839" s="4">
        <v>5.75</v>
      </c>
      <c r="J1839" s="5">
        <v>379.5</v>
      </c>
      <c r="K1839" s="4">
        <v>22</v>
      </c>
      <c r="L1839" s="1" t="s">
        <v>5598</v>
      </c>
      <c r="M1839" s="1" t="s">
        <v>47</v>
      </c>
      <c r="N1839" s="1" t="s">
        <v>12853</v>
      </c>
      <c r="O1839" s="1" t="s">
        <v>108</v>
      </c>
      <c r="P1839" s="1" t="s">
        <v>12854</v>
      </c>
      <c r="Q1839" s="1" t="s">
        <v>145</v>
      </c>
      <c r="R1839" s="1" t="s">
        <v>145</v>
      </c>
      <c r="S1839" s="6">
        <v>3.5227300000000001</v>
      </c>
      <c r="T1839" s="1" t="s">
        <v>50</v>
      </c>
      <c r="U1839" s="1"/>
      <c r="V1839" s="1"/>
      <c r="W1839" s="7">
        <v>16500000</v>
      </c>
      <c r="X1839" s="1"/>
      <c r="Y1839" s="1"/>
      <c r="Z1839" s="7">
        <v>17250000</v>
      </c>
      <c r="AA1839" s="1" t="s">
        <v>12855</v>
      </c>
      <c r="AB1839" s="1" t="s">
        <v>5265</v>
      </c>
      <c r="AC1839" s="1" t="s">
        <v>7759</v>
      </c>
      <c r="AD1839" s="1" t="s">
        <v>5265</v>
      </c>
      <c r="AE1839" s="1" t="s">
        <v>51</v>
      </c>
      <c r="AF1839" s="1" t="s">
        <v>51</v>
      </c>
      <c r="AG1839" s="1" t="s">
        <v>51</v>
      </c>
      <c r="AH1839" s="1"/>
      <c r="AI1839" s="1"/>
      <c r="AJ1839" s="3">
        <v>1</v>
      </c>
      <c r="AK1839" s="1" t="s">
        <v>52</v>
      </c>
      <c r="AL1839" s="3">
        <v>16</v>
      </c>
      <c r="AM1839" s="8">
        <v>22</v>
      </c>
      <c r="AN1839" s="1"/>
      <c r="AO1839" s="1" t="s">
        <v>12856</v>
      </c>
      <c r="AP1839" s="1" t="s">
        <v>813</v>
      </c>
      <c r="AQ1839" s="1" t="s">
        <v>12857</v>
      </c>
      <c r="AR1839" s="1" t="s">
        <v>12858</v>
      </c>
    </row>
    <row r="1840">
      <c r="A1840" s="2">
        <f ca="1">DATE(2006,02,07)</f>
        <v>0</v>
      </c>
      <c r="B1840" s="2">
        <f ca="1">DATE(2006,07,18)</f>
        <v>0</v>
      </c>
      <c r="C1840" s="1" t="s">
        <v>12859</v>
      </c>
      <c r="D1840" s="3">
        <v>6726</v>
      </c>
      <c r="E1840" s="1" t="s">
        <v>43</v>
      </c>
      <c r="F1840" s="1" t="s">
        <v>12860</v>
      </c>
      <c r="G1840" s="1" t="s">
        <v>10277</v>
      </c>
      <c r="H1840" s="4">
        <v>0.5</v>
      </c>
      <c r="I1840" s="4">
        <v>5</v>
      </c>
      <c r="J1840" s="5">
        <v>202.5</v>
      </c>
      <c r="K1840" s="4">
        <v>10</v>
      </c>
      <c r="L1840" s="1" t="s">
        <v>46</v>
      </c>
      <c r="M1840" s="1" t="s">
        <v>47</v>
      </c>
      <c r="N1840" s="1" t="s">
        <v>12861</v>
      </c>
      <c r="O1840" s="1" t="s">
        <v>87</v>
      </c>
      <c r="P1840" s="1" t="s">
        <v>12862</v>
      </c>
      <c r="Q1840" s="1" t="s">
        <v>145</v>
      </c>
      <c r="R1840" s="1" t="s">
        <v>145</v>
      </c>
      <c r="S1840" s="8">
        <v>2.25</v>
      </c>
      <c r="T1840" s="1" t="s">
        <v>50</v>
      </c>
      <c r="U1840" s="8">
        <v>10</v>
      </c>
      <c r="V1840" s="8">
        <v>10</v>
      </c>
      <c r="W1840" s="7">
        <v>15000000</v>
      </c>
      <c r="X1840" s="5">
        <v>150</v>
      </c>
      <c r="Y1840" s="7">
        <v>20250000</v>
      </c>
      <c r="Z1840" s="1"/>
      <c r="AA1840" s="1"/>
      <c r="AB1840" s="1"/>
      <c r="AC1840" s="1"/>
      <c r="AD1840" s="1"/>
      <c r="AE1840" s="1" t="s">
        <v>51</v>
      </c>
      <c r="AF1840" s="1" t="s">
        <v>51</v>
      </c>
      <c r="AG1840" s="1" t="s">
        <v>51</v>
      </c>
      <c r="AH1840" s="1"/>
      <c r="AI1840" s="1"/>
      <c r="AJ1840" s="3">
        <v>1</v>
      </c>
      <c r="AK1840" s="1" t="s">
        <v>52</v>
      </c>
      <c r="AL1840" s="3">
        <v>2</v>
      </c>
      <c r="AM1840" s="1"/>
      <c r="AN1840" s="1"/>
      <c r="AO1840" s="1" t="s">
        <v>12863</v>
      </c>
      <c r="AP1840" s="1" t="s">
        <v>10277</v>
      </c>
      <c r="AQ1840" s="1" t="s">
        <v>12864</v>
      </c>
      <c r="AR1840" s="1" t="s">
        <v>12865</v>
      </c>
    </row>
    <row r="1841">
      <c r="A1841" s="2">
        <f ca="1">DATE(2006,01,12)</f>
        <v>0</v>
      </c>
      <c r="B1841" s="2">
        <f ca="1">DATE(2006,07,20)</f>
        <v>0</v>
      </c>
      <c r="C1841" s="1" t="s">
        <v>12866</v>
      </c>
      <c r="D1841" s="3">
        <v>1311</v>
      </c>
      <c r="E1841" s="1" t="s">
        <v>43</v>
      </c>
      <c r="F1841" s="1" t="s">
        <v>12867</v>
      </c>
      <c r="G1841" s="1" t="s">
        <v>813</v>
      </c>
      <c r="H1841" s="4">
        <v>1.5529999999999999</v>
      </c>
      <c r="I1841" s="4">
        <v>6.75</v>
      </c>
      <c r="J1841" s="5">
        <v>82.799999999999997</v>
      </c>
      <c r="K1841" s="4">
        <v>23</v>
      </c>
      <c r="L1841" s="1" t="s">
        <v>85</v>
      </c>
      <c r="M1841" s="1" t="s">
        <v>47</v>
      </c>
      <c r="N1841" s="1" t="s">
        <v>12868</v>
      </c>
      <c r="O1841" s="1" t="s">
        <v>108</v>
      </c>
      <c r="P1841" s="1" t="s">
        <v>12869</v>
      </c>
      <c r="Q1841" s="1" t="s">
        <v>145</v>
      </c>
      <c r="R1841" s="1" t="s">
        <v>145</v>
      </c>
      <c r="S1841" s="6">
        <v>4.0434799999999997</v>
      </c>
      <c r="T1841" s="1" t="s">
        <v>50</v>
      </c>
      <c r="U1841" s="1"/>
      <c r="V1841" s="1"/>
      <c r="W1841" s="7">
        <v>3600000</v>
      </c>
      <c r="X1841" s="1"/>
      <c r="Y1841" s="7">
        <v>3600000</v>
      </c>
      <c r="Z1841" s="1"/>
      <c r="AA1841" s="1" t="s">
        <v>12870</v>
      </c>
      <c r="AB1841" s="1" t="s">
        <v>2067</v>
      </c>
      <c r="AC1841" s="1" t="s">
        <v>2068</v>
      </c>
      <c r="AD1841" s="1" t="s">
        <v>2067</v>
      </c>
      <c r="AE1841" s="1" t="s">
        <v>51</v>
      </c>
      <c r="AF1841" s="1" t="s">
        <v>51</v>
      </c>
      <c r="AG1841" s="1" t="s">
        <v>51</v>
      </c>
      <c r="AH1841" s="1"/>
      <c r="AI1841" s="1"/>
      <c r="AJ1841" s="3">
        <v>1</v>
      </c>
      <c r="AK1841" s="1" t="s">
        <v>1209</v>
      </c>
      <c r="AL1841" s="3">
        <v>7</v>
      </c>
      <c r="AM1841" s="8">
        <v>23</v>
      </c>
      <c r="AN1841" s="1"/>
      <c r="AO1841" s="1" t="s">
        <v>12871</v>
      </c>
      <c r="AP1841" s="1" t="s">
        <v>12872</v>
      </c>
      <c r="AQ1841" s="1" t="s">
        <v>12873</v>
      </c>
      <c r="AR1841" s="1" t="s">
        <v>12869</v>
      </c>
    </row>
    <row r="1842">
      <c r="A1842" s="2">
        <f ca="1">DATE(2006,02,17)</f>
        <v>0</v>
      </c>
      <c r="B1842" s="2">
        <f ca="1">DATE(2006,07,20)</f>
        <v>0</v>
      </c>
      <c r="C1842" s="1" t="s">
        <v>12874</v>
      </c>
      <c r="D1842" s="3">
        <v>2836</v>
      </c>
      <c r="E1842" s="1" t="s">
        <v>43</v>
      </c>
      <c r="F1842" s="1" t="s">
        <v>12875</v>
      </c>
      <c r="G1842" s="1" t="s">
        <v>9226</v>
      </c>
      <c r="H1842" s="4">
        <v>0.59999999999999998</v>
      </c>
      <c r="I1842" s="4">
        <v>10</v>
      </c>
      <c r="J1842" s="5">
        <v>10.199999999999999</v>
      </c>
      <c r="K1842" s="4">
        <v>6</v>
      </c>
      <c r="L1842" s="1" t="s">
        <v>46</v>
      </c>
      <c r="M1842" s="1" t="s">
        <v>47</v>
      </c>
      <c r="N1842" s="3">
        <v>185860103</v>
      </c>
      <c r="O1842" s="1" t="s">
        <v>48</v>
      </c>
      <c r="P1842" s="1" t="s">
        <v>12876</v>
      </c>
      <c r="Q1842" s="1" t="s">
        <v>145</v>
      </c>
      <c r="R1842" s="1" t="s">
        <v>145</v>
      </c>
      <c r="S1842" s="8">
        <v>3</v>
      </c>
      <c r="T1842" s="1" t="s">
        <v>50</v>
      </c>
      <c r="U1842" s="1"/>
      <c r="V1842" s="1"/>
      <c r="W1842" s="1"/>
      <c r="X1842" s="5">
        <v>13.800000000000001</v>
      </c>
      <c r="Y1842" s="7">
        <v>1700000</v>
      </c>
      <c r="Z1842" s="1"/>
      <c r="AA1842" s="1" t="s">
        <v>12877</v>
      </c>
      <c r="AB1842" s="1" t="s">
        <v>12878</v>
      </c>
      <c r="AC1842" s="1" t="s">
        <v>12879</v>
      </c>
      <c r="AD1842" s="1" t="s">
        <v>12880</v>
      </c>
      <c r="AE1842" s="1" t="s">
        <v>51</v>
      </c>
      <c r="AF1842" s="1" t="s">
        <v>51</v>
      </c>
      <c r="AG1842" s="1" t="s">
        <v>47</v>
      </c>
      <c r="AH1842" s="1"/>
      <c r="AI1842" s="1"/>
      <c r="AJ1842" s="3">
        <v>1</v>
      </c>
      <c r="AK1842" s="1" t="s">
        <v>52</v>
      </c>
      <c r="AL1842" s="3">
        <v>2</v>
      </c>
      <c r="AM1842" s="8">
        <v>5.4000000000000004</v>
      </c>
      <c r="AN1842" s="1"/>
      <c r="AO1842" s="1" t="s">
        <v>12881</v>
      </c>
      <c r="AP1842" s="1" t="s">
        <v>9226</v>
      </c>
      <c r="AQ1842" s="1" t="s">
        <v>12882</v>
      </c>
      <c r="AR1842" s="1" t="s">
        <v>12876</v>
      </c>
    </row>
    <row r="1843">
      <c r="A1843" s="2">
        <f ca="1">DATE(2006,04,10)</f>
        <v>0</v>
      </c>
      <c r="B1843" s="2">
        <f ca="1">DATE(2006,07,20)</f>
        <v>0</v>
      </c>
      <c r="C1843" s="1" t="s">
        <v>12883</v>
      </c>
      <c r="D1843" s="3">
        <v>6726</v>
      </c>
      <c r="E1843" s="1" t="s">
        <v>43</v>
      </c>
      <c r="F1843" s="1" t="s">
        <v>12884</v>
      </c>
      <c r="G1843" s="1" t="s">
        <v>10946</v>
      </c>
      <c r="H1843" s="4">
        <v>0.38</v>
      </c>
      <c r="I1843" s="4">
        <v>4.75</v>
      </c>
      <c r="J1843" s="5">
        <v>58</v>
      </c>
      <c r="K1843" s="4">
        <v>8</v>
      </c>
      <c r="L1843" s="1" t="s">
        <v>46</v>
      </c>
      <c r="M1843" s="1" t="s">
        <v>47</v>
      </c>
      <c r="N1843" s="1" t="s">
        <v>12885</v>
      </c>
      <c r="O1843" s="1" t="s">
        <v>87</v>
      </c>
      <c r="P1843" s="1" t="s">
        <v>12886</v>
      </c>
      <c r="Q1843" s="1" t="s">
        <v>145</v>
      </c>
      <c r="R1843" s="1" t="s">
        <v>145</v>
      </c>
      <c r="S1843" s="8">
        <v>2.5</v>
      </c>
      <c r="T1843" s="1" t="s">
        <v>50</v>
      </c>
      <c r="U1843" s="8">
        <v>8</v>
      </c>
      <c r="V1843" s="8">
        <v>8</v>
      </c>
      <c r="W1843" s="7">
        <v>10000000</v>
      </c>
      <c r="X1843" s="5">
        <v>80</v>
      </c>
      <c r="Y1843" s="7">
        <v>7250000</v>
      </c>
      <c r="Z1843" s="1"/>
      <c r="AA1843" s="1"/>
      <c r="AB1843" s="1"/>
      <c r="AC1843" s="1"/>
      <c r="AD1843" s="1"/>
      <c r="AE1843" s="1" t="s">
        <v>51</v>
      </c>
      <c r="AF1843" s="1" t="s">
        <v>51</v>
      </c>
      <c r="AG1843" s="1" t="s">
        <v>51</v>
      </c>
      <c r="AH1843" s="1"/>
      <c r="AI1843" s="1"/>
      <c r="AJ1843" s="3">
        <v>1</v>
      </c>
      <c r="AK1843" s="1" t="s">
        <v>52</v>
      </c>
      <c r="AL1843" s="3">
        <v>3</v>
      </c>
      <c r="AM1843" s="1"/>
      <c r="AN1843" s="1"/>
      <c r="AO1843" s="1" t="s">
        <v>12887</v>
      </c>
      <c r="AP1843" s="1" t="s">
        <v>10946</v>
      </c>
      <c r="AQ1843" s="1" t="s">
        <v>12888</v>
      </c>
      <c r="AR1843" s="1" t="s">
        <v>12889</v>
      </c>
    </row>
    <row r="1844">
      <c r="A1844" s="2">
        <f ca="1">DATE(2006,05,24)</f>
        <v>0</v>
      </c>
      <c r="B1844" s="2">
        <f ca="1">DATE(2006,07,24)</f>
        <v>0</v>
      </c>
      <c r="C1844" s="1" t="s">
        <v>12890</v>
      </c>
      <c r="D1844" s="3">
        <v>6726</v>
      </c>
      <c r="E1844" s="1" t="s">
        <v>43</v>
      </c>
      <c r="F1844" s="1" t="s">
        <v>12891</v>
      </c>
      <c r="G1844" s="1" t="s">
        <v>796</v>
      </c>
      <c r="H1844" s="4">
        <v>0.90000000000000002</v>
      </c>
      <c r="I1844" s="4">
        <v>4.5</v>
      </c>
      <c r="J1844" s="5">
        <v>367</v>
      </c>
      <c r="K1844" s="4">
        <v>20</v>
      </c>
      <c r="L1844" s="1" t="s">
        <v>4422</v>
      </c>
      <c r="M1844" s="1" t="s">
        <v>47</v>
      </c>
      <c r="N1844" s="1" t="s">
        <v>12892</v>
      </c>
      <c r="O1844" s="1" t="s">
        <v>108</v>
      </c>
      <c r="P1844" s="1" t="s">
        <v>12893</v>
      </c>
      <c r="Q1844" s="1" t="s">
        <v>145</v>
      </c>
      <c r="R1844" s="1" t="s">
        <v>145</v>
      </c>
      <c r="S1844" s="8">
        <v>3</v>
      </c>
      <c r="T1844" s="1" t="s">
        <v>50</v>
      </c>
      <c r="U1844" s="8">
        <v>20</v>
      </c>
      <c r="V1844" s="8">
        <v>20</v>
      </c>
      <c r="W1844" s="7">
        <v>1000</v>
      </c>
      <c r="X1844" s="5">
        <v>0</v>
      </c>
      <c r="Y1844" s="7">
        <v>18350000</v>
      </c>
      <c r="Z1844" s="1"/>
      <c r="AA1844" s="2">
        <f ca="1">DATE(2007,01,20)</f>
        <v>0</v>
      </c>
      <c r="AB1844" s="1"/>
      <c r="AC1844" s="3">
        <v>180</v>
      </c>
      <c r="AD1844" s="1"/>
      <c r="AE1844" s="1" t="s">
        <v>51</v>
      </c>
      <c r="AF1844" s="1" t="s">
        <v>51</v>
      </c>
      <c r="AG1844" s="1" t="s">
        <v>51</v>
      </c>
      <c r="AH1844" s="1"/>
      <c r="AI1844" s="1"/>
      <c r="AJ1844" s="3">
        <v>1</v>
      </c>
      <c r="AK1844" s="1" t="s">
        <v>52</v>
      </c>
      <c r="AL1844" s="3">
        <v>11</v>
      </c>
      <c r="AM1844" s="8">
        <v>20</v>
      </c>
      <c r="AN1844" s="1"/>
      <c r="AO1844" s="1" t="s">
        <v>12894</v>
      </c>
      <c r="AP1844" s="1" t="s">
        <v>796</v>
      </c>
      <c r="AQ1844" s="1" t="s">
        <v>12895</v>
      </c>
      <c r="AR1844" s="1" t="s">
        <v>12896</v>
      </c>
    </row>
    <row r="1845">
      <c r="A1845" s="2">
        <f ca="1">DATE(2006,05,12)</f>
        <v>0</v>
      </c>
      <c r="B1845" s="2">
        <f ca="1">DATE(2006,07,25)</f>
        <v>0</v>
      </c>
      <c r="C1845" s="1" t="s">
        <v>12897</v>
      </c>
      <c r="D1845" s="3">
        <v>6726</v>
      </c>
      <c r="E1845" s="1" t="s">
        <v>43</v>
      </c>
      <c r="F1845" s="1" t="s">
        <v>12898</v>
      </c>
      <c r="G1845" s="1" t="s">
        <v>6201</v>
      </c>
      <c r="H1845" s="4">
        <v>0.90000000000000002</v>
      </c>
      <c r="I1845" s="4">
        <v>4.5</v>
      </c>
      <c r="J1845" s="5">
        <v>414</v>
      </c>
      <c r="K1845" s="4">
        <v>20</v>
      </c>
      <c r="L1845" s="1" t="s">
        <v>4422</v>
      </c>
      <c r="M1845" s="1" t="s">
        <v>47</v>
      </c>
      <c r="N1845" s="1" t="s">
        <v>12899</v>
      </c>
      <c r="O1845" s="1" t="s">
        <v>108</v>
      </c>
      <c r="P1845" s="1" t="s">
        <v>12900</v>
      </c>
      <c r="Q1845" s="1" t="s">
        <v>145</v>
      </c>
      <c r="R1845" s="1" t="s">
        <v>145</v>
      </c>
      <c r="S1845" s="8">
        <v>3</v>
      </c>
      <c r="T1845" s="1" t="s">
        <v>50</v>
      </c>
      <c r="U1845" s="8">
        <v>20</v>
      </c>
      <c r="V1845" s="8">
        <v>20</v>
      </c>
      <c r="W1845" s="7">
        <v>50000</v>
      </c>
      <c r="X1845" s="5">
        <v>1</v>
      </c>
      <c r="Y1845" s="7">
        <v>20700000</v>
      </c>
      <c r="Z1845" s="1"/>
      <c r="AA1845" s="1"/>
      <c r="AB1845" s="1"/>
      <c r="AC1845" s="1"/>
      <c r="AD1845" s="1"/>
      <c r="AE1845" s="1" t="s">
        <v>51</v>
      </c>
      <c r="AF1845" s="1" t="s">
        <v>51</v>
      </c>
      <c r="AG1845" s="1" t="s">
        <v>51</v>
      </c>
      <c r="AH1845" s="1"/>
      <c r="AI1845" s="1"/>
      <c r="AJ1845" s="3">
        <v>1</v>
      </c>
      <c r="AK1845" s="1" t="s">
        <v>52</v>
      </c>
      <c r="AL1845" s="3">
        <v>14</v>
      </c>
      <c r="AM1845" s="8">
        <v>20</v>
      </c>
      <c r="AN1845" s="1"/>
      <c r="AO1845" s="1" t="s">
        <v>12901</v>
      </c>
      <c r="AP1845" s="1" t="s">
        <v>6201</v>
      </c>
      <c r="AQ1845" s="1" t="s">
        <v>12902</v>
      </c>
      <c r="AR1845" s="1" t="s">
        <v>12903</v>
      </c>
    </row>
    <row r="1846">
      <c r="A1846" s="2">
        <f ca="1">DATE(2006,04,13)</f>
        <v>0</v>
      </c>
      <c r="B1846" s="2">
        <f ca="1">DATE(2006,07,25)</f>
        <v>0</v>
      </c>
      <c r="C1846" s="1" t="s">
        <v>12904</v>
      </c>
      <c r="D1846" s="3">
        <v>3443</v>
      </c>
      <c r="E1846" s="1" t="s">
        <v>43</v>
      </c>
      <c r="F1846" s="1" t="s">
        <v>12905</v>
      </c>
      <c r="G1846" s="1" t="s">
        <v>12906</v>
      </c>
      <c r="H1846" s="4">
        <v>0.97499999999999998</v>
      </c>
      <c r="I1846" s="4">
        <v>6.5</v>
      </c>
      <c r="J1846" s="5">
        <v>187.5</v>
      </c>
      <c r="K1846" s="4">
        <v>15</v>
      </c>
      <c r="L1846" s="1" t="s">
        <v>46</v>
      </c>
      <c r="M1846" s="1" t="s">
        <v>47</v>
      </c>
      <c r="N1846" s="1" t="s">
        <v>12907</v>
      </c>
      <c r="O1846" s="1" t="s">
        <v>48</v>
      </c>
      <c r="P1846" s="1" t="s">
        <v>12908</v>
      </c>
      <c r="Q1846" s="1" t="s">
        <v>145</v>
      </c>
      <c r="R1846" s="1" t="s">
        <v>145</v>
      </c>
      <c r="S1846" s="6">
        <v>3.9333300000000002</v>
      </c>
      <c r="T1846" s="1" t="s">
        <v>50</v>
      </c>
      <c r="U1846" s="1"/>
      <c r="V1846" s="1"/>
      <c r="W1846" s="1"/>
      <c r="X1846" s="5">
        <v>250</v>
      </c>
      <c r="Y1846" s="7">
        <v>12500000</v>
      </c>
      <c r="Z1846" s="1"/>
      <c r="AA1846" s="1" t="s">
        <v>12909</v>
      </c>
      <c r="AB1846" s="1" t="s">
        <v>12910</v>
      </c>
      <c r="AC1846" s="1" t="s">
        <v>12911</v>
      </c>
      <c r="AD1846" s="1" t="s">
        <v>12912</v>
      </c>
      <c r="AE1846" s="1" t="s">
        <v>51</v>
      </c>
      <c r="AF1846" s="1" t="s">
        <v>51</v>
      </c>
      <c r="AG1846" s="1" t="s">
        <v>51</v>
      </c>
      <c r="AH1846" s="1"/>
      <c r="AI1846" s="1"/>
      <c r="AJ1846" s="3">
        <v>3</v>
      </c>
      <c r="AK1846" s="1" t="s">
        <v>110</v>
      </c>
      <c r="AL1846" s="3">
        <v>6</v>
      </c>
      <c r="AM1846" s="8">
        <v>15.199999999999999</v>
      </c>
      <c r="AN1846" s="1"/>
      <c r="AO1846" s="1" t="s">
        <v>12913</v>
      </c>
      <c r="AP1846" s="1" t="s">
        <v>12914</v>
      </c>
      <c r="AQ1846" s="1" t="s">
        <v>12915</v>
      </c>
      <c r="AR1846" s="1" t="s">
        <v>12908</v>
      </c>
    </row>
    <row r="1847">
      <c r="A1847" s="2">
        <f ca="1">DATE(2006,07,03)</f>
        <v>0</v>
      </c>
      <c r="B1847" s="2">
        <f ca="1">DATE(2006,07,25)</f>
        <v>0</v>
      </c>
      <c r="C1847" s="1" t="s">
        <v>12916</v>
      </c>
      <c r="D1847" s="3">
        <v>7389</v>
      </c>
      <c r="E1847" s="1" t="s">
        <v>1806</v>
      </c>
      <c r="F1847" s="1" t="s">
        <v>12917</v>
      </c>
      <c r="G1847" s="1" t="s">
        <v>12918</v>
      </c>
      <c r="H1847" s="4">
        <v>1.3</v>
      </c>
      <c r="I1847" s="4">
        <v>6.5</v>
      </c>
      <c r="J1847" s="5">
        <v>224.09999999999999</v>
      </c>
      <c r="K1847" s="4">
        <v>20</v>
      </c>
      <c r="L1847" s="1" t="s">
        <v>651</v>
      </c>
      <c r="M1847" s="1" t="s">
        <v>47</v>
      </c>
      <c r="N1847" s="1" t="s">
        <v>12919</v>
      </c>
      <c r="O1847" s="1" t="s">
        <v>108</v>
      </c>
      <c r="P1847" s="1" t="s">
        <v>12920</v>
      </c>
      <c r="Q1847" s="1" t="s">
        <v>145</v>
      </c>
      <c r="R1847" s="1" t="s">
        <v>145</v>
      </c>
      <c r="S1847" s="8">
        <v>3.8999999999999999</v>
      </c>
      <c r="T1847" s="1" t="s">
        <v>50</v>
      </c>
      <c r="U1847" s="8">
        <v>20</v>
      </c>
      <c r="V1847" s="8">
        <v>18</v>
      </c>
      <c r="W1847" s="7">
        <v>10428708</v>
      </c>
      <c r="X1847" s="5">
        <v>198.09999999999999</v>
      </c>
      <c r="Y1847" s="7">
        <v>4473684</v>
      </c>
      <c r="Z1847" s="7">
        <v>6729024</v>
      </c>
      <c r="AA1847" s="1" t="s">
        <v>12921</v>
      </c>
      <c r="AB1847" s="1" t="s">
        <v>12922</v>
      </c>
      <c r="AC1847" s="1" t="s">
        <v>7759</v>
      </c>
      <c r="AD1847" s="1" t="s">
        <v>12923</v>
      </c>
      <c r="AE1847" s="1" t="s">
        <v>47</v>
      </c>
      <c r="AF1847" s="1" t="s">
        <v>51</v>
      </c>
      <c r="AG1847" s="1" t="s">
        <v>51</v>
      </c>
      <c r="AH1847" s="1"/>
      <c r="AI1847" s="1"/>
      <c r="AJ1847" s="3">
        <v>3</v>
      </c>
      <c r="AK1847" s="1" t="s">
        <v>110</v>
      </c>
      <c r="AL1847" s="3">
        <v>5</v>
      </c>
      <c r="AM1847" s="8">
        <v>25.100000000000001</v>
      </c>
      <c r="AN1847" s="1"/>
      <c r="AO1847" s="1" t="s">
        <v>12924</v>
      </c>
      <c r="AP1847" s="1" t="s">
        <v>12925</v>
      </c>
      <c r="AQ1847" s="1" t="s">
        <v>12926</v>
      </c>
      <c r="AR1847" s="1" t="s">
        <v>12927</v>
      </c>
    </row>
    <row r="1848">
      <c r="A1848" s="2">
        <f ca="1">DATE(2005,12,09)</f>
        <v>0</v>
      </c>
      <c r="B1848" s="2">
        <f ca="1">DATE(2006,07,27)</f>
        <v>0</v>
      </c>
      <c r="C1848" s="1" t="s">
        <v>12928</v>
      </c>
      <c r="D1848" s="3">
        <v>6798</v>
      </c>
      <c r="E1848" s="1" t="s">
        <v>43</v>
      </c>
      <c r="F1848" s="1" t="s">
        <v>12929</v>
      </c>
      <c r="G1848" s="1" t="s">
        <v>12930</v>
      </c>
      <c r="H1848" s="4">
        <v>1.5529999999999999</v>
      </c>
      <c r="I1848" s="4">
        <v>6.75</v>
      </c>
      <c r="J1848" s="5">
        <v>172.5</v>
      </c>
      <c r="K1848" s="4">
        <v>23</v>
      </c>
      <c r="L1848" s="1" t="s">
        <v>46</v>
      </c>
      <c r="M1848" s="1" t="s">
        <v>47</v>
      </c>
      <c r="N1848" s="3">
        <v>229393301</v>
      </c>
      <c r="O1848" s="1" t="s">
        <v>77</v>
      </c>
      <c r="P1848" s="1" t="s">
        <v>12931</v>
      </c>
      <c r="Q1848" s="4">
        <v>1.353</v>
      </c>
      <c r="R1848" s="4">
        <v>1.353</v>
      </c>
      <c r="S1848" s="6">
        <v>4.0434799999999997</v>
      </c>
      <c r="T1848" s="1" t="s">
        <v>50</v>
      </c>
      <c r="U1848" s="1"/>
      <c r="V1848" s="1"/>
      <c r="W1848" s="1"/>
      <c r="X1848" s="5">
        <v>460</v>
      </c>
      <c r="Y1848" s="7">
        <v>7500000</v>
      </c>
      <c r="Z1848" s="1"/>
      <c r="AA1848" s="1" t="s">
        <v>12932</v>
      </c>
      <c r="AB1848" s="1" t="s">
        <v>12933</v>
      </c>
      <c r="AC1848" s="1" t="s">
        <v>12934</v>
      </c>
      <c r="AD1848" s="1" t="s">
        <v>12935</v>
      </c>
      <c r="AE1848" s="1" t="s">
        <v>51</v>
      </c>
      <c r="AF1848" s="1" t="s">
        <v>51</v>
      </c>
      <c r="AG1848" s="1" t="s">
        <v>51</v>
      </c>
      <c r="AH1848" s="1"/>
      <c r="AI1848" s="1"/>
      <c r="AJ1848" s="3">
        <v>2</v>
      </c>
      <c r="AK1848" s="1" t="s">
        <v>89</v>
      </c>
      <c r="AL1848" s="3">
        <v>7</v>
      </c>
      <c r="AM1848" s="8">
        <v>22.460000000000001</v>
      </c>
      <c r="AN1848" s="1"/>
      <c r="AO1848" s="1" t="s">
        <v>12936</v>
      </c>
      <c r="AP1848" s="1" t="s">
        <v>12937</v>
      </c>
      <c r="AQ1848" s="1" t="s">
        <v>12938</v>
      </c>
      <c r="AR1848" s="1" t="s">
        <v>12939</v>
      </c>
    </row>
    <row r="1849">
      <c r="A1849" s="2">
        <f ca="1">DATE(2006,05,12)</f>
        <v>0</v>
      </c>
      <c r="B1849" s="2">
        <f ca="1">DATE(2006,07,27)</f>
        <v>0</v>
      </c>
      <c r="C1849" s="1" t="s">
        <v>12940</v>
      </c>
      <c r="D1849" s="3">
        <v>1311</v>
      </c>
      <c r="E1849" s="1" t="s">
        <v>43</v>
      </c>
      <c r="F1849" s="1" t="s">
        <v>12941</v>
      </c>
      <c r="G1849" s="1" t="s">
        <v>1297</v>
      </c>
      <c r="H1849" s="4">
        <v>0.69999999999999996</v>
      </c>
      <c r="I1849" s="8">
        <v>7</v>
      </c>
      <c r="J1849" s="5">
        <v>50</v>
      </c>
      <c r="K1849" s="4">
        <v>10</v>
      </c>
      <c r="L1849" s="1" t="s">
        <v>46</v>
      </c>
      <c r="M1849" s="1" t="s">
        <v>47</v>
      </c>
      <c r="N1849" s="1" t="s">
        <v>12942</v>
      </c>
      <c r="O1849" s="1" t="s">
        <v>48</v>
      </c>
      <c r="P1849" s="1" t="s">
        <v>12943</v>
      </c>
      <c r="Q1849" s="4">
        <v>1.3999999999999999</v>
      </c>
      <c r="R1849" s="4">
        <v>1.3999999999999999</v>
      </c>
      <c r="S1849" s="8">
        <v>4.2000000000000002</v>
      </c>
      <c r="T1849" s="1" t="s">
        <v>50</v>
      </c>
      <c r="U1849" s="1"/>
      <c r="V1849" s="1"/>
      <c r="W1849" s="1"/>
      <c r="X1849" s="5">
        <v>160</v>
      </c>
      <c r="Y1849" s="7">
        <v>5000000</v>
      </c>
      <c r="Z1849" s="1"/>
      <c r="AA1849" s="1" t="s">
        <v>12944</v>
      </c>
      <c r="AB1849" s="1" t="s">
        <v>12945</v>
      </c>
      <c r="AC1849" s="1" t="s">
        <v>12911</v>
      </c>
      <c r="AD1849" s="1" t="s">
        <v>12946</v>
      </c>
      <c r="AE1849" s="1" t="s">
        <v>51</v>
      </c>
      <c r="AF1849" s="1" t="s">
        <v>51</v>
      </c>
      <c r="AG1849" s="1" t="s">
        <v>51</v>
      </c>
      <c r="AH1849" s="1"/>
      <c r="AI1849" s="1"/>
      <c r="AJ1849" s="3">
        <v>1</v>
      </c>
      <c r="AK1849" s="1" t="s">
        <v>52</v>
      </c>
      <c r="AL1849" s="3">
        <v>3</v>
      </c>
      <c r="AM1849" s="8">
        <v>10.970000000000001</v>
      </c>
      <c r="AN1849" s="1"/>
      <c r="AO1849" s="1" t="s">
        <v>12947</v>
      </c>
      <c r="AP1849" s="1" t="s">
        <v>1297</v>
      </c>
      <c r="AQ1849" s="1" t="s">
        <v>12948</v>
      </c>
      <c r="AR1849" s="1" t="s">
        <v>12943</v>
      </c>
    </row>
    <row r="1850">
      <c r="A1850" s="2">
        <f ca="1">DATE(2006,04,07)</f>
        <v>0</v>
      </c>
      <c r="B1850" s="2">
        <f ca="1">DATE(2006,08,01)</f>
        <v>0</v>
      </c>
      <c r="C1850" s="1" t="s">
        <v>12949</v>
      </c>
      <c r="D1850" s="3">
        <v>6351</v>
      </c>
      <c r="E1850" s="1" t="s">
        <v>517</v>
      </c>
      <c r="F1850" s="1" t="s">
        <v>12950</v>
      </c>
      <c r="G1850" s="1" t="s">
        <v>12951</v>
      </c>
      <c r="H1850" s="4">
        <v>1.23</v>
      </c>
      <c r="I1850" s="4">
        <v>6</v>
      </c>
      <c r="J1850" s="5">
        <v>460.19999999999999</v>
      </c>
      <c r="K1850" s="4">
        <v>20.5</v>
      </c>
      <c r="L1850" s="1" t="s">
        <v>46</v>
      </c>
      <c r="M1850" s="1" t="s">
        <v>47</v>
      </c>
      <c r="N1850" s="1" t="s">
        <v>12952</v>
      </c>
      <c r="O1850" s="1" t="s">
        <v>108</v>
      </c>
      <c r="P1850" s="1" t="s">
        <v>12953</v>
      </c>
      <c r="Q1850" s="4">
        <v>1.1950000000000001</v>
      </c>
      <c r="R1850" s="4">
        <v>1.1950000000000001</v>
      </c>
      <c r="S1850" s="6">
        <v>3.6097600000000001</v>
      </c>
      <c r="T1850" s="1" t="s">
        <v>50</v>
      </c>
      <c r="U1850" s="1"/>
      <c r="V1850" s="1"/>
      <c r="W1850" s="1"/>
      <c r="X1850" s="5">
        <v>100</v>
      </c>
      <c r="Y1850" s="7">
        <v>18009119</v>
      </c>
      <c r="Z1850" s="7">
        <v>4438609</v>
      </c>
      <c r="AA1850" s="1" t="s">
        <v>12954</v>
      </c>
      <c r="AB1850" s="1" t="s">
        <v>12955</v>
      </c>
      <c r="AC1850" s="1" t="s">
        <v>7759</v>
      </c>
      <c r="AD1850" s="1" t="s">
        <v>12956</v>
      </c>
      <c r="AE1850" s="1" t="s">
        <v>51</v>
      </c>
      <c r="AF1850" s="1" t="s">
        <v>51</v>
      </c>
      <c r="AG1850" s="1" t="s">
        <v>51</v>
      </c>
      <c r="AH1850" s="1"/>
      <c r="AI1850" s="1"/>
      <c r="AJ1850" s="3">
        <v>3</v>
      </c>
      <c r="AK1850" s="1" t="s">
        <v>110</v>
      </c>
      <c r="AL1850" s="3">
        <v>16</v>
      </c>
      <c r="AM1850" s="5">
        <v>20.5</v>
      </c>
      <c r="AN1850" s="5">
        <v>20.899999999999999</v>
      </c>
      <c r="AO1850" s="1" t="s">
        <v>12957</v>
      </c>
      <c r="AP1850" s="1" t="s">
        <v>12958</v>
      </c>
      <c r="AQ1850" s="1" t="s">
        <v>12959</v>
      </c>
      <c r="AR1850" s="1" t="s">
        <v>12960</v>
      </c>
    </row>
    <row r="1851">
      <c r="A1851" s="2">
        <f ca="1">DATE(2006,04,20)</f>
        <v>0</v>
      </c>
      <c r="B1851" s="2">
        <f ca="1">DATE(2006,08,03)</f>
        <v>0</v>
      </c>
      <c r="C1851" s="1" t="s">
        <v>12961</v>
      </c>
      <c r="D1851" s="3">
        <v>4613</v>
      </c>
      <c r="E1851" s="1" t="s">
        <v>43</v>
      </c>
      <c r="F1851" s="1" t="s">
        <v>12962</v>
      </c>
      <c r="G1851" s="1" t="s">
        <v>12963</v>
      </c>
      <c r="H1851" s="4">
        <v>0.871</v>
      </c>
      <c r="I1851" s="4">
        <v>5.125</v>
      </c>
      <c r="J1851" s="5">
        <v>178.5</v>
      </c>
      <c r="K1851" s="4">
        <v>17</v>
      </c>
      <c r="L1851" s="1" t="s">
        <v>85</v>
      </c>
      <c r="M1851" s="1" t="s">
        <v>47</v>
      </c>
      <c r="N1851" s="3">
        <v>118167105</v>
      </c>
      <c r="O1851" s="1" t="s">
        <v>108</v>
      </c>
      <c r="P1851" s="1" t="s">
        <v>12964</v>
      </c>
      <c r="Q1851" s="4">
        <v>1.0249999999999999</v>
      </c>
      <c r="R1851" s="4">
        <v>1.0249999999999999</v>
      </c>
      <c r="S1851" s="6">
        <v>3.0747100000000001</v>
      </c>
      <c r="T1851" s="1" t="s">
        <v>50</v>
      </c>
      <c r="U1851" s="1"/>
      <c r="V1851" s="1"/>
      <c r="W1851" s="7">
        <v>12500000</v>
      </c>
      <c r="X1851" s="1"/>
      <c r="Y1851" s="7">
        <v>10500000</v>
      </c>
      <c r="Z1851" s="1"/>
      <c r="AA1851" s="2">
        <f ca="1">DATE(2007,01,30)</f>
        <v>0</v>
      </c>
      <c r="AB1851" s="1" t="s">
        <v>2067</v>
      </c>
      <c r="AC1851" s="1" t="s">
        <v>7109</v>
      </c>
      <c r="AD1851" s="1" t="s">
        <v>2067</v>
      </c>
      <c r="AE1851" s="1" t="s">
        <v>51</v>
      </c>
      <c r="AF1851" s="1" t="s">
        <v>51</v>
      </c>
      <c r="AG1851" s="1" t="s">
        <v>51</v>
      </c>
      <c r="AH1851" s="1"/>
      <c r="AI1851" s="1"/>
      <c r="AJ1851" s="3">
        <v>3</v>
      </c>
      <c r="AK1851" s="1" t="s">
        <v>1209</v>
      </c>
      <c r="AL1851" s="3">
        <v>9</v>
      </c>
      <c r="AM1851" s="8">
        <v>16.23</v>
      </c>
      <c r="AN1851" s="1"/>
      <c r="AO1851" s="1" t="s">
        <v>12965</v>
      </c>
      <c r="AP1851" s="1" t="s">
        <v>12966</v>
      </c>
      <c r="AQ1851" s="1" t="s">
        <v>12967</v>
      </c>
      <c r="AR1851" s="1" t="s">
        <v>12968</v>
      </c>
    </row>
    <row r="1852">
      <c r="A1852" s="2">
        <f ca="1">DATE(2006,05,12)</f>
        <v>0</v>
      </c>
      <c r="B1852" s="2">
        <f ca="1">DATE(2006,08,03)</f>
        <v>0</v>
      </c>
      <c r="C1852" s="1" t="s">
        <v>12969</v>
      </c>
      <c r="D1852" s="3">
        <v>2836</v>
      </c>
      <c r="E1852" s="1" t="s">
        <v>43</v>
      </c>
      <c r="F1852" s="1" t="s">
        <v>12970</v>
      </c>
      <c r="G1852" s="1" t="s">
        <v>3766</v>
      </c>
      <c r="H1852" s="4">
        <v>0.77000000000000002</v>
      </c>
      <c r="I1852" s="4">
        <v>7</v>
      </c>
      <c r="J1852" s="5">
        <v>38.5</v>
      </c>
      <c r="K1852" s="4">
        <v>11</v>
      </c>
      <c r="L1852" s="1" t="s">
        <v>46</v>
      </c>
      <c r="M1852" s="1" t="s">
        <v>47</v>
      </c>
      <c r="N1852" s="1" t="s">
        <v>12971</v>
      </c>
      <c r="O1852" s="1" t="s">
        <v>48</v>
      </c>
      <c r="P1852" s="1" t="s">
        <v>12972</v>
      </c>
      <c r="Q1852" s="1" t="s">
        <v>145</v>
      </c>
      <c r="R1852" s="1" t="s">
        <v>145</v>
      </c>
      <c r="S1852" s="8">
        <v>4</v>
      </c>
      <c r="T1852" s="1" t="s">
        <v>50</v>
      </c>
      <c r="U1852" s="1"/>
      <c r="V1852" s="1"/>
      <c r="W1852" s="1"/>
      <c r="X1852" s="5">
        <v>80</v>
      </c>
      <c r="Y1852" s="7">
        <v>3500000</v>
      </c>
      <c r="Z1852" s="1"/>
      <c r="AA1852" s="1" t="s">
        <v>12973</v>
      </c>
      <c r="AB1852" s="1" t="s">
        <v>12974</v>
      </c>
      <c r="AC1852" s="1" t="s">
        <v>7759</v>
      </c>
      <c r="AD1852" s="1" t="s">
        <v>12975</v>
      </c>
      <c r="AE1852" s="1" t="s">
        <v>51</v>
      </c>
      <c r="AF1852" s="1" t="s">
        <v>51</v>
      </c>
      <c r="AG1852" s="1" t="s">
        <v>51</v>
      </c>
      <c r="AH1852" s="1"/>
      <c r="AI1852" s="1"/>
      <c r="AJ1852" s="3">
        <v>1</v>
      </c>
      <c r="AK1852" s="1" t="s">
        <v>52</v>
      </c>
      <c r="AL1852" s="3">
        <v>3</v>
      </c>
      <c r="AM1852" s="8">
        <v>11</v>
      </c>
      <c r="AN1852" s="1"/>
      <c r="AO1852" s="1" t="s">
        <v>12976</v>
      </c>
      <c r="AP1852" s="1" t="s">
        <v>3766</v>
      </c>
      <c r="AQ1852" s="1" t="s">
        <v>12977</v>
      </c>
      <c r="AR1852" s="1" t="s">
        <v>12972</v>
      </c>
    </row>
    <row r="1853">
      <c r="A1853" s="2">
        <f ca="1">DATE(2006,06,02)</f>
        <v>0</v>
      </c>
      <c r="B1853" s="2">
        <f ca="1">DATE(2006,08,07)</f>
        <v>0</v>
      </c>
      <c r="C1853" s="1" t="s">
        <v>12978</v>
      </c>
      <c r="D1853" s="3">
        <v>7359</v>
      </c>
      <c r="E1853" s="1" t="s">
        <v>43</v>
      </c>
      <c r="F1853" s="1" t="s">
        <v>12979</v>
      </c>
      <c r="G1853" s="1" t="s">
        <v>12980</v>
      </c>
      <c r="H1853" s="4">
        <v>1.6100000000000001</v>
      </c>
      <c r="I1853" s="4">
        <v>7</v>
      </c>
      <c r="J1853" s="5">
        <v>209.09999999999999</v>
      </c>
      <c r="K1853" s="4">
        <v>23</v>
      </c>
      <c r="L1853" s="1" t="s">
        <v>46</v>
      </c>
      <c r="M1853" s="1" t="s">
        <v>47</v>
      </c>
      <c r="N1853" s="1" t="s">
        <v>12981</v>
      </c>
      <c r="O1853" s="1" t="s">
        <v>108</v>
      </c>
      <c r="P1853" s="1" t="s">
        <v>12982</v>
      </c>
      <c r="Q1853" s="4">
        <v>1.391</v>
      </c>
      <c r="R1853" s="4">
        <v>1.391</v>
      </c>
      <c r="S1853" s="6">
        <v>4.21739</v>
      </c>
      <c r="T1853" s="1" t="s">
        <v>50</v>
      </c>
      <c r="U1853" s="1"/>
      <c r="V1853" s="1"/>
      <c r="W1853" s="1"/>
      <c r="X1853" s="5">
        <v>175</v>
      </c>
      <c r="Y1853" s="7">
        <v>9090900</v>
      </c>
      <c r="Z1853" s="1"/>
      <c r="AA1853" s="1" t="s">
        <v>12983</v>
      </c>
      <c r="AB1853" s="1" t="s">
        <v>5265</v>
      </c>
      <c r="AC1853" s="1" t="s">
        <v>11484</v>
      </c>
      <c r="AD1853" s="1" t="s">
        <v>5265</v>
      </c>
      <c r="AE1853" s="1" t="s">
        <v>51</v>
      </c>
      <c r="AF1853" s="1" t="s">
        <v>51</v>
      </c>
      <c r="AG1853" s="1" t="s">
        <v>51</v>
      </c>
      <c r="AH1853" s="1"/>
      <c r="AI1853" s="1"/>
      <c r="AJ1853" s="3">
        <v>3</v>
      </c>
      <c r="AK1853" s="1" t="s">
        <v>110</v>
      </c>
      <c r="AL1853" s="3">
        <v>5</v>
      </c>
      <c r="AM1853" s="8">
        <v>26.600000000000001</v>
      </c>
      <c r="AN1853" s="1"/>
      <c r="AO1853" s="1" t="s">
        <v>12984</v>
      </c>
      <c r="AP1853" s="1" t="s">
        <v>12985</v>
      </c>
      <c r="AQ1853" s="1" t="s">
        <v>12986</v>
      </c>
      <c r="AR1853" s="1" t="s">
        <v>12987</v>
      </c>
    </row>
    <row r="1854">
      <c r="A1854" s="2">
        <f ca="1">DATE(2006,07,21)</f>
        <v>0</v>
      </c>
      <c r="B1854" s="2">
        <f ca="1">DATE(2006,08,08)</f>
        <v>0</v>
      </c>
      <c r="C1854" s="1" t="s">
        <v>12988</v>
      </c>
      <c r="D1854" s="3">
        <v>3674</v>
      </c>
      <c r="E1854" s="1" t="s">
        <v>921</v>
      </c>
      <c r="F1854" s="1" t="s">
        <v>12989</v>
      </c>
      <c r="G1854" s="1" t="s">
        <v>12990</v>
      </c>
      <c r="H1854" s="4">
        <v>0.39000000000000001</v>
      </c>
      <c r="I1854" s="4">
        <v>3</v>
      </c>
      <c r="J1854" s="5">
        <v>546</v>
      </c>
      <c r="K1854" s="4">
        <v>13</v>
      </c>
      <c r="L1854" s="1" t="s">
        <v>651</v>
      </c>
      <c r="M1854" s="1" t="s">
        <v>47</v>
      </c>
      <c r="N1854" s="3">
        <v>746904101</v>
      </c>
      <c r="O1854" s="1" t="s">
        <v>108</v>
      </c>
      <c r="P1854" s="1" t="s">
        <v>12991</v>
      </c>
      <c r="Q1854" s="1" t="s">
        <v>145</v>
      </c>
      <c r="R1854" s="1" t="s">
        <v>145</v>
      </c>
      <c r="S1854" s="1"/>
      <c r="T1854" s="1" t="s">
        <v>50</v>
      </c>
      <c r="U1854" s="8">
        <v>18</v>
      </c>
      <c r="V1854" s="8">
        <v>16</v>
      </c>
      <c r="W1854" s="7">
        <v>63000000</v>
      </c>
      <c r="X1854" s="9">
        <v>1071</v>
      </c>
      <c r="Y1854" s="7">
        <v>42000000</v>
      </c>
      <c r="Z1854" s="1"/>
      <c r="AA1854" s="1" t="s">
        <v>12992</v>
      </c>
      <c r="AB1854" s="1" t="s">
        <v>2067</v>
      </c>
      <c r="AC1854" s="1" t="s">
        <v>12993</v>
      </c>
      <c r="AD1854" s="1" t="s">
        <v>2067</v>
      </c>
      <c r="AE1854" s="1" t="s">
        <v>47</v>
      </c>
      <c r="AF1854" s="1" t="s">
        <v>51</v>
      </c>
      <c r="AG1854" s="1" t="s">
        <v>51</v>
      </c>
      <c r="AH1854" s="1"/>
      <c r="AI1854" s="1"/>
      <c r="AJ1854" s="3">
        <v>3</v>
      </c>
      <c r="AK1854" s="1" t="s">
        <v>110</v>
      </c>
      <c r="AL1854" s="3">
        <v>6</v>
      </c>
      <c r="AM1854" s="8">
        <v>13.539999999999999</v>
      </c>
      <c r="AN1854" s="1"/>
      <c r="AO1854" s="1" t="s">
        <v>12994</v>
      </c>
      <c r="AP1854" s="1" t="s">
        <v>12995</v>
      </c>
      <c r="AQ1854" s="1" t="s">
        <v>12996</v>
      </c>
      <c r="AR1854" s="1" t="s">
        <v>12997</v>
      </c>
    </row>
    <row r="1855">
      <c r="A1855" s="2">
        <f ca="1">DATE(2006,05,12)</f>
        <v>0</v>
      </c>
      <c r="B1855" s="2">
        <f ca="1">DATE(2006,08,10)</f>
        <v>0</v>
      </c>
      <c r="C1855" s="1" t="s">
        <v>12998</v>
      </c>
      <c r="D1855" s="3">
        <v>6282</v>
      </c>
      <c r="E1855" s="1" t="s">
        <v>43</v>
      </c>
      <c r="F1855" s="1" t="s">
        <v>12999</v>
      </c>
      <c r="G1855" s="1" t="s">
        <v>813</v>
      </c>
      <c r="H1855" s="4">
        <v>1.47</v>
      </c>
      <c r="I1855" s="8">
        <v>7</v>
      </c>
      <c r="J1855" s="5">
        <v>83</v>
      </c>
      <c r="K1855" s="4">
        <v>21</v>
      </c>
      <c r="L1855" s="1" t="s">
        <v>152</v>
      </c>
      <c r="M1855" s="1" t="s">
        <v>47</v>
      </c>
      <c r="N1855" s="1" t="s">
        <v>13000</v>
      </c>
      <c r="O1855" s="1" t="s">
        <v>108</v>
      </c>
      <c r="P1855" s="1" t="s">
        <v>13001</v>
      </c>
      <c r="Q1855" s="1" t="s">
        <v>145</v>
      </c>
      <c r="R1855" s="1" t="s">
        <v>145</v>
      </c>
      <c r="S1855" s="6">
        <v>4.19048</v>
      </c>
      <c r="T1855" s="1" t="s">
        <v>50</v>
      </c>
      <c r="U1855" s="1"/>
      <c r="V1855" s="1"/>
      <c r="W1855" s="1"/>
      <c r="X1855" s="5">
        <v>86.299999999999997</v>
      </c>
      <c r="Y1855" s="7">
        <v>3950000</v>
      </c>
      <c r="Z1855" s="1"/>
      <c r="AA1855" s="1" t="s">
        <v>13002</v>
      </c>
      <c r="AB1855" s="1" t="s">
        <v>2067</v>
      </c>
      <c r="AC1855" s="1" t="s">
        <v>2068</v>
      </c>
      <c r="AD1855" s="1" t="s">
        <v>2067</v>
      </c>
      <c r="AE1855" s="1" t="s">
        <v>51</v>
      </c>
      <c r="AF1855" s="1" t="s">
        <v>51</v>
      </c>
      <c r="AG1855" s="1" t="s">
        <v>51</v>
      </c>
      <c r="AH1855" s="1"/>
      <c r="AI1855" s="1"/>
      <c r="AJ1855" s="3">
        <v>1</v>
      </c>
      <c r="AK1855" s="1" t="s">
        <v>110</v>
      </c>
      <c r="AL1855" s="3">
        <v>6</v>
      </c>
      <c r="AM1855" s="8">
        <v>24.850000000000001</v>
      </c>
      <c r="AN1855" s="1"/>
      <c r="AO1855" s="1" t="s">
        <v>13003</v>
      </c>
      <c r="AP1855" s="1" t="s">
        <v>13004</v>
      </c>
      <c r="AQ1855" s="1" t="s">
        <v>13005</v>
      </c>
      <c r="AR1855" s="1" t="s">
        <v>13006</v>
      </c>
    </row>
    <row r="1856">
      <c r="A1856" s="2">
        <f ca="1">DATE(2006,05,10)</f>
        <v>0</v>
      </c>
      <c r="B1856" s="2">
        <f ca="1">DATE(2006,08,15)</f>
        <v>0</v>
      </c>
      <c r="C1856" s="1" t="s">
        <v>13007</v>
      </c>
      <c r="D1856" s="3">
        <v>2752</v>
      </c>
      <c r="E1856" s="1" t="s">
        <v>43</v>
      </c>
      <c r="F1856" s="1" t="s">
        <v>13008</v>
      </c>
      <c r="G1856" s="1" t="s">
        <v>796</v>
      </c>
      <c r="H1856" s="4">
        <v>0.65300000000000002</v>
      </c>
      <c r="I1856" s="8">
        <v>7.25</v>
      </c>
      <c r="J1856" s="5">
        <v>95.299999999999997</v>
      </c>
      <c r="K1856" s="4">
        <v>9</v>
      </c>
      <c r="L1856" s="1" t="s">
        <v>46</v>
      </c>
      <c r="M1856" s="1" t="s">
        <v>47</v>
      </c>
      <c r="N1856" s="1" t="s">
        <v>13009</v>
      </c>
      <c r="O1856" s="1" t="s">
        <v>48</v>
      </c>
      <c r="P1856" s="1" t="s">
        <v>13010</v>
      </c>
      <c r="Q1856" s="1" t="s">
        <v>145</v>
      </c>
      <c r="R1856" s="1" t="s">
        <v>145</v>
      </c>
      <c r="S1856" s="1"/>
      <c r="T1856" s="1" t="s">
        <v>50</v>
      </c>
      <c r="U1856" s="1"/>
      <c r="V1856" s="1"/>
      <c r="W1856" s="1"/>
      <c r="X1856" s="5">
        <v>100</v>
      </c>
      <c r="Y1856" s="7">
        <v>7060000</v>
      </c>
      <c r="Z1856" s="7">
        <v>3530000</v>
      </c>
      <c r="AA1856" s="1" t="s">
        <v>13011</v>
      </c>
      <c r="AB1856" s="1" t="s">
        <v>13012</v>
      </c>
      <c r="AC1856" s="1" t="s">
        <v>7759</v>
      </c>
      <c r="AD1856" s="1" t="s">
        <v>13013</v>
      </c>
      <c r="AE1856" s="1" t="s">
        <v>51</v>
      </c>
      <c r="AF1856" s="1" t="s">
        <v>51</v>
      </c>
      <c r="AG1856" s="1" t="s">
        <v>47</v>
      </c>
      <c r="AH1856" s="1"/>
      <c r="AI1856" s="1"/>
      <c r="AJ1856" s="3">
        <v>1</v>
      </c>
      <c r="AK1856" s="1" t="s">
        <v>52</v>
      </c>
      <c r="AL1856" s="3">
        <v>5</v>
      </c>
      <c r="AM1856" s="8">
        <v>10.449999999999999</v>
      </c>
      <c r="AN1856" s="1"/>
      <c r="AO1856" s="1" t="s">
        <v>13014</v>
      </c>
      <c r="AP1856" s="1" t="s">
        <v>796</v>
      </c>
      <c r="AQ1856" s="1" t="s">
        <v>13015</v>
      </c>
      <c r="AR1856" s="1" t="s">
        <v>13010</v>
      </c>
    </row>
    <row r="1857">
      <c r="A1857" s="2">
        <f ca="1">DATE(2006,05,12)</f>
        <v>0</v>
      </c>
      <c r="B1857" s="2">
        <f ca="1">DATE(2006,08,24)</f>
        <v>0</v>
      </c>
      <c r="C1857" s="1" t="s">
        <v>13016</v>
      </c>
      <c r="D1857" s="3">
        <v>6726</v>
      </c>
      <c r="E1857" s="1" t="s">
        <v>43</v>
      </c>
      <c r="F1857" s="1" t="s">
        <v>13017</v>
      </c>
      <c r="G1857" s="1" t="s">
        <v>6201</v>
      </c>
      <c r="H1857" s="4">
        <v>0.56000000000000005</v>
      </c>
      <c r="I1857" s="4">
        <v>7</v>
      </c>
      <c r="J1857" s="5">
        <v>300</v>
      </c>
      <c r="K1857" s="4">
        <v>8</v>
      </c>
      <c r="L1857" s="1" t="s">
        <v>46</v>
      </c>
      <c r="M1857" s="1" t="s">
        <v>47</v>
      </c>
      <c r="N1857" s="3">
        <v>565756103</v>
      </c>
      <c r="O1857" s="1" t="s">
        <v>87</v>
      </c>
      <c r="P1857" s="1" t="s">
        <v>13018</v>
      </c>
      <c r="Q1857" s="1" t="s">
        <v>145</v>
      </c>
      <c r="R1857" s="1" t="s">
        <v>145</v>
      </c>
      <c r="S1857" s="8">
        <v>0.29999999999999999</v>
      </c>
      <c r="T1857" s="1" t="s">
        <v>50</v>
      </c>
      <c r="U1857" s="8">
        <v>8</v>
      </c>
      <c r="V1857" s="8">
        <v>8</v>
      </c>
      <c r="W1857" s="7">
        <v>37500000</v>
      </c>
      <c r="X1857" s="5">
        <v>300</v>
      </c>
      <c r="Y1857" s="7">
        <v>37500000</v>
      </c>
      <c r="Z1857" s="1"/>
      <c r="AA1857" s="1"/>
      <c r="AB1857" s="1"/>
      <c r="AC1857" s="1"/>
      <c r="AD1857" s="1"/>
      <c r="AE1857" s="1" t="s">
        <v>51</v>
      </c>
      <c r="AF1857" s="1" t="s">
        <v>51</v>
      </c>
      <c r="AG1857" s="1" t="s">
        <v>51</v>
      </c>
      <c r="AH1857" s="1"/>
      <c r="AI1857" s="1"/>
      <c r="AJ1857" s="3">
        <v>1</v>
      </c>
      <c r="AK1857" s="1" t="s">
        <v>52</v>
      </c>
      <c r="AL1857" s="3">
        <v>3</v>
      </c>
      <c r="AM1857" s="1"/>
      <c r="AN1857" s="1"/>
      <c r="AO1857" s="1" t="s">
        <v>13019</v>
      </c>
      <c r="AP1857" s="1" t="s">
        <v>6201</v>
      </c>
      <c r="AQ1857" s="1" t="s">
        <v>13020</v>
      </c>
      <c r="AR1857" s="1" t="s">
        <v>13018</v>
      </c>
    </row>
    <row r="1858">
      <c r="A1858" s="2">
        <f ca="1">DATE(2006,05,26)</f>
        <v>0</v>
      </c>
      <c r="B1858" s="2">
        <f ca="1">DATE(2006,08,28)</f>
        <v>0</v>
      </c>
      <c r="C1858" s="1" t="s">
        <v>13021</v>
      </c>
      <c r="D1858" s="3">
        <v>6726</v>
      </c>
      <c r="E1858" s="1" t="s">
        <v>43</v>
      </c>
      <c r="F1858" s="1" t="s">
        <v>13022</v>
      </c>
      <c r="G1858" s="1" t="s">
        <v>45</v>
      </c>
      <c r="H1858" s="4">
        <v>0.90000000000000002</v>
      </c>
      <c r="I1858" s="4">
        <v>4.5</v>
      </c>
      <c r="J1858" s="5">
        <v>118</v>
      </c>
      <c r="K1858" s="4">
        <v>20</v>
      </c>
      <c r="L1858" s="1" t="s">
        <v>46</v>
      </c>
      <c r="M1858" s="1" t="s">
        <v>47</v>
      </c>
      <c r="N1858" s="1" t="s">
        <v>13023</v>
      </c>
      <c r="O1858" s="1" t="s">
        <v>108</v>
      </c>
      <c r="P1858" s="1" t="s">
        <v>13024</v>
      </c>
      <c r="Q1858" s="4">
        <v>1</v>
      </c>
      <c r="R1858" s="4">
        <v>0.5</v>
      </c>
      <c r="S1858" s="8">
        <v>3</v>
      </c>
      <c r="T1858" s="1" t="s">
        <v>50</v>
      </c>
      <c r="U1858" s="8">
        <v>20</v>
      </c>
      <c r="V1858" s="8">
        <v>20</v>
      </c>
      <c r="W1858" s="7">
        <v>1000</v>
      </c>
      <c r="X1858" s="5">
        <v>0</v>
      </c>
      <c r="Y1858" s="7">
        <v>5900000</v>
      </c>
      <c r="Z1858" s="1"/>
      <c r="AA1858" s="2">
        <f ca="1">DATE(2007,02,24)</f>
        <v>0</v>
      </c>
      <c r="AB1858" s="1"/>
      <c r="AC1858" s="3">
        <v>180</v>
      </c>
      <c r="AD1858" s="1"/>
      <c r="AE1858" s="1" t="s">
        <v>51</v>
      </c>
      <c r="AF1858" s="1" t="s">
        <v>51</v>
      </c>
      <c r="AG1858" s="1" t="s">
        <v>51</v>
      </c>
      <c r="AH1858" s="1"/>
      <c r="AI1858" s="1"/>
      <c r="AJ1858" s="3">
        <v>1</v>
      </c>
      <c r="AK1858" s="1" t="s">
        <v>52</v>
      </c>
      <c r="AL1858" s="3">
        <v>11</v>
      </c>
      <c r="AM1858" s="1"/>
      <c r="AN1858" s="1"/>
      <c r="AO1858" s="1" t="s">
        <v>13025</v>
      </c>
      <c r="AP1858" s="1" t="s">
        <v>45</v>
      </c>
      <c r="AQ1858" s="1" t="s">
        <v>13026</v>
      </c>
      <c r="AR1858" s="1" t="s">
        <v>13027</v>
      </c>
    </row>
    <row r="1859">
      <c r="A1859" s="2">
        <f ca="1">DATE(2006,04,07)</f>
        <v>0</v>
      </c>
      <c r="B1859" s="2">
        <f ca="1">DATE(2006,08,30)</f>
        <v>0</v>
      </c>
      <c r="C1859" s="1" t="s">
        <v>13028</v>
      </c>
      <c r="D1859" s="3">
        <v>6726</v>
      </c>
      <c r="E1859" s="1" t="s">
        <v>43</v>
      </c>
      <c r="F1859" s="1" t="s">
        <v>13029</v>
      </c>
      <c r="G1859" s="1" t="s">
        <v>5479</v>
      </c>
      <c r="H1859" s="4">
        <v>0.47999999999999998</v>
      </c>
      <c r="I1859" s="4">
        <v>8</v>
      </c>
      <c r="J1859" s="5">
        <v>51.600000000000001</v>
      </c>
      <c r="K1859" s="4">
        <v>6</v>
      </c>
      <c r="L1859" s="1" t="s">
        <v>46</v>
      </c>
      <c r="M1859" s="1" t="s">
        <v>47</v>
      </c>
      <c r="N1859" s="1" t="s">
        <v>13030</v>
      </c>
      <c r="O1859" s="1" t="s">
        <v>87</v>
      </c>
      <c r="P1859" s="1" t="s">
        <v>7036</v>
      </c>
      <c r="Q1859" s="1" t="s">
        <v>145</v>
      </c>
      <c r="R1859" s="1" t="s">
        <v>145</v>
      </c>
      <c r="S1859" s="8">
        <v>3.5</v>
      </c>
      <c r="T1859" s="1" t="s">
        <v>50</v>
      </c>
      <c r="U1859" s="8">
        <v>6</v>
      </c>
      <c r="V1859" s="8">
        <v>6</v>
      </c>
      <c r="W1859" s="7">
        <v>10000000</v>
      </c>
      <c r="X1859" s="5">
        <v>60</v>
      </c>
      <c r="Y1859" s="7">
        <v>8600000</v>
      </c>
      <c r="Z1859" s="1"/>
      <c r="AA1859" s="1"/>
      <c r="AB1859" s="1"/>
      <c r="AC1859" s="1"/>
      <c r="AD1859" s="1"/>
      <c r="AE1859" s="1" t="s">
        <v>51</v>
      </c>
      <c r="AF1859" s="1" t="s">
        <v>51</v>
      </c>
      <c r="AG1859" s="1" t="s">
        <v>51</v>
      </c>
      <c r="AH1859" s="1"/>
      <c r="AI1859" s="1"/>
      <c r="AJ1859" s="3">
        <v>1</v>
      </c>
      <c r="AK1859" s="1" t="s">
        <v>52</v>
      </c>
      <c r="AL1859" s="3">
        <v>1</v>
      </c>
      <c r="AM1859" s="1"/>
      <c r="AN1859" s="1"/>
      <c r="AO1859" s="1" t="s">
        <v>5479</v>
      </c>
      <c r="AP1859" s="1" t="s">
        <v>5479</v>
      </c>
      <c r="AQ1859" s="1" t="s">
        <v>5479</v>
      </c>
      <c r="AR1859" s="1" t="s">
        <v>7037</v>
      </c>
    </row>
    <row r="1860">
      <c r="A1860" s="2">
        <f ca="1">DATE(2006,08,22)</f>
        <v>0</v>
      </c>
      <c r="B1860" s="2">
        <f ca="1">DATE(2006,09,06)</f>
        <v>0</v>
      </c>
      <c r="C1860" s="1" t="s">
        <v>13031</v>
      </c>
      <c r="D1860" s="3">
        <v>8211</v>
      </c>
      <c r="E1860" s="1" t="s">
        <v>744</v>
      </c>
      <c r="F1860" s="1" t="s">
        <v>13032</v>
      </c>
      <c r="G1860" s="1" t="s">
        <v>12437</v>
      </c>
      <c r="H1860" s="4">
        <v>1.05</v>
      </c>
      <c r="I1860" s="4">
        <v>7</v>
      </c>
      <c r="J1860" s="5">
        <v>112.5</v>
      </c>
      <c r="K1860" s="4">
        <v>15</v>
      </c>
      <c r="L1860" s="1" t="s">
        <v>651</v>
      </c>
      <c r="M1860" s="1" t="s">
        <v>47</v>
      </c>
      <c r="N1860" s="3">
        <v>647581107</v>
      </c>
      <c r="O1860" s="1" t="s">
        <v>108</v>
      </c>
      <c r="P1860" s="1" t="s">
        <v>13033</v>
      </c>
      <c r="Q1860" s="4">
        <v>1.3999999999999999</v>
      </c>
      <c r="R1860" s="4">
        <v>1.3999999999999999</v>
      </c>
      <c r="S1860" s="8">
        <v>4.2000000000000002</v>
      </c>
      <c r="T1860" s="1" t="s">
        <v>50</v>
      </c>
      <c r="U1860" s="8">
        <v>13</v>
      </c>
      <c r="V1860" s="8">
        <v>11</v>
      </c>
      <c r="W1860" s="7">
        <v>7500000</v>
      </c>
      <c r="X1860" s="5">
        <v>90</v>
      </c>
      <c r="Y1860" s="7">
        <v>7500000</v>
      </c>
      <c r="Z1860" s="1"/>
      <c r="AA1860" s="1" t="s">
        <v>13034</v>
      </c>
      <c r="AB1860" s="1" t="s">
        <v>13035</v>
      </c>
      <c r="AC1860" s="1" t="s">
        <v>7759</v>
      </c>
      <c r="AD1860" s="1" t="s">
        <v>13036</v>
      </c>
      <c r="AE1860" s="1" t="s">
        <v>47</v>
      </c>
      <c r="AF1860" s="1" t="s">
        <v>51</v>
      </c>
      <c r="AG1860" s="1" t="s">
        <v>51</v>
      </c>
      <c r="AH1860" s="1"/>
      <c r="AI1860" s="1"/>
      <c r="AJ1860" s="3">
        <v>2</v>
      </c>
      <c r="AK1860" s="1" t="s">
        <v>89</v>
      </c>
      <c r="AL1860" s="3">
        <v>3</v>
      </c>
      <c r="AM1860" s="8">
        <v>20.879999999999999</v>
      </c>
      <c r="AN1860" s="1"/>
      <c r="AO1860" s="1" t="s">
        <v>13037</v>
      </c>
      <c r="AP1860" s="1" t="s">
        <v>13038</v>
      </c>
      <c r="AQ1860" s="1" t="s">
        <v>13039</v>
      </c>
      <c r="AR1860" s="1" t="s">
        <v>13040</v>
      </c>
    </row>
    <row r="1861">
      <c r="A1861" s="2">
        <f ca="1">DATE(2006,05,25)</f>
        <v>0</v>
      </c>
      <c r="B1861" s="2">
        <f ca="1">DATE(2006,09,19)</f>
        <v>0</v>
      </c>
      <c r="C1861" s="1" t="s">
        <v>13041</v>
      </c>
      <c r="D1861" s="3">
        <v>1311</v>
      </c>
      <c r="E1861" s="1" t="s">
        <v>43</v>
      </c>
      <c r="F1861" s="1" t="s">
        <v>13042</v>
      </c>
      <c r="G1861" s="1" t="s">
        <v>813</v>
      </c>
      <c r="H1861" s="4">
        <v>1.1100000000000001</v>
      </c>
      <c r="I1861" s="4">
        <v>6</v>
      </c>
      <c r="J1861" s="5">
        <v>129.5</v>
      </c>
      <c r="K1861" s="4">
        <v>18.5</v>
      </c>
      <c r="L1861" s="1" t="s">
        <v>85</v>
      </c>
      <c r="M1861" s="1" t="s">
        <v>47</v>
      </c>
      <c r="N1861" s="1" t="s">
        <v>13043</v>
      </c>
      <c r="O1861" s="1" t="s">
        <v>48</v>
      </c>
      <c r="P1861" s="1" t="s">
        <v>13044</v>
      </c>
      <c r="Q1861" s="4">
        <v>1.1890000000000001</v>
      </c>
      <c r="R1861" s="4">
        <v>3.6219999999999999</v>
      </c>
      <c r="S1861" s="6">
        <v>3.6216200000000001</v>
      </c>
      <c r="T1861" s="1" t="s">
        <v>50</v>
      </c>
      <c r="U1861" s="1"/>
      <c r="V1861" s="1"/>
      <c r="W1861" s="7">
        <v>8700000</v>
      </c>
      <c r="X1861" s="1"/>
      <c r="Y1861" s="7">
        <v>7000000</v>
      </c>
      <c r="Z1861" s="1"/>
      <c r="AA1861" s="1" t="s">
        <v>13045</v>
      </c>
      <c r="AB1861" s="1" t="s">
        <v>13046</v>
      </c>
      <c r="AC1861" s="1" t="s">
        <v>7759</v>
      </c>
      <c r="AD1861" s="1" t="s">
        <v>13047</v>
      </c>
      <c r="AE1861" s="1" t="s">
        <v>51</v>
      </c>
      <c r="AF1861" s="1" t="s">
        <v>51</v>
      </c>
      <c r="AG1861" s="1" t="s">
        <v>51</v>
      </c>
      <c r="AH1861" s="1"/>
      <c r="AI1861" s="1"/>
      <c r="AJ1861" s="3">
        <v>1</v>
      </c>
      <c r="AK1861" s="1" t="s">
        <v>89</v>
      </c>
      <c r="AL1861" s="3">
        <v>6</v>
      </c>
      <c r="AM1861" s="8">
        <v>19.25</v>
      </c>
      <c r="AN1861" s="3">
        <v>19</v>
      </c>
      <c r="AO1861" s="1" t="s">
        <v>13048</v>
      </c>
      <c r="AP1861" s="1" t="s">
        <v>10298</v>
      </c>
      <c r="AQ1861" s="1" t="s">
        <v>13049</v>
      </c>
      <c r="AR1861" s="1" t="s">
        <v>13044</v>
      </c>
    </row>
    <row r="1862">
      <c r="A1862" s="2">
        <f ca="1">DATE(2006,05,01)</f>
        <v>0</v>
      </c>
      <c r="B1862" s="2">
        <f ca="1">DATE(2006,09,20)</f>
        <v>0</v>
      </c>
      <c r="C1862" s="1" t="s">
        <v>13050</v>
      </c>
      <c r="D1862" s="3">
        <v>3841</v>
      </c>
      <c r="E1862" s="1" t="s">
        <v>43</v>
      </c>
      <c r="F1862" s="1" t="s">
        <v>13051</v>
      </c>
      <c r="G1862" s="1" t="s">
        <v>400</v>
      </c>
      <c r="H1862" s="4">
        <v>0.83999999999999997</v>
      </c>
      <c r="I1862" s="8">
        <v>7</v>
      </c>
      <c r="J1862" s="5">
        <v>79.200000000000003</v>
      </c>
      <c r="K1862" s="4">
        <v>12</v>
      </c>
      <c r="L1862" s="1" t="s">
        <v>46</v>
      </c>
      <c r="M1862" s="1" t="s">
        <v>47</v>
      </c>
      <c r="N1862" s="3">
        <v>436932107</v>
      </c>
      <c r="O1862" s="1" t="s">
        <v>48</v>
      </c>
      <c r="P1862" s="1" t="s">
        <v>13052</v>
      </c>
      <c r="Q1862" s="1" t="s">
        <v>145</v>
      </c>
      <c r="R1862" s="1" t="s">
        <v>145</v>
      </c>
      <c r="S1862" s="8">
        <v>4.2000000000000002</v>
      </c>
      <c r="T1862" s="1" t="s">
        <v>50</v>
      </c>
      <c r="U1862" s="1"/>
      <c r="V1862" s="1"/>
      <c r="W1862" s="1"/>
      <c r="X1862" s="5">
        <v>115</v>
      </c>
      <c r="Y1862" s="7">
        <v>3300000</v>
      </c>
      <c r="Z1862" s="7">
        <v>3299487</v>
      </c>
      <c r="AA1862" s="1" t="s">
        <v>13053</v>
      </c>
      <c r="AB1862" s="1" t="s">
        <v>5265</v>
      </c>
      <c r="AC1862" s="1" t="s">
        <v>7759</v>
      </c>
      <c r="AD1862" s="1" t="s">
        <v>5265</v>
      </c>
      <c r="AE1862" s="1" t="s">
        <v>51</v>
      </c>
      <c r="AF1862" s="1" t="s">
        <v>51</v>
      </c>
      <c r="AG1862" s="1" t="s">
        <v>47</v>
      </c>
      <c r="AH1862" s="1"/>
      <c r="AI1862" s="1"/>
      <c r="AJ1862" s="3">
        <v>1</v>
      </c>
      <c r="AK1862" s="1" t="s">
        <v>89</v>
      </c>
      <c r="AL1862" s="3">
        <v>4</v>
      </c>
      <c r="AM1862" s="8">
        <v>12.609999999999999</v>
      </c>
      <c r="AN1862" s="1"/>
      <c r="AO1862" s="1" t="s">
        <v>13054</v>
      </c>
      <c r="AP1862" s="1" t="s">
        <v>8923</v>
      </c>
      <c r="AQ1862" s="1" t="s">
        <v>13055</v>
      </c>
      <c r="AR1862" s="1" t="s">
        <v>13056</v>
      </c>
    </row>
    <row r="1863">
      <c r="A1863" s="2">
        <f ca="1">DATE(2006,06,08)</f>
        <v>0</v>
      </c>
      <c r="B1863" s="2">
        <f ca="1">DATE(2006,09,20)</f>
        <v>0</v>
      </c>
      <c r="C1863" s="1" t="s">
        <v>13057</v>
      </c>
      <c r="D1863" s="3">
        <v>6726</v>
      </c>
      <c r="E1863" s="1" t="s">
        <v>43</v>
      </c>
      <c r="F1863" s="1" t="s">
        <v>13058</v>
      </c>
      <c r="G1863" s="1" t="s">
        <v>6569</v>
      </c>
      <c r="H1863" s="4">
        <v>1.5940000000000001</v>
      </c>
      <c r="I1863" s="4">
        <v>6.3760000000000003</v>
      </c>
      <c r="J1863" s="5">
        <v>250</v>
      </c>
      <c r="K1863" s="4">
        <v>25</v>
      </c>
      <c r="L1863" s="1" t="s">
        <v>46</v>
      </c>
      <c r="M1863" s="1" t="s">
        <v>47</v>
      </c>
      <c r="N1863" s="1" t="s">
        <v>13059</v>
      </c>
      <c r="O1863" s="1" t="s">
        <v>108</v>
      </c>
      <c r="P1863" s="1" t="s">
        <v>13060</v>
      </c>
      <c r="Q1863" s="1" t="s">
        <v>145</v>
      </c>
      <c r="R1863" s="1" t="s">
        <v>145</v>
      </c>
      <c r="S1863" s="4">
        <v>3.8239999999999998</v>
      </c>
      <c r="T1863" s="1" t="s">
        <v>50</v>
      </c>
      <c r="U1863" s="8">
        <v>25</v>
      </c>
      <c r="V1863" s="8">
        <v>25</v>
      </c>
      <c r="W1863" s="7">
        <v>12000000</v>
      </c>
      <c r="X1863" s="5">
        <v>300</v>
      </c>
      <c r="Y1863" s="7">
        <v>10000000</v>
      </c>
      <c r="Z1863" s="1"/>
      <c r="AA1863" s="1" t="s">
        <v>13053</v>
      </c>
      <c r="AB1863" s="1" t="s">
        <v>5265</v>
      </c>
      <c r="AC1863" s="1" t="s">
        <v>7759</v>
      </c>
      <c r="AD1863" s="1" t="s">
        <v>5265</v>
      </c>
      <c r="AE1863" s="1" t="s">
        <v>51</v>
      </c>
      <c r="AF1863" s="1" t="s">
        <v>51</v>
      </c>
      <c r="AG1863" s="1" t="s">
        <v>51</v>
      </c>
      <c r="AH1863" s="1"/>
      <c r="AI1863" s="1"/>
      <c r="AJ1863" s="3">
        <v>2</v>
      </c>
      <c r="AK1863" s="1" t="s">
        <v>89</v>
      </c>
      <c r="AL1863" s="3">
        <v>7</v>
      </c>
      <c r="AM1863" s="8">
        <v>24</v>
      </c>
      <c r="AN1863" s="1"/>
      <c r="AO1863" s="1" t="s">
        <v>13061</v>
      </c>
      <c r="AP1863" s="1" t="s">
        <v>6573</v>
      </c>
      <c r="AQ1863" s="1" t="s">
        <v>13062</v>
      </c>
      <c r="AR1863" s="1" t="s">
        <v>13063</v>
      </c>
    </row>
    <row r="1864">
      <c r="A1864" s="2">
        <f ca="1">DATE(2006,04,20)</f>
        <v>0</v>
      </c>
      <c r="B1864" s="2">
        <f ca="1">DATE(2006,09,20)</f>
        <v>0</v>
      </c>
      <c r="C1864" s="1" t="s">
        <v>13064</v>
      </c>
      <c r="D1864" s="3">
        <v>3577</v>
      </c>
      <c r="E1864" s="1" t="s">
        <v>43</v>
      </c>
      <c r="F1864" s="1" t="s">
        <v>13065</v>
      </c>
      <c r="G1864" s="1" t="s">
        <v>160</v>
      </c>
      <c r="H1864" s="4">
        <v>0.68300000000000005</v>
      </c>
      <c r="I1864" s="8">
        <v>7</v>
      </c>
      <c r="J1864" s="5">
        <v>85.799999999999997</v>
      </c>
      <c r="K1864" s="4">
        <v>9.75</v>
      </c>
      <c r="L1864" s="1" t="s">
        <v>46</v>
      </c>
      <c r="M1864" s="1" t="s">
        <v>47</v>
      </c>
      <c r="N1864" s="3">
        <v>768573107</v>
      </c>
      <c r="O1864" s="1" t="s">
        <v>48</v>
      </c>
      <c r="P1864" s="1" t="s">
        <v>13066</v>
      </c>
      <c r="Q1864" s="1" t="s">
        <v>145</v>
      </c>
      <c r="R1864" s="1" t="s">
        <v>145</v>
      </c>
      <c r="S1864" s="8">
        <v>4.2000000000000002</v>
      </c>
      <c r="T1864" s="1" t="s">
        <v>50</v>
      </c>
      <c r="U1864" s="1"/>
      <c r="V1864" s="1"/>
      <c r="W1864" s="1"/>
      <c r="X1864" s="5">
        <v>74.799999999999997</v>
      </c>
      <c r="Y1864" s="7">
        <v>8700000</v>
      </c>
      <c r="Z1864" s="7">
        <v>100000</v>
      </c>
      <c r="AA1864" s="1" t="s">
        <v>13053</v>
      </c>
      <c r="AB1864" s="1" t="s">
        <v>13067</v>
      </c>
      <c r="AC1864" s="1" t="s">
        <v>7759</v>
      </c>
      <c r="AD1864" s="1" t="s">
        <v>13068</v>
      </c>
      <c r="AE1864" s="1" t="s">
        <v>51</v>
      </c>
      <c r="AF1864" s="1" t="s">
        <v>51</v>
      </c>
      <c r="AG1864" s="1" t="s">
        <v>47</v>
      </c>
      <c r="AH1864" s="1"/>
      <c r="AI1864" s="1"/>
      <c r="AJ1864" s="3">
        <v>1</v>
      </c>
      <c r="AK1864" s="1" t="s">
        <v>110</v>
      </c>
      <c r="AL1864" s="3">
        <v>4</v>
      </c>
      <c r="AM1864" s="8">
        <v>15.300000000000001</v>
      </c>
      <c r="AN1864" s="1"/>
      <c r="AO1864" s="1" t="s">
        <v>13069</v>
      </c>
      <c r="AP1864" s="1" t="s">
        <v>13070</v>
      </c>
      <c r="AQ1864" s="1" t="s">
        <v>13071</v>
      </c>
      <c r="AR1864" s="1" t="s">
        <v>13072</v>
      </c>
    </row>
    <row r="1865">
      <c r="A1865" s="2">
        <f ca="1">DATE(2006,06,09)</f>
        <v>0</v>
      </c>
      <c r="B1865" s="2">
        <f ca="1">DATE(2006,09,20)</f>
        <v>0</v>
      </c>
      <c r="C1865" s="1" t="s">
        <v>13073</v>
      </c>
      <c r="D1865" s="3">
        <v>2834</v>
      </c>
      <c r="E1865" s="1" t="s">
        <v>517</v>
      </c>
      <c r="F1865" s="1" t="s">
        <v>13074</v>
      </c>
      <c r="G1865" s="1" t="s">
        <v>13075</v>
      </c>
      <c r="H1865" s="4">
        <v>0.71299999999999997</v>
      </c>
      <c r="I1865" s="4">
        <v>4.75</v>
      </c>
      <c r="J1865" s="9">
        <v>1059</v>
      </c>
      <c r="K1865" s="4">
        <v>15</v>
      </c>
      <c r="L1865" s="1" t="s">
        <v>152</v>
      </c>
      <c r="M1865" s="1" t="s">
        <v>47</v>
      </c>
      <c r="N1865" s="1" t="s">
        <v>13076</v>
      </c>
      <c r="O1865" s="1" t="s">
        <v>48</v>
      </c>
      <c r="P1865" s="1" t="s">
        <v>13077</v>
      </c>
      <c r="Q1865" s="1" t="s">
        <v>145</v>
      </c>
      <c r="R1865" s="1" t="s">
        <v>145</v>
      </c>
      <c r="S1865" s="8">
        <v>2.8500000000000001</v>
      </c>
      <c r="T1865" s="1" t="s">
        <v>50</v>
      </c>
      <c r="U1865" s="1"/>
      <c r="V1865" s="1"/>
      <c r="W1865" s="1"/>
      <c r="X1865" s="9">
        <v>1000</v>
      </c>
      <c r="Y1865" s="7">
        <v>70600000</v>
      </c>
      <c r="Z1865" s="1"/>
      <c r="AA1865" s="1" t="s">
        <v>13053</v>
      </c>
      <c r="AB1865" s="1" t="s">
        <v>13078</v>
      </c>
      <c r="AC1865" s="1" t="s">
        <v>7759</v>
      </c>
      <c r="AD1865" s="1" t="s">
        <v>13079</v>
      </c>
      <c r="AE1865" s="1" t="s">
        <v>51</v>
      </c>
      <c r="AF1865" s="1" t="s">
        <v>51</v>
      </c>
      <c r="AG1865" s="1" t="s">
        <v>51</v>
      </c>
      <c r="AH1865" s="1"/>
      <c r="AI1865" s="1"/>
      <c r="AJ1865" s="3">
        <v>4</v>
      </c>
      <c r="AK1865" s="1" t="s">
        <v>1209</v>
      </c>
      <c r="AL1865" s="3">
        <v>9</v>
      </c>
      <c r="AM1865" s="8">
        <v>14.949999999999999</v>
      </c>
      <c r="AN1865" s="1"/>
      <c r="AO1865" s="1" t="s">
        <v>13080</v>
      </c>
      <c r="AP1865" s="1" t="s">
        <v>13081</v>
      </c>
      <c r="AQ1865" s="1" t="s">
        <v>13082</v>
      </c>
      <c r="AR1865" s="1" t="s">
        <v>13083</v>
      </c>
    </row>
    <row r="1866">
      <c r="A1866" s="2">
        <f ca="1">DATE(2006,03,17)</f>
        <v>0</v>
      </c>
      <c r="B1866" s="2">
        <f ca="1">DATE(2006,09,21)</f>
        <v>0</v>
      </c>
      <c r="C1866" s="1" t="s">
        <v>13084</v>
      </c>
      <c r="D1866" s="3">
        <v>7372</v>
      </c>
      <c r="E1866" s="1" t="s">
        <v>43</v>
      </c>
      <c r="F1866" s="1" t="s">
        <v>13085</v>
      </c>
      <c r="G1866" s="1" t="s">
        <v>12437</v>
      </c>
      <c r="H1866" s="4">
        <v>1.0149999999999999</v>
      </c>
      <c r="I1866" s="8">
        <v>7</v>
      </c>
      <c r="J1866" s="5">
        <v>161.09999999999999</v>
      </c>
      <c r="K1866" s="4">
        <v>14.5</v>
      </c>
      <c r="L1866" s="1" t="s">
        <v>46</v>
      </c>
      <c r="M1866" s="1" t="s">
        <v>47</v>
      </c>
      <c r="N1866" s="3">
        <v>204166102</v>
      </c>
      <c r="O1866" s="1" t="s">
        <v>48</v>
      </c>
      <c r="P1866" s="1" t="s">
        <v>13086</v>
      </c>
      <c r="Q1866" s="1" t="s">
        <v>145</v>
      </c>
      <c r="R1866" s="1" t="s">
        <v>145</v>
      </c>
      <c r="S1866" s="8">
        <v>4.2000000000000002</v>
      </c>
      <c r="T1866" s="1" t="s">
        <v>50</v>
      </c>
      <c r="U1866" s="1"/>
      <c r="V1866" s="1"/>
      <c r="W1866" s="1"/>
      <c r="X1866" s="5">
        <v>150</v>
      </c>
      <c r="Y1866" s="7">
        <v>6148148</v>
      </c>
      <c r="Z1866" s="7">
        <v>4962963</v>
      </c>
      <c r="AA1866" s="1" t="s">
        <v>13087</v>
      </c>
      <c r="AB1866" s="1" t="s">
        <v>13088</v>
      </c>
      <c r="AC1866" s="1" t="s">
        <v>13089</v>
      </c>
      <c r="AD1866" s="1" t="s">
        <v>13090</v>
      </c>
      <c r="AE1866" s="1" t="s">
        <v>51</v>
      </c>
      <c r="AF1866" s="1" t="s">
        <v>51</v>
      </c>
      <c r="AG1866" s="1" t="s">
        <v>47</v>
      </c>
      <c r="AH1866" s="1"/>
      <c r="AI1866" s="1"/>
      <c r="AJ1866" s="3">
        <v>2</v>
      </c>
      <c r="AK1866" s="1" t="s">
        <v>89</v>
      </c>
      <c r="AL1866" s="3">
        <v>6</v>
      </c>
      <c r="AM1866" s="8">
        <v>17</v>
      </c>
      <c r="AN1866" s="1"/>
      <c r="AO1866" s="1" t="s">
        <v>13091</v>
      </c>
      <c r="AP1866" s="1" t="s">
        <v>13038</v>
      </c>
      <c r="AQ1866" s="1" t="s">
        <v>13092</v>
      </c>
      <c r="AR1866" s="1" t="s">
        <v>13093</v>
      </c>
    </row>
    <row r="1867">
      <c r="A1867" s="2">
        <f ca="1">DATE(2006,05,05)</f>
        <v>0</v>
      </c>
      <c r="B1867" s="2">
        <f ca="1">DATE(2006,09,21)</f>
        <v>0</v>
      </c>
      <c r="C1867" s="1" t="s">
        <v>13094</v>
      </c>
      <c r="D1867" s="3">
        <v>7372</v>
      </c>
      <c r="E1867" s="1" t="s">
        <v>43</v>
      </c>
      <c r="F1867" s="1" t="s">
        <v>13095</v>
      </c>
      <c r="G1867" s="1" t="s">
        <v>400</v>
      </c>
      <c r="H1867" s="4">
        <v>1.1200000000000001</v>
      </c>
      <c r="I1867" s="4">
        <v>7</v>
      </c>
      <c r="J1867" s="5">
        <v>145.59999999999999</v>
      </c>
      <c r="K1867" s="4">
        <v>16</v>
      </c>
      <c r="L1867" s="1" t="s">
        <v>46</v>
      </c>
      <c r="M1867" s="1" t="s">
        <v>47</v>
      </c>
      <c r="N1867" s="3">
        <v>255413106</v>
      </c>
      <c r="O1867" s="1" t="s">
        <v>48</v>
      </c>
      <c r="P1867" s="1" t="s">
        <v>13096</v>
      </c>
      <c r="Q1867" s="1" t="s">
        <v>145</v>
      </c>
      <c r="R1867" s="1" t="s">
        <v>145</v>
      </c>
      <c r="S1867" s="8">
        <v>4.2000000000000002</v>
      </c>
      <c r="T1867" s="1" t="s">
        <v>50</v>
      </c>
      <c r="U1867" s="1"/>
      <c r="V1867" s="1"/>
      <c r="W1867" s="1"/>
      <c r="X1867" s="5">
        <v>135</v>
      </c>
      <c r="Y1867" s="7">
        <v>7461538</v>
      </c>
      <c r="Z1867" s="7">
        <v>1638462</v>
      </c>
      <c r="AA1867" s="1" t="s">
        <v>13097</v>
      </c>
      <c r="AB1867" s="1" t="s">
        <v>13098</v>
      </c>
      <c r="AC1867" s="1" t="s">
        <v>7759</v>
      </c>
      <c r="AD1867" s="1" t="s">
        <v>13099</v>
      </c>
      <c r="AE1867" s="1" t="s">
        <v>51</v>
      </c>
      <c r="AF1867" s="1" t="s">
        <v>51</v>
      </c>
      <c r="AG1867" s="1" t="s">
        <v>47</v>
      </c>
      <c r="AH1867" s="1"/>
      <c r="AI1867" s="1"/>
      <c r="AJ1867" s="3">
        <v>1</v>
      </c>
      <c r="AK1867" s="1" t="s">
        <v>52</v>
      </c>
      <c r="AL1867" s="3">
        <v>5</v>
      </c>
      <c r="AM1867" s="8">
        <v>18.699999999999999</v>
      </c>
      <c r="AN1867" s="1"/>
      <c r="AO1867" s="1" t="s">
        <v>13100</v>
      </c>
      <c r="AP1867" s="1" t="s">
        <v>400</v>
      </c>
      <c r="AQ1867" s="1" t="s">
        <v>13101</v>
      </c>
      <c r="AR1867" s="1" t="s">
        <v>13102</v>
      </c>
    </row>
    <row r="1868">
      <c r="A1868" s="2">
        <f ca="1">DATE(2006,04,11)</f>
        <v>0</v>
      </c>
      <c r="B1868" s="2">
        <f ca="1">DATE(2006,09,21)</f>
        <v>0</v>
      </c>
      <c r="C1868" s="1" t="s">
        <v>13103</v>
      </c>
      <c r="D1868" s="3">
        <v>6021</v>
      </c>
      <c r="E1868" s="1" t="s">
        <v>43</v>
      </c>
      <c r="F1868" s="1" t="s">
        <v>13104</v>
      </c>
      <c r="G1868" s="1" t="s">
        <v>2371</v>
      </c>
      <c r="H1868" s="4">
        <v>1.6799999999999999</v>
      </c>
      <c r="I1868" s="8">
        <v>7</v>
      </c>
      <c r="J1868" s="5">
        <v>37.200000000000003</v>
      </c>
      <c r="K1868" s="4">
        <v>24</v>
      </c>
      <c r="L1868" s="1" t="s">
        <v>46</v>
      </c>
      <c r="M1868" s="1" t="s">
        <v>47</v>
      </c>
      <c r="N1868" s="3">
        <v>736233107</v>
      </c>
      <c r="O1868" s="1" t="s">
        <v>48</v>
      </c>
      <c r="P1868" s="1" t="s">
        <v>13105</v>
      </c>
      <c r="Q1868" s="4">
        <v>1.625</v>
      </c>
      <c r="R1868" s="4">
        <v>1.625</v>
      </c>
      <c r="S1868" s="8">
        <v>3.75</v>
      </c>
      <c r="T1868" s="1" t="s">
        <v>50</v>
      </c>
      <c r="U1868" s="1"/>
      <c r="V1868" s="1"/>
      <c r="W1868" s="1"/>
      <c r="X1868" s="5">
        <v>44</v>
      </c>
      <c r="Y1868" s="7">
        <v>1250000</v>
      </c>
      <c r="Z1868" s="7">
        <v>300000</v>
      </c>
      <c r="AA1868" s="1" t="s">
        <v>13106</v>
      </c>
      <c r="AB1868" s="1" t="s">
        <v>13107</v>
      </c>
      <c r="AC1868" s="1" t="s">
        <v>13108</v>
      </c>
      <c r="AD1868" s="1" t="s">
        <v>13109</v>
      </c>
      <c r="AE1868" s="1" t="s">
        <v>51</v>
      </c>
      <c r="AF1868" s="1" t="s">
        <v>51</v>
      </c>
      <c r="AG1868" s="1" t="s">
        <v>51</v>
      </c>
      <c r="AH1868" s="1"/>
      <c r="AI1868" s="1"/>
      <c r="AJ1868" s="3">
        <v>1</v>
      </c>
      <c r="AK1868" s="1" t="s">
        <v>52</v>
      </c>
      <c r="AL1868" s="3">
        <v>2</v>
      </c>
      <c r="AM1868" s="8">
        <v>23</v>
      </c>
      <c r="AN1868" s="1"/>
      <c r="AO1868" s="1" t="s">
        <v>13110</v>
      </c>
      <c r="AP1868" s="1" t="s">
        <v>2371</v>
      </c>
      <c r="AQ1868" s="1" t="s">
        <v>10467</v>
      </c>
      <c r="AR1868" s="1" t="s">
        <v>10468</v>
      </c>
    </row>
    <row r="1869">
      <c r="A1869" s="2">
        <f ca="1">DATE(2006,09,06)</f>
        <v>0</v>
      </c>
      <c r="B1869" s="2">
        <f ca="1">DATE(2006,09,25)</f>
        <v>0</v>
      </c>
      <c r="C1869" s="1" t="s">
        <v>13111</v>
      </c>
      <c r="D1869" s="3">
        <v>3841</v>
      </c>
      <c r="E1869" s="1" t="s">
        <v>744</v>
      </c>
      <c r="F1869" s="1" t="s">
        <v>13112</v>
      </c>
      <c r="G1869" s="1" t="s">
        <v>6891</v>
      </c>
      <c r="H1869" s="4">
        <v>0.94499999999999995</v>
      </c>
      <c r="I1869" s="8">
        <v>7</v>
      </c>
      <c r="J1869" s="5">
        <v>270</v>
      </c>
      <c r="K1869" s="4">
        <v>13.5</v>
      </c>
      <c r="L1869" s="1" t="s">
        <v>651</v>
      </c>
      <c r="M1869" s="1" t="s">
        <v>47</v>
      </c>
      <c r="N1869" s="3">
        <v>602675100</v>
      </c>
      <c r="O1869" s="1" t="s">
        <v>108</v>
      </c>
      <c r="P1869" s="1" t="s">
        <v>13113</v>
      </c>
      <c r="Q1869" s="1" t="s">
        <v>145</v>
      </c>
      <c r="R1869" s="1" t="s">
        <v>145</v>
      </c>
      <c r="S1869" s="8">
        <v>4.2000000000000002</v>
      </c>
      <c r="T1869" s="1" t="s">
        <v>50</v>
      </c>
      <c r="U1869" s="1"/>
      <c r="V1869" s="1"/>
      <c r="W1869" s="1"/>
      <c r="X1869" s="5">
        <v>276</v>
      </c>
      <c r="Y1869" s="7">
        <v>10643000</v>
      </c>
      <c r="Z1869" s="7">
        <v>9357000</v>
      </c>
      <c r="AA1869" s="1" t="s">
        <v>13114</v>
      </c>
      <c r="AB1869" s="1" t="s">
        <v>5265</v>
      </c>
      <c r="AC1869" s="1" t="s">
        <v>7759</v>
      </c>
      <c r="AD1869" s="1" t="s">
        <v>5265</v>
      </c>
      <c r="AE1869" s="1" t="s">
        <v>47</v>
      </c>
      <c r="AF1869" s="1" t="s">
        <v>51</v>
      </c>
      <c r="AG1869" s="1" t="s">
        <v>47</v>
      </c>
      <c r="AH1869" s="1"/>
      <c r="AI1869" s="1"/>
      <c r="AJ1869" s="3">
        <v>2</v>
      </c>
      <c r="AK1869" s="1" t="s">
        <v>89</v>
      </c>
      <c r="AL1869" s="3">
        <v>6</v>
      </c>
      <c r="AM1869" s="8">
        <v>17.550000000000001</v>
      </c>
      <c r="AN1869" s="1"/>
      <c r="AO1869" s="1" t="s">
        <v>13115</v>
      </c>
      <c r="AP1869" s="1" t="s">
        <v>6894</v>
      </c>
      <c r="AQ1869" s="1" t="s">
        <v>13116</v>
      </c>
      <c r="AR1869" s="1" t="s">
        <v>13117</v>
      </c>
    </row>
    <row r="1870">
      <c r="A1870" s="2">
        <f ca="1">DATE(2006,07,19)</f>
        <v>0</v>
      </c>
      <c r="B1870" s="2">
        <f ca="1">DATE(2006,09,26)</f>
        <v>0</v>
      </c>
      <c r="C1870" s="1" t="s">
        <v>13118</v>
      </c>
      <c r="D1870" s="3">
        <v>6726</v>
      </c>
      <c r="E1870" s="1" t="s">
        <v>43</v>
      </c>
      <c r="F1870" s="1" t="s">
        <v>13119</v>
      </c>
      <c r="G1870" s="1" t="s">
        <v>3332</v>
      </c>
      <c r="H1870" s="4">
        <v>0.67500000000000004</v>
      </c>
      <c r="I1870" s="4">
        <v>4.5</v>
      </c>
      <c r="J1870" s="5">
        <v>802.5</v>
      </c>
      <c r="K1870" s="4">
        <v>15</v>
      </c>
      <c r="L1870" s="1" t="s">
        <v>46</v>
      </c>
      <c r="M1870" s="1" t="s">
        <v>47</v>
      </c>
      <c r="N1870" s="1" t="s">
        <v>13120</v>
      </c>
      <c r="O1870" s="1" t="s">
        <v>108</v>
      </c>
      <c r="P1870" s="1" t="s">
        <v>13121</v>
      </c>
      <c r="Q1870" s="1" t="s">
        <v>145</v>
      </c>
      <c r="R1870" s="1" t="s">
        <v>145</v>
      </c>
      <c r="S1870" s="8">
        <v>3</v>
      </c>
      <c r="T1870" s="1" t="s">
        <v>50</v>
      </c>
      <c r="U1870" s="8">
        <v>15</v>
      </c>
      <c r="V1870" s="8">
        <v>15</v>
      </c>
      <c r="W1870" s="7">
        <v>100000</v>
      </c>
      <c r="X1870" s="5">
        <v>1.5</v>
      </c>
      <c r="Y1870" s="7">
        <v>53500000</v>
      </c>
      <c r="Z1870" s="1"/>
      <c r="AA1870" s="1"/>
      <c r="AB1870" s="1"/>
      <c r="AC1870" s="1"/>
      <c r="AD1870" s="1"/>
      <c r="AE1870" s="1" t="s">
        <v>51</v>
      </c>
      <c r="AF1870" s="1" t="s">
        <v>51</v>
      </c>
      <c r="AG1870" s="1" t="s">
        <v>51</v>
      </c>
      <c r="AH1870" s="1"/>
      <c r="AI1870" s="1"/>
      <c r="AJ1870" s="3">
        <v>1</v>
      </c>
      <c r="AK1870" s="1" t="s">
        <v>52</v>
      </c>
      <c r="AL1870" s="3">
        <v>22</v>
      </c>
      <c r="AM1870" s="8">
        <v>15.01</v>
      </c>
      <c r="AN1870" s="1"/>
      <c r="AO1870" s="1" t="s">
        <v>13122</v>
      </c>
      <c r="AP1870" s="1" t="s">
        <v>3332</v>
      </c>
      <c r="AQ1870" s="1" t="s">
        <v>13123</v>
      </c>
      <c r="AR1870" s="1" t="s">
        <v>13124</v>
      </c>
    </row>
    <row r="1871">
      <c r="A1871" s="2">
        <f ca="1">DATE(2006,05,15)</f>
        <v>0</v>
      </c>
      <c r="B1871" s="2">
        <f ca="1">DATE(2006,09,26)</f>
        <v>0</v>
      </c>
      <c r="C1871" s="1" t="s">
        <v>13125</v>
      </c>
      <c r="D1871" s="3">
        <v>1311</v>
      </c>
      <c r="E1871" s="1" t="s">
        <v>43</v>
      </c>
      <c r="F1871" s="1" t="s">
        <v>13126</v>
      </c>
      <c r="G1871" s="1" t="s">
        <v>4145</v>
      </c>
      <c r="H1871" s="4">
        <v>1.3</v>
      </c>
      <c r="I1871" s="4">
        <v>6.5</v>
      </c>
      <c r="J1871" s="5">
        <v>78</v>
      </c>
      <c r="K1871" s="4">
        <v>20</v>
      </c>
      <c r="L1871" s="1" t="s">
        <v>85</v>
      </c>
      <c r="M1871" s="1" t="s">
        <v>47</v>
      </c>
      <c r="N1871" s="1" t="s">
        <v>13127</v>
      </c>
      <c r="O1871" s="1" t="s">
        <v>48</v>
      </c>
      <c r="P1871" s="1" t="s">
        <v>13128</v>
      </c>
      <c r="Q1871" s="1" t="s">
        <v>145</v>
      </c>
      <c r="R1871" s="1" t="s">
        <v>145</v>
      </c>
      <c r="S1871" s="8">
        <v>3.8999999999999999</v>
      </c>
      <c r="T1871" s="1" t="s">
        <v>50</v>
      </c>
      <c r="U1871" s="1"/>
      <c r="V1871" s="1"/>
      <c r="W1871" s="7">
        <v>3900000</v>
      </c>
      <c r="X1871" s="1"/>
      <c r="Y1871" s="7">
        <v>3900000</v>
      </c>
      <c r="Z1871" s="1"/>
      <c r="AA1871" s="1" t="s">
        <v>13129</v>
      </c>
      <c r="AB1871" s="1" t="s">
        <v>5265</v>
      </c>
      <c r="AC1871" s="1" t="s">
        <v>7759</v>
      </c>
      <c r="AD1871" s="1" t="s">
        <v>5265</v>
      </c>
      <c r="AE1871" s="1" t="s">
        <v>51</v>
      </c>
      <c r="AF1871" s="1" t="s">
        <v>51</v>
      </c>
      <c r="AG1871" s="1" t="s">
        <v>51</v>
      </c>
      <c r="AH1871" s="1"/>
      <c r="AI1871" s="1"/>
      <c r="AJ1871" s="3">
        <v>1</v>
      </c>
      <c r="AK1871" s="1" t="s">
        <v>52</v>
      </c>
      <c r="AL1871" s="3">
        <v>4</v>
      </c>
      <c r="AM1871" s="8">
        <v>19.789999999999999</v>
      </c>
      <c r="AN1871" s="1"/>
      <c r="AO1871" s="1" t="s">
        <v>13130</v>
      </c>
      <c r="AP1871" s="1" t="s">
        <v>4145</v>
      </c>
      <c r="AQ1871" s="1" t="s">
        <v>13131</v>
      </c>
      <c r="AR1871" s="1" t="s">
        <v>13128</v>
      </c>
    </row>
    <row r="1872">
      <c r="A1872" s="2">
        <f ca="1">DATE(2006,03,03)</f>
        <v>0</v>
      </c>
      <c r="B1872" s="2">
        <f ca="1">DATE(2006,09,27)</f>
        <v>0</v>
      </c>
      <c r="C1872" s="1" t="s">
        <v>13132</v>
      </c>
      <c r="D1872" s="3">
        <v>6798</v>
      </c>
      <c r="E1872" s="1" t="s">
        <v>43</v>
      </c>
      <c r="F1872" s="1" t="s">
        <v>13133</v>
      </c>
      <c r="G1872" s="1" t="s">
        <v>13134</v>
      </c>
      <c r="H1872" s="4">
        <v>0.87</v>
      </c>
      <c r="I1872" s="4">
        <v>6</v>
      </c>
      <c r="J1872" s="5">
        <v>139.19999999999999</v>
      </c>
      <c r="K1872" s="4">
        <v>14.5</v>
      </c>
      <c r="L1872" s="1" t="s">
        <v>46</v>
      </c>
      <c r="M1872" s="1" t="s">
        <v>47</v>
      </c>
      <c r="N1872" s="1" t="s">
        <v>13135</v>
      </c>
      <c r="O1872" s="1" t="s">
        <v>108</v>
      </c>
      <c r="P1872" s="1" t="s">
        <v>13136</v>
      </c>
      <c r="Q1872" s="4">
        <v>1.2</v>
      </c>
      <c r="R1872" s="4">
        <v>1.2</v>
      </c>
      <c r="S1872" s="8">
        <v>3.6000000000000001</v>
      </c>
      <c r="T1872" s="1" t="s">
        <v>50</v>
      </c>
      <c r="U1872" s="1"/>
      <c r="V1872" s="1"/>
      <c r="W1872" s="1"/>
      <c r="X1872" s="5">
        <v>200</v>
      </c>
      <c r="Y1872" s="7">
        <v>8508591</v>
      </c>
      <c r="Z1872" s="7">
        <v>1091409</v>
      </c>
      <c r="AA1872" s="1" t="s">
        <v>13137</v>
      </c>
      <c r="AB1872" s="1" t="s">
        <v>5265</v>
      </c>
      <c r="AC1872" s="1" t="s">
        <v>10163</v>
      </c>
      <c r="AD1872" s="1" t="s">
        <v>5265</v>
      </c>
      <c r="AE1872" s="1" t="s">
        <v>51</v>
      </c>
      <c r="AF1872" s="1" t="s">
        <v>51</v>
      </c>
      <c r="AG1872" s="1" t="s">
        <v>51</v>
      </c>
      <c r="AH1872" s="1"/>
      <c r="AI1872" s="1"/>
      <c r="AJ1872" s="3">
        <v>4</v>
      </c>
      <c r="AK1872" s="1" t="s">
        <v>1209</v>
      </c>
      <c r="AL1872" s="3">
        <v>5</v>
      </c>
      <c r="AM1872" s="8">
        <v>15</v>
      </c>
      <c r="AN1872" s="1"/>
      <c r="AO1872" s="1" t="s">
        <v>13138</v>
      </c>
      <c r="AP1872" s="1" t="s">
        <v>13139</v>
      </c>
      <c r="AQ1872" s="1" t="s">
        <v>13140</v>
      </c>
      <c r="AR1872" s="1" t="s">
        <v>13141</v>
      </c>
    </row>
    <row r="1873">
      <c r="A1873" s="2">
        <f ca="1">DATE(2006,05,11)</f>
        <v>0</v>
      </c>
      <c r="B1873" s="2">
        <f ca="1">DATE(2006,09,27)</f>
        <v>0</v>
      </c>
      <c r="C1873" s="1" t="s">
        <v>13142</v>
      </c>
      <c r="D1873" s="3">
        <v>8742</v>
      </c>
      <c r="E1873" s="1" t="s">
        <v>43</v>
      </c>
      <c r="F1873" s="1" t="s">
        <v>13143</v>
      </c>
      <c r="G1873" s="1" t="s">
        <v>5704</v>
      </c>
      <c r="H1873" s="4">
        <v>0.83999999999999997</v>
      </c>
      <c r="I1873" s="8">
        <v>7</v>
      </c>
      <c r="J1873" s="5">
        <v>56</v>
      </c>
      <c r="K1873" s="4">
        <v>12</v>
      </c>
      <c r="L1873" s="1" t="s">
        <v>46</v>
      </c>
      <c r="M1873" s="1" t="s">
        <v>47</v>
      </c>
      <c r="N1873" s="1" t="s">
        <v>13144</v>
      </c>
      <c r="O1873" s="1" t="s">
        <v>48</v>
      </c>
      <c r="P1873" s="1" t="s">
        <v>13145</v>
      </c>
      <c r="Q1873" s="1" t="s">
        <v>145</v>
      </c>
      <c r="R1873" s="1" t="s">
        <v>145</v>
      </c>
      <c r="S1873" s="6">
        <v>4.1666699999999999</v>
      </c>
      <c r="T1873" s="1" t="s">
        <v>50</v>
      </c>
      <c r="U1873" s="1"/>
      <c r="V1873" s="1"/>
      <c r="W1873" s="1"/>
      <c r="X1873" s="5">
        <v>75</v>
      </c>
      <c r="Y1873" s="7">
        <v>3659448</v>
      </c>
      <c r="Z1873" s="7">
        <v>1010552</v>
      </c>
      <c r="AA1873" s="1" t="s">
        <v>13146</v>
      </c>
      <c r="AB1873" s="1" t="s">
        <v>13147</v>
      </c>
      <c r="AC1873" s="1" t="s">
        <v>7759</v>
      </c>
      <c r="AD1873" s="1" t="s">
        <v>13148</v>
      </c>
      <c r="AE1873" s="1" t="s">
        <v>51</v>
      </c>
      <c r="AF1873" s="1" t="s">
        <v>51</v>
      </c>
      <c r="AG1873" s="1" t="s">
        <v>51</v>
      </c>
      <c r="AH1873" s="1"/>
      <c r="AI1873" s="1"/>
      <c r="AJ1873" s="3">
        <v>1</v>
      </c>
      <c r="AK1873" s="1" t="s">
        <v>89</v>
      </c>
      <c r="AL1873" s="3">
        <v>4</v>
      </c>
      <c r="AM1873" s="8">
        <v>12.25</v>
      </c>
      <c r="AN1873" s="1"/>
      <c r="AO1873" s="1" t="s">
        <v>13149</v>
      </c>
      <c r="AP1873" s="1" t="s">
        <v>13150</v>
      </c>
      <c r="AQ1873" s="1" t="s">
        <v>13151</v>
      </c>
      <c r="AR1873" s="1" t="s">
        <v>13145</v>
      </c>
    </row>
    <row r="1874">
      <c r="A1874" s="2">
        <f ca="1">DATE(2006,07,11)</f>
        <v>0</v>
      </c>
      <c r="B1874" s="2">
        <f ca="1">DATE(2006,09,27)</f>
        <v>0</v>
      </c>
      <c r="C1874" s="1" t="s">
        <v>13152</v>
      </c>
      <c r="D1874" s="3">
        <v>6726</v>
      </c>
      <c r="E1874" s="1" t="s">
        <v>43</v>
      </c>
      <c r="F1874" s="1" t="s">
        <v>13153</v>
      </c>
      <c r="G1874" s="1" t="s">
        <v>796</v>
      </c>
      <c r="H1874" s="4">
        <v>0.90000000000000002</v>
      </c>
      <c r="I1874" s="4">
        <v>4.5</v>
      </c>
      <c r="J1874" s="5">
        <v>244</v>
      </c>
      <c r="K1874" s="4">
        <v>20</v>
      </c>
      <c r="L1874" s="1" t="s">
        <v>46</v>
      </c>
      <c r="M1874" s="1" t="s">
        <v>47</v>
      </c>
      <c r="N1874" s="3">
        <v>617468103</v>
      </c>
      <c r="O1874" s="1" t="s">
        <v>108</v>
      </c>
      <c r="P1874" s="1" t="s">
        <v>13154</v>
      </c>
      <c r="Q1874" s="1" t="s">
        <v>145</v>
      </c>
      <c r="R1874" s="1" t="s">
        <v>145</v>
      </c>
      <c r="S1874" s="8">
        <v>3</v>
      </c>
      <c r="T1874" s="1" t="s">
        <v>50</v>
      </c>
      <c r="U1874" s="8">
        <v>15</v>
      </c>
      <c r="V1874" s="8">
        <v>15</v>
      </c>
      <c r="W1874" s="7">
        <v>66666</v>
      </c>
      <c r="X1874" s="5">
        <v>1</v>
      </c>
      <c r="Y1874" s="7">
        <v>12201371</v>
      </c>
      <c r="Z1874" s="1"/>
      <c r="AA1874" s="2">
        <f ca="1">DATE(2007,03,26)</f>
        <v>0</v>
      </c>
      <c r="AB1874" s="1"/>
      <c r="AC1874" s="3">
        <v>180</v>
      </c>
      <c r="AD1874" s="1"/>
      <c r="AE1874" s="1" t="s">
        <v>51</v>
      </c>
      <c r="AF1874" s="1" t="s">
        <v>51</v>
      </c>
      <c r="AG1874" s="1" t="s">
        <v>51</v>
      </c>
      <c r="AH1874" s="1"/>
      <c r="AI1874" s="1"/>
      <c r="AJ1874" s="3">
        <v>1</v>
      </c>
      <c r="AK1874" s="1" t="s">
        <v>52</v>
      </c>
      <c r="AL1874" s="3">
        <v>1</v>
      </c>
      <c r="AM1874" s="1"/>
      <c r="AN1874" s="1"/>
      <c r="AO1874" s="1" t="s">
        <v>796</v>
      </c>
      <c r="AP1874" s="1" t="s">
        <v>796</v>
      </c>
      <c r="AQ1874" s="1" t="s">
        <v>796</v>
      </c>
      <c r="AR1874" s="1" t="s">
        <v>13154</v>
      </c>
    </row>
    <row r="1875">
      <c r="A1875" s="2">
        <f ca="1">DATE(2006,06,30)</f>
        <v>0</v>
      </c>
      <c r="B1875" s="2">
        <f ca="1">DATE(2006,09,28)</f>
        <v>0</v>
      </c>
      <c r="C1875" s="1" t="s">
        <v>13155</v>
      </c>
      <c r="D1875" s="3">
        <v>2844</v>
      </c>
      <c r="E1875" s="1" t="s">
        <v>43</v>
      </c>
      <c r="F1875" s="1" t="s">
        <v>13156</v>
      </c>
      <c r="G1875" s="1" t="s">
        <v>160</v>
      </c>
      <c r="H1875" s="4">
        <v>1.54</v>
      </c>
      <c r="I1875" s="4">
        <v>7</v>
      </c>
      <c r="J1875" s="5">
        <v>352</v>
      </c>
      <c r="K1875" s="4">
        <v>22</v>
      </c>
      <c r="L1875" s="1" t="s">
        <v>46</v>
      </c>
      <c r="M1875" s="1" t="s">
        <v>47</v>
      </c>
      <c r="N1875" s="1" t="s">
        <v>13157</v>
      </c>
      <c r="O1875" s="1" t="s">
        <v>48</v>
      </c>
      <c r="P1875" s="1" t="s">
        <v>13158</v>
      </c>
      <c r="Q1875" s="1" t="s">
        <v>145</v>
      </c>
      <c r="R1875" s="1" t="s">
        <v>145</v>
      </c>
      <c r="S1875" s="8">
        <v>4.2000000000000002</v>
      </c>
      <c r="T1875" s="1" t="s">
        <v>50</v>
      </c>
      <c r="U1875" s="1"/>
      <c r="V1875" s="1"/>
      <c r="W1875" s="1"/>
      <c r="X1875" s="5">
        <v>287.5</v>
      </c>
      <c r="Y1875" s="7">
        <v>16000000</v>
      </c>
      <c r="Z1875" s="1"/>
      <c r="AA1875" s="1" t="s">
        <v>13159</v>
      </c>
      <c r="AB1875" s="1" t="s">
        <v>13160</v>
      </c>
      <c r="AC1875" s="1" t="s">
        <v>7759</v>
      </c>
      <c r="AD1875" s="1" t="s">
        <v>13161</v>
      </c>
      <c r="AE1875" s="1" t="s">
        <v>51</v>
      </c>
      <c r="AF1875" s="1" t="s">
        <v>51</v>
      </c>
      <c r="AG1875" s="1" t="s">
        <v>51</v>
      </c>
      <c r="AH1875" s="1"/>
      <c r="AI1875" s="1"/>
      <c r="AJ1875" s="3">
        <v>1</v>
      </c>
      <c r="AK1875" s="1" t="s">
        <v>89</v>
      </c>
      <c r="AL1875" s="3">
        <v>7</v>
      </c>
      <c r="AM1875" s="8">
        <v>27.149999999999999</v>
      </c>
      <c r="AN1875" s="1"/>
      <c r="AO1875" s="1" t="s">
        <v>13162</v>
      </c>
      <c r="AP1875" s="1" t="s">
        <v>13163</v>
      </c>
      <c r="AQ1875" s="1" t="s">
        <v>13164</v>
      </c>
      <c r="AR1875" s="1" t="s">
        <v>13158</v>
      </c>
    </row>
    <row r="1876">
      <c r="A1876" s="2">
        <f ca="1">DATE(2006,06,14)</f>
        <v>0</v>
      </c>
      <c r="B1876" s="2">
        <f ca="1">DATE(2006,09,28)</f>
        <v>0</v>
      </c>
      <c r="C1876" s="1" t="s">
        <v>13165</v>
      </c>
      <c r="D1876" s="3">
        <v>6021</v>
      </c>
      <c r="E1876" s="1" t="s">
        <v>43</v>
      </c>
      <c r="F1876" s="1" t="s">
        <v>13166</v>
      </c>
      <c r="G1876" s="1" t="s">
        <v>2371</v>
      </c>
      <c r="H1876" s="4">
        <v>0.66500000000000004</v>
      </c>
      <c r="I1876" s="4">
        <v>7</v>
      </c>
      <c r="J1876" s="5">
        <v>31.800000000000001</v>
      </c>
      <c r="K1876" s="4">
        <v>9.5</v>
      </c>
      <c r="L1876" s="1" t="s">
        <v>46</v>
      </c>
      <c r="M1876" s="1" t="s">
        <v>47</v>
      </c>
      <c r="N1876" s="1" t="s">
        <v>13167</v>
      </c>
      <c r="O1876" s="1" t="s">
        <v>48</v>
      </c>
      <c r="P1876" s="1" t="s">
        <v>13105</v>
      </c>
      <c r="Q1876" s="1" t="s">
        <v>145</v>
      </c>
      <c r="R1876" s="1" t="s">
        <v>145</v>
      </c>
      <c r="S1876" s="6">
        <v>3.1578900000000001</v>
      </c>
      <c r="T1876" s="1" t="s">
        <v>50</v>
      </c>
      <c r="U1876" s="1"/>
      <c r="V1876" s="1"/>
      <c r="W1876" s="1"/>
      <c r="X1876" s="5">
        <v>25</v>
      </c>
      <c r="Y1876" s="7">
        <v>3350000</v>
      </c>
      <c r="Z1876" s="1"/>
      <c r="AA1876" s="1" t="s">
        <v>13159</v>
      </c>
      <c r="AB1876" s="1" t="s">
        <v>13168</v>
      </c>
      <c r="AC1876" s="1" t="s">
        <v>7759</v>
      </c>
      <c r="AD1876" s="1" t="s">
        <v>13169</v>
      </c>
      <c r="AE1876" s="1" t="s">
        <v>51</v>
      </c>
      <c r="AF1876" s="1" t="s">
        <v>51</v>
      </c>
      <c r="AG1876" s="1" t="s">
        <v>51</v>
      </c>
      <c r="AH1876" s="1"/>
      <c r="AI1876" s="1"/>
      <c r="AJ1876" s="3">
        <v>1</v>
      </c>
      <c r="AK1876" s="1" t="s">
        <v>52</v>
      </c>
      <c r="AL1876" s="3">
        <v>2</v>
      </c>
      <c r="AM1876" s="8">
        <v>10.19</v>
      </c>
      <c r="AN1876" s="1"/>
      <c r="AO1876" s="1" t="s">
        <v>13110</v>
      </c>
      <c r="AP1876" s="1" t="s">
        <v>2371</v>
      </c>
      <c r="AQ1876" s="1" t="s">
        <v>10467</v>
      </c>
      <c r="AR1876" s="1" t="s">
        <v>10468</v>
      </c>
    </row>
    <row r="1877">
      <c r="A1877" s="2">
        <f ca="1">DATE(2006,06,29)</f>
        <v>0</v>
      </c>
      <c r="B1877" s="2">
        <f ca="1">DATE(2006,09,28)</f>
        <v>0</v>
      </c>
      <c r="C1877" s="1" t="s">
        <v>13170</v>
      </c>
      <c r="D1877" s="3">
        <v>7384</v>
      </c>
      <c r="E1877" s="1" t="s">
        <v>43</v>
      </c>
      <c r="F1877" s="1" t="s">
        <v>13171</v>
      </c>
      <c r="G1877" s="1" t="s">
        <v>400</v>
      </c>
      <c r="H1877" s="4">
        <v>1.0529999999999999</v>
      </c>
      <c r="I1877" s="4">
        <v>7.0199999999999996</v>
      </c>
      <c r="J1877" s="5">
        <v>87</v>
      </c>
      <c r="K1877" s="4">
        <v>15</v>
      </c>
      <c r="L1877" s="1" t="s">
        <v>46</v>
      </c>
      <c r="M1877" s="1" t="s">
        <v>47</v>
      </c>
      <c r="N1877" s="1" t="s">
        <v>13172</v>
      </c>
      <c r="O1877" s="1" t="s">
        <v>48</v>
      </c>
      <c r="P1877" s="1" t="s">
        <v>13173</v>
      </c>
      <c r="Q1877" s="1" t="s">
        <v>145</v>
      </c>
      <c r="R1877" s="1" t="s">
        <v>145</v>
      </c>
      <c r="S1877" s="8">
        <v>4.2000000000000002</v>
      </c>
      <c r="T1877" s="1" t="s">
        <v>50</v>
      </c>
      <c r="U1877" s="1"/>
      <c r="V1877" s="1"/>
      <c r="W1877" s="1"/>
      <c r="X1877" s="5">
        <v>92</v>
      </c>
      <c r="Y1877" s="7">
        <v>5800000</v>
      </c>
      <c r="Z1877" s="1"/>
      <c r="AA1877" s="1" t="s">
        <v>13174</v>
      </c>
      <c r="AB1877" s="1" t="s">
        <v>13175</v>
      </c>
      <c r="AC1877" s="1" t="s">
        <v>13176</v>
      </c>
      <c r="AD1877" s="1" t="s">
        <v>13177</v>
      </c>
      <c r="AE1877" s="1" t="s">
        <v>51</v>
      </c>
      <c r="AF1877" s="1" t="s">
        <v>51</v>
      </c>
      <c r="AG1877" s="1" t="s">
        <v>47</v>
      </c>
      <c r="AH1877" s="1"/>
      <c r="AI1877" s="1"/>
      <c r="AJ1877" s="3">
        <v>1</v>
      </c>
      <c r="AK1877" s="1" t="s">
        <v>52</v>
      </c>
      <c r="AL1877" s="3">
        <v>3</v>
      </c>
      <c r="AM1877" s="8">
        <v>15.550000000000001</v>
      </c>
      <c r="AN1877" s="1"/>
      <c r="AO1877" s="1" t="s">
        <v>13178</v>
      </c>
      <c r="AP1877" s="1" t="s">
        <v>400</v>
      </c>
      <c r="AQ1877" s="1" t="s">
        <v>13179</v>
      </c>
      <c r="AR1877" s="1" t="s">
        <v>13180</v>
      </c>
    </row>
    <row r="1878">
      <c r="A1878" s="2">
        <f ca="1">DATE(2005,06,21)</f>
        <v>0</v>
      </c>
      <c r="B1878" s="2">
        <f ca="1">DATE(2006,09,29)</f>
        <v>0</v>
      </c>
      <c r="C1878" s="1" t="s">
        <v>13181</v>
      </c>
      <c r="D1878" s="3">
        <v>7372</v>
      </c>
      <c r="E1878" s="1" t="s">
        <v>744</v>
      </c>
      <c r="F1878" s="1" t="s">
        <v>13182</v>
      </c>
      <c r="G1878" s="1" t="s">
        <v>9781</v>
      </c>
      <c r="H1878" s="4">
        <v>0.71999999999999997</v>
      </c>
      <c r="I1878" s="4">
        <v>12</v>
      </c>
      <c r="J1878" s="5">
        <v>6</v>
      </c>
      <c r="K1878" s="8">
        <v>6</v>
      </c>
      <c r="L1878" s="1" t="s">
        <v>58</v>
      </c>
      <c r="M1878" s="1" t="s">
        <v>47</v>
      </c>
      <c r="N1878" s="1"/>
      <c r="O1878" s="1" t="s">
        <v>48</v>
      </c>
      <c r="P1878" s="1" t="s">
        <v>9783</v>
      </c>
      <c r="Q1878" s="1" t="s">
        <v>145</v>
      </c>
      <c r="R1878" s="1" t="s">
        <v>145</v>
      </c>
      <c r="S1878" s="8">
        <v>4</v>
      </c>
      <c r="T1878" s="1" t="s">
        <v>60</v>
      </c>
      <c r="U1878" s="1"/>
      <c r="V1878" s="1"/>
      <c r="W1878" s="1"/>
      <c r="X1878" s="1"/>
      <c r="Y1878" s="7">
        <v>1000000</v>
      </c>
      <c r="Z1878" s="1"/>
      <c r="AA1878" s="1"/>
      <c r="AB1878" s="1"/>
      <c r="AC1878" s="3">
        <v>90</v>
      </c>
      <c r="AD1878" s="1"/>
      <c r="AE1878" s="1" t="s">
        <v>51</v>
      </c>
      <c r="AF1878" s="1" t="s">
        <v>51</v>
      </c>
      <c r="AG1878" s="1" t="s">
        <v>47</v>
      </c>
      <c r="AH1878" s="1"/>
      <c r="AI1878" s="1"/>
      <c r="AJ1878" s="3">
        <v>1</v>
      </c>
      <c r="AK1878" s="1" t="s">
        <v>52</v>
      </c>
      <c r="AL1878" s="3">
        <v>1</v>
      </c>
      <c r="AM1878" s="1"/>
      <c r="AN1878" s="1"/>
      <c r="AO1878" s="1" t="s">
        <v>9781</v>
      </c>
      <c r="AP1878" s="1" t="s">
        <v>9781</v>
      </c>
      <c r="AQ1878" s="1" t="s">
        <v>9781</v>
      </c>
      <c r="AR1878" s="1" t="s">
        <v>9783</v>
      </c>
    </row>
    <row r="1879">
      <c r="A1879" s="2">
        <f ca="1">DATE(2006,06,02)</f>
        <v>0</v>
      </c>
      <c r="B1879" s="2">
        <f ca="1">DATE(2006,10,03)</f>
        <v>0</v>
      </c>
      <c r="C1879" s="1" t="s">
        <v>13183</v>
      </c>
      <c r="D1879" s="3">
        <v>6726</v>
      </c>
      <c r="E1879" s="1" t="s">
        <v>43</v>
      </c>
      <c r="F1879" s="1" t="s">
        <v>13184</v>
      </c>
      <c r="G1879" s="1" t="s">
        <v>7222</v>
      </c>
      <c r="H1879" s="1" t="s">
        <v>57</v>
      </c>
      <c r="I1879" s="1" t="s">
        <v>57</v>
      </c>
      <c r="J1879" s="5">
        <v>36</v>
      </c>
      <c r="K1879" s="4">
        <v>8</v>
      </c>
      <c r="L1879" s="1" t="s">
        <v>46</v>
      </c>
      <c r="M1879" s="1" t="s">
        <v>47</v>
      </c>
      <c r="N1879" s="1" t="s">
        <v>13185</v>
      </c>
      <c r="O1879" s="1" t="s">
        <v>77</v>
      </c>
      <c r="P1879" s="1" t="s">
        <v>7339</v>
      </c>
      <c r="Q1879" s="1"/>
      <c r="R1879" s="1"/>
      <c r="S1879" s="1"/>
      <c r="T1879" s="1" t="s">
        <v>50</v>
      </c>
      <c r="U1879" s="8">
        <v>8</v>
      </c>
      <c r="V1879" s="8">
        <v>8</v>
      </c>
      <c r="W1879" s="7">
        <v>4500000</v>
      </c>
      <c r="X1879" s="5">
        <v>36</v>
      </c>
      <c r="Y1879" s="7">
        <v>4500000</v>
      </c>
      <c r="Z1879" s="1"/>
      <c r="AA1879" s="1"/>
      <c r="AB1879" s="1"/>
      <c r="AC1879" s="1"/>
      <c r="AD1879" s="1"/>
      <c r="AE1879" s="1" t="s">
        <v>51</v>
      </c>
      <c r="AF1879" s="1" t="s">
        <v>51</v>
      </c>
      <c r="AG1879" s="1" t="s">
        <v>51</v>
      </c>
      <c r="AH1879" s="1"/>
      <c r="AI1879" s="1"/>
      <c r="AJ1879" s="3">
        <v>1</v>
      </c>
      <c r="AK1879" s="1" t="s">
        <v>52</v>
      </c>
      <c r="AL1879" s="3">
        <v>1</v>
      </c>
      <c r="AM1879" s="1"/>
      <c r="AN1879" s="1"/>
      <c r="AO1879" s="1" t="s">
        <v>7222</v>
      </c>
      <c r="AP1879" s="1" t="s">
        <v>7222</v>
      </c>
      <c r="AQ1879" s="1" t="s">
        <v>7222</v>
      </c>
      <c r="AR1879" s="1" t="s">
        <v>7339</v>
      </c>
    </row>
    <row r="1880">
      <c r="A1880" s="2">
        <f ca="1">DATE(2006,05,12)</f>
        <v>0</v>
      </c>
      <c r="B1880" s="2">
        <f ca="1">DATE(2006,10,04)</f>
        <v>0</v>
      </c>
      <c r="C1880" s="1" t="s">
        <v>13186</v>
      </c>
      <c r="D1880" s="3">
        <v>1311</v>
      </c>
      <c r="E1880" s="1" t="s">
        <v>43</v>
      </c>
      <c r="F1880" s="1" t="s">
        <v>13187</v>
      </c>
      <c r="G1880" s="1" t="s">
        <v>13188</v>
      </c>
      <c r="H1880" s="4">
        <v>1.2949999999999999</v>
      </c>
      <c r="I1880" s="8">
        <v>7</v>
      </c>
      <c r="J1880" s="5">
        <v>111</v>
      </c>
      <c r="K1880" s="4">
        <v>18.5</v>
      </c>
      <c r="L1880" s="1" t="s">
        <v>85</v>
      </c>
      <c r="M1880" s="1" t="s">
        <v>47</v>
      </c>
      <c r="N1880" s="3">
        <v>106776107</v>
      </c>
      <c r="O1880" s="1" t="s">
        <v>48</v>
      </c>
      <c r="P1880" s="1" t="s">
        <v>13189</v>
      </c>
      <c r="Q1880" s="1" t="s">
        <v>145</v>
      </c>
      <c r="R1880" s="1" t="s">
        <v>145</v>
      </c>
      <c r="S1880" s="6">
        <v>4.1621600000000001</v>
      </c>
      <c r="T1880" s="1" t="s">
        <v>50</v>
      </c>
      <c r="U1880" s="1"/>
      <c r="V1880" s="1"/>
      <c r="W1880" s="7">
        <v>6000000</v>
      </c>
      <c r="X1880" s="1"/>
      <c r="Y1880" s="7">
        <v>6000000</v>
      </c>
      <c r="Z1880" s="1"/>
      <c r="AA1880" s="1" t="s">
        <v>13190</v>
      </c>
      <c r="AB1880" s="1" t="s">
        <v>5265</v>
      </c>
      <c r="AC1880" s="1" t="s">
        <v>7759</v>
      </c>
      <c r="AD1880" s="1" t="s">
        <v>5265</v>
      </c>
      <c r="AE1880" s="1" t="s">
        <v>51</v>
      </c>
      <c r="AF1880" s="1" t="s">
        <v>51</v>
      </c>
      <c r="AG1880" s="1" t="s">
        <v>51</v>
      </c>
      <c r="AH1880" s="1"/>
      <c r="AI1880" s="1"/>
      <c r="AJ1880" s="3">
        <v>2</v>
      </c>
      <c r="AK1880" s="1" t="s">
        <v>89</v>
      </c>
      <c r="AL1880" s="3">
        <v>7</v>
      </c>
      <c r="AM1880" s="8">
        <v>18.210000000000001</v>
      </c>
      <c r="AN1880" s="1"/>
      <c r="AO1880" s="1" t="s">
        <v>13191</v>
      </c>
      <c r="AP1880" s="1" t="s">
        <v>13192</v>
      </c>
      <c r="AQ1880" s="1" t="s">
        <v>13193</v>
      </c>
      <c r="AR1880" s="1" t="s">
        <v>13194</v>
      </c>
    </row>
    <row r="1881">
      <c r="A1881" s="2">
        <f ca="1">DATE(2006,09,19)</f>
        <v>0</v>
      </c>
      <c r="B1881" s="2">
        <f ca="1">DATE(2006,10,05)</f>
        <v>0</v>
      </c>
      <c r="C1881" s="1" t="s">
        <v>13195</v>
      </c>
      <c r="D1881" s="3">
        <v>4412</v>
      </c>
      <c r="E1881" s="1" t="s">
        <v>3764</v>
      </c>
      <c r="F1881" s="1" t="s">
        <v>13196</v>
      </c>
      <c r="G1881" s="1" t="s">
        <v>7196</v>
      </c>
      <c r="H1881" s="4">
        <v>1.365</v>
      </c>
      <c r="I1881" s="4">
        <v>6.5</v>
      </c>
      <c r="J1881" s="5">
        <v>215.30000000000001</v>
      </c>
      <c r="K1881" s="4">
        <v>21</v>
      </c>
      <c r="L1881" s="1" t="s">
        <v>46</v>
      </c>
      <c r="M1881" s="1" t="s">
        <v>47</v>
      </c>
      <c r="N1881" s="1" t="s">
        <v>13197</v>
      </c>
      <c r="O1881" s="1" t="s">
        <v>108</v>
      </c>
      <c r="P1881" s="1" t="s">
        <v>13198</v>
      </c>
      <c r="Q1881" s="1" t="s">
        <v>145</v>
      </c>
      <c r="R1881" s="1" t="s">
        <v>145</v>
      </c>
      <c r="S1881" s="6">
        <v>3.8571399999999998</v>
      </c>
      <c r="T1881" s="1" t="s">
        <v>50</v>
      </c>
      <c r="U1881" s="8">
        <v>22</v>
      </c>
      <c r="V1881" s="8">
        <v>20</v>
      </c>
      <c r="W1881" s="7">
        <v>10250000</v>
      </c>
      <c r="X1881" s="5">
        <v>215.30000000000001</v>
      </c>
      <c r="Y1881" s="7">
        <v>10250000</v>
      </c>
      <c r="Z1881" s="1"/>
      <c r="AA1881" s="1" t="s">
        <v>13199</v>
      </c>
      <c r="AB1881" s="1" t="s">
        <v>13200</v>
      </c>
      <c r="AC1881" s="1" t="s">
        <v>13201</v>
      </c>
      <c r="AD1881" s="1" t="s">
        <v>13202</v>
      </c>
      <c r="AE1881" s="1" t="s">
        <v>51</v>
      </c>
      <c r="AF1881" s="1" t="s">
        <v>51</v>
      </c>
      <c r="AG1881" s="1" t="s">
        <v>51</v>
      </c>
      <c r="AH1881" s="1"/>
      <c r="AI1881" s="1"/>
      <c r="AJ1881" s="3">
        <v>2</v>
      </c>
      <c r="AK1881" s="1" t="s">
        <v>89</v>
      </c>
      <c r="AL1881" s="3">
        <v>6</v>
      </c>
      <c r="AM1881" s="8">
        <v>20.850000000000001</v>
      </c>
      <c r="AN1881" s="1"/>
      <c r="AO1881" s="1" t="s">
        <v>13203</v>
      </c>
      <c r="AP1881" s="1" t="s">
        <v>7200</v>
      </c>
      <c r="AQ1881" s="1" t="s">
        <v>13204</v>
      </c>
      <c r="AR1881" s="1" t="s">
        <v>13205</v>
      </c>
    </row>
    <row r="1882">
      <c r="A1882" s="2">
        <f ca="1">DATE(2006,01,31)</f>
        <v>0</v>
      </c>
      <c r="B1882" s="2">
        <f ca="1">DATE(2006,10,11)</f>
        <v>0</v>
      </c>
      <c r="C1882" s="1" t="s">
        <v>13206</v>
      </c>
      <c r="D1882" s="3">
        <v>6726</v>
      </c>
      <c r="E1882" s="1" t="s">
        <v>934</v>
      </c>
      <c r="F1882" s="1" t="s">
        <v>13207</v>
      </c>
      <c r="G1882" s="1" t="s">
        <v>7222</v>
      </c>
      <c r="H1882" s="4">
        <v>0.47999999999999998</v>
      </c>
      <c r="I1882" s="4">
        <v>8</v>
      </c>
      <c r="J1882" s="5">
        <v>24</v>
      </c>
      <c r="K1882" s="4">
        <v>6</v>
      </c>
      <c r="L1882" s="1" t="s">
        <v>46</v>
      </c>
      <c r="M1882" s="1" t="s">
        <v>47</v>
      </c>
      <c r="N1882" s="1" t="s">
        <v>13208</v>
      </c>
      <c r="O1882" s="1" t="s">
        <v>77</v>
      </c>
      <c r="P1882" s="1" t="s">
        <v>7339</v>
      </c>
      <c r="Q1882" s="1" t="s">
        <v>145</v>
      </c>
      <c r="R1882" s="1" t="s">
        <v>145</v>
      </c>
      <c r="S1882" s="6">
        <v>3.6666699999999999</v>
      </c>
      <c r="T1882" s="1" t="s">
        <v>50</v>
      </c>
      <c r="U1882" s="8">
        <v>6</v>
      </c>
      <c r="V1882" s="8">
        <v>6</v>
      </c>
      <c r="W1882" s="7">
        <v>4000000</v>
      </c>
      <c r="X1882" s="5">
        <v>24</v>
      </c>
      <c r="Y1882" s="7">
        <v>4000000</v>
      </c>
      <c r="Z1882" s="1"/>
      <c r="AA1882" s="1"/>
      <c r="AB1882" s="1"/>
      <c r="AC1882" s="1"/>
      <c r="AD1882" s="1"/>
      <c r="AE1882" s="1" t="s">
        <v>51</v>
      </c>
      <c r="AF1882" s="1" t="s">
        <v>51</v>
      </c>
      <c r="AG1882" s="1" t="s">
        <v>51</v>
      </c>
      <c r="AH1882" s="1"/>
      <c r="AI1882" s="1"/>
      <c r="AJ1882" s="3">
        <v>1</v>
      </c>
      <c r="AK1882" s="1" t="s">
        <v>52</v>
      </c>
      <c r="AL1882" s="3">
        <v>1</v>
      </c>
      <c r="AM1882" s="1"/>
      <c r="AN1882" s="1"/>
      <c r="AO1882" s="1" t="s">
        <v>7222</v>
      </c>
      <c r="AP1882" s="1" t="s">
        <v>7222</v>
      </c>
      <c r="AQ1882" s="1" t="s">
        <v>7222</v>
      </c>
      <c r="AR1882" s="1" t="s">
        <v>7339</v>
      </c>
    </row>
    <row r="1883">
      <c r="A1883" s="2">
        <f ca="1">DATE(2006,06,02)</f>
        <v>0</v>
      </c>
      <c r="B1883" s="2">
        <f ca="1">DATE(2006,10,12)</f>
        <v>0</v>
      </c>
      <c r="C1883" s="1" t="s">
        <v>13209</v>
      </c>
      <c r="D1883" s="3">
        <v>3577</v>
      </c>
      <c r="E1883" s="1" t="s">
        <v>43</v>
      </c>
      <c r="F1883" s="1" t="s">
        <v>13210</v>
      </c>
      <c r="G1883" s="1" t="s">
        <v>160</v>
      </c>
      <c r="H1883" s="4">
        <v>0.66500000000000004</v>
      </c>
      <c r="I1883" s="4">
        <v>7</v>
      </c>
      <c r="J1883" s="5">
        <v>109</v>
      </c>
      <c r="K1883" s="4">
        <v>9.5</v>
      </c>
      <c r="L1883" s="1" t="s">
        <v>46</v>
      </c>
      <c r="M1883" s="1" t="s">
        <v>47</v>
      </c>
      <c r="N1883" s="1" t="s">
        <v>13211</v>
      </c>
      <c r="O1883" s="1" t="s">
        <v>48</v>
      </c>
      <c r="P1883" s="1" t="s">
        <v>13212</v>
      </c>
      <c r="Q1883" s="1" t="s">
        <v>145</v>
      </c>
      <c r="R1883" s="1" t="s">
        <v>145</v>
      </c>
      <c r="S1883" s="8">
        <v>4.2000000000000002</v>
      </c>
      <c r="T1883" s="1" t="s">
        <v>50</v>
      </c>
      <c r="U1883" s="1"/>
      <c r="V1883" s="1"/>
      <c r="W1883" s="1"/>
      <c r="X1883" s="5">
        <v>85</v>
      </c>
      <c r="Y1883" s="7">
        <v>8000000</v>
      </c>
      <c r="Z1883" s="7">
        <v>3474528</v>
      </c>
      <c r="AA1883" s="1" t="s">
        <v>13213</v>
      </c>
      <c r="AB1883" s="1" t="s">
        <v>13214</v>
      </c>
      <c r="AC1883" s="1" t="s">
        <v>7759</v>
      </c>
      <c r="AD1883" s="1" t="s">
        <v>13215</v>
      </c>
      <c r="AE1883" s="1" t="s">
        <v>51</v>
      </c>
      <c r="AF1883" s="1" t="s">
        <v>51</v>
      </c>
      <c r="AG1883" s="1" t="s">
        <v>47</v>
      </c>
      <c r="AH1883" s="1"/>
      <c r="AI1883" s="1"/>
      <c r="AJ1883" s="3">
        <v>1</v>
      </c>
      <c r="AK1883" s="1" t="s">
        <v>52</v>
      </c>
      <c r="AL1883" s="3">
        <v>4</v>
      </c>
      <c r="AM1883" s="8">
        <v>15.91</v>
      </c>
      <c r="AN1883" s="1"/>
      <c r="AO1883" s="1" t="s">
        <v>13216</v>
      </c>
      <c r="AP1883" s="1" t="s">
        <v>160</v>
      </c>
      <c r="AQ1883" s="1" t="s">
        <v>13217</v>
      </c>
      <c r="AR1883" s="1" t="s">
        <v>13218</v>
      </c>
    </row>
    <row r="1884">
      <c r="A1884" s="2">
        <f ca="1">DATE(2006,04,25)</f>
        <v>0</v>
      </c>
      <c r="B1884" s="2">
        <f ca="1">DATE(2006,10,12)</f>
        <v>0</v>
      </c>
      <c r="C1884" s="1" t="s">
        <v>13219</v>
      </c>
      <c r="D1884" s="3">
        <v>6411</v>
      </c>
      <c r="E1884" s="1" t="s">
        <v>43</v>
      </c>
      <c r="F1884" s="1" t="s">
        <v>13220</v>
      </c>
      <c r="G1884" s="1" t="s">
        <v>9071</v>
      </c>
      <c r="H1884" s="8">
        <v>1</v>
      </c>
      <c r="I1884" s="4">
        <v>7.1399999999999997</v>
      </c>
      <c r="J1884" s="5">
        <v>70</v>
      </c>
      <c r="K1884" s="4">
        <v>14</v>
      </c>
      <c r="L1884" s="1" t="s">
        <v>46</v>
      </c>
      <c r="M1884" s="1" t="s">
        <v>47</v>
      </c>
      <c r="N1884" s="1" t="s">
        <v>13221</v>
      </c>
      <c r="O1884" s="1" t="s">
        <v>48</v>
      </c>
      <c r="P1884" s="1" t="s">
        <v>13222</v>
      </c>
      <c r="Q1884" s="1" t="s">
        <v>145</v>
      </c>
      <c r="R1884" s="1" t="s">
        <v>145</v>
      </c>
      <c r="S1884" s="6">
        <v>4.2142900000000001</v>
      </c>
      <c r="T1884" s="1" t="s">
        <v>50</v>
      </c>
      <c r="U1884" s="1"/>
      <c r="V1884" s="1"/>
      <c r="W1884" s="1"/>
      <c r="X1884" s="5">
        <v>85</v>
      </c>
      <c r="Y1884" s="7">
        <v>5000000</v>
      </c>
      <c r="Z1884" s="1"/>
      <c r="AA1884" s="1" t="s">
        <v>13213</v>
      </c>
      <c r="AB1884" s="1" t="s">
        <v>13223</v>
      </c>
      <c r="AC1884" s="1" t="s">
        <v>7759</v>
      </c>
      <c r="AD1884" s="1" t="s">
        <v>13224</v>
      </c>
      <c r="AE1884" s="1" t="s">
        <v>51</v>
      </c>
      <c r="AF1884" s="1" t="s">
        <v>51</v>
      </c>
      <c r="AG1884" s="1" t="s">
        <v>47</v>
      </c>
      <c r="AH1884" s="1"/>
      <c r="AI1884" s="1"/>
      <c r="AJ1884" s="3">
        <v>2</v>
      </c>
      <c r="AK1884" s="1" t="s">
        <v>89</v>
      </c>
      <c r="AL1884" s="3">
        <v>4</v>
      </c>
      <c r="AM1884" s="8">
        <v>22.899999999999999</v>
      </c>
      <c r="AN1884" s="1"/>
      <c r="AO1884" s="1" t="s">
        <v>13225</v>
      </c>
      <c r="AP1884" s="1" t="s">
        <v>4103</v>
      </c>
      <c r="AQ1884" s="1" t="s">
        <v>13226</v>
      </c>
      <c r="AR1884" s="1" t="s">
        <v>13227</v>
      </c>
    </row>
    <row r="1885">
      <c r="A1885" s="2">
        <f ca="1">DATE(2005,09,01)</f>
        <v>0</v>
      </c>
      <c r="B1885" s="2">
        <f ca="1">DATE(2006,10,12)</f>
        <v>0</v>
      </c>
      <c r="C1885" s="1" t="s">
        <v>13228</v>
      </c>
      <c r="D1885" s="3">
        <v>8731</v>
      </c>
      <c r="E1885" s="1" t="s">
        <v>43</v>
      </c>
      <c r="F1885" s="1" t="s">
        <v>13229</v>
      </c>
      <c r="G1885" s="1" t="s">
        <v>13230</v>
      </c>
      <c r="H1885" s="4">
        <v>0.56299999999999994</v>
      </c>
      <c r="I1885" s="4">
        <v>3.75</v>
      </c>
      <c r="J1885" s="9">
        <v>1125</v>
      </c>
      <c r="K1885" s="4">
        <v>15</v>
      </c>
      <c r="L1885" s="1" t="s">
        <v>46</v>
      </c>
      <c r="M1885" s="1" t="s">
        <v>47</v>
      </c>
      <c r="N1885" s="3">
        <v>808626105</v>
      </c>
      <c r="O1885" s="1" t="s">
        <v>77</v>
      </c>
      <c r="P1885" s="1" t="s">
        <v>13231</v>
      </c>
      <c r="Q1885" s="1" t="s">
        <v>145</v>
      </c>
      <c r="R1885" s="1" t="s">
        <v>145</v>
      </c>
      <c r="S1885" s="6">
        <v>2.26667</v>
      </c>
      <c r="T1885" s="1" t="s">
        <v>50</v>
      </c>
      <c r="U1885" s="1"/>
      <c r="V1885" s="1"/>
      <c r="W1885" s="1"/>
      <c r="X1885" s="9">
        <v>1725</v>
      </c>
      <c r="Y1885" s="7">
        <v>75000000</v>
      </c>
      <c r="Z1885" s="1"/>
      <c r="AA1885" s="1" t="s">
        <v>13232</v>
      </c>
      <c r="AB1885" s="1" t="s">
        <v>13233</v>
      </c>
      <c r="AC1885" s="1" t="s">
        <v>13234</v>
      </c>
      <c r="AD1885" s="1" t="s">
        <v>13235</v>
      </c>
      <c r="AE1885" s="1" t="s">
        <v>51</v>
      </c>
      <c r="AF1885" s="1" t="s">
        <v>51</v>
      </c>
      <c r="AG1885" s="1" t="s">
        <v>51</v>
      </c>
      <c r="AH1885" s="1"/>
      <c r="AI1885" s="1"/>
      <c r="AJ1885" s="3">
        <v>2</v>
      </c>
      <c r="AK1885" s="1" t="s">
        <v>89</v>
      </c>
      <c r="AL1885" s="3">
        <v>12</v>
      </c>
      <c r="AM1885" s="1"/>
      <c r="AN1885" s="1"/>
      <c r="AO1885" s="1" t="s">
        <v>13236</v>
      </c>
      <c r="AP1885" s="1" t="s">
        <v>4991</v>
      </c>
      <c r="AQ1885" s="1" t="s">
        <v>13237</v>
      </c>
      <c r="AR1885" s="1" t="s">
        <v>13238</v>
      </c>
    </row>
    <row r="1886">
      <c r="A1886" s="2">
        <f ca="1">DATE(2006,03,30)</f>
        <v>0</v>
      </c>
      <c r="B1886" s="2">
        <f ca="1">DATE(2006,10,12)</f>
        <v>0</v>
      </c>
      <c r="C1886" s="1" t="s">
        <v>13239</v>
      </c>
      <c r="D1886" s="3">
        <v>4412</v>
      </c>
      <c r="E1886" s="1" t="s">
        <v>13240</v>
      </c>
      <c r="F1886" s="1" t="s">
        <v>13241</v>
      </c>
      <c r="G1886" s="1" t="s">
        <v>11761</v>
      </c>
      <c r="H1886" s="4">
        <v>0.77000000000000002</v>
      </c>
      <c r="I1886" s="4">
        <v>7</v>
      </c>
      <c r="J1886" s="5">
        <v>137.5</v>
      </c>
      <c r="K1886" s="4">
        <v>11</v>
      </c>
      <c r="L1886" s="1" t="s">
        <v>46</v>
      </c>
      <c r="M1886" s="1" t="s">
        <v>47</v>
      </c>
      <c r="N1886" s="1" t="s">
        <v>13242</v>
      </c>
      <c r="O1886" s="1" t="s">
        <v>48</v>
      </c>
      <c r="P1886" s="1" t="s">
        <v>13243</v>
      </c>
      <c r="Q1886" s="1" t="s">
        <v>145</v>
      </c>
      <c r="R1886" s="1" t="s">
        <v>145</v>
      </c>
      <c r="S1886" s="8">
        <v>3.8999999999999999</v>
      </c>
      <c r="T1886" s="1" t="s">
        <v>50</v>
      </c>
      <c r="U1886" s="1"/>
      <c r="V1886" s="1"/>
      <c r="W1886" s="1"/>
      <c r="X1886" s="5">
        <v>175</v>
      </c>
      <c r="Y1886" s="7">
        <v>12500000</v>
      </c>
      <c r="Z1886" s="1"/>
      <c r="AA1886" s="1" t="s">
        <v>13213</v>
      </c>
      <c r="AB1886" s="1" t="s">
        <v>13244</v>
      </c>
      <c r="AC1886" s="1" t="s">
        <v>7759</v>
      </c>
      <c r="AD1886" s="1" t="s">
        <v>13245</v>
      </c>
      <c r="AE1886" s="1" t="s">
        <v>51</v>
      </c>
      <c r="AF1886" s="1" t="s">
        <v>51</v>
      </c>
      <c r="AG1886" s="1" t="s">
        <v>51</v>
      </c>
      <c r="AH1886" s="1"/>
      <c r="AI1886" s="1"/>
      <c r="AJ1886" s="3">
        <v>2</v>
      </c>
      <c r="AK1886" s="1" t="s">
        <v>89</v>
      </c>
      <c r="AL1886" s="3">
        <v>6</v>
      </c>
      <c r="AM1886" s="8">
        <v>10.539999999999999</v>
      </c>
      <c r="AN1886" s="3">
        <v>11</v>
      </c>
      <c r="AO1886" s="1" t="s">
        <v>13246</v>
      </c>
      <c r="AP1886" s="1" t="s">
        <v>11768</v>
      </c>
      <c r="AQ1886" s="1" t="s">
        <v>13247</v>
      </c>
      <c r="AR1886" s="1" t="s">
        <v>13248</v>
      </c>
    </row>
    <row r="1887">
      <c r="A1887" s="2">
        <f ca="1">DATE(2006,06,27)</f>
        <v>0</v>
      </c>
      <c r="B1887" s="2">
        <f ca="1">DATE(2006,10,16)</f>
        <v>0</v>
      </c>
      <c r="C1887" s="1" t="s">
        <v>13249</v>
      </c>
      <c r="D1887" s="3">
        <v>1389</v>
      </c>
      <c r="E1887" s="1" t="s">
        <v>43</v>
      </c>
      <c r="F1887" s="1" t="s">
        <v>13250</v>
      </c>
      <c r="G1887" s="1" t="s">
        <v>13251</v>
      </c>
      <c r="H1887" s="4">
        <v>1.365</v>
      </c>
      <c r="I1887" s="4">
        <v>6.5</v>
      </c>
      <c r="J1887" s="5">
        <v>115.5</v>
      </c>
      <c r="K1887" s="4">
        <v>21</v>
      </c>
      <c r="L1887" s="1" t="s">
        <v>85</v>
      </c>
      <c r="M1887" s="1" t="s">
        <v>47</v>
      </c>
      <c r="N1887" s="3">
        <v>913430104</v>
      </c>
      <c r="O1887" s="1" t="s">
        <v>48</v>
      </c>
      <c r="P1887" s="1" t="s">
        <v>13252</v>
      </c>
      <c r="Q1887" s="1" t="s">
        <v>145</v>
      </c>
      <c r="R1887" s="1" t="s">
        <v>145</v>
      </c>
      <c r="S1887" s="6">
        <v>3.8571399999999998</v>
      </c>
      <c r="T1887" s="1" t="s">
        <v>50</v>
      </c>
      <c r="U1887" s="1"/>
      <c r="V1887" s="1"/>
      <c r="W1887" s="7">
        <v>5500000</v>
      </c>
      <c r="X1887" s="1"/>
      <c r="Y1887" s="7">
        <v>5500000</v>
      </c>
      <c r="Z1887" s="1"/>
      <c r="AA1887" s="1" t="s">
        <v>13253</v>
      </c>
      <c r="AB1887" s="1" t="s">
        <v>5265</v>
      </c>
      <c r="AC1887" s="1" t="s">
        <v>7759</v>
      </c>
      <c r="AD1887" s="1" t="s">
        <v>5265</v>
      </c>
      <c r="AE1887" s="1" t="s">
        <v>51</v>
      </c>
      <c r="AF1887" s="1" t="s">
        <v>51</v>
      </c>
      <c r="AG1887" s="1" t="s">
        <v>51</v>
      </c>
      <c r="AH1887" s="1"/>
      <c r="AI1887" s="1"/>
      <c r="AJ1887" s="3">
        <v>2</v>
      </c>
      <c r="AK1887" s="1" t="s">
        <v>110</v>
      </c>
      <c r="AL1887" s="3">
        <v>5</v>
      </c>
      <c r="AM1887" s="8">
        <v>22.530000000000001</v>
      </c>
      <c r="AN1887" s="1"/>
      <c r="AO1887" s="1" t="s">
        <v>13254</v>
      </c>
      <c r="AP1887" s="1" t="s">
        <v>13255</v>
      </c>
      <c r="AQ1887" s="1" t="s">
        <v>13256</v>
      </c>
      <c r="AR1887" s="1" t="s">
        <v>13257</v>
      </c>
    </row>
    <row r="1888">
      <c r="A1888" s="2">
        <f ca="1">DATE(2006,05,30)</f>
        <v>0</v>
      </c>
      <c r="B1888" s="2">
        <f ca="1">DATE(2006,10,17)</f>
        <v>0</v>
      </c>
      <c r="C1888" s="1" t="s">
        <v>13258</v>
      </c>
      <c r="D1888" s="3">
        <v>6311</v>
      </c>
      <c r="E1888" s="1" t="s">
        <v>43</v>
      </c>
      <c r="F1888" s="1" t="s">
        <v>13259</v>
      </c>
      <c r="G1888" s="1" t="s">
        <v>13260</v>
      </c>
      <c r="H1888" s="4">
        <v>1.19</v>
      </c>
      <c r="I1888" s="8">
        <v>7</v>
      </c>
      <c r="J1888" s="5">
        <v>165</v>
      </c>
      <c r="K1888" s="4">
        <v>17</v>
      </c>
      <c r="L1888" s="1" t="s">
        <v>46</v>
      </c>
      <c r="M1888" s="1" t="s">
        <v>47</v>
      </c>
      <c r="N1888" s="3">
        <v>320841109</v>
      </c>
      <c r="O1888" s="1" t="s">
        <v>108</v>
      </c>
      <c r="P1888" s="1" t="s">
        <v>13261</v>
      </c>
      <c r="Q1888" s="1" t="s">
        <v>145</v>
      </c>
      <c r="R1888" s="1" t="s">
        <v>145</v>
      </c>
      <c r="S1888" s="8">
        <v>4.5499999999999998</v>
      </c>
      <c r="T1888" s="1" t="s">
        <v>50</v>
      </c>
      <c r="U1888" s="1"/>
      <c r="V1888" s="1"/>
      <c r="W1888" s="1"/>
      <c r="X1888" s="5">
        <v>189.80000000000001</v>
      </c>
      <c r="Y1888" s="7">
        <v>9705882</v>
      </c>
      <c r="Z1888" s="1"/>
      <c r="AA1888" s="1" t="s">
        <v>13262</v>
      </c>
      <c r="AB1888" s="1" t="s">
        <v>13263</v>
      </c>
      <c r="AC1888" s="1" t="s">
        <v>7759</v>
      </c>
      <c r="AD1888" s="1" t="s">
        <v>13264</v>
      </c>
      <c r="AE1888" s="1" t="s">
        <v>51</v>
      </c>
      <c r="AF1888" s="1" t="s">
        <v>51</v>
      </c>
      <c r="AG1888" s="1" t="s">
        <v>51</v>
      </c>
      <c r="AH1888" s="1"/>
      <c r="AI1888" s="1"/>
      <c r="AJ1888" s="3">
        <v>2</v>
      </c>
      <c r="AK1888" s="1" t="s">
        <v>89</v>
      </c>
      <c r="AL1888" s="3">
        <v>7</v>
      </c>
      <c r="AM1888" s="8">
        <v>19.5</v>
      </c>
      <c r="AN1888" s="1"/>
      <c r="AO1888" s="1" t="s">
        <v>13265</v>
      </c>
      <c r="AP1888" s="1" t="s">
        <v>13266</v>
      </c>
      <c r="AQ1888" s="1" t="s">
        <v>13267</v>
      </c>
      <c r="AR1888" s="1" t="s">
        <v>13268</v>
      </c>
    </row>
    <row r="1889">
      <c r="A1889" s="2">
        <f ca="1">DATE(2006,05,12)</f>
        <v>0</v>
      </c>
      <c r="B1889" s="2">
        <f ca="1">DATE(2006,10,17)</f>
        <v>0</v>
      </c>
      <c r="C1889" s="1" t="s">
        <v>13269</v>
      </c>
      <c r="D1889" s="3">
        <v>7373</v>
      </c>
      <c r="E1889" s="1" t="s">
        <v>43</v>
      </c>
      <c r="F1889" s="1" t="s">
        <v>13270</v>
      </c>
      <c r="G1889" s="1" t="s">
        <v>6201</v>
      </c>
      <c r="H1889" s="4">
        <v>0.91000000000000003</v>
      </c>
      <c r="I1889" s="4">
        <v>7</v>
      </c>
      <c r="J1889" s="5">
        <v>81.900000000000006</v>
      </c>
      <c r="K1889" s="4">
        <v>13</v>
      </c>
      <c r="L1889" s="1" t="s">
        <v>46</v>
      </c>
      <c r="M1889" s="1" t="s">
        <v>47</v>
      </c>
      <c r="N1889" s="3">
        <v>854532108</v>
      </c>
      <c r="O1889" s="1" t="s">
        <v>108</v>
      </c>
      <c r="P1889" s="1" t="s">
        <v>13271</v>
      </c>
      <c r="Q1889" s="1" t="s">
        <v>145</v>
      </c>
      <c r="R1889" s="1" t="s">
        <v>145</v>
      </c>
      <c r="S1889" s="6">
        <v>4.2062299999999997</v>
      </c>
      <c r="T1889" s="1" t="s">
        <v>50</v>
      </c>
      <c r="U1889" s="1"/>
      <c r="V1889" s="1"/>
      <c r="W1889" s="1"/>
      <c r="X1889" s="5">
        <v>130</v>
      </c>
      <c r="Y1889" s="7">
        <v>5289720</v>
      </c>
      <c r="Z1889" s="7">
        <v>1010280</v>
      </c>
      <c r="AA1889" s="1" t="s">
        <v>13272</v>
      </c>
      <c r="AB1889" s="1" t="s">
        <v>13273</v>
      </c>
      <c r="AC1889" s="1" t="s">
        <v>10709</v>
      </c>
      <c r="AD1889" s="1" t="s">
        <v>13274</v>
      </c>
      <c r="AE1889" s="1" t="s">
        <v>51</v>
      </c>
      <c r="AF1889" s="1" t="s">
        <v>51</v>
      </c>
      <c r="AG1889" s="1" t="s">
        <v>51</v>
      </c>
      <c r="AH1889" s="1"/>
      <c r="AI1889" s="1"/>
      <c r="AJ1889" s="3">
        <v>1</v>
      </c>
      <c r="AK1889" s="1" t="s">
        <v>89</v>
      </c>
      <c r="AL1889" s="3">
        <v>5</v>
      </c>
      <c r="AM1889" s="8">
        <v>15.5</v>
      </c>
      <c r="AN1889" s="1"/>
      <c r="AO1889" s="1" t="s">
        <v>13275</v>
      </c>
      <c r="AP1889" s="1" t="s">
        <v>13276</v>
      </c>
      <c r="AQ1889" s="1" t="s">
        <v>13277</v>
      </c>
      <c r="AR1889" s="1" t="s">
        <v>13271</v>
      </c>
    </row>
    <row r="1890">
      <c r="A1890" s="2">
        <f ca="1">DATE(2006,06,02)</f>
        <v>0</v>
      </c>
      <c r="B1890" s="2">
        <f ca="1">DATE(2006,10,17)</f>
        <v>0</v>
      </c>
      <c r="C1890" s="1" t="s">
        <v>13278</v>
      </c>
      <c r="D1890" s="3">
        <v>2836</v>
      </c>
      <c r="E1890" s="1" t="s">
        <v>43</v>
      </c>
      <c r="F1890" s="1" t="s">
        <v>13279</v>
      </c>
      <c r="G1890" s="1" t="s">
        <v>796</v>
      </c>
      <c r="H1890" s="4">
        <v>0.91000000000000003</v>
      </c>
      <c r="I1890" s="4">
        <v>7</v>
      </c>
      <c r="J1890" s="5">
        <v>52</v>
      </c>
      <c r="K1890" s="4">
        <v>13</v>
      </c>
      <c r="L1890" s="1" t="s">
        <v>46</v>
      </c>
      <c r="M1890" s="1" t="s">
        <v>47</v>
      </c>
      <c r="N1890" s="1" t="s">
        <v>13280</v>
      </c>
      <c r="O1890" s="1" t="s">
        <v>48</v>
      </c>
      <c r="P1890" s="1" t="s">
        <v>13281</v>
      </c>
      <c r="Q1890" s="1" t="s">
        <v>145</v>
      </c>
      <c r="R1890" s="1" t="s">
        <v>145</v>
      </c>
      <c r="S1890" s="8">
        <v>4</v>
      </c>
      <c r="T1890" s="1" t="s">
        <v>50</v>
      </c>
      <c r="U1890" s="1"/>
      <c r="V1890" s="1"/>
      <c r="W1890" s="1"/>
      <c r="X1890" s="5">
        <v>86.299999999999997</v>
      </c>
      <c r="Y1890" s="7">
        <v>4000000</v>
      </c>
      <c r="Z1890" s="1"/>
      <c r="AA1890" s="1" t="s">
        <v>13262</v>
      </c>
      <c r="AB1890" s="1" t="s">
        <v>5265</v>
      </c>
      <c r="AC1890" s="1" t="s">
        <v>7759</v>
      </c>
      <c r="AD1890" s="1" t="s">
        <v>5265</v>
      </c>
      <c r="AE1890" s="1" t="s">
        <v>51</v>
      </c>
      <c r="AF1890" s="1" t="s">
        <v>51</v>
      </c>
      <c r="AG1890" s="1" t="s">
        <v>47</v>
      </c>
      <c r="AH1890" s="1"/>
      <c r="AI1890" s="1"/>
      <c r="AJ1890" s="3">
        <v>1</v>
      </c>
      <c r="AK1890" s="1" t="s">
        <v>52</v>
      </c>
      <c r="AL1890" s="3">
        <v>4</v>
      </c>
      <c r="AM1890" s="8">
        <v>13.09</v>
      </c>
      <c r="AN1890" s="1"/>
      <c r="AO1890" s="1" t="s">
        <v>13282</v>
      </c>
      <c r="AP1890" s="1" t="s">
        <v>796</v>
      </c>
      <c r="AQ1890" s="1" t="s">
        <v>13283</v>
      </c>
      <c r="AR1890" s="1" t="s">
        <v>13284</v>
      </c>
    </row>
    <row r="1891">
      <c r="A1891" s="2">
        <f ca="1">DATE(2006,07,26)</f>
        <v>0</v>
      </c>
      <c r="B1891" s="2">
        <f ca="1">DATE(2006,10,18)</f>
        <v>0</v>
      </c>
      <c r="C1891" s="1" t="s">
        <v>13285</v>
      </c>
      <c r="D1891" s="3">
        <v>6726</v>
      </c>
      <c r="E1891" s="1" t="s">
        <v>43</v>
      </c>
      <c r="F1891" s="1" t="s">
        <v>13286</v>
      </c>
      <c r="G1891" s="1" t="s">
        <v>5110</v>
      </c>
      <c r="H1891" s="1" t="s">
        <v>57</v>
      </c>
      <c r="I1891" s="1" t="s">
        <v>57</v>
      </c>
      <c r="J1891" s="5">
        <v>90</v>
      </c>
      <c r="K1891" s="4">
        <v>8</v>
      </c>
      <c r="L1891" s="1" t="s">
        <v>46</v>
      </c>
      <c r="M1891" s="1" t="s">
        <v>47</v>
      </c>
      <c r="N1891" s="3">
        <v>385034202</v>
      </c>
      <c r="O1891" s="1" t="s">
        <v>87</v>
      </c>
      <c r="P1891" s="1" t="s">
        <v>13287</v>
      </c>
      <c r="Q1891" s="1"/>
      <c r="R1891" s="1"/>
      <c r="S1891" s="1"/>
      <c r="T1891" s="1" t="s">
        <v>50</v>
      </c>
      <c r="U1891" s="8">
        <v>8</v>
      </c>
      <c r="V1891" s="8">
        <v>8</v>
      </c>
      <c r="W1891" s="7">
        <v>15625000</v>
      </c>
      <c r="X1891" s="5">
        <v>125</v>
      </c>
      <c r="Y1891" s="7">
        <v>11250000</v>
      </c>
      <c r="Z1891" s="1"/>
      <c r="AA1891" s="1"/>
      <c r="AB1891" s="1"/>
      <c r="AC1891" s="1"/>
      <c r="AD1891" s="1"/>
      <c r="AE1891" s="1" t="s">
        <v>51</v>
      </c>
      <c r="AF1891" s="1" t="s">
        <v>51</v>
      </c>
      <c r="AG1891" s="1" t="s">
        <v>51</v>
      </c>
      <c r="AH1891" s="1"/>
      <c r="AI1891" s="1"/>
      <c r="AJ1891" s="3">
        <v>1</v>
      </c>
      <c r="AK1891" s="1" t="s">
        <v>52</v>
      </c>
      <c r="AL1891" s="3">
        <v>1</v>
      </c>
      <c r="AM1891" s="8">
        <v>8</v>
      </c>
      <c r="AN1891" s="1"/>
      <c r="AO1891" s="1" t="s">
        <v>5110</v>
      </c>
      <c r="AP1891" s="1" t="s">
        <v>5110</v>
      </c>
      <c r="AQ1891" s="1" t="s">
        <v>5110</v>
      </c>
      <c r="AR1891" s="1" t="s">
        <v>12112</v>
      </c>
    </row>
    <row r="1892">
      <c r="A1892" s="2">
        <f ca="1">DATE(2005,02,11)</f>
        <v>0</v>
      </c>
      <c r="B1892" s="2">
        <f ca="1">DATE(2006,10,18)</f>
        <v>0</v>
      </c>
      <c r="C1892" s="1" t="s">
        <v>13288</v>
      </c>
      <c r="D1892" s="3">
        <v>3845</v>
      </c>
      <c r="E1892" s="1" t="s">
        <v>43</v>
      </c>
      <c r="F1892" s="1" t="s">
        <v>13289</v>
      </c>
      <c r="G1892" s="1" t="s">
        <v>10277</v>
      </c>
      <c r="H1892" s="4">
        <v>0.54000000000000004</v>
      </c>
      <c r="I1892" s="4">
        <v>9</v>
      </c>
      <c r="J1892" s="5">
        <v>15</v>
      </c>
      <c r="K1892" s="4">
        <v>6</v>
      </c>
      <c r="L1892" s="1" t="s">
        <v>46</v>
      </c>
      <c r="M1892" s="1" t="s">
        <v>47</v>
      </c>
      <c r="N1892" s="1" t="s">
        <v>13290</v>
      </c>
      <c r="O1892" s="1" t="s">
        <v>3689</v>
      </c>
      <c r="P1892" s="1" t="s">
        <v>13291</v>
      </c>
      <c r="Q1892" s="1" t="s">
        <v>145</v>
      </c>
      <c r="R1892" s="1" t="s">
        <v>145</v>
      </c>
      <c r="S1892" s="8">
        <v>4.75</v>
      </c>
      <c r="T1892" s="1" t="s">
        <v>50</v>
      </c>
      <c r="U1892" s="1"/>
      <c r="V1892" s="1"/>
      <c r="W1892" s="1"/>
      <c r="X1892" s="5">
        <v>20</v>
      </c>
      <c r="Y1892" s="7">
        <v>2500000</v>
      </c>
      <c r="Z1892" s="1"/>
      <c r="AA1892" s="1" t="s">
        <v>13292</v>
      </c>
      <c r="AB1892" s="1" t="s">
        <v>13293</v>
      </c>
      <c r="AC1892" s="1" t="s">
        <v>6689</v>
      </c>
      <c r="AD1892" s="1" t="s">
        <v>13294</v>
      </c>
      <c r="AE1892" s="1" t="s">
        <v>51</v>
      </c>
      <c r="AF1892" s="1" t="s">
        <v>51</v>
      </c>
      <c r="AG1892" s="1" t="s">
        <v>51</v>
      </c>
      <c r="AH1892" s="1"/>
      <c r="AI1892" s="1"/>
      <c r="AJ1892" s="3">
        <v>1</v>
      </c>
      <c r="AK1892" s="1" t="s">
        <v>52</v>
      </c>
      <c r="AL1892" s="3">
        <v>2</v>
      </c>
      <c r="AM1892" s="8">
        <v>6.0700000000000003</v>
      </c>
      <c r="AN1892" s="1"/>
      <c r="AO1892" s="1" t="s">
        <v>13295</v>
      </c>
      <c r="AP1892" s="1" t="s">
        <v>10277</v>
      </c>
      <c r="AQ1892" s="1" t="s">
        <v>13296</v>
      </c>
      <c r="AR1892" s="1" t="s">
        <v>13291</v>
      </c>
    </row>
    <row r="1893">
      <c r="A1893" s="2">
        <f ca="1">DATE(2006,05,12)</f>
        <v>0</v>
      </c>
      <c r="B1893" s="2">
        <f ca="1">DATE(2006,10,18)</f>
        <v>0</v>
      </c>
      <c r="C1893" s="1" t="s">
        <v>13297</v>
      </c>
      <c r="D1893" s="3">
        <v>5411</v>
      </c>
      <c r="E1893" s="1" t="s">
        <v>43</v>
      </c>
      <c r="F1893" s="1" t="s">
        <v>13298</v>
      </c>
      <c r="G1893" s="1" t="s">
        <v>45</v>
      </c>
      <c r="H1893" s="4">
        <v>1.55</v>
      </c>
      <c r="I1893" s="4">
        <v>9.3940000000000001</v>
      </c>
      <c r="J1893" s="5">
        <v>107.3</v>
      </c>
      <c r="K1893" s="4">
        <v>16.5</v>
      </c>
      <c r="L1893" s="1" t="s">
        <v>46</v>
      </c>
      <c r="M1893" s="1" t="s">
        <v>47</v>
      </c>
      <c r="N1893" s="3">
        <v>869233106</v>
      </c>
      <c r="O1893" s="1" t="s">
        <v>48</v>
      </c>
      <c r="P1893" s="1" t="s">
        <v>13299</v>
      </c>
      <c r="Q1893" s="1" t="s">
        <v>145</v>
      </c>
      <c r="R1893" s="1" t="s">
        <v>145</v>
      </c>
      <c r="S1893" s="6">
        <v>4.1818200000000001</v>
      </c>
      <c r="T1893" s="1" t="s">
        <v>50</v>
      </c>
      <c r="U1893" s="1"/>
      <c r="V1893" s="1"/>
      <c r="W1893" s="1"/>
      <c r="X1893" s="5">
        <v>115</v>
      </c>
      <c r="Y1893" s="7">
        <v>6500000</v>
      </c>
      <c r="Z1893" s="1"/>
      <c r="AA1893" s="1" t="s">
        <v>13300</v>
      </c>
      <c r="AB1893" s="1" t="s">
        <v>13301</v>
      </c>
      <c r="AC1893" s="1" t="s">
        <v>10709</v>
      </c>
      <c r="AD1893" s="1" t="s">
        <v>13302</v>
      </c>
      <c r="AE1893" s="1" t="s">
        <v>51</v>
      </c>
      <c r="AF1893" s="1" t="s">
        <v>51</v>
      </c>
      <c r="AG1893" s="1" t="s">
        <v>51</v>
      </c>
      <c r="AH1893" s="1"/>
      <c r="AI1893" s="1" t="s">
        <v>13303</v>
      </c>
      <c r="AJ1893" s="3">
        <v>1</v>
      </c>
      <c r="AK1893" s="1" t="s">
        <v>89</v>
      </c>
      <c r="AL1893" s="3">
        <v>4</v>
      </c>
      <c r="AM1893" s="8">
        <v>18</v>
      </c>
      <c r="AN1893" s="1"/>
      <c r="AO1893" s="1" t="s">
        <v>13304</v>
      </c>
      <c r="AP1893" s="1" t="s">
        <v>3866</v>
      </c>
      <c r="AQ1893" s="1" t="s">
        <v>13305</v>
      </c>
      <c r="AR1893" s="1" t="s">
        <v>13306</v>
      </c>
    </row>
    <row r="1894">
      <c r="A1894" s="2">
        <f ca="1">DATE(2004,12,03)</f>
        <v>0</v>
      </c>
      <c r="B1894" s="2">
        <f ca="1">DATE(2006,10,19)</f>
        <v>0</v>
      </c>
      <c r="C1894" s="1" t="s">
        <v>13307</v>
      </c>
      <c r="D1894" s="3">
        <v>7389</v>
      </c>
      <c r="E1894" s="1" t="s">
        <v>43</v>
      </c>
      <c r="F1894" s="1" t="s">
        <v>13308</v>
      </c>
      <c r="G1894" s="1" t="s">
        <v>13309</v>
      </c>
      <c r="H1894" s="4">
        <v>0.94499999999999995</v>
      </c>
      <c r="I1894" s="8">
        <v>7</v>
      </c>
      <c r="J1894" s="5">
        <v>67.5</v>
      </c>
      <c r="K1894" s="4">
        <v>13.5</v>
      </c>
      <c r="L1894" s="1" t="s">
        <v>46</v>
      </c>
      <c r="M1894" s="1" t="s">
        <v>47</v>
      </c>
      <c r="N1894" s="3">
        <v>302081104</v>
      </c>
      <c r="O1894" s="1" t="s">
        <v>48</v>
      </c>
      <c r="P1894" s="1" t="s">
        <v>13310</v>
      </c>
      <c r="Q1894" s="4">
        <v>1.3999999999999999</v>
      </c>
      <c r="R1894" s="4">
        <v>1.3999999999999999</v>
      </c>
      <c r="S1894" s="8">
        <v>4.2000000000000002</v>
      </c>
      <c r="T1894" s="1" t="s">
        <v>50</v>
      </c>
      <c r="U1894" s="1"/>
      <c r="V1894" s="1"/>
      <c r="W1894" s="1"/>
      <c r="X1894" s="5">
        <v>75</v>
      </c>
      <c r="Y1894" s="7">
        <v>5000000</v>
      </c>
      <c r="Z1894" s="1"/>
      <c r="AA1894" s="1" t="s">
        <v>13311</v>
      </c>
      <c r="AB1894" s="1" t="s">
        <v>13312</v>
      </c>
      <c r="AC1894" s="1" t="s">
        <v>7759</v>
      </c>
      <c r="AD1894" s="1" t="s">
        <v>13313</v>
      </c>
      <c r="AE1894" s="1" t="s">
        <v>51</v>
      </c>
      <c r="AF1894" s="1" t="s">
        <v>51</v>
      </c>
      <c r="AG1894" s="1" t="s">
        <v>51</v>
      </c>
      <c r="AH1894" s="1"/>
      <c r="AI1894" s="1"/>
      <c r="AJ1894" s="3">
        <v>2</v>
      </c>
      <c r="AK1894" s="1" t="s">
        <v>89</v>
      </c>
      <c r="AL1894" s="3">
        <v>4</v>
      </c>
      <c r="AM1894" s="8">
        <v>18.84</v>
      </c>
      <c r="AN1894" s="1"/>
      <c r="AO1894" s="1" t="s">
        <v>13314</v>
      </c>
      <c r="AP1894" s="1" t="s">
        <v>13315</v>
      </c>
      <c r="AQ1894" s="1" t="s">
        <v>13316</v>
      </c>
      <c r="AR1894" s="1" t="s">
        <v>13317</v>
      </c>
    </row>
    <row r="1895">
      <c r="A1895" s="2">
        <f ca="1">DATE(2006,04,25)</f>
        <v>0</v>
      </c>
      <c r="B1895" s="2">
        <f ca="1">DATE(2006,10,19)</f>
        <v>0</v>
      </c>
      <c r="C1895" s="1" t="s">
        <v>13318</v>
      </c>
      <c r="D1895" s="3">
        <v>3841</v>
      </c>
      <c r="E1895" s="1" t="s">
        <v>43</v>
      </c>
      <c r="F1895" s="1" t="s">
        <v>13319</v>
      </c>
      <c r="G1895" s="1" t="s">
        <v>160</v>
      </c>
      <c r="H1895" s="4">
        <v>0.48999999999999999</v>
      </c>
      <c r="I1895" s="8">
        <v>7</v>
      </c>
      <c r="J1895" s="5">
        <v>38.5</v>
      </c>
      <c r="K1895" s="4">
        <v>7</v>
      </c>
      <c r="L1895" s="1" t="s">
        <v>46</v>
      </c>
      <c r="M1895" s="1" t="s">
        <v>47</v>
      </c>
      <c r="N1895" s="3">
        <v>525558201</v>
      </c>
      <c r="O1895" s="1" t="s">
        <v>48</v>
      </c>
      <c r="P1895" s="1" t="s">
        <v>13320</v>
      </c>
      <c r="Q1895" s="4">
        <v>1.4290000000000001</v>
      </c>
      <c r="R1895" s="4">
        <v>1.286</v>
      </c>
      <c r="S1895" s="6">
        <v>4.2857099999999999</v>
      </c>
      <c r="T1895" s="1" t="s">
        <v>50</v>
      </c>
      <c r="U1895" s="1"/>
      <c r="V1895" s="1"/>
      <c r="W1895" s="1"/>
      <c r="X1895" s="5">
        <v>69</v>
      </c>
      <c r="Y1895" s="7">
        <v>5500000</v>
      </c>
      <c r="Z1895" s="1"/>
      <c r="AA1895" s="1" t="s">
        <v>13311</v>
      </c>
      <c r="AB1895" s="1" t="s">
        <v>13321</v>
      </c>
      <c r="AC1895" s="1" t="s">
        <v>7759</v>
      </c>
      <c r="AD1895" s="1" t="s">
        <v>13322</v>
      </c>
      <c r="AE1895" s="1" t="s">
        <v>51</v>
      </c>
      <c r="AF1895" s="1" t="s">
        <v>51</v>
      </c>
      <c r="AG1895" s="1" t="s">
        <v>51</v>
      </c>
      <c r="AH1895" s="1"/>
      <c r="AI1895" s="1"/>
      <c r="AJ1895" s="3">
        <v>1</v>
      </c>
      <c r="AK1895" s="1" t="s">
        <v>52</v>
      </c>
      <c r="AL1895" s="3">
        <v>4</v>
      </c>
      <c r="AM1895" s="8">
        <v>6.2000000000000002</v>
      </c>
      <c r="AN1895" s="1"/>
      <c r="AO1895" s="1" t="s">
        <v>13323</v>
      </c>
      <c r="AP1895" s="1" t="s">
        <v>160</v>
      </c>
      <c r="AQ1895" s="1" t="s">
        <v>13324</v>
      </c>
      <c r="AR1895" s="1" t="s">
        <v>13325</v>
      </c>
    </row>
    <row r="1896">
      <c r="A1896" s="2">
        <f ca="1">DATE(2006,06,16)</f>
        <v>0</v>
      </c>
      <c r="B1896" s="2">
        <f ca="1">DATE(2006,10,23)</f>
        <v>0</v>
      </c>
      <c r="C1896" s="1" t="s">
        <v>13326</v>
      </c>
      <c r="D1896" s="3">
        <v>6798</v>
      </c>
      <c r="E1896" s="1" t="s">
        <v>43</v>
      </c>
      <c r="F1896" s="1" t="s">
        <v>13327</v>
      </c>
      <c r="G1896" s="1" t="s">
        <v>13328</v>
      </c>
      <c r="H1896" s="4">
        <v>1.0760000000000001</v>
      </c>
      <c r="I1896" s="4">
        <v>5.125</v>
      </c>
      <c r="J1896" s="9">
        <v>1386</v>
      </c>
      <c r="K1896" s="4">
        <v>21</v>
      </c>
      <c r="L1896" s="1" t="s">
        <v>46</v>
      </c>
      <c r="M1896" s="1" t="s">
        <v>47</v>
      </c>
      <c r="N1896" s="1" t="s">
        <v>13329</v>
      </c>
      <c r="O1896" s="1" t="s">
        <v>108</v>
      </c>
      <c r="P1896" s="1" t="s">
        <v>13330</v>
      </c>
      <c r="Q1896" s="1" t="s">
        <v>145</v>
      </c>
      <c r="R1896" s="1" t="s">
        <v>145</v>
      </c>
      <c r="S1896" s="6">
        <v>3.0476200000000002</v>
      </c>
      <c r="T1896" s="1" t="s">
        <v>50</v>
      </c>
      <c r="U1896" s="1"/>
      <c r="V1896" s="1"/>
      <c r="W1896" s="1"/>
      <c r="X1896" s="9">
        <v>1265</v>
      </c>
      <c r="Y1896" s="7">
        <v>66000000</v>
      </c>
      <c r="Z1896" s="1"/>
      <c r="AA1896" s="1" t="s">
        <v>13331</v>
      </c>
      <c r="AB1896" s="1" t="s">
        <v>13332</v>
      </c>
      <c r="AC1896" s="1" t="s">
        <v>13333</v>
      </c>
      <c r="AD1896" s="1" t="s">
        <v>13334</v>
      </c>
      <c r="AE1896" s="1" t="s">
        <v>51</v>
      </c>
      <c r="AF1896" s="1" t="s">
        <v>51</v>
      </c>
      <c r="AG1896" s="1" t="s">
        <v>51</v>
      </c>
      <c r="AH1896" s="1"/>
      <c r="AI1896" s="1"/>
      <c r="AJ1896" s="3">
        <v>3</v>
      </c>
      <c r="AK1896" s="1" t="s">
        <v>110</v>
      </c>
      <c r="AL1896" s="3">
        <v>10</v>
      </c>
      <c r="AM1896" s="8">
        <v>23.649999999999999</v>
      </c>
      <c r="AN1896" s="1"/>
      <c r="AO1896" s="1" t="s">
        <v>13335</v>
      </c>
      <c r="AP1896" s="1" t="s">
        <v>13336</v>
      </c>
      <c r="AQ1896" s="1" t="s">
        <v>13337</v>
      </c>
      <c r="AR1896" s="1" t="s">
        <v>13338</v>
      </c>
    </row>
    <row r="1897">
      <c r="A1897" s="2">
        <f ca="1">DATE(2006,07,17)</f>
        <v>0</v>
      </c>
      <c r="B1897" s="2">
        <f ca="1">DATE(2006,10,24)</f>
        <v>0</v>
      </c>
      <c r="C1897" s="1" t="s">
        <v>13339</v>
      </c>
      <c r="D1897" s="3">
        <v>2834</v>
      </c>
      <c r="E1897" s="1" t="s">
        <v>43</v>
      </c>
      <c r="F1897" s="1" t="s">
        <v>13340</v>
      </c>
      <c r="G1897" s="1" t="s">
        <v>45</v>
      </c>
      <c r="H1897" s="4">
        <v>0.63</v>
      </c>
      <c r="I1897" s="4">
        <v>7</v>
      </c>
      <c r="J1897" s="5">
        <v>54</v>
      </c>
      <c r="K1897" s="4">
        <v>9</v>
      </c>
      <c r="L1897" s="1" t="s">
        <v>46</v>
      </c>
      <c r="M1897" s="1" t="s">
        <v>47</v>
      </c>
      <c r="N1897" s="1" t="s">
        <v>13341</v>
      </c>
      <c r="O1897" s="1" t="s">
        <v>48</v>
      </c>
      <c r="P1897" s="1" t="s">
        <v>13342</v>
      </c>
      <c r="Q1897" s="4">
        <v>1.444</v>
      </c>
      <c r="R1897" s="4">
        <v>1.444</v>
      </c>
      <c r="S1897" s="6">
        <v>4.11111</v>
      </c>
      <c r="T1897" s="1" t="s">
        <v>50</v>
      </c>
      <c r="U1897" s="1"/>
      <c r="V1897" s="1"/>
      <c r="W1897" s="1"/>
      <c r="X1897" s="5">
        <v>86.299999999999997</v>
      </c>
      <c r="Y1897" s="7">
        <v>6000000</v>
      </c>
      <c r="Z1897" s="1"/>
      <c r="AA1897" s="1" t="s">
        <v>13343</v>
      </c>
      <c r="AB1897" s="1" t="s">
        <v>13344</v>
      </c>
      <c r="AC1897" s="1" t="s">
        <v>7759</v>
      </c>
      <c r="AD1897" s="1" t="s">
        <v>13345</v>
      </c>
      <c r="AE1897" s="1" t="s">
        <v>51</v>
      </c>
      <c r="AF1897" s="1" t="s">
        <v>51</v>
      </c>
      <c r="AG1897" s="1" t="s">
        <v>47</v>
      </c>
      <c r="AH1897" s="1"/>
      <c r="AI1897" s="1"/>
      <c r="AJ1897" s="3">
        <v>1</v>
      </c>
      <c r="AK1897" s="1" t="s">
        <v>89</v>
      </c>
      <c r="AL1897" s="3">
        <v>4</v>
      </c>
      <c r="AM1897" s="8">
        <v>9.4000000000000004</v>
      </c>
      <c r="AN1897" s="1"/>
      <c r="AO1897" s="1" t="s">
        <v>13346</v>
      </c>
      <c r="AP1897" s="1" t="s">
        <v>13347</v>
      </c>
      <c r="AQ1897" s="1" t="s">
        <v>13348</v>
      </c>
      <c r="AR1897" s="1" t="s">
        <v>13349</v>
      </c>
    </row>
    <row r="1898">
      <c r="A1898" s="2">
        <f ca="1">DATE(2006,06,06)</f>
        <v>0</v>
      </c>
      <c r="B1898" s="2">
        <f ca="1">DATE(2006,10,24)</f>
        <v>0</v>
      </c>
      <c r="C1898" s="1" t="s">
        <v>13350</v>
      </c>
      <c r="D1898" s="3">
        <v>1311</v>
      </c>
      <c r="E1898" s="1" t="s">
        <v>43</v>
      </c>
      <c r="F1898" s="1" t="s">
        <v>13351</v>
      </c>
      <c r="G1898" s="1" t="s">
        <v>13352</v>
      </c>
      <c r="H1898" s="4">
        <v>1.2350000000000001</v>
      </c>
      <c r="I1898" s="4">
        <v>6.5</v>
      </c>
      <c r="J1898" s="5">
        <v>237.5</v>
      </c>
      <c r="K1898" s="4">
        <v>19</v>
      </c>
      <c r="L1898" s="1" t="s">
        <v>85</v>
      </c>
      <c r="M1898" s="1" t="s">
        <v>47</v>
      </c>
      <c r="N1898" s="1" t="s">
        <v>13353</v>
      </c>
      <c r="O1898" s="1" t="s">
        <v>48</v>
      </c>
      <c r="P1898" s="1" t="s">
        <v>13354</v>
      </c>
      <c r="Q1898" s="1" t="s">
        <v>145</v>
      </c>
      <c r="R1898" s="1" t="s">
        <v>145</v>
      </c>
      <c r="S1898" s="6">
        <v>3.8421099999999999</v>
      </c>
      <c r="T1898" s="1" t="s">
        <v>50</v>
      </c>
      <c r="U1898" s="1"/>
      <c r="V1898" s="1"/>
      <c r="W1898" s="7">
        <v>12500000</v>
      </c>
      <c r="X1898" s="1"/>
      <c r="Y1898" s="7">
        <v>12500000</v>
      </c>
      <c r="Z1898" s="1"/>
      <c r="AA1898" s="1" t="s">
        <v>13343</v>
      </c>
      <c r="AB1898" s="1" t="s">
        <v>5265</v>
      </c>
      <c r="AC1898" s="1" t="s">
        <v>7759</v>
      </c>
      <c r="AD1898" s="1" t="s">
        <v>5265</v>
      </c>
      <c r="AE1898" s="1" t="s">
        <v>51</v>
      </c>
      <c r="AF1898" s="1" t="s">
        <v>51</v>
      </c>
      <c r="AG1898" s="1" t="s">
        <v>51</v>
      </c>
      <c r="AH1898" s="1"/>
      <c r="AI1898" s="1"/>
      <c r="AJ1898" s="3">
        <v>3</v>
      </c>
      <c r="AK1898" s="1" t="s">
        <v>110</v>
      </c>
      <c r="AL1898" s="3">
        <v>8</v>
      </c>
      <c r="AM1898" s="1"/>
      <c r="AN1898" s="1"/>
      <c r="AO1898" s="1" t="s">
        <v>13355</v>
      </c>
      <c r="AP1898" s="1" t="s">
        <v>13356</v>
      </c>
      <c r="AQ1898" s="1" t="s">
        <v>13357</v>
      </c>
      <c r="AR1898" s="1" t="s">
        <v>13354</v>
      </c>
    </row>
    <row r="1899">
      <c r="A1899" s="2">
        <f ca="1">DATE(2006,07,21)</f>
        <v>0</v>
      </c>
      <c r="B1899" s="2">
        <f ca="1">DATE(2006,10,24)</f>
        <v>0</v>
      </c>
      <c r="C1899" s="1" t="s">
        <v>13358</v>
      </c>
      <c r="D1899" s="3">
        <v>2731</v>
      </c>
      <c r="E1899" s="1" t="s">
        <v>43</v>
      </c>
      <c r="F1899" s="1" t="s">
        <v>13359</v>
      </c>
      <c r="G1899" s="1" t="s">
        <v>13360</v>
      </c>
      <c r="H1899" s="4">
        <v>1.26</v>
      </c>
      <c r="I1899" s="4">
        <v>7</v>
      </c>
      <c r="J1899" s="5">
        <v>248.40000000000001</v>
      </c>
      <c r="K1899" s="4">
        <v>18</v>
      </c>
      <c r="L1899" s="1" t="s">
        <v>46</v>
      </c>
      <c r="M1899" s="1" t="s">
        <v>47</v>
      </c>
      <c r="N1899" s="3">
        <v>367348109</v>
      </c>
      <c r="O1899" s="1" t="s">
        <v>108</v>
      </c>
      <c r="P1899" s="1" t="s">
        <v>13361</v>
      </c>
      <c r="Q1899" s="4">
        <v>1.3999999999999999</v>
      </c>
      <c r="R1899" s="4">
        <v>1.3999999999999999</v>
      </c>
      <c r="S1899" s="8">
        <v>4.2000000000000002</v>
      </c>
      <c r="T1899" s="1" t="s">
        <v>50</v>
      </c>
      <c r="U1899" s="1"/>
      <c r="V1899" s="1"/>
      <c r="W1899" s="1"/>
      <c r="X1899" s="5">
        <v>200</v>
      </c>
      <c r="Y1899" s="7">
        <v>13800000</v>
      </c>
      <c r="Z1899" s="1"/>
      <c r="AA1899" s="1" t="s">
        <v>13362</v>
      </c>
      <c r="AB1899" s="1" t="s">
        <v>13363</v>
      </c>
      <c r="AC1899" s="1" t="s">
        <v>11484</v>
      </c>
      <c r="AD1899" s="1" t="s">
        <v>13364</v>
      </c>
      <c r="AE1899" s="1" t="s">
        <v>51</v>
      </c>
      <c r="AF1899" s="1" t="s">
        <v>51</v>
      </c>
      <c r="AG1899" s="1" t="s">
        <v>51</v>
      </c>
      <c r="AH1899" s="1"/>
      <c r="AI1899" s="1"/>
      <c r="AJ1899" s="3">
        <v>2</v>
      </c>
      <c r="AK1899" s="1" t="s">
        <v>89</v>
      </c>
      <c r="AL1899" s="3">
        <v>5</v>
      </c>
      <c r="AM1899" s="8">
        <v>21.170000000000002</v>
      </c>
      <c r="AN1899" s="1"/>
      <c r="AO1899" s="1" t="s">
        <v>13365</v>
      </c>
      <c r="AP1899" s="1" t="s">
        <v>13366</v>
      </c>
      <c r="AQ1899" s="1" t="s">
        <v>13367</v>
      </c>
      <c r="AR1899" s="1" t="s">
        <v>13361</v>
      </c>
    </row>
    <row r="1900">
      <c r="A1900" s="2">
        <f ca="1">DATE(2006,03,31)</f>
        <v>0</v>
      </c>
      <c r="B1900" s="2">
        <f ca="1">DATE(2006,10,25)</f>
        <v>0</v>
      </c>
      <c r="C1900" s="1" t="s">
        <v>13368</v>
      </c>
      <c r="D1900" s="3">
        <v>2834</v>
      </c>
      <c r="E1900" s="1" t="s">
        <v>43</v>
      </c>
      <c r="F1900" s="1" t="s">
        <v>13369</v>
      </c>
      <c r="G1900" s="1" t="s">
        <v>75</v>
      </c>
      <c r="H1900" s="4">
        <v>0.80500000000000005</v>
      </c>
      <c r="I1900" s="4">
        <v>7</v>
      </c>
      <c r="J1900" s="5">
        <v>51.799999999999997</v>
      </c>
      <c r="K1900" s="4">
        <v>11.5</v>
      </c>
      <c r="L1900" s="1" t="s">
        <v>46</v>
      </c>
      <c r="M1900" s="1" t="s">
        <v>47</v>
      </c>
      <c r="N1900" s="1" t="s">
        <v>13370</v>
      </c>
      <c r="O1900" s="1" t="s">
        <v>48</v>
      </c>
      <c r="P1900" s="1" t="s">
        <v>13371</v>
      </c>
      <c r="Q1900" s="1" t="s">
        <v>145</v>
      </c>
      <c r="R1900" s="1" t="s">
        <v>145</v>
      </c>
      <c r="S1900" s="6">
        <v>4.1739100000000002</v>
      </c>
      <c r="T1900" s="1" t="s">
        <v>50</v>
      </c>
      <c r="U1900" s="1"/>
      <c r="V1900" s="1"/>
      <c r="W1900" s="1"/>
      <c r="X1900" s="5">
        <v>75</v>
      </c>
      <c r="Y1900" s="7">
        <v>4500000</v>
      </c>
      <c r="Z1900" s="1"/>
      <c r="AA1900" s="1" t="s">
        <v>13372</v>
      </c>
      <c r="AB1900" s="1" t="s">
        <v>13373</v>
      </c>
      <c r="AC1900" s="1" t="s">
        <v>8611</v>
      </c>
      <c r="AD1900" s="1" t="s">
        <v>13374</v>
      </c>
      <c r="AE1900" s="1" t="s">
        <v>51</v>
      </c>
      <c r="AF1900" s="1" t="s">
        <v>51</v>
      </c>
      <c r="AG1900" s="1" t="s">
        <v>47</v>
      </c>
      <c r="AH1900" s="1"/>
      <c r="AI1900" s="1"/>
      <c r="AJ1900" s="3">
        <v>1</v>
      </c>
      <c r="AK1900" s="1" t="s">
        <v>52</v>
      </c>
      <c r="AL1900" s="3">
        <v>3</v>
      </c>
      <c r="AM1900" s="1"/>
      <c r="AN1900" s="1"/>
      <c r="AO1900" s="1" t="s">
        <v>13375</v>
      </c>
      <c r="AP1900" s="1" t="s">
        <v>75</v>
      </c>
      <c r="AQ1900" s="1" t="s">
        <v>13376</v>
      </c>
      <c r="AR1900" s="1" t="s">
        <v>13377</v>
      </c>
    </row>
    <row r="1901">
      <c r="A1901" s="2">
        <f ca="1">DATE(2006,10,04)</f>
        <v>0</v>
      </c>
      <c r="B1901" s="2">
        <f ca="1">DATE(2006,10,25)</f>
        <v>0</v>
      </c>
      <c r="C1901" s="1" t="s">
        <v>13378</v>
      </c>
      <c r="D1901" s="3">
        <v>7011</v>
      </c>
      <c r="E1901" s="1" t="s">
        <v>744</v>
      </c>
      <c r="F1901" s="1" t="s">
        <v>13379</v>
      </c>
      <c r="G1901" s="1" t="s">
        <v>13380</v>
      </c>
      <c r="H1901" s="4">
        <v>0.96599999999999997</v>
      </c>
      <c r="I1901" s="8">
        <v>7</v>
      </c>
      <c r="J1901" s="5">
        <v>109</v>
      </c>
      <c r="K1901" s="8">
        <v>13.800000000000001</v>
      </c>
      <c r="L1901" s="1" t="s">
        <v>1207</v>
      </c>
      <c r="M1901" s="1" t="s">
        <v>47</v>
      </c>
      <c r="N1901" s="1" t="s">
        <v>13381</v>
      </c>
      <c r="O1901" s="1" t="s">
        <v>48</v>
      </c>
      <c r="P1901" s="1" t="s">
        <v>13382</v>
      </c>
      <c r="Q1901" s="4">
        <v>1.3999999999999999</v>
      </c>
      <c r="R1901" s="4">
        <v>1.3999999999999999</v>
      </c>
      <c r="S1901" s="8">
        <v>4.2000000000000002</v>
      </c>
      <c r="T1901" s="1" t="s">
        <v>60</v>
      </c>
      <c r="U1901" s="1"/>
      <c r="V1901" s="1"/>
      <c r="W1901" s="1"/>
      <c r="X1901" s="5">
        <v>80</v>
      </c>
      <c r="Y1901" s="7">
        <v>4885827</v>
      </c>
      <c r="Z1901" s="7">
        <v>3014173</v>
      </c>
      <c r="AA1901" s="1"/>
      <c r="AB1901" s="1"/>
      <c r="AC1901" s="1"/>
      <c r="AD1901" s="1"/>
      <c r="AE1901" s="1" t="s">
        <v>47</v>
      </c>
      <c r="AF1901" s="1" t="s">
        <v>51</v>
      </c>
      <c r="AG1901" s="1" t="s">
        <v>47</v>
      </c>
      <c r="AH1901" s="1"/>
      <c r="AI1901" s="1"/>
      <c r="AJ1901" s="3">
        <v>2</v>
      </c>
      <c r="AK1901" s="1" t="s">
        <v>89</v>
      </c>
      <c r="AL1901" s="3">
        <v>2</v>
      </c>
      <c r="AM1901" s="1"/>
      <c r="AN1901" s="1"/>
      <c r="AO1901" s="1" t="s">
        <v>13383</v>
      </c>
      <c r="AP1901" s="1" t="s">
        <v>13384</v>
      </c>
      <c r="AQ1901" s="1" t="s">
        <v>13385</v>
      </c>
      <c r="AR1901" s="1" t="s">
        <v>13386</v>
      </c>
    </row>
    <row r="1902">
      <c r="A1902" s="2">
        <f ca="1">DATE(2006,06,29)</f>
        <v>0</v>
      </c>
      <c r="B1902" s="2">
        <f ca="1">DATE(2006,10,26)</f>
        <v>0</v>
      </c>
      <c r="C1902" s="1" t="s">
        <v>13387</v>
      </c>
      <c r="D1902" s="3">
        <v>3674</v>
      </c>
      <c r="E1902" s="1" t="s">
        <v>43</v>
      </c>
      <c r="F1902" s="1" t="s">
        <v>13388</v>
      </c>
      <c r="G1902" s="1" t="s">
        <v>13389</v>
      </c>
      <c r="H1902" s="4">
        <v>1.2250000000000001</v>
      </c>
      <c r="I1902" s="4">
        <v>7</v>
      </c>
      <c r="J1902" s="5">
        <v>91</v>
      </c>
      <c r="K1902" s="4">
        <v>17.5</v>
      </c>
      <c r="L1902" s="1" t="s">
        <v>46</v>
      </c>
      <c r="M1902" s="1" t="s">
        <v>47</v>
      </c>
      <c r="N1902" s="1" t="s">
        <v>13390</v>
      </c>
      <c r="O1902" s="1" t="s">
        <v>48</v>
      </c>
      <c r="P1902" s="1" t="s">
        <v>13391</v>
      </c>
      <c r="Q1902" s="1" t="s">
        <v>145</v>
      </c>
      <c r="R1902" s="1" t="s">
        <v>145</v>
      </c>
      <c r="S1902" s="6">
        <v>4.2285700000000004</v>
      </c>
      <c r="T1902" s="1" t="s">
        <v>50</v>
      </c>
      <c r="U1902" s="1"/>
      <c r="V1902" s="1"/>
      <c r="W1902" s="1"/>
      <c r="X1902" s="5">
        <v>100</v>
      </c>
      <c r="Y1902" s="7">
        <v>5200000</v>
      </c>
      <c r="Z1902" s="1"/>
      <c r="AA1902" s="1" t="s">
        <v>13392</v>
      </c>
      <c r="AB1902" s="1" t="s">
        <v>13393</v>
      </c>
      <c r="AC1902" s="1" t="s">
        <v>7759</v>
      </c>
      <c r="AD1902" s="1" t="s">
        <v>13394</v>
      </c>
      <c r="AE1902" s="1" t="s">
        <v>51</v>
      </c>
      <c r="AF1902" s="1" t="s">
        <v>51</v>
      </c>
      <c r="AG1902" s="1" t="s">
        <v>47</v>
      </c>
      <c r="AH1902" s="1"/>
      <c r="AI1902" s="1"/>
      <c r="AJ1902" s="3">
        <v>2</v>
      </c>
      <c r="AK1902" s="1" t="s">
        <v>89</v>
      </c>
      <c r="AL1902" s="3">
        <v>4</v>
      </c>
      <c r="AM1902" s="8">
        <v>19.600000000000001</v>
      </c>
      <c r="AN1902" s="1"/>
      <c r="AO1902" s="1" t="s">
        <v>13395</v>
      </c>
      <c r="AP1902" s="1" t="s">
        <v>12249</v>
      </c>
      <c r="AQ1902" s="1" t="s">
        <v>13396</v>
      </c>
      <c r="AR1902" s="1" t="s">
        <v>13391</v>
      </c>
    </row>
    <row r="1903">
      <c r="A1903" s="2">
        <f ca="1">DATE(2006,09,13)</f>
        <v>0</v>
      </c>
      <c r="B1903" s="2">
        <f ca="1">DATE(2006,10,30)</f>
        <v>0</v>
      </c>
      <c r="C1903" s="1" t="s">
        <v>13397</v>
      </c>
      <c r="D1903" s="3">
        <v>5511</v>
      </c>
      <c r="E1903" s="1" t="s">
        <v>43</v>
      </c>
      <c r="F1903" s="1" t="s">
        <v>13398</v>
      </c>
      <c r="G1903" s="1" t="s">
        <v>13399</v>
      </c>
      <c r="H1903" s="1" t="s">
        <v>57</v>
      </c>
      <c r="I1903" s="1" t="s">
        <v>57</v>
      </c>
      <c r="J1903" s="5">
        <v>0</v>
      </c>
      <c r="K1903" s="4">
        <v>0.10000000000000001</v>
      </c>
      <c r="L1903" s="1" t="s">
        <v>46</v>
      </c>
      <c r="M1903" s="1" t="s">
        <v>47</v>
      </c>
      <c r="N1903" s="1" t="s">
        <v>13400</v>
      </c>
      <c r="O1903" s="1" t="s">
        <v>67</v>
      </c>
      <c r="P1903" s="1" t="s">
        <v>13401</v>
      </c>
      <c r="Q1903" s="1"/>
      <c r="R1903" s="1"/>
      <c r="S1903" s="1"/>
      <c r="T1903" s="1" t="s">
        <v>50</v>
      </c>
      <c r="U1903" s="8">
        <v>0.10000000000000001</v>
      </c>
      <c r="V1903" s="8">
        <v>0.10000000000000001</v>
      </c>
      <c r="W1903" s="7">
        <v>450000</v>
      </c>
      <c r="X1903" s="5">
        <v>0</v>
      </c>
      <c r="Y1903" s="7">
        <v>450000</v>
      </c>
      <c r="Z1903" s="1"/>
      <c r="AA1903" s="1" t="s">
        <v>13402</v>
      </c>
      <c r="AB1903" s="1" t="s">
        <v>2067</v>
      </c>
      <c r="AC1903" s="1" t="s">
        <v>9674</v>
      </c>
      <c r="AD1903" s="1" t="s">
        <v>2067</v>
      </c>
      <c r="AE1903" s="1" t="s">
        <v>51</v>
      </c>
      <c r="AF1903" s="1" t="s">
        <v>51</v>
      </c>
      <c r="AG1903" s="1" t="s">
        <v>51</v>
      </c>
      <c r="AH1903" s="1"/>
      <c r="AI1903" s="1"/>
      <c r="AJ1903" s="3">
        <v>1</v>
      </c>
      <c r="AK1903" s="1" t="s">
        <v>52</v>
      </c>
      <c r="AL1903" s="3">
        <v>1</v>
      </c>
      <c r="AM1903" s="1"/>
      <c r="AN1903" s="1"/>
      <c r="AO1903" s="1" t="s">
        <v>13399</v>
      </c>
      <c r="AP1903" s="1" t="s">
        <v>13399</v>
      </c>
      <c r="AQ1903" s="1" t="s">
        <v>13399</v>
      </c>
      <c r="AR1903" s="1" t="s">
        <v>13401</v>
      </c>
    </row>
    <row r="1904">
      <c r="A1904" s="2">
        <f ca="1">DATE(2006,10,10)</f>
        <v>0</v>
      </c>
      <c r="B1904" s="2">
        <f ca="1">DATE(2006,10,31)</f>
        <v>0</v>
      </c>
      <c r="C1904" s="1" t="s">
        <v>13403</v>
      </c>
      <c r="D1904" s="3">
        <v>4832</v>
      </c>
      <c r="E1904" s="1" t="s">
        <v>934</v>
      </c>
      <c r="F1904" s="1" t="s">
        <v>13404</v>
      </c>
      <c r="G1904" s="1" t="s">
        <v>1056</v>
      </c>
      <c r="H1904" s="4">
        <v>0.875</v>
      </c>
      <c r="I1904" s="4">
        <v>7</v>
      </c>
      <c r="J1904" s="5">
        <v>47.5</v>
      </c>
      <c r="K1904" s="4">
        <v>12.5</v>
      </c>
      <c r="L1904" s="1" t="s">
        <v>1057</v>
      </c>
      <c r="M1904" s="1" t="s">
        <v>47</v>
      </c>
      <c r="N1904" s="3">
        <v>379316102</v>
      </c>
      <c r="O1904" s="1" t="s">
        <v>48</v>
      </c>
      <c r="P1904" s="1" t="s">
        <v>13405</v>
      </c>
      <c r="Q1904" s="1" t="s">
        <v>145</v>
      </c>
      <c r="R1904" s="1" t="s">
        <v>145</v>
      </c>
      <c r="S1904" s="8">
        <v>4.2000000000000002</v>
      </c>
      <c r="T1904" s="1" t="s">
        <v>50</v>
      </c>
      <c r="U1904" s="8">
        <v>13</v>
      </c>
      <c r="V1904" s="8">
        <v>11</v>
      </c>
      <c r="W1904" s="7">
        <v>3800000</v>
      </c>
      <c r="X1904" s="5">
        <v>45.600000000000001</v>
      </c>
      <c r="Y1904" s="7">
        <v>3625000</v>
      </c>
      <c r="Z1904" s="7">
        <v>175000</v>
      </c>
      <c r="AA1904" s="1" t="s">
        <v>13406</v>
      </c>
      <c r="AB1904" s="1" t="s">
        <v>13407</v>
      </c>
      <c r="AC1904" s="1" t="s">
        <v>7759</v>
      </c>
      <c r="AD1904" s="1" t="s">
        <v>13408</v>
      </c>
      <c r="AE1904" s="1" t="s">
        <v>51</v>
      </c>
      <c r="AF1904" s="1" t="s">
        <v>51</v>
      </c>
      <c r="AG1904" s="1" t="s">
        <v>51</v>
      </c>
      <c r="AH1904" s="1"/>
      <c r="AI1904" s="1"/>
      <c r="AJ1904" s="3">
        <v>1</v>
      </c>
      <c r="AK1904" s="1" t="s">
        <v>52</v>
      </c>
      <c r="AL1904" s="3">
        <v>5</v>
      </c>
      <c r="AM1904" s="8">
        <v>15.029999999999999</v>
      </c>
      <c r="AN1904" s="8">
        <v>14.02</v>
      </c>
      <c r="AO1904" s="1" t="s">
        <v>13409</v>
      </c>
      <c r="AP1904" s="1" t="s">
        <v>1056</v>
      </c>
      <c r="AQ1904" s="1" t="s">
        <v>13410</v>
      </c>
      <c r="AR1904" s="1" t="s">
        <v>13405</v>
      </c>
    </row>
    <row r="1905">
      <c r="A1905" s="2">
        <f ca="1">DATE(2006,07,20)</f>
        <v>0</v>
      </c>
      <c r="B1905" s="2">
        <f ca="1">DATE(2006,11,01)</f>
        <v>0</v>
      </c>
      <c r="C1905" s="1" t="s">
        <v>13411</v>
      </c>
      <c r="D1905" s="3">
        <v>7372</v>
      </c>
      <c r="E1905" s="1" t="s">
        <v>43</v>
      </c>
      <c r="F1905" s="1" t="s">
        <v>13412</v>
      </c>
      <c r="G1905" s="1" t="s">
        <v>13413</v>
      </c>
      <c r="H1905" s="4">
        <v>0.40000000000000002</v>
      </c>
      <c r="I1905" s="4">
        <v>8</v>
      </c>
      <c r="J1905" s="5">
        <v>12.5</v>
      </c>
      <c r="K1905" s="4">
        <v>5</v>
      </c>
      <c r="L1905" s="1" t="s">
        <v>46</v>
      </c>
      <c r="M1905" s="1" t="s">
        <v>47</v>
      </c>
      <c r="N1905" s="1" t="s">
        <v>13414</v>
      </c>
      <c r="O1905" s="1" t="s">
        <v>87</v>
      </c>
      <c r="P1905" s="1" t="s">
        <v>13415</v>
      </c>
      <c r="Q1905" s="1" t="s">
        <v>145</v>
      </c>
      <c r="R1905" s="1" t="s">
        <v>145</v>
      </c>
      <c r="S1905" s="8">
        <v>4.7999999999999998</v>
      </c>
      <c r="T1905" s="1" t="s">
        <v>50</v>
      </c>
      <c r="U1905" s="8">
        <v>5</v>
      </c>
      <c r="V1905" s="8">
        <v>5</v>
      </c>
      <c r="W1905" s="7">
        <v>2500000</v>
      </c>
      <c r="X1905" s="5">
        <v>12.5</v>
      </c>
      <c r="Y1905" s="7">
        <v>2500000</v>
      </c>
      <c r="Z1905" s="1"/>
      <c r="AA1905" s="1" t="s">
        <v>13416</v>
      </c>
      <c r="AB1905" s="1" t="s">
        <v>13417</v>
      </c>
      <c r="AC1905" s="1" t="s">
        <v>13418</v>
      </c>
      <c r="AD1905" s="1" t="s">
        <v>13419</v>
      </c>
      <c r="AE1905" s="1" t="s">
        <v>51</v>
      </c>
      <c r="AF1905" s="1" t="s">
        <v>51</v>
      </c>
      <c r="AG1905" s="1" t="s">
        <v>51</v>
      </c>
      <c r="AH1905" s="1"/>
      <c r="AI1905" s="1"/>
      <c r="AJ1905" s="3">
        <v>1</v>
      </c>
      <c r="AK1905" s="1" t="s">
        <v>52</v>
      </c>
      <c r="AL1905" s="3">
        <v>2</v>
      </c>
      <c r="AM1905" s="8">
        <v>4.8200000000000003</v>
      </c>
      <c r="AN1905" s="1"/>
      <c r="AO1905" s="1" t="s">
        <v>13420</v>
      </c>
      <c r="AP1905" s="1" t="s">
        <v>13413</v>
      </c>
      <c r="AQ1905" s="1" t="s">
        <v>13421</v>
      </c>
      <c r="AR1905" s="1" t="s">
        <v>13422</v>
      </c>
    </row>
    <row r="1906">
      <c r="A1906" s="2">
        <f ca="1">DATE(2006,07,17)</f>
        <v>0</v>
      </c>
      <c r="B1906" s="2">
        <f ca="1">DATE(2006,11,01)</f>
        <v>0</v>
      </c>
      <c r="C1906" s="1" t="s">
        <v>13423</v>
      </c>
      <c r="D1906" s="3">
        <v>4812</v>
      </c>
      <c r="E1906" s="1" t="s">
        <v>43</v>
      </c>
      <c r="F1906" s="1" t="s">
        <v>13424</v>
      </c>
      <c r="G1906" s="1" t="s">
        <v>13425</v>
      </c>
      <c r="H1906" s="4">
        <v>1.19</v>
      </c>
      <c r="I1906" s="8">
        <v>7</v>
      </c>
      <c r="J1906" s="5">
        <v>127.5</v>
      </c>
      <c r="K1906" s="4">
        <v>17</v>
      </c>
      <c r="L1906" s="1" t="s">
        <v>46</v>
      </c>
      <c r="M1906" s="1" t="s">
        <v>47</v>
      </c>
      <c r="N1906" s="3">
        <v>378973408</v>
      </c>
      <c r="O1906" s="1" t="s">
        <v>48</v>
      </c>
      <c r="P1906" s="1" t="s">
        <v>13426</v>
      </c>
      <c r="Q1906" s="1" t="s">
        <v>145</v>
      </c>
      <c r="R1906" s="1" t="s">
        <v>145</v>
      </c>
      <c r="S1906" s="6">
        <v>4.1764700000000001</v>
      </c>
      <c r="T1906" s="1" t="s">
        <v>50</v>
      </c>
      <c r="U1906" s="1"/>
      <c r="V1906" s="1"/>
      <c r="W1906" s="1"/>
      <c r="X1906" s="5">
        <v>100</v>
      </c>
      <c r="Y1906" s="7">
        <v>7500000</v>
      </c>
      <c r="Z1906" s="1"/>
      <c r="AA1906" s="1" t="s">
        <v>13427</v>
      </c>
      <c r="AB1906" s="1" t="s">
        <v>13428</v>
      </c>
      <c r="AC1906" s="1" t="s">
        <v>7759</v>
      </c>
      <c r="AD1906" s="1" t="s">
        <v>13429</v>
      </c>
      <c r="AE1906" s="1" t="s">
        <v>51</v>
      </c>
      <c r="AF1906" s="1" t="s">
        <v>51</v>
      </c>
      <c r="AG1906" s="1" t="s">
        <v>51</v>
      </c>
      <c r="AH1906" s="1"/>
      <c r="AI1906" s="1"/>
      <c r="AJ1906" s="3">
        <v>2</v>
      </c>
      <c r="AK1906" s="1" t="s">
        <v>89</v>
      </c>
      <c r="AL1906" s="3">
        <v>3</v>
      </c>
      <c r="AM1906" s="8">
        <v>17.52</v>
      </c>
      <c r="AN1906" s="1"/>
      <c r="AO1906" s="1" t="s">
        <v>13430</v>
      </c>
      <c r="AP1906" s="1" t="s">
        <v>13431</v>
      </c>
      <c r="AQ1906" s="1" t="s">
        <v>13432</v>
      </c>
      <c r="AR1906" s="1" t="s">
        <v>13433</v>
      </c>
    </row>
    <row r="1907">
      <c r="A1907" s="2">
        <f ca="1">DATE(2006,07,19)</f>
        <v>0</v>
      </c>
      <c r="B1907" s="2">
        <f ca="1">DATE(2006,11,02)</f>
        <v>0</v>
      </c>
      <c r="C1907" s="1" t="s">
        <v>13434</v>
      </c>
      <c r="D1907" s="3">
        <v>2874</v>
      </c>
      <c r="E1907" s="1" t="s">
        <v>43</v>
      </c>
      <c r="F1907" s="1" t="s">
        <v>13435</v>
      </c>
      <c r="G1907" s="1" t="s">
        <v>13436</v>
      </c>
      <c r="H1907" s="4">
        <v>0.83999999999999997</v>
      </c>
      <c r="I1907" s="8">
        <v>7</v>
      </c>
      <c r="J1907" s="5">
        <v>104.3</v>
      </c>
      <c r="K1907" s="4">
        <v>12</v>
      </c>
      <c r="L1907" s="1" t="s">
        <v>46</v>
      </c>
      <c r="M1907" s="1" t="s">
        <v>47</v>
      </c>
      <c r="N1907" s="1" t="s">
        <v>13437</v>
      </c>
      <c r="O1907" s="1" t="s">
        <v>48</v>
      </c>
      <c r="P1907" s="1" t="s">
        <v>13438</v>
      </c>
      <c r="Q1907" s="4">
        <v>1.3999999999999999</v>
      </c>
      <c r="R1907" s="4">
        <v>1.3999999999999999</v>
      </c>
      <c r="S1907" s="8">
        <v>4.2000000000000002</v>
      </c>
      <c r="T1907" s="1" t="s">
        <v>50</v>
      </c>
      <c r="U1907" s="1"/>
      <c r="V1907" s="1"/>
      <c r="W1907" s="1"/>
      <c r="X1907" s="5">
        <v>150</v>
      </c>
      <c r="Y1907" s="7">
        <v>8000000</v>
      </c>
      <c r="Z1907" s="7">
        <v>695652</v>
      </c>
      <c r="AA1907" s="1" t="s">
        <v>13439</v>
      </c>
      <c r="AB1907" s="1" t="s">
        <v>5265</v>
      </c>
      <c r="AC1907" s="1" t="s">
        <v>7759</v>
      </c>
      <c r="AD1907" s="1" t="s">
        <v>5265</v>
      </c>
      <c r="AE1907" s="1" t="s">
        <v>51</v>
      </c>
      <c r="AF1907" s="1" t="s">
        <v>51</v>
      </c>
      <c r="AG1907" s="1" t="s">
        <v>51</v>
      </c>
      <c r="AH1907" s="1"/>
      <c r="AI1907" s="1"/>
      <c r="AJ1907" s="3">
        <v>3</v>
      </c>
      <c r="AK1907" s="1" t="s">
        <v>110</v>
      </c>
      <c r="AL1907" s="3">
        <v>4</v>
      </c>
      <c r="AM1907" s="8">
        <v>12.07</v>
      </c>
      <c r="AN1907" s="1"/>
      <c r="AO1907" s="1" t="s">
        <v>13440</v>
      </c>
      <c r="AP1907" s="1" t="s">
        <v>13441</v>
      </c>
      <c r="AQ1907" s="1" t="s">
        <v>13442</v>
      </c>
      <c r="AR1907" s="1" t="s">
        <v>13438</v>
      </c>
    </row>
    <row r="1908">
      <c r="A1908" s="2">
        <f ca="1">DATE(2006,05,12)</f>
        <v>0</v>
      </c>
      <c r="B1908" s="2">
        <f ca="1">DATE(2006,11,02)</f>
        <v>0</v>
      </c>
      <c r="C1908" s="1" t="s">
        <v>13443</v>
      </c>
      <c r="D1908" s="3">
        <v>4899</v>
      </c>
      <c r="E1908" s="1" t="s">
        <v>43</v>
      </c>
      <c r="F1908" s="1" t="s">
        <v>13444</v>
      </c>
      <c r="G1908" s="1" t="s">
        <v>5704</v>
      </c>
      <c r="H1908" s="4">
        <v>0.77000000000000002</v>
      </c>
      <c r="I1908" s="4">
        <v>7</v>
      </c>
      <c r="J1908" s="5">
        <v>101.5</v>
      </c>
      <c r="K1908" s="4">
        <v>11</v>
      </c>
      <c r="L1908" s="1" t="s">
        <v>46</v>
      </c>
      <c r="M1908" s="1" t="s">
        <v>47</v>
      </c>
      <c r="N1908" s="1" t="s">
        <v>13445</v>
      </c>
      <c r="O1908" s="1" t="s">
        <v>48</v>
      </c>
      <c r="P1908" s="1" t="s">
        <v>13446</v>
      </c>
      <c r="Q1908" s="1" t="s">
        <v>145</v>
      </c>
      <c r="R1908" s="1" t="s">
        <v>145</v>
      </c>
      <c r="S1908" s="6">
        <v>4.1818200000000001</v>
      </c>
      <c r="T1908" s="1" t="s">
        <v>50</v>
      </c>
      <c r="U1908" s="1"/>
      <c r="V1908" s="1"/>
      <c r="W1908" s="1"/>
      <c r="X1908" s="5">
        <v>150</v>
      </c>
      <c r="Y1908" s="7">
        <v>9230800</v>
      </c>
      <c r="Z1908" s="1"/>
      <c r="AA1908" s="1" t="s">
        <v>13439</v>
      </c>
      <c r="AB1908" s="1" t="s">
        <v>5265</v>
      </c>
      <c r="AC1908" s="1" t="s">
        <v>7759</v>
      </c>
      <c r="AD1908" s="1" t="s">
        <v>5265</v>
      </c>
      <c r="AE1908" s="1" t="s">
        <v>51</v>
      </c>
      <c r="AF1908" s="1" t="s">
        <v>51</v>
      </c>
      <c r="AG1908" s="1" t="s">
        <v>47</v>
      </c>
      <c r="AH1908" s="1"/>
      <c r="AI1908" s="1"/>
      <c r="AJ1908" s="3">
        <v>1</v>
      </c>
      <c r="AK1908" s="1" t="s">
        <v>89</v>
      </c>
      <c r="AL1908" s="3">
        <v>4</v>
      </c>
      <c r="AM1908" s="8">
        <v>7.75</v>
      </c>
      <c r="AN1908" s="1"/>
      <c r="AO1908" s="1" t="s">
        <v>13447</v>
      </c>
      <c r="AP1908" s="1" t="s">
        <v>13448</v>
      </c>
      <c r="AQ1908" s="1" t="s">
        <v>13449</v>
      </c>
      <c r="AR1908" s="1" t="s">
        <v>13446</v>
      </c>
    </row>
    <row r="1909">
      <c r="A1909" s="2">
        <f ca="1">DATE(2006,07,25)</f>
        <v>0</v>
      </c>
      <c r="B1909" s="2">
        <f ca="1">DATE(2006,11,07)</f>
        <v>0</v>
      </c>
      <c r="C1909" s="1" t="s">
        <v>13450</v>
      </c>
      <c r="D1909" s="3">
        <v>2834</v>
      </c>
      <c r="E1909" s="1" t="s">
        <v>43</v>
      </c>
      <c r="F1909" s="1" t="s">
        <v>13451</v>
      </c>
      <c r="G1909" s="1" t="s">
        <v>13452</v>
      </c>
      <c r="H1909" s="4">
        <v>0.41999999999999998</v>
      </c>
      <c r="I1909" s="8">
        <v>7</v>
      </c>
      <c r="J1909" s="5">
        <v>20.100000000000001</v>
      </c>
      <c r="K1909" s="4">
        <v>6</v>
      </c>
      <c r="L1909" s="1" t="s">
        <v>46</v>
      </c>
      <c r="M1909" s="1" t="s">
        <v>47</v>
      </c>
      <c r="N1909" s="1" t="s">
        <v>13453</v>
      </c>
      <c r="O1909" s="1" t="s">
        <v>48</v>
      </c>
      <c r="P1909" s="1" t="s">
        <v>13454</v>
      </c>
      <c r="Q1909" s="1" t="s">
        <v>145</v>
      </c>
      <c r="R1909" s="1" t="s">
        <v>145</v>
      </c>
      <c r="S1909" s="6">
        <v>4.1666699999999999</v>
      </c>
      <c r="T1909" s="1" t="s">
        <v>50</v>
      </c>
      <c r="U1909" s="1"/>
      <c r="V1909" s="1"/>
      <c r="W1909" s="1"/>
      <c r="X1909" s="5">
        <v>40.299999999999997</v>
      </c>
      <c r="Y1909" s="7">
        <v>3350000</v>
      </c>
      <c r="Z1909" s="1"/>
      <c r="AA1909" s="1" t="s">
        <v>13455</v>
      </c>
      <c r="AB1909" s="1" t="s">
        <v>13456</v>
      </c>
      <c r="AC1909" s="1" t="s">
        <v>7759</v>
      </c>
      <c r="AD1909" s="1" t="s">
        <v>13457</v>
      </c>
      <c r="AE1909" s="1" t="s">
        <v>51</v>
      </c>
      <c r="AF1909" s="1" t="s">
        <v>51</v>
      </c>
      <c r="AG1909" s="1" t="s">
        <v>51</v>
      </c>
      <c r="AH1909" s="1"/>
      <c r="AI1909" s="1"/>
      <c r="AJ1909" s="3">
        <v>1</v>
      </c>
      <c r="AK1909" s="1" t="s">
        <v>52</v>
      </c>
      <c r="AL1909" s="3">
        <v>2</v>
      </c>
      <c r="AM1909" s="8">
        <v>6.0999999999999996</v>
      </c>
      <c r="AN1909" s="1"/>
      <c r="AO1909" s="1" t="s">
        <v>13458</v>
      </c>
      <c r="AP1909" s="1" t="s">
        <v>13452</v>
      </c>
      <c r="AQ1909" s="1" t="s">
        <v>13459</v>
      </c>
      <c r="AR1909" s="1" t="s">
        <v>13454</v>
      </c>
    </row>
    <row r="1910">
      <c r="A1910" s="2">
        <f ca="1">DATE(2006,08,04)</f>
        <v>0</v>
      </c>
      <c r="B1910" s="2">
        <f ca="1">DATE(2006,11,08)</f>
        <v>0</v>
      </c>
      <c r="C1910" s="1" t="s">
        <v>13460</v>
      </c>
      <c r="D1910" s="3">
        <v>6331</v>
      </c>
      <c r="E1910" s="1" t="s">
        <v>43</v>
      </c>
      <c r="F1910" s="1" t="s">
        <v>13461</v>
      </c>
      <c r="G1910" s="1" t="s">
        <v>813</v>
      </c>
      <c r="H1910" s="4">
        <v>1.4379999999999999</v>
      </c>
      <c r="I1910" s="4">
        <v>5.75</v>
      </c>
      <c r="J1910" s="5">
        <v>600</v>
      </c>
      <c r="K1910" s="4">
        <v>25</v>
      </c>
      <c r="L1910" s="1" t="s">
        <v>152</v>
      </c>
      <c r="M1910" s="1" t="s">
        <v>47</v>
      </c>
      <c r="N1910" s="1" t="s">
        <v>13462</v>
      </c>
      <c r="O1910" s="1" t="s">
        <v>108</v>
      </c>
      <c r="P1910" s="1" t="s">
        <v>13463</v>
      </c>
      <c r="Q1910" s="1" t="s">
        <v>145</v>
      </c>
      <c r="R1910" s="1" t="s">
        <v>145</v>
      </c>
      <c r="S1910" s="8">
        <v>3.4500000000000002</v>
      </c>
      <c r="T1910" s="1" t="s">
        <v>50</v>
      </c>
      <c r="U1910" s="1"/>
      <c r="V1910" s="1"/>
      <c r="W1910" s="1"/>
      <c r="X1910" s="5">
        <v>500</v>
      </c>
      <c r="Y1910" s="1"/>
      <c r="Z1910" s="7">
        <v>24000000</v>
      </c>
      <c r="AA1910" s="1" t="s">
        <v>13464</v>
      </c>
      <c r="AB1910" s="1" t="s">
        <v>5265</v>
      </c>
      <c r="AC1910" s="1" t="s">
        <v>7759</v>
      </c>
      <c r="AD1910" s="1" t="s">
        <v>5265</v>
      </c>
      <c r="AE1910" s="1" t="s">
        <v>51</v>
      </c>
      <c r="AF1910" s="1" t="s">
        <v>51</v>
      </c>
      <c r="AG1910" s="1" t="s">
        <v>51</v>
      </c>
      <c r="AH1910" s="1"/>
      <c r="AI1910" s="1"/>
      <c r="AJ1910" s="3">
        <v>1</v>
      </c>
      <c r="AK1910" s="1" t="s">
        <v>89</v>
      </c>
      <c r="AL1910" s="3">
        <v>11</v>
      </c>
      <c r="AM1910" s="8">
        <v>26.010000000000002</v>
      </c>
      <c r="AN1910" s="3">
        <v>26</v>
      </c>
      <c r="AO1910" s="1" t="s">
        <v>13465</v>
      </c>
      <c r="AP1910" s="1" t="s">
        <v>337</v>
      </c>
      <c r="AQ1910" s="1" t="s">
        <v>13466</v>
      </c>
      <c r="AR1910" s="1" t="s">
        <v>13467</v>
      </c>
    </row>
    <row r="1911">
      <c r="A1911" s="2">
        <f ca="1">DATE(2006,10,23)</f>
        <v>0</v>
      </c>
      <c r="B1911" s="2">
        <f ca="1">DATE(2006,11,08)</f>
        <v>0</v>
      </c>
      <c r="C1911" s="1" t="s">
        <v>13468</v>
      </c>
      <c r="D1911" s="3">
        <v>3674</v>
      </c>
      <c r="E1911" s="1" t="s">
        <v>744</v>
      </c>
      <c r="F1911" s="1"/>
      <c r="G1911" s="1" t="s">
        <v>13469</v>
      </c>
      <c r="H1911" s="4">
        <v>1.05</v>
      </c>
      <c r="I1911" s="4">
        <v>7</v>
      </c>
      <c r="J1911" s="5">
        <v>115.5</v>
      </c>
      <c r="K1911" s="4">
        <v>15</v>
      </c>
      <c r="L1911" s="1" t="s">
        <v>46</v>
      </c>
      <c r="M1911" s="1" t="s">
        <v>47</v>
      </c>
      <c r="N1911" s="3">
        <v>136635109</v>
      </c>
      <c r="O1911" s="1"/>
      <c r="P1911" s="1" t="s">
        <v>13470</v>
      </c>
      <c r="Q1911" s="1" t="s">
        <v>145</v>
      </c>
      <c r="R1911" s="1" t="s">
        <v>145</v>
      </c>
      <c r="S1911" s="8">
        <v>4.2000000000000002</v>
      </c>
      <c r="T1911" s="1" t="s">
        <v>50</v>
      </c>
      <c r="U1911" s="8">
        <v>15</v>
      </c>
      <c r="V1911" s="8">
        <v>13</v>
      </c>
      <c r="W1911" s="7">
        <v>7700000</v>
      </c>
      <c r="X1911" s="5">
        <v>107.8</v>
      </c>
      <c r="Y1911" s="7">
        <v>6300000</v>
      </c>
      <c r="Z1911" s="7">
        <v>1400000</v>
      </c>
      <c r="AA1911" s="1" t="s">
        <v>13464</v>
      </c>
      <c r="AB1911" s="1" t="s">
        <v>5265</v>
      </c>
      <c r="AC1911" s="1" t="s">
        <v>7759</v>
      </c>
      <c r="AD1911" s="1" t="s">
        <v>5265</v>
      </c>
      <c r="AE1911" s="1" t="s">
        <v>51</v>
      </c>
      <c r="AF1911" s="1" t="s">
        <v>51</v>
      </c>
      <c r="AG1911" s="1" t="s">
        <v>47</v>
      </c>
      <c r="AH1911" s="1"/>
      <c r="AI1911" s="1"/>
      <c r="AJ1911" s="3">
        <v>2</v>
      </c>
      <c r="AK1911" s="1" t="s">
        <v>89</v>
      </c>
      <c r="AL1911" s="3">
        <v>4</v>
      </c>
      <c r="AM1911" s="8">
        <v>15.630000000000001</v>
      </c>
      <c r="AN1911" s="1"/>
      <c r="AO1911" s="1" t="s">
        <v>13471</v>
      </c>
      <c r="AP1911" s="1" t="s">
        <v>13472</v>
      </c>
      <c r="AQ1911" s="1" t="s">
        <v>13473</v>
      </c>
      <c r="AR1911" s="1" t="s">
        <v>13474</v>
      </c>
    </row>
    <row r="1912">
      <c r="A1912" s="2">
        <f ca="1">DATE(2006,08,11)</f>
        <v>0</v>
      </c>
      <c r="B1912" s="2">
        <f ca="1">DATE(2006,11,08)</f>
        <v>0</v>
      </c>
      <c r="C1912" s="1" t="s">
        <v>13475</v>
      </c>
      <c r="D1912" s="3">
        <v>6211</v>
      </c>
      <c r="E1912" s="1" t="s">
        <v>43</v>
      </c>
      <c r="F1912" s="1" t="s">
        <v>13476</v>
      </c>
      <c r="G1912" s="1" t="s">
        <v>13477</v>
      </c>
      <c r="H1912" s="4">
        <v>1.47</v>
      </c>
      <c r="I1912" s="8">
        <v>7</v>
      </c>
      <c r="J1912" s="5">
        <v>142.80000000000001</v>
      </c>
      <c r="K1912" s="4">
        <v>21</v>
      </c>
      <c r="L1912" s="1" t="s">
        <v>46</v>
      </c>
      <c r="M1912" s="1" t="s">
        <v>47</v>
      </c>
      <c r="N1912" s="3">
        <v>482423100</v>
      </c>
      <c r="O1912" s="1" t="s">
        <v>108</v>
      </c>
      <c r="P1912" s="1" t="s">
        <v>13478</v>
      </c>
      <c r="Q1912" s="1" t="s">
        <v>145</v>
      </c>
      <c r="R1912" s="1" t="s">
        <v>145</v>
      </c>
      <c r="S1912" s="6">
        <v>4.19048</v>
      </c>
      <c r="T1912" s="1" t="s">
        <v>50</v>
      </c>
      <c r="U1912" s="1"/>
      <c r="V1912" s="1"/>
      <c r="W1912" s="1"/>
      <c r="X1912" s="5">
        <v>100</v>
      </c>
      <c r="Y1912" s="7">
        <v>3900000</v>
      </c>
      <c r="Z1912" s="7">
        <v>2900000</v>
      </c>
      <c r="AA1912" s="1" t="s">
        <v>13464</v>
      </c>
      <c r="AB1912" s="1" t="s">
        <v>13479</v>
      </c>
      <c r="AC1912" s="1" t="s">
        <v>7759</v>
      </c>
      <c r="AD1912" s="1" t="s">
        <v>13480</v>
      </c>
      <c r="AE1912" s="1" t="s">
        <v>51</v>
      </c>
      <c r="AF1912" s="1" t="s">
        <v>51</v>
      </c>
      <c r="AG1912" s="1" t="s">
        <v>51</v>
      </c>
      <c r="AH1912" s="1"/>
      <c r="AI1912" s="1"/>
      <c r="AJ1912" s="3">
        <v>2</v>
      </c>
      <c r="AK1912" s="1" t="s">
        <v>110</v>
      </c>
      <c r="AL1912" s="3">
        <v>9</v>
      </c>
      <c r="AM1912" s="8">
        <v>26.829999999999998</v>
      </c>
      <c r="AN1912" s="1"/>
      <c r="AO1912" s="1" t="s">
        <v>13481</v>
      </c>
      <c r="AP1912" s="1" t="s">
        <v>13482</v>
      </c>
      <c r="AQ1912" s="1" t="s">
        <v>13483</v>
      </c>
      <c r="AR1912" s="1" t="s">
        <v>13484</v>
      </c>
    </row>
    <row r="1913">
      <c r="A1913" s="2">
        <f ca="1">DATE(2006,08,25)</f>
        <v>0</v>
      </c>
      <c r="B1913" s="2">
        <f ca="1">DATE(2006,11,08)</f>
        <v>0</v>
      </c>
      <c r="C1913" s="1" t="s">
        <v>13485</v>
      </c>
      <c r="D1913" s="3">
        <v>2844</v>
      </c>
      <c r="E1913" s="1" t="s">
        <v>43</v>
      </c>
      <c r="F1913" s="1" t="s">
        <v>13486</v>
      </c>
      <c r="G1913" s="1" t="s">
        <v>13487</v>
      </c>
      <c r="H1913" s="4">
        <v>1.19</v>
      </c>
      <c r="I1913" s="8">
        <v>7</v>
      </c>
      <c r="J1913" s="5">
        <v>127.5</v>
      </c>
      <c r="K1913" s="4">
        <v>17</v>
      </c>
      <c r="L1913" s="1" t="s">
        <v>46</v>
      </c>
      <c r="M1913" s="1" t="s">
        <v>47</v>
      </c>
      <c r="N1913" s="3">
        <v>719427106</v>
      </c>
      <c r="O1913" s="1" t="s">
        <v>48</v>
      </c>
      <c r="P1913" s="1" t="s">
        <v>13488</v>
      </c>
      <c r="Q1913" s="1" t="s">
        <v>145</v>
      </c>
      <c r="R1913" s="1" t="s">
        <v>145</v>
      </c>
      <c r="S1913" s="6">
        <v>4.23529</v>
      </c>
      <c r="T1913" s="1" t="s">
        <v>50</v>
      </c>
      <c r="U1913" s="1"/>
      <c r="V1913" s="1"/>
      <c r="W1913" s="1"/>
      <c r="X1913" s="5">
        <v>115</v>
      </c>
      <c r="Y1913" s="7">
        <v>3125000</v>
      </c>
      <c r="Z1913" s="7">
        <v>4375000</v>
      </c>
      <c r="AA1913" s="1" t="s">
        <v>13464</v>
      </c>
      <c r="AB1913" s="1" t="s">
        <v>13489</v>
      </c>
      <c r="AC1913" s="1" t="s">
        <v>7759</v>
      </c>
      <c r="AD1913" s="1" t="s">
        <v>13490</v>
      </c>
      <c r="AE1913" s="1" t="s">
        <v>51</v>
      </c>
      <c r="AF1913" s="1" t="s">
        <v>51</v>
      </c>
      <c r="AG1913" s="1" t="s">
        <v>51</v>
      </c>
      <c r="AH1913" s="1"/>
      <c r="AI1913" s="1"/>
      <c r="AJ1913" s="3">
        <v>2</v>
      </c>
      <c r="AK1913" s="1" t="s">
        <v>89</v>
      </c>
      <c r="AL1913" s="3">
        <v>5</v>
      </c>
      <c r="AM1913" s="8">
        <v>19.719999999999999</v>
      </c>
      <c r="AN1913" s="1"/>
      <c r="AO1913" s="1" t="s">
        <v>13491</v>
      </c>
      <c r="AP1913" s="1" t="s">
        <v>13492</v>
      </c>
      <c r="AQ1913" s="1" t="s">
        <v>13493</v>
      </c>
      <c r="AR1913" s="1" t="s">
        <v>13494</v>
      </c>
    </row>
    <row r="1914">
      <c r="A1914" s="2">
        <f ca="1">DATE(2006,05,09)</f>
        <v>0</v>
      </c>
      <c r="B1914" s="2">
        <f ca="1">DATE(2006,11,09)</f>
        <v>0</v>
      </c>
      <c r="C1914" s="1" t="s">
        <v>13495</v>
      </c>
      <c r="D1914" s="3">
        <v>6282</v>
      </c>
      <c r="E1914" s="1" t="s">
        <v>43</v>
      </c>
      <c r="F1914" s="1" t="s">
        <v>13496</v>
      </c>
      <c r="G1914" s="1" t="s">
        <v>13497</v>
      </c>
      <c r="H1914" s="4">
        <v>0.91000000000000003</v>
      </c>
      <c r="I1914" s="4">
        <v>7</v>
      </c>
      <c r="J1914" s="5">
        <v>89.700000000000003</v>
      </c>
      <c r="K1914" s="4">
        <v>13</v>
      </c>
      <c r="L1914" s="1" t="s">
        <v>46</v>
      </c>
      <c r="M1914" s="1" t="s">
        <v>47</v>
      </c>
      <c r="N1914" s="1" t="s">
        <v>13498</v>
      </c>
      <c r="O1914" s="1" t="s">
        <v>67</v>
      </c>
      <c r="P1914" s="1" t="s">
        <v>13499</v>
      </c>
      <c r="Q1914" s="1" t="s">
        <v>145</v>
      </c>
      <c r="R1914" s="1" t="s">
        <v>145</v>
      </c>
      <c r="S1914" s="8">
        <v>4.2000000000000002</v>
      </c>
      <c r="T1914" s="1" t="s">
        <v>50</v>
      </c>
      <c r="U1914" s="1"/>
      <c r="V1914" s="1"/>
      <c r="W1914" s="1"/>
      <c r="X1914" s="5">
        <v>100</v>
      </c>
      <c r="Y1914" s="7">
        <v>6875000</v>
      </c>
      <c r="Z1914" s="7">
        <v>23541</v>
      </c>
      <c r="AA1914" s="1" t="s">
        <v>13500</v>
      </c>
      <c r="AB1914" s="1" t="s">
        <v>13501</v>
      </c>
      <c r="AC1914" s="1" t="s">
        <v>7759</v>
      </c>
      <c r="AD1914" s="1" t="s">
        <v>13502</v>
      </c>
      <c r="AE1914" s="1" t="s">
        <v>51</v>
      </c>
      <c r="AF1914" s="1" t="s">
        <v>51</v>
      </c>
      <c r="AG1914" s="1" t="s">
        <v>51</v>
      </c>
      <c r="AH1914" s="1"/>
      <c r="AI1914" s="1"/>
      <c r="AJ1914" s="3">
        <v>3</v>
      </c>
      <c r="AK1914" s="1" t="s">
        <v>110</v>
      </c>
      <c r="AL1914" s="3">
        <v>5</v>
      </c>
      <c r="AM1914" s="8">
        <v>12.85</v>
      </c>
      <c r="AN1914" s="1"/>
      <c r="AO1914" s="1" t="s">
        <v>13503</v>
      </c>
      <c r="AP1914" s="1" t="s">
        <v>13504</v>
      </c>
      <c r="AQ1914" s="1" t="s">
        <v>13505</v>
      </c>
      <c r="AR1914" s="1" t="s">
        <v>13506</v>
      </c>
    </row>
    <row r="1915">
      <c r="A1915" s="2">
        <f ca="1">DATE(2005,04,18)</f>
        <v>0</v>
      </c>
      <c r="B1915" s="2">
        <f ca="1">DATE(2006,11,09)</f>
        <v>0</v>
      </c>
      <c r="C1915" s="1" t="s">
        <v>13507</v>
      </c>
      <c r="D1915" s="3">
        <v>7375</v>
      </c>
      <c r="E1915" s="1" t="s">
        <v>43</v>
      </c>
      <c r="F1915" s="1" t="s">
        <v>13508</v>
      </c>
      <c r="G1915" s="1" t="s">
        <v>12096</v>
      </c>
      <c r="H1915" s="4">
        <v>1.3999999999999999</v>
      </c>
      <c r="I1915" s="8">
        <v>7</v>
      </c>
      <c r="J1915" s="5">
        <v>80</v>
      </c>
      <c r="K1915" s="4">
        <v>20</v>
      </c>
      <c r="L1915" s="1" t="s">
        <v>46</v>
      </c>
      <c r="M1915" s="1" t="s">
        <v>47</v>
      </c>
      <c r="N1915" s="3">
        <v>139594105</v>
      </c>
      <c r="O1915" s="1" t="s">
        <v>48</v>
      </c>
      <c r="P1915" s="1" t="s">
        <v>13509</v>
      </c>
      <c r="Q1915" s="4">
        <v>1.3999999999999999</v>
      </c>
      <c r="R1915" s="4">
        <v>1.3999999999999999</v>
      </c>
      <c r="S1915" s="8">
        <v>4.2000000000000002</v>
      </c>
      <c r="T1915" s="1" t="s">
        <v>50</v>
      </c>
      <c r="U1915" s="1"/>
      <c r="V1915" s="1"/>
      <c r="W1915" s="1"/>
      <c r="X1915" s="5">
        <v>86.299999999999997</v>
      </c>
      <c r="Y1915" s="7">
        <v>3632140</v>
      </c>
      <c r="Z1915" s="7">
        <v>367860</v>
      </c>
      <c r="AA1915" s="1" t="s">
        <v>13500</v>
      </c>
      <c r="AB1915" s="1" t="s">
        <v>13510</v>
      </c>
      <c r="AC1915" s="1" t="s">
        <v>7759</v>
      </c>
      <c r="AD1915" s="1" t="s">
        <v>13511</v>
      </c>
      <c r="AE1915" s="1" t="s">
        <v>51</v>
      </c>
      <c r="AF1915" s="1" t="s">
        <v>51</v>
      </c>
      <c r="AG1915" s="1" t="s">
        <v>47</v>
      </c>
      <c r="AH1915" s="1"/>
      <c r="AI1915" s="1"/>
      <c r="AJ1915" s="3">
        <v>1</v>
      </c>
      <c r="AK1915" s="1" t="s">
        <v>52</v>
      </c>
      <c r="AL1915" s="3">
        <v>4</v>
      </c>
      <c r="AM1915" s="8">
        <v>25.109999999999999</v>
      </c>
      <c r="AN1915" s="1"/>
      <c r="AO1915" s="1" t="s">
        <v>13512</v>
      </c>
      <c r="AP1915" s="1" t="s">
        <v>12096</v>
      </c>
      <c r="AQ1915" s="1" t="s">
        <v>13513</v>
      </c>
      <c r="AR1915" s="1" t="s">
        <v>13514</v>
      </c>
    </row>
    <row r="1916">
      <c r="A1916" s="2">
        <f ca="1">DATE(2006,08,10)</f>
        <v>0</v>
      </c>
      <c r="B1916" s="2">
        <f ca="1">DATE(2006,11,09)</f>
        <v>0</v>
      </c>
      <c r="C1916" s="1" t="s">
        <v>13515</v>
      </c>
      <c r="D1916" s="3">
        <v>3845</v>
      </c>
      <c r="E1916" s="1" t="s">
        <v>43</v>
      </c>
      <c r="F1916" s="1" t="s">
        <v>13516</v>
      </c>
      <c r="G1916" s="1" t="s">
        <v>45</v>
      </c>
      <c r="H1916" s="4">
        <v>0.48999999999999999</v>
      </c>
      <c r="I1916" s="8">
        <v>7</v>
      </c>
      <c r="J1916" s="5">
        <v>42</v>
      </c>
      <c r="K1916" s="4">
        <v>7</v>
      </c>
      <c r="L1916" s="1" t="s">
        <v>46</v>
      </c>
      <c r="M1916" s="1" t="s">
        <v>47</v>
      </c>
      <c r="N1916" s="1" t="s">
        <v>13517</v>
      </c>
      <c r="O1916" s="1" t="s">
        <v>48</v>
      </c>
      <c r="P1916" s="1" t="s">
        <v>13518</v>
      </c>
      <c r="Q1916" s="4">
        <v>1.4290000000000001</v>
      </c>
      <c r="R1916" s="4">
        <v>1.4290000000000001</v>
      </c>
      <c r="S1916" s="6">
        <v>4.1428599999999998</v>
      </c>
      <c r="T1916" s="1" t="s">
        <v>50</v>
      </c>
      <c r="U1916" s="1"/>
      <c r="V1916" s="1"/>
      <c r="W1916" s="1"/>
      <c r="X1916" s="5">
        <v>86.299999999999997</v>
      </c>
      <c r="Y1916" s="7">
        <v>6000000</v>
      </c>
      <c r="Z1916" s="1"/>
      <c r="AA1916" s="1" t="s">
        <v>13500</v>
      </c>
      <c r="AB1916" s="1" t="s">
        <v>13519</v>
      </c>
      <c r="AC1916" s="1" t="s">
        <v>7759</v>
      </c>
      <c r="AD1916" s="1" t="s">
        <v>13520</v>
      </c>
      <c r="AE1916" s="1" t="s">
        <v>51</v>
      </c>
      <c r="AF1916" s="1" t="s">
        <v>51</v>
      </c>
      <c r="AG1916" s="1" t="s">
        <v>47</v>
      </c>
      <c r="AH1916" s="1"/>
      <c r="AI1916" s="1"/>
      <c r="AJ1916" s="3">
        <v>1</v>
      </c>
      <c r="AK1916" s="1" t="s">
        <v>52</v>
      </c>
      <c r="AL1916" s="3">
        <v>5</v>
      </c>
      <c r="AM1916" s="8">
        <v>6.75</v>
      </c>
      <c r="AN1916" s="1"/>
      <c r="AO1916" s="1" t="s">
        <v>13521</v>
      </c>
      <c r="AP1916" s="1" t="s">
        <v>45</v>
      </c>
      <c r="AQ1916" s="1" t="s">
        <v>13522</v>
      </c>
      <c r="AR1916" s="1" t="s">
        <v>13523</v>
      </c>
    </row>
    <row r="1917">
      <c r="A1917" s="2">
        <f ca="1">DATE(2006,07,14)</f>
        <v>0</v>
      </c>
      <c r="B1917" s="2">
        <f ca="1">DATE(2006,11,10)</f>
        <v>0</v>
      </c>
      <c r="C1917" s="1" t="s">
        <v>13524</v>
      </c>
      <c r="D1917" s="3">
        <v>2836</v>
      </c>
      <c r="E1917" s="1" t="s">
        <v>43</v>
      </c>
      <c r="F1917" s="1" t="s">
        <v>13525</v>
      </c>
      <c r="G1917" s="1" t="s">
        <v>7471</v>
      </c>
      <c r="H1917" s="4">
        <v>0.97999999999999998</v>
      </c>
      <c r="I1917" s="8">
        <v>7</v>
      </c>
      <c r="J1917" s="5">
        <v>95.200000000000003</v>
      </c>
      <c r="K1917" s="4">
        <v>14</v>
      </c>
      <c r="L1917" s="1" t="s">
        <v>46</v>
      </c>
      <c r="M1917" s="1" t="s">
        <v>47</v>
      </c>
      <c r="N1917" s="3">
        <v>591018809</v>
      </c>
      <c r="O1917" s="1" t="s">
        <v>48</v>
      </c>
      <c r="P1917" s="1" t="s">
        <v>13526</v>
      </c>
      <c r="Q1917" s="1" t="s">
        <v>145</v>
      </c>
      <c r="R1917" s="1" t="s">
        <v>145</v>
      </c>
      <c r="S1917" s="6">
        <v>4.1428599999999998</v>
      </c>
      <c r="T1917" s="1" t="s">
        <v>50</v>
      </c>
      <c r="U1917" s="1"/>
      <c r="V1917" s="1"/>
      <c r="W1917" s="1"/>
      <c r="X1917" s="5">
        <v>86.299999999999997</v>
      </c>
      <c r="Y1917" s="7">
        <v>6800000</v>
      </c>
      <c r="Z1917" s="1"/>
      <c r="AA1917" s="1" t="s">
        <v>13527</v>
      </c>
      <c r="AB1917" s="1" t="s">
        <v>13528</v>
      </c>
      <c r="AC1917" s="1" t="s">
        <v>7759</v>
      </c>
      <c r="AD1917" s="1" t="s">
        <v>13529</v>
      </c>
      <c r="AE1917" s="1" t="s">
        <v>51</v>
      </c>
      <c r="AF1917" s="1" t="s">
        <v>51</v>
      </c>
      <c r="AG1917" s="1" t="s">
        <v>47</v>
      </c>
      <c r="AH1917" s="1"/>
      <c r="AI1917" s="1"/>
      <c r="AJ1917" s="3">
        <v>1</v>
      </c>
      <c r="AK1917" s="1" t="s">
        <v>52</v>
      </c>
      <c r="AL1917" s="3">
        <v>4</v>
      </c>
      <c r="AM1917" s="8">
        <v>15.52</v>
      </c>
      <c r="AN1917" s="1"/>
      <c r="AO1917" s="1" t="s">
        <v>13530</v>
      </c>
      <c r="AP1917" s="1" t="s">
        <v>7471</v>
      </c>
      <c r="AQ1917" s="1" t="s">
        <v>13531</v>
      </c>
      <c r="AR1917" s="1" t="s">
        <v>13526</v>
      </c>
    </row>
    <row r="1918">
      <c r="A1918" s="2">
        <f ca="1">DATE(2006,08,14)</f>
        <v>0</v>
      </c>
      <c r="B1918" s="2">
        <f ca="1">DATE(2006,11,14)</f>
        <v>0</v>
      </c>
      <c r="C1918" s="1" t="s">
        <v>13532</v>
      </c>
      <c r="D1918" s="3">
        <v>2834</v>
      </c>
      <c r="E1918" s="1" t="s">
        <v>43</v>
      </c>
      <c r="F1918" s="1" t="s">
        <v>13533</v>
      </c>
      <c r="G1918" s="1" t="s">
        <v>400</v>
      </c>
      <c r="H1918" s="4">
        <v>0.875</v>
      </c>
      <c r="I1918" s="4">
        <v>7</v>
      </c>
      <c r="J1918" s="5">
        <v>62.5</v>
      </c>
      <c r="K1918" s="4">
        <v>12.5</v>
      </c>
      <c r="L1918" s="1" t="s">
        <v>46</v>
      </c>
      <c r="M1918" s="1" t="s">
        <v>47</v>
      </c>
      <c r="N1918" s="1" t="s">
        <v>13534</v>
      </c>
      <c r="O1918" s="1" t="s">
        <v>108</v>
      </c>
      <c r="P1918" s="1" t="s">
        <v>13535</v>
      </c>
      <c r="Q1918" s="1" t="s">
        <v>145</v>
      </c>
      <c r="R1918" s="1" t="s">
        <v>145</v>
      </c>
      <c r="S1918" s="8">
        <v>4.2400000000000002</v>
      </c>
      <c r="T1918" s="1" t="s">
        <v>50</v>
      </c>
      <c r="U1918" s="1"/>
      <c r="V1918" s="1"/>
      <c r="W1918" s="1"/>
      <c r="X1918" s="5">
        <v>86.299999999999997</v>
      </c>
      <c r="Y1918" s="7">
        <v>5000000</v>
      </c>
      <c r="Z1918" s="1"/>
      <c r="AA1918" s="1" t="s">
        <v>13536</v>
      </c>
      <c r="AB1918" s="1" t="s">
        <v>13537</v>
      </c>
      <c r="AC1918" s="1" t="s">
        <v>7759</v>
      </c>
      <c r="AD1918" s="1" t="s">
        <v>13538</v>
      </c>
      <c r="AE1918" s="1" t="s">
        <v>51</v>
      </c>
      <c r="AF1918" s="1" t="s">
        <v>51</v>
      </c>
      <c r="AG1918" s="1" t="s">
        <v>51</v>
      </c>
      <c r="AH1918" s="1"/>
      <c r="AI1918" s="1"/>
      <c r="AJ1918" s="3">
        <v>1</v>
      </c>
      <c r="AK1918" s="1" t="s">
        <v>89</v>
      </c>
      <c r="AL1918" s="3">
        <v>3</v>
      </c>
      <c r="AM1918" s="8">
        <v>11.699999999999999</v>
      </c>
      <c r="AN1918" s="1"/>
      <c r="AO1918" s="1" t="s">
        <v>13539</v>
      </c>
      <c r="AP1918" s="1" t="s">
        <v>13540</v>
      </c>
      <c r="AQ1918" s="1" t="s">
        <v>13541</v>
      </c>
      <c r="AR1918" s="1" t="s">
        <v>13542</v>
      </c>
    </row>
    <row r="1919">
      <c r="A1919" s="2">
        <f ca="1">DATE(2006,06,13)</f>
        <v>0</v>
      </c>
      <c r="B1919" s="2">
        <f ca="1">DATE(2006,11,15)</f>
        <v>0</v>
      </c>
      <c r="C1919" s="1" t="s">
        <v>13543</v>
      </c>
      <c r="D1919" s="3">
        <v>1311</v>
      </c>
      <c r="E1919" s="1" t="s">
        <v>43</v>
      </c>
      <c r="F1919" s="1" t="s">
        <v>13544</v>
      </c>
      <c r="G1919" s="1" t="s">
        <v>10937</v>
      </c>
      <c r="H1919" s="4">
        <v>1.339</v>
      </c>
      <c r="I1919" s="4">
        <v>6.375</v>
      </c>
      <c r="J1919" s="5">
        <v>94.5</v>
      </c>
      <c r="K1919" s="4">
        <v>21</v>
      </c>
      <c r="L1919" s="1" t="s">
        <v>5598</v>
      </c>
      <c r="M1919" s="1" t="s">
        <v>47</v>
      </c>
      <c r="N1919" s="1" t="s">
        <v>13545</v>
      </c>
      <c r="O1919" s="1" t="s">
        <v>108</v>
      </c>
      <c r="P1919" s="1" t="s">
        <v>13546</v>
      </c>
      <c r="Q1919" s="1" t="s">
        <v>145</v>
      </c>
      <c r="R1919" s="1" t="s">
        <v>145</v>
      </c>
      <c r="S1919" s="6">
        <v>3.82524</v>
      </c>
      <c r="T1919" s="1" t="s">
        <v>50</v>
      </c>
      <c r="U1919" s="1"/>
      <c r="V1919" s="1"/>
      <c r="W1919" s="7">
        <v>6050000</v>
      </c>
      <c r="X1919" s="1"/>
      <c r="Y1919" s="7">
        <v>4500000</v>
      </c>
      <c r="Z1919" s="1"/>
      <c r="AA1919" s="1" t="s">
        <v>13547</v>
      </c>
      <c r="AB1919" s="1" t="s">
        <v>5265</v>
      </c>
      <c r="AC1919" s="1" t="s">
        <v>7759</v>
      </c>
      <c r="AD1919" s="1" t="s">
        <v>5265</v>
      </c>
      <c r="AE1919" s="1" t="s">
        <v>51</v>
      </c>
      <c r="AF1919" s="1" t="s">
        <v>51</v>
      </c>
      <c r="AG1919" s="1" t="s">
        <v>51</v>
      </c>
      <c r="AH1919" s="1"/>
      <c r="AI1919" s="1"/>
      <c r="AJ1919" s="3">
        <v>2</v>
      </c>
      <c r="AK1919" s="1" t="s">
        <v>89</v>
      </c>
      <c r="AL1919" s="3">
        <v>5</v>
      </c>
      <c r="AM1919" s="8">
        <v>22.32</v>
      </c>
      <c r="AN1919" s="1"/>
      <c r="AO1919" s="1" t="s">
        <v>13548</v>
      </c>
      <c r="AP1919" s="1" t="s">
        <v>10941</v>
      </c>
      <c r="AQ1919" s="1" t="s">
        <v>13549</v>
      </c>
      <c r="AR1919" s="1" t="s">
        <v>13546</v>
      </c>
    </row>
    <row r="1920">
      <c r="A1920" s="2">
        <f ca="1">DATE(2006,08,16)</f>
        <v>0</v>
      </c>
      <c r="B1920" s="2">
        <f ca="1">DATE(2006,11,15)</f>
        <v>0</v>
      </c>
      <c r="C1920" s="1" t="s">
        <v>13550</v>
      </c>
      <c r="D1920" s="3">
        <v>3842</v>
      </c>
      <c r="E1920" s="1" t="s">
        <v>43</v>
      </c>
      <c r="F1920" s="1" t="s">
        <v>13551</v>
      </c>
      <c r="G1920" s="1" t="s">
        <v>10704</v>
      </c>
      <c r="H1920" s="4">
        <v>0.83999999999999997</v>
      </c>
      <c r="I1920" s="8">
        <v>7</v>
      </c>
      <c r="J1920" s="5">
        <v>75</v>
      </c>
      <c r="K1920" s="4">
        <v>12</v>
      </c>
      <c r="L1920" s="1" t="s">
        <v>46</v>
      </c>
      <c r="M1920" s="1" t="s">
        <v>47</v>
      </c>
      <c r="N1920" s="3">
        <v>411307101</v>
      </c>
      <c r="O1920" s="1" t="s">
        <v>48</v>
      </c>
      <c r="P1920" s="1" t="s">
        <v>13552</v>
      </c>
      <c r="Q1920" s="1" t="s">
        <v>145</v>
      </c>
      <c r="R1920" s="1" t="s">
        <v>145</v>
      </c>
      <c r="S1920" s="8">
        <v>4.25</v>
      </c>
      <c r="T1920" s="1" t="s">
        <v>50</v>
      </c>
      <c r="U1920" s="1"/>
      <c r="V1920" s="1"/>
      <c r="W1920" s="1"/>
      <c r="X1920" s="5">
        <v>86.299999999999997</v>
      </c>
      <c r="Y1920" s="7">
        <v>6250000</v>
      </c>
      <c r="Z1920" s="1"/>
      <c r="AA1920" s="1" t="s">
        <v>13547</v>
      </c>
      <c r="AB1920" s="1" t="s">
        <v>13553</v>
      </c>
      <c r="AC1920" s="1" t="s">
        <v>7759</v>
      </c>
      <c r="AD1920" s="1" t="s">
        <v>13554</v>
      </c>
      <c r="AE1920" s="1" t="s">
        <v>51</v>
      </c>
      <c r="AF1920" s="1" t="s">
        <v>51</v>
      </c>
      <c r="AG1920" s="1" t="s">
        <v>47</v>
      </c>
      <c r="AH1920" s="1"/>
      <c r="AI1920" s="1"/>
      <c r="AJ1920" s="3">
        <v>2</v>
      </c>
      <c r="AK1920" s="1" t="s">
        <v>89</v>
      </c>
      <c r="AL1920" s="3">
        <v>4</v>
      </c>
      <c r="AM1920" s="8">
        <v>12.199999999999999</v>
      </c>
      <c r="AN1920" s="1"/>
      <c r="AO1920" s="1" t="s">
        <v>13555</v>
      </c>
      <c r="AP1920" s="1" t="s">
        <v>6680</v>
      </c>
      <c r="AQ1920" s="1" t="s">
        <v>13556</v>
      </c>
      <c r="AR1920" s="1" t="s">
        <v>13557</v>
      </c>
    </row>
    <row r="1921">
      <c r="A1921" s="2">
        <f ca="1">DATE(2006,07,14)</f>
        <v>0</v>
      </c>
      <c r="B1921" s="2">
        <f ca="1">DATE(2006,11,15)</f>
        <v>0</v>
      </c>
      <c r="C1921" s="1" t="s">
        <v>13558</v>
      </c>
      <c r="D1921" s="3">
        <v>7514</v>
      </c>
      <c r="E1921" s="1" t="s">
        <v>43</v>
      </c>
      <c r="F1921" s="1" t="s">
        <v>13559</v>
      </c>
      <c r="G1921" s="1" t="s">
        <v>13560</v>
      </c>
      <c r="H1921" s="4">
        <v>0.63800000000000001</v>
      </c>
      <c r="I1921" s="4">
        <v>4.25</v>
      </c>
      <c r="J1921" s="9">
        <v>1323.5</v>
      </c>
      <c r="K1921" s="4">
        <v>15</v>
      </c>
      <c r="L1921" s="1" t="s">
        <v>46</v>
      </c>
      <c r="M1921" s="1" t="s">
        <v>47</v>
      </c>
      <c r="N1921" s="1" t="s">
        <v>13561</v>
      </c>
      <c r="O1921" s="1" t="s">
        <v>108</v>
      </c>
      <c r="P1921" s="1" t="s">
        <v>13562</v>
      </c>
      <c r="Q1921" s="4">
        <v>0.86699999999999999</v>
      </c>
      <c r="R1921" s="4">
        <v>0.84999999999999998</v>
      </c>
      <c r="S1921" s="6">
        <v>2.5333299999999999</v>
      </c>
      <c r="T1921" s="1" t="s">
        <v>50</v>
      </c>
      <c r="U1921" s="1"/>
      <c r="V1921" s="1"/>
      <c r="W1921" s="1"/>
      <c r="X1921" s="9">
        <v>1000</v>
      </c>
      <c r="Y1921" s="7">
        <v>88235000</v>
      </c>
      <c r="Z1921" s="1"/>
      <c r="AA1921" s="1" t="s">
        <v>13547</v>
      </c>
      <c r="AB1921" s="1" t="s">
        <v>13563</v>
      </c>
      <c r="AC1921" s="1" t="s">
        <v>7759</v>
      </c>
      <c r="AD1921" s="1" t="s">
        <v>13564</v>
      </c>
      <c r="AE1921" s="1" t="s">
        <v>51</v>
      </c>
      <c r="AF1921" s="1" t="s">
        <v>51</v>
      </c>
      <c r="AG1921" s="1" t="s">
        <v>51</v>
      </c>
      <c r="AH1921" s="1"/>
      <c r="AI1921" s="1"/>
      <c r="AJ1921" s="3">
        <v>4</v>
      </c>
      <c r="AK1921" s="1" t="s">
        <v>1209</v>
      </c>
      <c r="AL1921" s="3">
        <v>8</v>
      </c>
      <c r="AM1921" s="8">
        <v>15.720000000000001</v>
      </c>
      <c r="AN1921" s="1"/>
      <c r="AO1921" s="1" t="s">
        <v>13565</v>
      </c>
      <c r="AP1921" s="1" t="s">
        <v>13566</v>
      </c>
      <c r="AQ1921" s="1" t="s">
        <v>13567</v>
      </c>
      <c r="AR1921" s="1" t="s">
        <v>13568</v>
      </c>
    </row>
    <row r="1922">
      <c r="A1922" s="2">
        <f ca="1">DATE(2006,04,14)</f>
        <v>0</v>
      </c>
      <c r="B1922" s="2">
        <f ca="1">DATE(2006,11,15)</f>
        <v>0</v>
      </c>
      <c r="C1922" s="1" t="s">
        <v>13569</v>
      </c>
      <c r="D1922" s="3">
        <v>1629</v>
      </c>
      <c r="E1922" s="1" t="s">
        <v>43</v>
      </c>
      <c r="F1922" s="1" t="s">
        <v>13570</v>
      </c>
      <c r="G1922" s="1" t="s">
        <v>13571</v>
      </c>
      <c r="H1922" s="4">
        <v>1.02</v>
      </c>
      <c r="I1922" s="4">
        <v>6</v>
      </c>
      <c r="J1922" s="5">
        <v>473.30000000000001</v>
      </c>
      <c r="K1922" s="4">
        <v>17</v>
      </c>
      <c r="L1922" s="1" t="s">
        <v>46</v>
      </c>
      <c r="M1922" s="1" t="s">
        <v>47</v>
      </c>
      <c r="N1922" s="1" t="s">
        <v>13572</v>
      </c>
      <c r="O1922" s="1" t="s">
        <v>108</v>
      </c>
      <c r="P1922" s="1" t="s">
        <v>13573</v>
      </c>
      <c r="Q1922" s="4">
        <v>1.3999999999999999</v>
      </c>
      <c r="R1922" s="4">
        <v>1.1499999999999999</v>
      </c>
      <c r="S1922" s="8">
        <v>3.4500000000000002</v>
      </c>
      <c r="T1922" s="1" t="s">
        <v>50</v>
      </c>
      <c r="U1922" s="1"/>
      <c r="V1922" s="1"/>
      <c r="W1922" s="1"/>
      <c r="X1922" s="5">
        <v>550</v>
      </c>
      <c r="Y1922" s="7">
        <v>27840000</v>
      </c>
      <c r="Z1922" s="1"/>
      <c r="AA1922" s="1" t="s">
        <v>13547</v>
      </c>
      <c r="AB1922" s="1" t="s">
        <v>5265</v>
      </c>
      <c r="AC1922" s="1" t="s">
        <v>7759</v>
      </c>
      <c r="AD1922" s="1" t="s">
        <v>5265</v>
      </c>
      <c r="AE1922" s="1" t="s">
        <v>51</v>
      </c>
      <c r="AF1922" s="1" t="s">
        <v>51</v>
      </c>
      <c r="AG1922" s="1" t="s">
        <v>51</v>
      </c>
      <c r="AH1922" s="1" t="s">
        <v>13574</v>
      </c>
      <c r="AI1922" s="1" t="s">
        <v>13575</v>
      </c>
      <c r="AJ1922" s="3">
        <v>3</v>
      </c>
      <c r="AK1922" s="1" t="s">
        <v>110</v>
      </c>
      <c r="AL1922" s="3">
        <v>12</v>
      </c>
      <c r="AM1922" s="8">
        <v>20.75</v>
      </c>
      <c r="AN1922" s="1"/>
      <c r="AO1922" s="1" t="s">
        <v>13576</v>
      </c>
      <c r="AP1922" s="1" t="s">
        <v>13577</v>
      </c>
      <c r="AQ1922" s="1" t="s">
        <v>13578</v>
      </c>
      <c r="AR1922" s="1" t="s">
        <v>13579</v>
      </c>
    </row>
    <row r="1923">
      <c r="A1923" s="2">
        <f ca="1">DATE(2006,10,31)</f>
        <v>0</v>
      </c>
      <c r="B1923" s="2">
        <f ca="1">DATE(2006,11,15)</f>
        <v>0</v>
      </c>
      <c r="C1923" s="1" t="s">
        <v>13580</v>
      </c>
      <c r="D1923" s="3">
        <v>7372</v>
      </c>
      <c r="E1923" s="1" t="s">
        <v>934</v>
      </c>
      <c r="F1923" s="1" t="s">
        <v>13581</v>
      </c>
      <c r="G1923" s="1" t="s">
        <v>813</v>
      </c>
      <c r="H1923" s="4">
        <v>0.83999999999999997</v>
      </c>
      <c r="I1923" s="8">
        <v>7</v>
      </c>
      <c r="J1923" s="5">
        <v>78</v>
      </c>
      <c r="K1923" s="4">
        <v>12</v>
      </c>
      <c r="L1923" s="1" t="s">
        <v>1057</v>
      </c>
      <c r="M1923" s="1" t="s">
        <v>47</v>
      </c>
      <c r="N1923" s="1" t="s">
        <v>13582</v>
      </c>
      <c r="O1923" s="1" t="s">
        <v>48</v>
      </c>
      <c r="P1923" s="1" t="s">
        <v>13583</v>
      </c>
      <c r="Q1923" s="1" t="s">
        <v>145</v>
      </c>
      <c r="R1923" s="1" t="s">
        <v>145</v>
      </c>
      <c r="S1923" s="6">
        <v>4.1666699999999999</v>
      </c>
      <c r="T1923" s="1" t="s">
        <v>50</v>
      </c>
      <c r="U1923" s="8">
        <v>11</v>
      </c>
      <c r="V1923" s="8">
        <v>9</v>
      </c>
      <c r="W1923" s="7">
        <v>6500000</v>
      </c>
      <c r="X1923" s="5">
        <v>65</v>
      </c>
      <c r="Y1923" s="7">
        <v>6500000</v>
      </c>
      <c r="Z1923" s="1"/>
      <c r="AA1923" s="1" t="s">
        <v>13584</v>
      </c>
      <c r="AB1923" s="1" t="s">
        <v>13585</v>
      </c>
      <c r="AC1923" s="1" t="s">
        <v>13586</v>
      </c>
      <c r="AD1923" s="1" t="s">
        <v>13587</v>
      </c>
      <c r="AE1923" s="1" t="s">
        <v>51</v>
      </c>
      <c r="AF1923" s="1" t="s">
        <v>51</v>
      </c>
      <c r="AG1923" s="1" t="s">
        <v>47</v>
      </c>
      <c r="AH1923" s="1"/>
      <c r="AI1923" s="1"/>
      <c r="AJ1923" s="3">
        <v>1</v>
      </c>
      <c r="AK1923" s="1" t="s">
        <v>89</v>
      </c>
      <c r="AL1923" s="3">
        <v>4</v>
      </c>
      <c r="AM1923" s="8">
        <v>13.810000000000001</v>
      </c>
      <c r="AN1923" s="1"/>
      <c r="AO1923" s="1" t="s">
        <v>13588</v>
      </c>
      <c r="AP1923" s="1" t="s">
        <v>5025</v>
      </c>
      <c r="AQ1923" s="1" t="s">
        <v>13589</v>
      </c>
      <c r="AR1923" s="1" t="s">
        <v>13590</v>
      </c>
    </row>
    <row r="1924">
      <c r="A1924" s="2">
        <f ca="1">DATE(2006,06,30)</f>
        <v>0</v>
      </c>
      <c r="B1924" s="2">
        <f ca="1">DATE(2006,11,16)</f>
        <v>0</v>
      </c>
      <c r="C1924" s="1" t="s">
        <v>13591</v>
      </c>
      <c r="D1924" s="3">
        <v>3674</v>
      </c>
      <c r="E1924" s="1" t="s">
        <v>43</v>
      </c>
      <c r="F1924" s="1" t="s">
        <v>13592</v>
      </c>
      <c r="G1924" s="1" t="s">
        <v>13593</v>
      </c>
      <c r="H1924" s="4">
        <v>1.24</v>
      </c>
      <c r="I1924" s="4">
        <v>6.2000000000000002</v>
      </c>
      <c r="J1924" s="5">
        <v>400</v>
      </c>
      <c r="K1924" s="4">
        <v>20</v>
      </c>
      <c r="L1924" s="1" t="s">
        <v>46</v>
      </c>
      <c r="M1924" s="1" t="s">
        <v>47</v>
      </c>
      <c r="N1924" s="3">
        <v>336433107</v>
      </c>
      <c r="O1924" s="1" t="s">
        <v>48</v>
      </c>
      <c r="P1924" s="1" t="s">
        <v>13594</v>
      </c>
      <c r="Q1924" s="4">
        <v>1.24</v>
      </c>
      <c r="R1924" s="4">
        <v>1.24</v>
      </c>
      <c r="S1924" s="8">
        <v>3.7200000000000002</v>
      </c>
      <c r="T1924" s="1" t="s">
        <v>50</v>
      </c>
      <c r="U1924" s="1"/>
      <c r="V1924" s="1"/>
      <c r="W1924" s="1"/>
      <c r="X1924" s="5">
        <v>250</v>
      </c>
      <c r="Y1924" s="7">
        <v>13250000</v>
      </c>
      <c r="Z1924" s="7">
        <v>6750000</v>
      </c>
      <c r="AA1924" s="1" t="s">
        <v>13595</v>
      </c>
      <c r="AB1924" s="1" t="s">
        <v>13596</v>
      </c>
      <c r="AC1924" s="1" t="s">
        <v>7759</v>
      </c>
      <c r="AD1924" s="1" t="s">
        <v>13597</v>
      </c>
      <c r="AE1924" s="1" t="s">
        <v>51</v>
      </c>
      <c r="AF1924" s="1" t="s">
        <v>51</v>
      </c>
      <c r="AG1924" s="1" t="s">
        <v>51</v>
      </c>
      <c r="AH1924" s="1"/>
      <c r="AI1924" s="1"/>
      <c r="AJ1924" s="3">
        <v>2</v>
      </c>
      <c r="AK1924" s="1" t="s">
        <v>89</v>
      </c>
      <c r="AL1924" s="3">
        <v>6</v>
      </c>
      <c r="AM1924" s="8">
        <v>24.739999999999998</v>
      </c>
      <c r="AN1924" s="1"/>
      <c r="AO1924" s="1" t="s">
        <v>13598</v>
      </c>
      <c r="AP1924" s="1" t="s">
        <v>13599</v>
      </c>
      <c r="AQ1924" s="1" t="s">
        <v>13600</v>
      </c>
      <c r="AR1924" s="1" t="s">
        <v>13594</v>
      </c>
    </row>
    <row r="1925">
      <c r="A1925" s="2">
        <f ca="1">DATE(2006,07,14)</f>
        <v>0</v>
      </c>
      <c r="B1925" s="2">
        <f ca="1">DATE(2006,11,16)</f>
        <v>0</v>
      </c>
      <c r="C1925" s="1" t="s">
        <v>13601</v>
      </c>
      <c r="D1925" s="3">
        <v>6231</v>
      </c>
      <c r="E1925" s="1" t="s">
        <v>43</v>
      </c>
      <c r="F1925" s="1" t="s">
        <v>13602</v>
      </c>
      <c r="G1925" s="1" t="s">
        <v>8103</v>
      </c>
      <c r="H1925" s="4">
        <v>3.8399999999999999</v>
      </c>
      <c r="I1925" s="4">
        <v>6.508</v>
      </c>
      <c r="J1925" s="5">
        <v>383.5</v>
      </c>
      <c r="K1925" s="4">
        <v>59</v>
      </c>
      <c r="L1925" s="1" t="s">
        <v>46</v>
      </c>
      <c r="M1925" s="1" t="s">
        <v>47</v>
      </c>
      <c r="N1925" s="1" t="s">
        <v>13603</v>
      </c>
      <c r="O1925" s="1" t="s">
        <v>108</v>
      </c>
      <c r="P1925" s="1" t="s">
        <v>13604</v>
      </c>
      <c r="Q1925" s="1" t="s">
        <v>145</v>
      </c>
      <c r="R1925" s="1" t="s">
        <v>145</v>
      </c>
      <c r="S1925" s="6">
        <v>3.7457600000000002</v>
      </c>
      <c r="T1925" s="1" t="s">
        <v>50</v>
      </c>
      <c r="U1925" s="1"/>
      <c r="V1925" s="1"/>
      <c r="W1925" s="1"/>
      <c r="X1925" s="5">
        <v>250</v>
      </c>
      <c r="Y1925" s="7">
        <v>5390000</v>
      </c>
      <c r="Z1925" s="7">
        <v>1110000</v>
      </c>
      <c r="AA1925" s="1" t="s">
        <v>13605</v>
      </c>
      <c r="AB1925" s="1" t="s">
        <v>13606</v>
      </c>
      <c r="AC1925" s="1" t="s">
        <v>13607</v>
      </c>
      <c r="AD1925" s="1" t="s">
        <v>13608</v>
      </c>
      <c r="AE1925" s="1" t="s">
        <v>51</v>
      </c>
      <c r="AF1925" s="1" t="s">
        <v>51</v>
      </c>
      <c r="AG1925" s="1" t="s">
        <v>51</v>
      </c>
      <c r="AH1925" s="1"/>
      <c r="AI1925" s="1"/>
      <c r="AJ1925" s="3">
        <v>2</v>
      </c>
      <c r="AK1925" s="1" t="s">
        <v>89</v>
      </c>
      <c r="AL1925" s="3">
        <v>6</v>
      </c>
      <c r="AM1925" s="8">
        <v>132.99000000000001</v>
      </c>
      <c r="AN1925" s="1"/>
      <c r="AO1925" s="1" t="s">
        <v>13609</v>
      </c>
      <c r="AP1925" s="1" t="s">
        <v>8107</v>
      </c>
      <c r="AQ1925" s="1" t="s">
        <v>13610</v>
      </c>
      <c r="AR1925" s="1" t="s">
        <v>13611</v>
      </c>
    </row>
    <row r="1926">
      <c r="A1926" s="2">
        <f ca="1">DATE(2005,12,19)</f>
        <v>0</v>
      </c>
      <c r="B1926" s="2">
        <f ca="1">DATE(2006,11,16)</f>
        <v>0</v>
      </c>
      <c r="C1926" s="1" t="s">
        <v>13612</v>
      </c>
      <c r="D1926" s="3">
        <v>1311</v>
      </c>
      <c r="E1926" s="1" t="s">
        <v>43</v>
      </c>
      <c r="F1926" s="1" t="s">
        <v>13613</v>
      </c>
      <c r="G1926" s="1" t="s">
        <v>13614</v>
      </c>
      <c r="H1926" s="4">
        <v>1.105</v>
      </c>
      <c r="I1926" s="4">
        <v>6.5</v>
      </c>
      <c r="J1926" s="5">
        <v>212.5</v>
      </c>
      <c r="K1926" s="4">
        <v>17</v>
      </c>
      <c r="L1926" s="1" t="s">
        <v>46</v>
      </c>
      <c r="M1926" s="1" t="s">
        <v>47</v>
      </c>
      <c r="N1926" s="1" t="s">
        <v>13615</v>
      </c>
      <c r="O1926" s="1" t="s">
        <v>108</v>
      </c>
      <c r="P1926" s="1" t="s">
        <v>13616</v>
      </c>
      <c r="Q1926" s="4">
        <v>1.3</v>
      </c>
      <c r="R1926" s="4">
        <v>1.3</v>
      </c>
      <c r="S1926" s="8">
        <v>3.8999999999999999</v>
      </c>
      <c r="T1926" s="1" t="s">
        <v>50</v>
      </c>
      <c r="U1926" s="1"/>
      <c r="V1926" s="1"/>
      <c r="W1926" s="1"/>
      <c r="X1926" s="5">
        <v>230</v>
      </c>
      <c r="Y1926" s="7">
        <v>10000000</v>
      </c>
      <c r="Z1926" s="7">
        <v>2500000</v>
      </c>
      <c r="AA1926" s="1" t="s">
        <v>13595</v>
      </c>
      <c r="AB1926" s="1" t="s">
        <v>5265</v>
      </c>
      <c r="AC1926" s="1" t="s">
        <v>7759</v>
      </c>
      <c r="AD1926" s="1" t="s">
        <v>5265</v>
      </c>
      <c r="AE1926" s="1" t="s">
        <v>51</v>
      </c>
      <c r="AF1926" s="1" t="s">
        <v>51</v>
      </c>
      <c r="AG1926" s="1" t="s">
        <v>51</v>
      </c>
      <c r="AH1926" s="1"/>
      <c r="AI1926" s="1"/>
      <c r="AJ1926" s="3">
        <v>3</v>
      </c>
      <c r="AK1926" s="1" t="s">
        <v>110</v>
      </c>
      <c r="AL1926" s="3">
        <v>5</v>
      </c>
      <c r="AM1926" s="8">
        <v>17</v>
      </c>
      <c r="AN1926" s="1"/>
      <c r="AO1926" s="1" t="s">
        <v>13617</v>
      </c>
      <c r="AP1926" s="1" t="s">
        <v>13618</v>
      </c>
      <c r="AQ1926" s="1" t="s">
        <v>13619</v>
      </c>
      <c r="AR1926" s="1" t="s">
        <v>13620</v>
      </c>
    </row>
    <row r="1927">
      <c r="A1927" s="2">
        <f ca="1">DATE(2006,09,15)</f>
        <v>0</v>
      </c>
      <c r="B1927" s="2">
        <f ca="1">DATE(2006,11,20)</f>
        <v>0</v>
      </c>
      <c r="C1927" s="1" t="s">
        <v>13621</v>
      </c>
      <c r="D1927" s="3">
        <v>6726</v>
      </c>
      <c r="E1927" s="1" t="s">
        <v>43</v>
      </c>
      <c r="F1927" s="1" t="s">
        <v>13622</v>
      </c>
      <c r="G1927" s="1" t="s">
        <v>45</v>
      </c>
      <c r="H1927" s="4">
        <v>0.59999999999999998</v>
      </c>
      <c r="I1927" s="4">
        <v>3</v>
      </c>
      <c r="J1927" s="5">
        <v>475</v>
      </c>
      <c r="K1927" s="4">
        <v>20</v>
      </c>
      <c r="L1927" s="1" t="s">
        <v>46</v>
      </c>
      <c r="M1927" s="1" t="s">
        <v>47</v>
      </c>
      <c r="N1927" s="1" t="s">
        <v>13623</v>
      </c>
      <c r="O1927" s="1" t="s">
        <v>108</v>
      </c>
      <c r="P1927" s="1" t="s">
        <v>13624</v>
      </c>
      <c r="Q1927" s="4">
        <v>0.625</v>
      </c>
      <c r="R1927" s="4">
        <v>0.375</v>
      </c>
      <c r="S1927" s="8">
        <v>2</v>
      </c>
      <c r="T1927" s="1" t="s">
        <v>50</v>
      </c>
      <c r="U1927" s="8">
        <v>20</v>
      </c>
      <c r="V1927" s="8">
        <v>20</v>
      </c>
      <c r="W1927" s="7">
        <v>50000</v>
      </c>
      <c r="X1927" s="5">
        <v>1</v>
      </c>
      <c r="Y1927" s="7">
        <v>23750000</v>
      </c>
      <c r="Z1927" s="1"/>
      <c r="AA1927" s="2">
        <f ca="1">DATE(2007,05,19)</f>
        <v>0</v>
      </c>
      <c r="AB1927" s="1"/>
      <c r="AC1927" s="3">
        <v>180</v>
      </c>
      <c r="AD1927" s="1"/>
      <c r="AE1927" s="1" t="s">
        <v>51</v>
      </c>
      <c r="AF1927" s="1" t="s">
        <v>51</v>
      </c>
      <c r="AG1927" s="1" t="s">
        <v>51</v>
      </c>
      <c r="AH1927" s="1"/>
      <c r="AI1927" s="1"/>
      <c r="AJ1927" s="3">
        <v>1</v>
      </c>
      <c r="AK1927" s="1" t="s">
        <v>52</v>
      </c>
      <c r="AL1927" s="3">
        <v>15</v>
      </c>
      <c r="AM1927" s="1"/>
      <c r="AN1927" s="1"/>
      <c r="AO1927" s="1" t="s">
        <v>13625</v>
      </c>
      <c r="AP1927" s="1" t="s">
        <v>45</v>
      </c>
      <c r="AQ1927" s="1" t="s">
        <v>13626</v>
      </c>
      <c r="AR1927" s="1" t="s">
        <v>13627</v>
      </c>
    </row>
    <row r="1928">
      <c r="A1928" s="2">
        <f ca="1">DATE(2006,06,30)</f>
        <v>0</v>
      </c>
      <c r="B1928" s="2">
        <f ca="1">DATE(2006,11,20)</f>
        <v>0</v>
      </c>
      <c r="C1928" s="1" t="s">
        <v>13628</v>
      </c>
      <c r="D1928" s="3">
        <v>3728</v>
      </c>
      <c r="E1928" s="1" t="s">
        <v>43</v>
      </c>
      <c r="F1928" s="1" t="s">
        <v>13629</v>
      </c>
      <c r="G1928" s="1" t="s">
        <v>13630</v>
      </c>
      <c r="H1928" s="4">
        <v>1.3</v>
      </c>
      <c r="I1928" s="4">
        <v>5</v>
      </c>
      <c r="J1928" s="9">
        <v>1432.2000000000001</v>
      </c>
      <c r="K1928" s="4">
        <v>26</v>
      </c>
      <c r="L1928" s="1" t="s">
        <v>152</v>
      </c>
      <c r="M1928" s="1" t="s">
        <v>47</v>
      </c>
      <c r="N1928" s="3">
        <v>848574109</v>
      </c>
      <c r="O1928" s="1" t="s">
        <v>108</v>
      </c>
      <c r="P1928" s="1" t="s">
        <v>13631</v>
      </c>
      <c r="Q1928" s="4">
        <v>1</v>
      </c>
      <c r="R1928" s="4">
        <v>1</v>
      </c>
      <c r="S1928" s="8">
        <v>3</v>
      </c>
      <c r="T1928" s="1" t="s">
        <v>50</v>
      </c>
      <c r="U1928" s="1"/>
      <c r="V1928" s="1"/>
      <c r="W1928" s="1"/>
      <c r="X1928" s="5">
        <v>500</v>
      </c>
      <c r="Y1928" s="7">
        <v>10416667</v>
      </c>
      <c r="Z1928" s="7">
        <v>44666667</v>
      </c>
      <c r="AA1928" s="1" t="s">
        <v>13632</v>
      </c>
      <c r="AB1928" s="1" t="s">
        <v>13633</v>
      </c>
      <c r="AC1928" s="1" t="s">
        <v>7759</v>
      </c>
      <c r="AD1928" s="1" t="s">
        <v>13634</v>
      </c>
      <c r="AE1928" s="1" t="s">
        <v>51</v>
      </c>
      <c r="AF1928" s="1" t="s">
        <v>51</v>
      </c>
      <c r="AG1928" s="1" t="s">
        <v>51</v>
      </c>
      <c r="AH1928" s="1"/>
      <c r="AI1928" s="1"/>
      <c r="AJ1928" s="3">
        <v>3</v>
      </c>
      <c r="AK1928" s="1" t="s">
        <v>110</v>
      </c>
      <c r="AL1928" s="3">
        <v>15</v>
      </c>
      <c r="AM1928" s="8">
        <v>29</v>
      </c>
      <c r="AN1928" s="1"/>
      <c r="AO1928" s="1" t="s">
        <v>13635</v>
      </c>
      <c r="AP1928" s="1" t="s">
        <v>13636</v>
      </c>
      <c r="AQ1928" s="1" t="s">
        <v>13637</v>
      </c>
      <c r="AR1928" s="1" t="s">
        <v>13638</v>
      </c>
    </row>
    <row r="1929">
      <c r="A1929" s="2">
        <f ca="1">DATE(2006,08,09)</f>
        <v>0</v>
      </c>
      <c r="B1929" s="2">
        <f ca="1">DATE(2006,11,20)</f>
        <v>0</v>
      </c>
      <c r="C1929" s="1" t="s">
        <v>13639</v>
      </c>
      <c r="D1929" s="3">
        <v>8711</v>
      </c>
      <c r="E1929" s="1" t="s">
        <v>43</v>
      </c>
      <c r="F1929" s="1" t="s">
        <v>13640</v>
      </c>
      <c r="G1929" s="1" t="s">
        <v>10440</v>
      </c>
      <c r="H1929" s="4">
        <v>0.69999999999999996</v>
      </c>
      <c r="I1929" s="8">
        <v>7</v>
      </c>
      <c r="J1929" s="5">
        <v>29</v>
      </c>
      <c r="K1929" s="4">
        <v>10</v>
      </c>
      <c r="L1929" s="1" t="s">
        <v>46</v>
      </c>
      <c r="M1929" s="1" t="s">
        <v>47</v>
      </c>
      <c r="N1929" s="1" t="s">
        <v>13641</v>
      </c>
      <c r="O1929" s="1" t="s">
        <v>48</v>
      </c>
      <c r="P1929" s="1" t="s">
        <v>13642</v>
      </c>
      <c r="Q1929" s="1" t="s">
        <v>145</v>
      </c>
      <c r="R1929" s="1" t="s">
        <v>145</v>
      </c>
      <c r="S1929" s="8">
        <v>4.2000000000000002</v>
      </c>
      <c r="T1929" s="1" t="s">
        <v>50</v>
      </c>
      <c r="U1929" s="1"/>
      <c r="V1929" s="1"/>
      <c r="W1929" s="1"/>
      <c r="X1929" s="5">
        <v>28.800000000000001</v>
      </c>
      <c r="Y1929" s="7">
        <v>2000000</v>
      </c>
      <c r="Z1929" s="7">
        <v>900000</v>
      </c>
      <c r="AA1929" s="1" t="s">
        <v>13632</v>
      </c>
      <c r="AB1929" s="1" t="s">
        <v>13643</v>
      </c>
      <c r="AC1929" s="1" t="s">
        <v>7759</v>
      </c>
      <c r="AD1929" s="1" t="s">
        <v>13644</v>
      </c>
      <c r="AE1929" s="1" t="s">
        <v>51</v>
      </c>
      <c r="AF1929" s="1" t="s">
        <v>51</v>
      </c>
      <c r="AG1929" s="1" t="s">
        <v>51</v>
      </c>
      <c r="AH1929" s="1"/>
      <c r="AI1929" s="1"/>
      <c r="AJ1929" s="3">
        <v>1</v>
      </c>
      <c r="AK1929" s="1" t="s">
        <v>52</v>
      </c>
      <c r="AL1929" s="3">
        <v>1</v>
      </c>
      <c r="AM1929" s="8">
        <v>10.560000000000001</v>
      </c>
      <c r="AN1929" s="1"/>
      <c r="AO1929" s="1" t="s">
        <v>10440</v>
      </c>
      <c r="AP1929" s="1" t="s">
        <v>10440</v>
      </c>
      <c r="AQ1929" s="1" t="s">
        <v>10440</v>
      </c>
      <c r="AR1929" s="1" t="s">
        <v>13642</v>
      </c>
    </row>
    <row r="1930">
      <c r="A1930" s="2">
        <f ca="1">DATE(2006,11,02)</f>
        <v>0</v>
      </c>
      <c r="B1930" s="2">
        <f ca="1">DATE(2006,11,20)</f>
        <v>0</v>
      </c>
      <c r="C1930" s="1" t="s">
        <v>13645</v>
      </c>
      <c r="D1930" s="3">
        <v>7359</v>
      </c>
      <c r="E1930" s="1" t="s">
        <v>510</v>
      </c>
      <c r="F1930" s="1" t="s">
        <v>13646</v>
      </c>
      <c r="G1930" s="1" t="s">
        <v>13647</v>
      </c>
      <c r="H1930" s="4">
        <v>1.6100000000000001</v>
      </c>
      <c r="I1930" s="4">
        <v>7</v>
      </c>
      <c r="J1930" s="5">
        <v>600.29999999999995</v>
      </c>
      <c r="K1930" s="4">
        <v>23</v>
      </c>
      <c r="L1930" s="1" t="s">
        <v>1057</v>
      </c>
      <c r="M1930" s="1" t="s">
        <v>47</v>
      </c>
      <c r="N1930" s="1" t="s">
        <v>13648</v>
      </c>
      <c r="O1930" s="1" t="s">
        <v>108</v>
      </c>
      <c r="P1930" s="1" t="s">
        <v>13649</v>
      </c>
      <c r="Q1930" s="1" t="s">
        <v>145</v>
      </c>
      <c r="R1930" s="1" t="s">
        <v>145</v>
      </c>
      <c r="S1930" s="6">
        <v>4.21739</v>
      </c>
      <c r="T1930" s="1" t="s">
        <v>50</v>
      </c>
      <c r="U1930" s="8">
        <v>24</v>
      </c>
      <c r="V1930" s="8">
        <v>22</v>
      </c>
      <c r="W1930" s="7">
        <v>26100000</v>
      </c>
      <c r="X1930" s="5">
        <v>600.29999999999995</v>
      </c>
      <c r="Y1930" s="7">
        <v>6800000</v>
      </c>
      <c r="Z1930" s="7">
        <v>19300000</v>
      </c>
      <c r="AA1930" s="1" t="s">
        <v>13650</v>
      </c>
      <c r="AB1930" s="1" t="s">
        <v>13651</v>
      </c>
      <c r="AC1930" s="1" t="s">
        <v>13652</v>
      </c>
      <c r="AD1930" s="1" t="s">
        <v>13651</v>
      </c>
      <c r="AE1930" s="1" t="s">
        <v>51</v>
      </c>
      <c r="AF1930" s="1" t="s">
        <v>51</v>
      </c>
      <c r="AG1930" s="1" t="s">
        <v>51</v>
      </c>
      <c r="AH1930" s="1"/>
      <c r="AI1930" s="1"/>
      <c r="AJ1930" s="3">
        <v>4</v>
      </c>
      <c r="AK1930" s="1" t="s">
        <v>10120</v>
      </c>
      <c r="AL1930" s="3">
        <v>9</v>
      </c>
      <c r="AM1930" s="8">
        <v>23.02</v>
      </c>
      <c r="AN1930" s="1"/>
      <c r="AO1930" s="1" t="s">
        <v>13653</v>
      </c>
      <c r="AP1930" s="1" t="s">
        <v>13654</v>
      </c>
      <c r="AQ1930" s="1" t="s">
        <v>13655</v>
      </c>
      <c r="AR1930" s="1" t="s">
        <v>13656</v>
      </c>
    </row>
    <row r="1931">
      <c r="A1931" s="2">
        <f ca="1">DATE(2006,09,15)</f>
        <v>0</v>
      </c>
      <c r="B1931" s="2">
        <f ca="1">DATE(2006,11,21)</f>
        <v>0</v>
      </c>
      <c r="C1931" s="1" t="s">
        <v>13657</v>
      </c>
      <c r="D1931" s="3">
        <v>6726</v>
      </c>
      <c r="E1931" s="1" t="s">
        <v>43</v>
      </c>
      <c r="F1931" s="1" t="s">
        <v>13658</v>
      </c>
      <c r="G1931" s="1" t="s">
        <v>796</v>
      </c>
      <c r="H1931" s="4">
        <v>0.90000000000000002</v>
      </c>
      <c r="I1931" s="4">
        <v>4.5</v>
      </c>
      <c r="J1931" s="5">
        <v>910</v>
      </c>
      <c r="K1931" s="4">
        <v>20</v>
      </c>
      <c r="L1931" s="1" t="s">
        <v>46</v>
      </c>
      <c r="M1931" s="1" t="s">
        <v>47</v>
      </c>
      <c r="N1931" s="1" t="s">
        <v>13659</v>
      </c>
      <c r="O1931" s="1" t="s">
        <v>108</v>
      </c>
      <c r="P1931" s="1" t="s">
        <v>13660</v>
      </c>
      <c r="Q1931" s="1" t="s">
        <v>145</v>
      </c>
      <c r="R1931" s="1" t="s">
        <v>145</v>
      </c>
      <c r="S1931" s="8">
        <v>3</v>
      </c>
      <c r="T1931" s="1" t="s">
        <v>50</v>
      </c>
      <c r="U1931" s="8">
        <v>20</v>
      </c>
      <c r="V1931" s="8">
        <v>20</v>
      </c>
      <c r="W1931" s="7">
        <v>1000</v>
      </c>
      <c r="X1931" s="5">
        <v>0</v>
      </c>
      <c r="Y1931" s="7">
        <v>45500000</v>
      </c>
      <c r="Z1931" s="1"/>
      <c r="AA1931" s="2">
        <f ca="1">DATE(2007,05,20)</f>
        <v>0</v>
      </c>
      <c r="AB1931" s="1"/>
      <c r="AC1931" s="3">
        <v>180</v>
      </c>
      <c r="AD1931" s="1"/>
      <c r="AE1931" s="1" t="s">
        <v>51</v>
      </c>
      <c r="AF1931" s="1" t="s">
        <v>51</v>
      </c>
      <c r="AG1931" s="1" t="s">
        <v>51</v>
      </c>
      <c r="AH1931" s="1"/>
      <c r="AI1931" s="1"/>
      <c r="AJ1931" s="3">
        <v>1</v>
      </c>
      <c r="AK1931" s="1" t="s">
        <v>52</v>
      </c>
      <c r="AL1931" s="3">
        <v>11</v>
      </c>
      <c r="AM1931" s="8">
        <v>20.050000000000001</v>
      </c>
      <c r="AN1931" s="1"/>
      <c r="AO1931" s="1" t="s">
        <v>13661</v>
      </c>
      <c r="AP1931" s="1" t="s">
        <v>796</v>
      </c>
      <c r="AQ1931" s="1" t="s">
        <v>13662</v>
      </c>
      <c r="AR1931" s="1" t="s">
        <v>13663</v>
      </c>
    </row>
    <row r="1932">
      <c r="A1932" s="2">
        <f ca="1">DATE(2006,07,21)</f>
        <v>0</v>
      </c>
      <c r="B1932" s="2">
        <f ca="1">DATE(2006,11,21)</f>
        <v>0</v>
      </c>
      <c r="C1932" s="1" t="s">
        <v>13664</v>
      </c>
      <c r="D1932" s="3">
        <v>1629</v>
      </c>
      <c r="E1932" s="1" t="s">
        <v>166</v>
      </c>
      <c r="F1932" s="1" t="s">
        <v>13665</v>
      </c>
      <c r="G1932" s="1" t="s">
        <v>13666</v>
      </c>
      <c r="H1932" s="4">
        <v>1.04</v>
      </c>
      <c r="I1932" s="4">
        <v>6.5</v>
      </c>
      <c r="J1932" s="5">
        <v>200</v>
      </c>
      <c r="K1932" s="4">
        <v>16</v>
      </c>
      <c r="L1932" s="1" t="s">
        <v>46</v>
      </c>
      <c r="M1932" s="1" t="s">
        <v>47</v>
      </c>
      <c r="N1932" s="3">
        <v>656844107</v>
      </c>
      <c r="O1932" s="1" t="s">
        <v>108</v>
      </c>
      <c r="P1932" s="1" t="s">
        <v>13667</v>
      </c>
      <c r="Q1932" s="4">
        <v>1.3</v>
      </c>
      <c r="R1932" s="4">
        <v>1.3</v>
      </c>
      <c r="S1932" s="8">
        <v>3.8999999999999999</v>
      </c>
      <c r="T1932" s="1" t="s">
        <v>50</v>
      </c>
      <c r="U1932" s="1"/>
      <c r="V1932" s="1"/>
      <c r="W1932" s="1"/>
      <c r="X1932" s="5">
        <v>250</v>
      </c>
      <c r="Y1932" s="7">
        <v>8750000</v>
      </c>
      <c r="Z1932" s="7">
        <v>3750000</v>
      </c>
      <c r="AA1932" s="1" t="s">
        <v>13668</v>
      </c>
      <c r="AB1932" s="1" t="s">
        <v>13669</v>
      </c>
      <c r="AC1932" s="1" t="s">
        <v>7759</v>
      </c>
      <c r="AD1932" s="1" t="s">
        <v>13670</v>
      </c>
      <c r="AE1932" s="1" t="s">
        <v>51</v>
      </c>
      <c r="AF1932" s="1" t="s">
        <v>51</v>
      </c>
      <c r="AG1932" s="1" t="s">
        <v>51</v>
      </c>
      <c r="AH1932" s="1"/>
      <c r="AI1932" s="1"/>
      <c r="AJ1932" s="3">
        <v>3</v>
      </c>
      <c r="AK1932" s="1" t="s">
        <v>110</v>
      </c>
      <c r="AL1932" s="3">
        <v>6</v>
      </c>
      <c r="AM1932" s="8">
        <v>16.100000000000001</v>
      </c>
      <c r="AN1932" s="1"/>
      <c r="AO1932" s="1" t="s">
        <v>13671</v>
      </c>
      <c r="AP1932" s="1" t="s">
        <v>13672</v>
      </c>
      <c r="AQ1932" s="1" t="s">
        <v>13673</v>
      </c>
      <c r="AR1932" s="1" t="s">
        <v>13674</v>
      </c>
    </row>
    <row r="1933">
      <c r="A1933" s="2">
        <f ca="1">DATE(2005,11,15)</f>
        <v>0</v>
      </c>
      <c r="B1933" s="2">
        <f ca="1">DATE(2006,11,27)</f>
        <v>0</v>
      </c>
      <c r="C1933" s="1" t="s">
        <v>13675</v>
      </c>
      <c r="D1933" s="3">
        <v>6726</v>
      </c>
      <c r="E1933" s="1" t="s">
        <v>43</v>
      </c>
      <c r="F1933" s="1" t="s">
        <v>13676</v>
      </c>
      <c r="G1933" s="1" t="s">
        <v>13677</v>
      </c>
      <c r="H1933" s="4">
        <v>0.90000000000000002</v>
      </c>
      <c r="I1933" s="4">
        <v>4.5</v>
      </c>
      <c r="J1933" s="9">
        <v>2620</v>
      </c>
      <c r="K1933" s="4">
        <v>20</v>
      </c>
      <c r="L1933" s="1" t="s">
        <v>4422</v>
      </c>
      <c r="M1933" s="1" t="s">
        <v>47</v>
      </c>
      <c r="N1933" s="1" t="s">
        <v>13678</v>
      </c>
      <c r="O1933" s="1" t="s">
        <v>108</v>
      </c>
      <c r="P1933" s="1" t="s">
        <v>13679</v>
      </c>
      <c r="Q1933" s="1" t="s">
        <v>145</v>
      </c>
      <c r="R1933" s="1" t="s">
        <v>145</v>
      </c>
      <c r="S1933" s="8">
        <v>3</v>
      </c>
      <c r="T1933" s="1" t="s">
        <v>50</v>
      </c>
      <c r="U1933" s="8">
        <v>20</v>
      </c>
      <c r="V1933" s="8">
        <v>20</v>
      </c>
      <c r="W1933" s="7">
        <v>50000</v>
      </c>
      <c r="X1933" s="5">
        <v>1</v>
      </c>
      <c r="Y1933" s="7">
        <v>131000000</v>
      </c>
      <c r="Z1933" s="1"/>
      <c r="AA1933" s="2">
        <f ca="1">DATE(2007,05,26)</f>
        <v>0</v>
      </c>
      <c r="AB1933" s="1"/>
      <c r="AC1933" s="3">
        <v>180</v>
      </c>
      <c r="AD1933" s="1"/>
      <c r="AE1933" s="1" t="s">
        <v>51</v>
      </c>
      <c r="AF1933" s="1" t="s">
        <v>51</v>
      </c>
      <c r="AG1933" s="1" t="s">
        <v>51</v>
      </c>
      <c r="AH1933" s="1"/>
      <c r="AI1933" s="1"/>
      <c r="AJ1933" s="3">
        <v>4</v>
      </c>
      <c r="AK1933" s="1" t="s">
        <v>1209</v>
      </c>
      <c r="AL1933" s="3">
        <v>22</v>
      </c>
      <c r="AM1933" s="8">
        <v>20</v>
      </c>
      <c r="AN1933" s="1"/>
      <c r="AO1933" s="1" t="s">
        <v>13680</v>
      </c>
      <c r="AP1933" s="1" t="s">
        <v>13681</v>
      </c>
      <c r="AQ1933" s="1" t="s">
        <v>13682</v>
      </c>
      <c r="AR1933" s="1" t="s">
        <v>13683</v>
      </c>
    </row>
    <row r="1934">
      <c r="A1934" s="2">
        <f ca="1">DATE(2006,11,15)</f>
        <v>0</v>
      </c>
      <c r="B1934" s="2">
        <f ca="1">DATE(2006,11,28)</f>
        <v>0</v>
      </c>
      <c r="C1934" s="1" t="s">
        <v>13684</v>
      </c>
      <c r="D1934" s="3">
        <v>4581</v>
      </c>
      <c r="E1934" s="1" t="s">
        <v>3013</v>
      </c>
      <c r="F1934" s="1" t="s">
        <v>13685</v>
      </c>
      <c r="G1934" s="1" t="s">
        <v>6201</v>
      </c>
      <c r="H1934" s="4">
        <v>0.063</v>
      </c>
      <c r="I1934" s="4">
        <v>0.34999999999999998</v>
      </c>
      <c r="J1934" s="5">
        <v>187.90000000000001</v>
      </c>
      <c r="K1934" s="4">
        <v>18</v>
      </c>
      <c r="L1934" s="1" t="s">
        <v>651</v>
      </c>
      <c r="M1934" s="1" t="s">
        <v>47</v>
      </c>
      <c r="N1934" s="3">
        <v>400501102</v>
      </c>
      <c r="O1934" s="1" t="s">
        <v>48</v>
      </c>
      <c r="P1934" s="1" t="s">
        <v>13686</v>
      </c>
      <c r="Q1934" s="1" t="s">
        <v>145</v>
      </c>
      <c r="R1934" s="1" t="s">
        <v>145</v>
      </c>
      <c r="S1934" s="6">
        <v>0.055559999999999998</v>
      </c>
      <c r="T1934" s="1" t="s">
        <v>50</v>
      </c>
      <c r="U1934" s="8">
        <v>16.5</v>
      </c>
      <c r="V1934" s="8">
        <v>14.5</v>
      </c>
      <c r="W1934" s="7">
        <v>10439130</v>
      </c>
      <c r="X1934" s="5">
        <v>161.80000000000001</v>
      </c>
      <c r="Y1934" s="1"/>
      <c r="Z1934" s="7">
        <v>10439130</v>
      </c>
      <c r="AA1934" s="1" t="s">
        <v>13687</v>
      </c>
      <c r="AB1934" s="1" t="s">
        <v>13688</v>
      </c>
      <c r="AC1934" s="1" t="s">
        <v>7759</v>
      </c>
      <c r="AD1934" s="1" t="s">
        <v>13689</v>
      </c>
      <c r="AE1934" s="1" t="s">
        <v>47</v>
      </c>
      <c r="AF1934" s="1" t="s">
        <v>51</v>
      </c>
      <c r="AG1934" s="1" t="s">
        <v>51</v>
      </c>
      <c r="AH1934" s="1"/>
      <c r="AI1934" s="1"/>
      <c r="AJ1934" s="3">
        <v>1</v>
      </c>
      <c r="AK1934" s="1" t="s">
        <v>52</v>
      </c>
      <c r="AL1934" s="3">
        <v>3</v>
      </c>
      <c r="AM1934" s="8">
        <v>20.850000000000001</v>
      </c>
      <c r="AN1934" s="1"/>
      <c r="AO1934" s="1" t="s">
        <v>13690</v>
      </c>
      <c r="AP1934" s="1" t="s">
        <v>6201</v>
      </c>
      <c r="AQ1934" s="1" t="s">
        <v>13691</v>
      </c>
      <c r="AR1934" s="1" t="s">
        <v>13692</v>
      </c>
    </row>
    <row r="1935">
      <c r="A1935" s="2">
        <f ca="1">DATE(2006,08,29)</f>
        <v>0</v>
      </c>
      <c r="B1935" s="2">
        <f ca="1">DATE(2006,11,28)</f>
        <v>0</v>
      </c>
      <c r="C1935" s="1" t="s">
        <v>13693</v>
      </c>
      <c r="D1935" s="3">
        <v>7373</v>
      </c>
      <c r="E1935" s="1" t="s">
        <v>43</v>
      </c>
      <c r="F1935" s="1" t="s">
        <v>13694</v>
      </c>
      <c r="G1935" s="1" t="s">
        <v>8344</v>
      </c>
      <c r="H1935" s="4">
        <v>0.28000000000000003</v>
      </c>
      <c r="I1935" s="4">
        <v>7</v>
      </c>
      <c r="J1935" s="5">
        <v>18</v>
      </c>
      <c r="K1935" s="4">
        <v>4</v>
      </c>
      <c r="L1935" s="1" t="s">
        <v>46</v>
      </c>
      <c r="M1935" s="1" t="s">
        <v>47</v>
      </c>
      <c r="N1935" s="1" t="s">
        <v>13695</v>
      </c>
      <c r="O1935" s="1" t="s">
        <v>48</v>
      </c>
      <c r="P1935" s="1" t="s">
        <v>8348</v>
      </c>
      <c r="Q1935" s="1" t="s">
        <v>145</v>
      </c>
      <c r="R1935" s="1" t="s">
        <v>145</v>
      </c>
      <c r="S1935" s="8">
        <v>4.25</v>
      </c>
      <c r="T1935" s="1" t="s">
        <v>50</v>
      </c>
      <c r="U1935" s="8">
        <v>5</v>
      </c>
      <c r="V1935" s="8">
        <v>4</v>
      </c>
      <c r="W1935" s="7">
        <v>4500000</v>
      </c>
      <c r="X1935" s="5">
        <v>20.300000000000001</v>
      </c>
      <c r="Y1935" s="7">
        <v>4500000</v>
      </c>
      <c r="Z1935" s="1"/>
      <c r="AA1935" s="1" t="s">
        <v>13696</v>
      </c>
      <c r="AB1935" s="1" t="s">
        <v>13697</v>
      </c>
      <c r="AC1935" s="1" t="s">
        <v>11861</v>
      </c>
      <c r="AD1935" s="1" t="s">
        <v>13698</v>
      </c>
      <c r="AE1935" s="1" t="s">
        <v>51</v>
      </c>
      <c r="AF1935" s="1" t="s">
        <v>51</v>
      </c>
      <c r="AG1935" s="1" t="s">
        <v>51</v>
      </c>
      <c r="AH1935" s="1"/>
      <c r="AI1935" s="1"/>
      <c r="AJ1935" s="3">
        <v>1</v>
      </c>
      <c r="AK1935" s="1" t="s">
        <v>52</v>
      </c>
      <c r="AL1935" s="3">
        <v>1</v>
      </c>
      <c r="AM1935" s="8">
        <v>4.5800000000000001</v>
      </c>
      <c r="AN1935" s="1"/>
      <c r="AO1935" s="1" t="s">
        <v>8344</v>
      </c>
      <c r="AP1935" s="1" t="s">
        <v>8344</v>
      </c>
      <c r="AQ1935" s="1" t="s">
        <v>8344</v>
      </c>
      <c r="AR1935" s="1" t="s">
        <v>8348</v>
      </c>
    </row>
    <row r="1936">
      <c r="A1936" s="2">
        <f ca="1">DATE(2006,08,18)</f>
        <v>0</v>
      </c>
      <c r="B1936" s="2">
        <f ca="1">DATE(2006,11,29)</f>
        <v>0</v>
      </c>
      <c r="C1936" s="1" t="s">
        <v>13699</v>
      </c>
      <c r="D1936" s="3">
        <v>3674</v>
      </c>
      <c r="E1936" s="1" t="s">
        <v>43</v>
      </c>
      <c r="F1936" s="1" t="s">
        <v>13700</v>
      </c>
      <c r="G1936" s="1" t="s">
        <v>789</v>
      </c>
      <c r="H1936" s="4">
        <v>0.48999999999999999</v>
      </c>
      <c r="I1936" s="8">
        <v>7</v>
      </c>
      <c r="J1936" s="5">
        <v>43.799999999999997</v>
      </c>
      <c r="K1936" s="4">
        <v>7</v>
      </c>
      <c r="L1936" s="1" t="s">
        <v>46</v>
      </c>
      <c r="M1936" s="1" t="s">
        <v>47</v>
      </c>
      <c r="N1936" s="1" t="s">
        <v>13701</v>
      </c>
      <c r="O1936" s="1" t="s">
        <v>48</v>
      </c>
      <c r="P1936" s="1" t="s">
        <v>13702</v>
      </c>
      <c r="Q1936" s="1" t="s">
        <v>145</v>
      </c>
      <c r="R1936" s="1" t="s">
        <v>145</v>
      </c>
      <c r="S1936" s="6">
        <v>4.2857099999999999</v>
      </c>
      <c r="T1936" s="1" t="s">
        <v>50</v>
      </c>
      <c r="U1936" s="1"/>
      <c r="V1936" s="1"/>
      <c r="W1936" s="1"/>
      <c r="X1936" s="5">
        <v>57.5</v>
      </c>
      <c r="Y1936" s="7">
        <v>6250000</v>
      </c>
      <c r="Z1936" s="1"/>
      <c r="AA1936" s="1" t="s">
        <v>13703</v>
      </c>
      <c r="AB1936" s="1" t="s">
        <v>13704</v>
      </c>
      <c r="AC1936" s="1" t="s">
        <v>7759</v>
      </c>
      <c r="AD1936" s="1" t="s">
        <v>13705</v>
      </c>
      <c r="AE1936" s="1" t="s">
        <v>51</v>
      </c>
      <c r="AF1936" s="1" t="s">
        <v>51</v>
      </c>
      <c r="AG1936" s="1" t="s">
        <v>51</v>
      </c>
      <c r="AH1936" s="1"/>
      <c r="AI1936" s="1"/>
      <c r="AJ1936" s="3">
        <v>1</v>
      </c>
      <c r="AK1936" s="1" t="s">
        <v>52</v>
      </c>
      <c r="AL1936" s="3">
        <v>3</v>
      </c>
      <c r="AM1936" s="8">
        <v>8.0999999999999996</v>
      </c>
      <c r="AN1936" s="1"/>
      <c r="AO1936" s="1" t="s">
        <v>13706</v>
      </c>
      <c r="AP1936" s="1" t="s">
        <v>789</v>
      </c>
      <c r="AQ1936" s="1" t="s">
        <v>13707</v>
      </c>
      <c r="AR1936" s="1" t="s">
        <v>13702</v>
      </c>
    </row>
    <row r="1937">
      <c r="A1937" s="2">
        <f ca="1">DATE(2006,07,11)</f>
        <v>0</v>
      </c>
      <c r="B1937" s="2">
        <f ca="1">DATE(2006,12,04)</f>
        <v>0</v>
      </c>
      <c r="C1937" s="1" t="s">
        <v>13708</v>
      </c>
      <c r="D1937" s="3">
        <v>1221</v>
      </c>
      <c r="E1937" s="1" t="s">
        <v>43</v>
      </c>
      <c r="F1937" s="1" t="s">
        <v>13709</v>
      </c>
      <c r="G1937" s="1" t="s">
        <v>13710</v>
      </c>
      <c r="H1937" s="4">
        <v>1.1100000000000001</v>
      </c>
      <c r="I1937" s="4">
        <v>6</v>
      </c>
      <c r="J1937" s="5">
        <v>116.59999999999999</v>
      </c>
      <c r="K1937" s="4">
        <v>18.5</v>
      </c>
      <c r="L1937" s="1" t="s">
        <v>85</v>
      </c>
      <c r="M1937" s="1" t="s">
        <v>47</v>
      </c>
      <c r="N1937" s="1" t="s">
        <v>13711</v>
      </c>
      <c r="O1937" s="1" t="s">
        <v>108</v>
      </c>
      <c r="P1937" s="1" t="s">
        <v>13712</v>
      </c>
      <c r="Q1937" s="4">
        <v>1.1890000000000001</v>
      </c>
      <c r="R1937" s="4">
        <v>1.1890000000000001</v>
      </c>
      <c r="S1937" s="6">
        <v>3.6216200000000001</v>
      </c>
      <c r="T1937" s="1" t="s">
        <v>50</v>
      </c>
      <c r="U1937" s="1"/>
      <c r="V1937" s="1"/>
      <c r="W1937" s="7">
        <v>6000000</v>
      </c>
      <c r="X1937" s="1"/>
      <c r="Y1937" s="7">
        <v>6300000</v>
      </c>
      <c r="Z1937" s="1"/>
      <c r="AA1937" s="1" t="s">
        <v>13713</v>
      </c>
      <c r="AB1937" s="1" t="s">
        <v>5265</v>
      </c>
      <c r="AC1937" s="1" t="s">
        <v>7759</v>
      </c>
      <c r="AD1937" s="1" t="s">
        <v>5265</v>
      </c>
      <c r="AE1937" s="1" t="s">
        <v>51</v>
      </c>
      <c r="AF1937" s="1" t="s">
        <v>51</v>
      </c>
      <c r="AG1937" s="1" t="s">
        <v>51</v>
      </c>
      <c r="AH1937" s="1"/>
      <c r="AI1937" s="1"/>
      <c r="AJ1937" s="3">
        <v>2</v>
      </c>
      <c r="AK1937" s="1" t="s">
        <v>89</v>
      </c>
      <c r="AL1937" s="3">
        <v>8</v>
      </c>
      <c r="AM1937" s="8">
        <v>18</v>
      </c>
      <c r="AN1937" s="1"/>
      <c r="AO1937" s="1" t="s">
        <v>13714</v>
      </c>
      <c r="AP1937" s="1" t="s">
        <v>7028</v>
      </c>
      <c r="AQ1937" s="1" t="s">
        <v>13715</v>
      </c>
      <c r="AR1937" s="1" t="s">
        <v>13716</v>
      </c>
    </row>
    <row r="1938">
      <c r="A1938" s="2">
        <f ca="1">DATE(2006,05,15)</f>
        <v>0</v>
      </c>
      <c r="B1938" s="2">
        <f ca="1">DATE(2006,12,07)</f>
        <v>0</v>
      </c>
      <c r="C1938" s="1" t="s">
        <v>13717</v>
      </c>
      <c r="D1938" s="3">
        <v>4512</v>
      </c>
      <c r="E1938" s="1" t="s">
        <v>43</v>
      </c>
      <c r="F1938" s="1" t="s">
        <v>13718</v>
      </c>
      <c r="G1938" s="1" t="s">
        <v>45</v>
      </c>
      <c r="H1938" s="4">
        <v>1.26</v>
      </c>
      <c r="I1938" s="4">
        <v>7</v>
      </c>
      <c r="J1938" s="5">
        <v>90</v>
      </c>
      <c r="K1938" s="4">
        <v>18</v>
      </c>
      <c r="L1938" s="1" t="s">
        <v>46</v>
      </c>
      <c r="M1938" s="1" t="s">
        <v>47</v>
      </c>
      <c r="N1938" s="1" t="s">
        <v>13719</v>
      </c>
      <c r="O1938" s="1" t="s">
        <v>48</v>
      </c>
      <c r="P1938" s="1" t="s">
        <v>13720</v>
      </c>
      <c r="Q1938" s="1" t="s">
        <v>145</v>
      </c>
      <c r="R1938" s="1" t="s">
        <v>145</v>
      </c>
      <c r="S1938" s="6">
        <v>4.1666699999999999</v>
      </c>
      <c r="T1938" s="1" t="s">
        <v>50</v>
      </c>
      <c r="U1938" s="1"/>
      <c r="V1938" s="1"/>
      <c r="W1938" s="1"/>
      <c r="X1938" s="5">
        <v>100</v>
      </c>
      <c r="Y1938" s="7">
        <v>5000000</v>
      </c>
      <c r="Z1938" s="1"/>
      <c r="AA1938" s="1" t="s">
        <v>13721</v>
      </c>
      <c r="AB1938" s="1" t="s">
        <v>13722</v>
      </c>
      <c r="AC1938" s="1" t="s">
        <v>7759</v>
      </c>
      <c r="AD1938" s="1" t="s">
        <v>13723</v>
      </c>
      <c r="AE1938" s="1" t="s">
        <v>51</v>
      </c>
      <c r="AF1938" s="1" t="s">
        <v>51</v>
      </c>
      <c r="AG1938" s="1" t="s">
        <v>47</v>
      </c>
      <c r="AH1938" s="1"/>
      <c r="AI1938" s="1"/>
      <c r="AJ1938" s="3">
        <v>1</v>
      </c>
      <c r="AK1938" s="1" t="s">
        <v>52</v>
      </c>
      <c r="AL1938" s="3">
        <v>3</v>
      </c>
      <c r="AM1938" s="8">
        <v>25.100000000000001</v>
      </c>
      <c r="AN1938" s="1"/>
      <c r="AO1938" s="1" t="s">
        <v>13724</v>
      </c>
      <c r="AP1938" s="1" t="s">
        <v>45</v>
      </c>
      <c r="AQ1938" s="1" t="s">
        <v>13725</v>
      </c>
      <c r="AR1938" s="1" t="s">
        <v>13726</v>
      </c>
    </row>
    <row r="1939">
      <c r="A1939" s="2">
        <f ca="1">DATE(2006,09,01)</f>
        <v>0</v>
      </c>
      <c r="B1939" s="2">
        <f ca="1">DATE(2006,12,07)</f>
        <v>0</v>
      </c>
      <c r="C1939" s="1" t="s">
        <v>13727</v>
      </c>
      <c r="D1939" s="3">
        <v>3143</v>
      </c>
      <c r="E1939" s="1" t="s">
        <v>43</v>
      </c>
      <c r="F1939" s="1" t="s">
        <v>13728</v>
      </c>
      <c r="G1939" s="1" t="s">
        <v>13729</v>
      </c>
      <c r="H1939" s="4">
        <v>1.47</v>
      </c>
      <c r="I1939" s="8">
        <v>7</v>
      </c>
      <c r="J1939" s="5">
        <v>134.90000000000001</v>
      </c>
      <c r="K1939" s="4">
        <v>21</v>
      </c>
      <c r="L1939" s="1" t="s">
        <v>46</v>
      </c>
      <c r="M1939" s="1" t="s">
        <v>47</v>
      </c>
      <c r="N1939" s="1" t="s">
        <v>13730</v>
      </c>
      <c r="O1939" s="1" t="s">
        <v>48</v>
      </c>
      <c r="P1939" s="1" t="s">
        <v>13731</v>
      </c>
      <c r="Q1939" s="1" t="s">
        <v>145</v>
      </c>
      <c r="R1939" s="1" t="s">
        <v>145</v>
      </c>
      <c r="S1939" s="8">
        <v>4.2000000000000002</v>
      </c>
      <c r="T1939" s="1" t="s">
        <v>50</v>
      </c>
      <c r="U1939" s="1"/>
      <c r="V1939" s="1"/>
      <c r="W1939" s="7">
        <v>6250000</v>
      </c>
      <c r="X1939" s="5">
        <v>115</v>
      </c>
      <c r="Y1939" s="7">
        <v>3125000</v>
      </c>
      <c r="Z1939" s="7">
        <v>3300000</v>
      </c>
      <c r="AA1939" s="1" t="s">
        <v>13721</v>
      </c>
      <c r="AB1939" s="1" t="s">
        <v>13732</v>
      </c>
      <c r="AC1939" s="1" t="s">
        <v>7759</v>
      </c>
      <c r="AD1939" s="1" t="s">
        <v>13733</v>
      </c>
      <c r="AE1939" s="1" t="s">
        <v>51</v>
      </c>
      <c r="AF1939" s="1" t="s">
        <v>51</v>
      </c>
      <c r="AG1939" s="1" t="s">
        <v>47</v>
      </c>
      <c r="AH1939" s="1"/>
      <c r="AI1939" s="1"/>
      <c r="AJ1939" s="3">
        <v>2</v>
      </c>
      <c r="AK1939" s="1" t="s">
        <v>89</v>
      </c>
      <c r="AL1939" s="3">
        <v>4</v>
      </c>
      <c r="AM1939" s="8">
        <v>32.600000000000001</v>
      </c>
      <c r="AN1939" s="1"/>
      <c r="AO1939" s="1" t="s">
        <v>13734</v>
      </c>
      <c r="AP1939" s="1" t="s">
        <v>13735</v>
      </c>
      <c r="AQ1939" s="1" t="s">
        <v>13736</v>
      </c>
      <c r="AR1939" s="1" t="s">
        <v>13737</v>
      </c>
    </row>
    <row r="1940">
      <c r="A1940" s="2">
        <f ca="1">DATE(2006,10,10)</f>
        <v>0</v>
      </c>
      <c r="B1940" s="2">
        <f ca="1">DATE(2006,12,07)</f>
        <v>0</v>
      </c>
      <c r="C1940" s="1" t="s">
        <v>13738</v>
      </c>
      <c r="D1940" s="3">
        <v>4213</v>
      </c>
      <c r="E1940" s="1" t="s">
        <v>43</v>
      </c>
      <c r="F1940" s="1" t="s">
        <v>13739</v>
      </c>
      <c r="G1940" s="1" t="s">
        <v>8259</v>
      </c>
      <c r="H1940" s="1" t="s">
        <v>57</v>
      </c>
      <c r="I1940" s="1" t="s">
        <v>57</v>
      </c>
      <c r="J1940" s="5">
        <v>14.4</v>
      </c>
      <c r="K1940" s="4">
        <v>5</v>
      </c>
      <c r="L1940" s="1" t="s">
        <v>46</v>
      </c>
      <c r="M1940" s="1" t="s">
        <v>47</v>
      </c>
      <c r="N1940" s="3">
        <v>831920103</v>
      </c>
      <c r="O1940" s="1" t="s">
        <v>87</v>
      </c>
      <c r="P1940" s="1" t="s">
        <v>13740</v>
      </c>
      <c r="Q1940" s="1"/>
      <c r="R1940" s="1"/>
      <c r="S1940" s="1"/>
      <c r="T1940" s="1" t="s">
        <v>50</v>
      </c>
      <c r="U1940" s="8">
        <v>5</v>
      </c>
      <c r="V1940" s="8">
        <v>5</v>
      </c>
      <c r="W1940" s="7">
        <v>2400000</v>
      </c>
      <c r="X1940" s="5">
        <v>12</v>
      </c>
      <c r="Y1940" s="7">
        <v>2880000</v>
      </c>
      <c r="Z1940" s="1"/>
      <c r="AA1940" s="1"/>
      <c r="AB1940" s="1"/>
      <c r="AC1940" s="1"/>
      <c r="AD1940" s="1"/>
      <c r="AE1940" s="1" t="s">
        <v>51</v>
      </c>
      <c r="AF1940" s="1" t="s">
        <v>51</v>
      </c>
      <c r="AG1940" s="1" t="s">
        <v>51</v>
      </c>
      <c r="AH1940" s="1"/>
      <c r="AI1940" s="1"/>
      <c r="AJ1940" s="3">
        <v>2</v>
      </c>
      <c r="AK1940" s="1" t="s">
        <v>89</v>
      </c>
      <c r="AL1940" s="3">
        <v>4</v>
      </c>
      <c r="AM1940" s="1"/>
      <c r="AN1940" s="1"/>
      <c r="AO1940" s="1" t="s">
        <v>13741</v>
      </c>
      <c r="AP1940" s="1" t="s">
        <v>8262</v>
      </c>
      <c r="AQ1940" s="1" t="s">
        <v>13742</v>
      </c>
      <c r="AR1940" s="1" t="s">
        <v>13740</v>
      </c>
    </row>
    <row r="1941">
      <c r="A1941" s="2">
        <f ca="1">DATE(2005,11,17)</f>
        <v>0</v>
      </c>
      <c r="B1941" s="2">
        <f ca="1">DATE(2006,12,08)</f>
        <v>0</v>
      </c>
      <c r="C1941" s="1" t="s">
        <v>13743</v>
      </c>
      <c r="D1941" s="3">
        <v>4424</v>
      </c>
      <c r="E1941" s="1" t="s">
        <v>3764</v>
      </c>
      <c r="F1941" s="1" t="s">
        <v>13744</v>
      </c>
      <c r="G1941" s="1" t="s">
        <v>411</v>
      </c>
      <c r="H1941" s="4">
        <v>0.97999999999999998</v>
      </c>
      <c r="I1941" s="8">
        <v>7</v>
      </c>
      <c r="J1941" s="5">
        <v>175</v>
      </c>
      <c r="K1941" s="4">
        <v>14</v>
      </c>
      <c r="L1941" s="1" t="s">
        <v>46</v>
      </c>
      <c r="M1941" s="1" t="s">
        <v>47</v>
      </c>
      <c r="N1941" s="1" t="s">
        <v>13745</v>
      </c>
      <c r="O1941" s="1" t="s">
        <v>108</v>
      </c>
      <c r="P1941" s="1" t="s">
        <v>13746</v>
      </c>
      <c r="Q1941" s="1" t="s">
        <v>145</v>
      </c>
      <c r="R1941" s="1" t="s">
        <v>145</v>
      </c>
      <c r="S1941" s="6">
        <v>4.2142900000000001</v>
      </c>
      <c r="T1941" s="1" t="s">
        <v>50</v>
      </c>
      <c r="U1941" s="8">
        <v>16</v>
      </c>
      <c r="V1941" s="8">
        <v>14</v>
      </c>
      <c r="W1941" s="7">
        <v>10000000</v>
      </c>
      <c r="X1941" s="5">
        <v>150</v>
      </c>
      <c r="Y1941" s="7">
        <v>12500000</v>
      </c>
      <c r="Z1941" s="1"/>
      <c r="AA1941" s="1" t="s">
        <v>13747</v>
      </c>
      <c r="AB1941" s="1" t="s">
        <v>13748</v>
      </c>
      <c r="AC1941" s="1" t="s">
        <v>13749</v>
      </c>
      <c r="AD1941" s="1" t="s">
        <v>13750</v>
      </c>
      <c r="AE1941" s="1" t="s">
        <v>51</v>
      </c>
      <c r="AF1941" s="1" t="s">
        <v>51</v>
      </c>
      <c r="AG1941" s="1" t="s">
        <v>51</v>
      </c>
      <c r="AH1941" s="1"/>
      <c r="AI1941" s="1"/>
      <c r="AJ1941" s="3">
        <v>1</v>
      </c>
      <c r="AK1941" s="1" t="s">
        <v>52</v>
      </c>
      <c r="AL1941" s="3">
        <v>4</v>
      </c>
      <c r="AM1941" s="8">
        <v>16.02</v>
      </c>
      <c r="AN1941" s="3">
        <v>15</v>
      </c>
      <c r="AO1941" s="1" t="s">
        <v>13751</v>
      </c>
      <c r="AP1941" s="1" t="s">
        <v>411</v>
      </c>
      <c r="AQ1941" s="1" t="s">
        <v>13752</v>
      </c>
      <c r="AR1941" s="1" t="s">
        <v>13746</v>
      </c>
    </row>
    <row r="1942">
      <c r="A1942" s="2">
        <f ca="1">DATE(2006,08,18)</f>
        <v>0</v>
      </c>
      <c r="B1942" s="2">
        <f ca="1">DATE(2006,12,11)</f>
        <v>0</v>
      </c>
      <c r="C1942" s="1" t="s">
        <v>13753</v>
      </c>
      <c r="D1942" s="3">
        <v>6726</v>
      </c>
      <c r="E1942" s="1" t="s">
        <v>43</v>
      </c>
      <c r="F1942" s="1" t="s">
        <v>13754</v>
      </c>
      <c r="G1942" s="1" t="s">
        <v>3882</v>
      </c>
      <c r="H1942" s="4">
        <v>1.05</v>
      </c>
      <c r="I1942" s="4">
        <v>7</v>
      </c>
      <c r="J1942" s="5">
        <v>202.5</v>
      </c>
      <c r="K1942" s="4">
        <v>15</v>
      </c>
      <c r="L1942" s="1" t="s">
        <v>46</v>
      </c>
      <c r="M1942" s="1" t="s">
        <v>47</v>
      </c>
      <c r="N1942" s="3">
        <v>500233101</v>
      </c>
      <c r="O1942" s="1" t="s">
        <v>48</v>
      </c>
      <c r="P1942" s="1" t="s">
        <v>13755</v>
      </c>
      <c r="Q1942" s="4">
        <v>1.3999999999999999</v>
      </c>
      <c r="R1942" s="4">
        <v>1.3999999999999999</v>
      </c>
      <c r="S1942" s="8">
        <v>4.2000000000000002</v>
      </c>
      <c r="T1942" s="1" t="s">
        <v>50</v>
      </c>
      <c r="U1942" s="1"/>
      <c r="V1942" s="1"/>
      <c r="W1942" s="1"/>
      <c r="X1942" s="5">
        <v>225</v>
      </c>
      <c r="Y1942" s="7">
        <v>13500000</v>
      </c>
      <c r="Z1942" s="1"/>
      <c r="AA1942" s="1" t="s">
        <v>13756</v>
      </c>
      <c r="AB1942" s="1" t="s">
        <v>13757</v>
      </c>
      <c r="AC1942" s="1" t="s">
        <v>13758</v>
      </c>
      <c r="AD1942" s="1" t="s">
        <v>13759</v>
      </c>
      <c r="AE1942" s="1" t="s">
        <v>51</v>
      </c>
      <c r="AF1942" s="1" t="s">
        <v>51</v>
      </c>
      <c r="AG1942" s="1" t="s">
        <v>51</v>
      </c>
      <c r="AH1942" s="1"/>
      <c r="AI1942" s="1"/>
      <c r="AJ1942" s="3">
        <v>2</v>
      </c>
      <c r="AK1942" s="1" t="s">
        <v>89</v>
      </c>
      <c r="AL1942" s="3">
        <v>6</v>
      </c>
      <c r="AM1942" s="8">
        <v>15.859999999999999</v>
      </c>
      <c r="AN1942" s="1"/>
      <c r="AO1942" s="1" t="s">
        <v>13760</v>
      </c>
      <c r="AP1942" s="1" t="s">
        <v>3886</v>
      </c>
      <c r="AQ1942" s="1" t="s">
        <v>13761</v>
      </c>
      <c r="AR1942" s="1" t="s">
        <v>13762</v>
      </c>
    </row>
    <row r="1943">
      <c r="A1943" s="2">
        <f ca="1">DATE(2006,07,28)</f>
        <v>0</v>
      </c>
      <c r="B1943" s="2">
        <f ca="1">DATE(2006,12,12)</f>
        <v>0</v>
      </c>
      <c r="C1943" s="1" t="s">
        <v>13763</v>
      </c>
      <c r="D1943" s="3">
        <v>1311</v>
      </c>
      <c r="E1943" s="1" t="s">
        <v>43</v>
      </c>
      <c r="F1943" s="1" t="s">
        <v>13764</v>
      </c>
      <c r="G1943" s="1" t="s">
        <v>5704</v>
      </c>
      <c r="H1943" s="4">
        <v>1.3120000000000001</v>
      </c>
      <c r="I1943" s="4">
        <v>6.2480000000000002</v>
      </c>
      <c r="J1943" s="5">
        <v>132.80000000000001</v>
      </c>
      <c r="K1943" s="4">
        <v>21</v>
      </c>
      <c r="L1943" s="1" t="s">
        <v>5598</v>
      </c>
      <c r="M1943" s="1" t="s">
        <v>47</v>
      </c>
      <c r="N1943" s="1" t="s">
        <v>13765</v>
      </c>
      <c r="O1943" s="1" t="s">
        <v>108</v>
      </c>
      <c r="P1943" s="1" t="s">
        <v>13766</v>
      </c>
      <c r="Q1943" s="1" t="s">
        <v>145</v>
      </c>
      <c r="R1943" s="1" t="s">
        <v>145</v>
      </c>
      <c r="S1943" s="6">
        <v>3.7142900000000001</v>
      </c>
      <c r="T1943" s="1" t="s">
        <v>50</v>
      </c>
      <c r="U1943" s="1"/>
      <c r="V1943" s="1"/>
      <c r="W1943" s="7">
        <v>5750000</v>
      </c>
      <c r="X1943" s="5">
        <v>138.90000000000001</v>
      </c>
      <c r="Y1943" s="7">
        <v>6325000</v>
      </c>
      <c r="Z1943" s="1"/>
      <c r="AA1943" s="1" t="s">
        <v>13767</v>
      </c>
      <c r="AB1943" s="1" t="s">
        <v>5265</v>
      </c>
      <c r="AC1943" s="1" t="s">
        <v>7759</v>
      </c>
      <c r="AD1943" s="1" t="s">
        <v>5265</v>
      </c>
      <c r="AE1943" s="1" t="s">
        <v>51</v>
      </c>
      <c r="AF1943" s="1" t="s">
        <v>51</v>
      </c>
      <c r="AG1943" s="1" t="s">
        <v>51</v>
      </c>
      <c r="AH1943" s="1"/>
      <c r="AI1943" s="1"/>
      <c r="AJ1943" s="3">
        <v>1</v>
      </c>
      <c r="AK1943" s="1" t="s">
        <v>110</v>
      </c>
      <c r="AL1943" s="3">
        <v>9</v>
      </c>
      <c r="AM1943" s="8">
        <v>22.100000000000001</v>
      </c>
      <c r="AN1943" s="1"/>
      <c r="AO1943" s="1" t="s">
        <v>13768</v>
      </c>
      <c r="AP1943" s="1" t="s">
        <v>13769</v>
      </c>
      <c r="AQ1943" s="1" t="s">
        <v>13770</v>
      </c>
      <c r="AR1943" s="1" t="s">
        <v>13771</v>
      </c>
    </row>
    <row r="1944">
      <c r="A1944" s="2">
        <f ca="1">DATE(2006,10,19)</f>
        <v>0</v>
      </c>
      <c r="B1944" s="2">
        <f ca="1">DATE(2006,12,12)</f>
        <v>0</v>
      </c>
      <c r="C1944" s="1" t="s">
        <v>13772</v>
      </c>
      <c r="D1944" s="3">
        <v>6798</v>
      </c>
      <c r="E1944" s="1" t="s">
        <v>43</v>
      </c>
      <c r="F1944" s="1" t="s">
        <v>13773</v>
      </c>
      <c r="G1944" s="1" t="s">
        <v>6216</v>
      </c>
      <c r="H1944" s="4">
        <v>0.79600000000000004</v>
      </c>
      <c r="I1944" s="4">
        <v>6.5</v>
      </c>
      <c r="J1944" s="5">
        <v>199.69999999999999</v>
      </c>
      <c r="K1944" s="4">
        <v>12.25</v>
      </c>
      <c r="L1944" s="1" t="s">
        <v>46</v>
      </c>
      <c r="M1944" s="1" t="s">
        <v>47</v>
      </c>
      <c r="N1944" s="3">
        <v>233153105</v>
      </c>
      <c r="O1944" s="1" t="s">
        <v>108</v>
      </c>
      <c r="P1944" s="1" t="s">
        <v>13774</v>
      </c>
      <c r="Q1944" s="4">
        <v>1.5569999999999999</v>
      </c>
      <c r="R1944" s="4">
        <v>1.224</v>
      </c>
      <c r="S1944" s="6">
        <v>3.67347</v>
      </c>
      <c r="T1944" s="1" t="s">
        <v>50</v>
      </c>
      <c r="U1944" s="1"/>
      <c r="V1944" s="1"/>
      <c r="W1944" s="7">
        <v>151960873</v>
      </c>
      <c r="X1944" s="5">
        <v>175</v>
      </c>
      <c r="Y1944" s="7">
        <v>16300000</v>
      </c>
      <c r="Z1944" s="1"/>
      <c r="AA1944" s="1" t="s">
        <v>13775</v>
      </c>
      <c r="AB1944" s="1" t="s">
        <v>2067</v>
      </c>
      <c r="AC1944" s="1" t="s">
        <v>2068</v>
      </c>
      <c r="AD1944" s="1" t="s">
        <v>2067</v>
      </c>
      <c r="AE1944" s="1" t="s">
        <v>51</v>
      </c>
      <c r="AF1944" s="1" t="s">
        <v>51</v>
      </c>
      <c r="AG1944" s="1" t="s">
        <v>51</v>
      </c>
      <c r="AH1944" s="1"/>
      <c r="AI1944" s="1"/>
      <c r="AJ1944" s="3">
        <v>2</v>
      </c>
      <c r="AK1944" s="1" t="s">
        <v>89</v>
      </c>
      <c r="AL1944" s="3">
        <v>6</v>
      </c>
      <c r="AM1944" s="8">
        <v>12.35</v>
      </c>
      <c r="AN1944" s="1"/>
      <c r="AO1944" s="1" t="s">
        <v>13776</v>
      </c>
      <c r="AP1944" s="1" t="s">
        <v>6220</v>
      </c>
      <c r="AQ1944" s="1" t="s">
        <v>13777</v>
      </c>
      <c r="AR1944" s="1" t="s">
        <v>13778</v>
      </c>
    </row>
    <row r="1945">
      <c r="A1945" s="2">
        <f ca="1">DATE(2006,09,15)</f>
        <v>0</v>
      </c>
      <c r="B1945" s="2">
        <f ca="1">DATE(2006,12,12)</f>
        <v>0</v>
      </c>
      <c r="C1945" s="1" t="s">
        <v>13779</v>
      </c>
      <c r="D1945" s="3">
        <v>7372</v>
      </c>
      <c r="E1945" s="1" t="s">
        <v>43</v>
      </c>
      <c r="F1945" s="1" t="s">
        <v>13780</v>
      </c>
      <c r="G1945" s="1" t="s">
        <v>796</v>
      </c>
      <c r="H1945" s="4">
        <v>0.80500000000000005</v>
      </c>
      <c r="I1945" s="4">
        <v>7</v>
      </c>
      <c r="J1945" s="5">
        <v>57.5</v>
      </c>
      <c r="K1945" s="4">
        <v>11.5</v>
      </c>
      <c r="L1945" s="1" t="s">
        <v>46</v>
      </c>
      <c r="M1945" s="1" t="s">
        <v>47</v>
      </c>
      <c r="N1945" s="3">
        <v>401692108</v>
      </c>
      <c r="O1945" s="1" t="s">
        <v>48</v>
      </c>
      <c r="P1945" s="1" t="s">
        <v>13781</v>
      </c>
      <c r="Q1945" s="1" t="s">
        <v>145</v>
      </c>
      <c r="R1945" s="1" t="s">
        <v>145</v>
      </c>
      <c r="S1945" s="6">
        <v>4.1739100000000002</v>
      </c>
      <c r="T1945" s="1" t="s">
        <v>50</v>
      </c>
      <c r="U1945" s="1"/>
      <c r="V1945" s="1"/>
      <c r="W1945" s="1"/>
      <c r="X1945" s="5">
        <v>80</v>
      </c>
      <c r="Y1945" s="7">
        <v>3250000</v>
      </c>
      <c r="Z1945" s="7">
        <v>1750000</v>
      </c>
      <c r="AA1945" s="1" t="s">
        <v>13767</v>
      </c>
      <c r="AB1945" s="1" t="s">
        <v>5265</v>
      </c>
      <c r="AC1945" s="1" t="s">
        <v>7759</v>
      </c>
      <c r="AD1945" s="1" t="s">
        <v>5265</v>
      </c>
      <c r="AE1945" s="1" t="s">
        <v>51</v>
      </c>
      <c r="AF1945" s="1" t="s">
        <v>51</v>
      </c>
      <c r="AG1945" s="1" t="s">
        <v>51</v>
      </c>
      <c r="AH1945" s="1"/>
      <c r="AI1945" s="1"/>
      <c r="AJ1945" s="3">
        <v>1</v>
      </c>
      <c r="AK1945" s="1" t="s">
        <v>52</v>
      </c>
      <c r="AL1945" s="3">
        <v>4</v>
      </c>
      <c r="AM1945" s="8">
        <v>15.18</v>
      </c>
      <c r="AN1945" s="1"/>
      <c r="AO1945" s="1" t="s">
        <v>13782</v>
      </c>
      <c r="AP1945" s="1" t="s">
        <v>796</v>
      </c>
      <c r="AQ1945" s="1" t="s">
        <v>13783</v>
      </c>
      <c r="AR1945" s="1" t="s">
        <v>13784</v>
      </c>
    </row>
    <row r="1946">
      <c r="A1946" s="2">
        <f ca="1">DATE(2006,08,11)</f>
        <v>0</v>
      </c>
      <c r="B1946" s="2">
        <f ca="1">DATE(2006,12,12)</f>
        <v>0</v>
      </c>
      <c r="C1946" s="1" t="s">
        <v>13785</v>
      </c>
      <c r="D1946" s="3">
        <v>3674</v>
      </c>
      <c r="E1946" s="1" t="s">
        <v>43</v>
      </c>
      <c r="F1946" s="1" t="s">
        <v>13786</v>
      </c>
      <c r="G1946" s="1" t="s">
        <v>13251</v>
      </c>
      <c r="H1946" s="4">
        <v>1.155</v>
      </c>
      <c r="I1946" s="4">
        <v>7</v>
      </c>
      <c r="J1946" s="5">
        <v>148.5</v>
      </c>
      <c r="K1946" s="4">
        <v>16.5</v>
      </c>
      <c r="L1946" s="1" t="s">
        <v>46</v>
      </c>
      <c r="M1946" s="1" t="s">
        <v>47</v>
      </c>
      <c r="N1946" s="1" t="s">
        <v>13787</v>
      </c>
      <c r="O1946" s="1" t="s">
        <v>48</v>
      </c>
      <c r="P1946" s="1" t="s">
        <v>13788</v>
      </c>
      <c r="Q1946" s="4">
        <v>1.3939999999999999</v>
      </c>
      <c r="R1946" s="4">
        <v>1.4239999999999999</v>
      </c>
      <c r="S1946" s="6">
        <v>4.1818200000000001</v>
      </c>
      <c r="T1946" s="1" t="s">
        <v>50</v>
      </c>
      <c r="U1946" s="1"/>
      <c r="V1946" s="1"/>
      <c r="W1946" s="1"/>
      <c r="X1946" s="5">
        <v>130</v>
      </c>
      <c r="Y1946" s="7">
        <v>6241379</v>
      </c>
      <c r="Z1946" s="7">
        <v>2758621</v>
      </c>
      <c r="AA1946" s="1" t="s">
        <v>13767</v>
      </c>
      <c r="AB1946" s="1" t="s">
        <v>13789</v>
      </c>
      <c r="AC1946" s="1" t="s">
        <v>7759</v>
      </c>
      <c r="AD1946" s="1" t="s">
        <v>13790</v>
      </c>
      <c r="AE1946" s="1" t="s">
        <v>51</v>
      </c>
      <c r="AF1946" s="1" t="s">
        <v>51</v>
      </c>
      <c r="AG1946" s="1" t="s">
        <v>47</v>
      </c>
      <c r="AH1946" s="1"/>
      <c r="AI1946" s="1"/>
      <c r="AJ1946" s="3">
        <v>2</v>
      </c>
      <c r="AK1946" s="1" t="s">
        <v>89</v>
      </c>
      <c r="AL1946" s="3">
        <v>5</v>
      </c>
      <c r="AM1946" s="8">
        <v>25.600000000000001</v>
      </c>
      <c r="AN1946" s="1"/>
      <c r="AO1946" s="1" t="s">
        <v>13791</v>
      </c>
      <c r="AP1946" s="1" t="s">
        <v>3428</v>
      </c>
      <c r="AQ1946" s="1" t="s">
        <v>13792</v>
      </c>
      <c r="AR1946" s="1" t="s">
        <v>13793</v>
      </c>
    </row>
    <row r="1947">
      <c r="A1947" s="2">
        <f ca="1">DATE(2006,12,11)</f>
        <v>0</v>
      </c>
      <c r="B1947" s="2">
        <f ca="1">DATE(2006,12,13)</f>
        <v>0</v>
      </c>
      <c r="C1947" s="1" t="s">
        <v>13794</v>
      </c>
      <c r="D1947" s="3">
        <v>2085</v>
      </c>
      <c r="E1947" s="1" t="s">
        <v>13795</v>
      </c>
      <c r="F1947" s="1" t="s">
        <v>13794</v>
      </c>
      <c r="G1947" s="1" t="s">
        <v>13796</v>
      </c>
      <c r="H1947" s="1" t="s">
        <v>57</v>
      </c>
      <c r="I1947" s="1" t="s">
        <v>57</v>
      </c>
      <c r="J1947" s="5">
        <v>76.700000000000003</v>
      </c>
      <c r="K1947" s="8">
        <v>86.290000000000006</v>
      </c>
      <c r="L1947" s="1" t="s">
        <v>58</v>
      </c>
      <c r="M1947" s="1" t="s">
        <v>47</v>
      </c>
      <c r="N1947" s="3">
        <v>153435102</v>
      </c>
      <c r="O1947" s="1" t="s">
        <v>48</v>
      </c>
      <c r="P1947" s="1" t="s">
        <v>13796</v>
      </c>
      <c r="Q1947" s="1"/>
      <c r="R1947" s="1"/>
      <c r="S1947" s="1"/>
      <c r="T1947" s="1" t="s">
        <v>60</v>
      </c>
      <c r="U1947" s="1"/>
      <c r="V1947" s="1"/>
      <c r="W1947" s="7">
        <v>2550000</v>
      </c>
      <c r="X1947" s="5">
        <v>26.100000000000001</v>
      </c>
      <c r="Y1947" s="7">
        <v>2550000</v>
      </c>
      <c r="Z1947" s="1"/>
      <c r="AA1947" s="1"/>
      <c r="AB1947" s="1"/>
      <c r="AC1947" s="1"/>
      <c r="AD1947" s="1"/>
      <c r="AE1947" s="1" t="s">
        <v>51</v>
      </c>
      <c r="AF1947" s="1" t="s">
        <v>51</v>
      </c>
      <c r="AG1947" s="1" t="s">
        <v>51</v>
      </c>
      <c r="AH1947" s="1"/>
      <c r="AI1947" s="1"/>
      <c r="AJ1947" s="3">
        <v>1</v>
      </c>
      <c r="AK1947" s="1" t="s">
        <v>52</v>
      </c>
      <c r="AL1947" s="3">
        <v>1</v>
      </c>
      <c r="AM1947" s="8">
        <v>30.52</v>
      </c>
      <c r="AN1947" s="8">
        <v>30.670000000000002</v>
      </c>
      <c r="AO1947" s="1" t="s">
        <v>13796</v>
      </c>
      <c r="AP1947" s="1" t="s">
        <v>13796</v>
      </c>
      <c r="AQ1947" s="1" t="s">
        <v>13796</v>
      </c>
      <c r="AR1947" s="1" t="s">
        <v>13796</v>
      </c>
    </row>
    <row r="1948">
      <c r="A1948" s="2">
        <f ca="1">DATE(2006,11,27)</f>
        <v>0</v>
      </c>
      <c r="B1948" s="2">
        <f ca="1">DATE(2006,12,13)</f>
        <v>0</v>
      </c>
      <c r="C1948" s="1" t="s">
        <v>13797</v>
      </c>
      <c r="D1948" s="3">
        <v>7359</v>
      </c>
      <c r="E1948" s="1" t="s">
        <v>834</v>
      </c>
      <c r="F1948" s="1" t="s">
        <v>13798</v>
      </c>
      <c r="G1948" s="1" t="s">
        <v>10637</v>
      </c>
      <c r="H1948" s="4">
        <v>1.21</v>
      </c>
      <c r="I1948" s="4">
        <v>5.2610000000000001</v>
      </c>
      <c r="J1948" s="5">
        <v>640.79999999999995</v>
      </c>
      <c r="K1948" s="4">
        <v>23</v>
      </c>
      <c r="L1948" s="1" t="s">
        <v>651</v>
      </c>
      <c r="M1948" s="1" t="s">
        <v>47</v>
      </c>
      <c r="N1948" s="1" t="s">
        <v>13799</v>
      </c>
      <c r="O1948" s="1" t="s">
        <v>108</v>
      </c>
      <c r="P1948" s="1" t="s">
        <v>13800</v>
      </c>
      <c r="Q1948" s="1" t="s">
        <v>145</v>
      </c>
      <c r="R1948" s="1" t="s">
        <v>145</v>
      </c>
      <c r="S1948" s="6">
        <v>3.13043</v>
      </c>
      <c r="T1948" s="1" t="s">
        <v>50</v>
      </c>
      <c r="U1948" s="8">
        <v>23</v>
      </c>
      <c r="V1948" s="8">
        <v>21</v>
      </c>
      <c r="W1948" s="7">
        <v>27860000</v>
      </c>
      <c r="X1948" s="5">
        <v>612.89999999999998</v>
      </c>
      <c r="Y1948" s="7">
        <v>27860000</v>
      </c>
      <c r="Z1948" s="1"/>
      <c r="AA1948" s="1" t="s">
        <v>13801</v>
      </c>
      <c r="AB1948" s="1" t="s">
        <v>5265</v>
      </c>
      <c r="AC1948" s="1" t="s">
        <v>7759</v>
      </c>
      <c r="AD1948" s="1" t="s">
        <v>5265</v>
      </c>
      <c r="AE1948" s="1" t="s">
        <v>47</v>
      </c>
      <c r="AF1948" s="1" t="s">
        <v>51</v>
      </c>
      <c r="AG1948" s="1" t="s">
        <v>51</v>
      </c>
      <c r="AH1948" s="1"/>
      <c r="AI1948" s="1"/>
      <c r="AJ1948" s="3">
        <v>2</v>
      </c>
      <c r="AK1948" s="1" t="s">
        <v>89</v>
      </c>
      <c r="AL1948" s="3">
        <v>4</v>
      </c>
      <c r="AM1948" s="8">
        <v>23.649999999999999</v>
      </c>
      <c r="AN1948" s="1"/>
      <c r="AO1948" s="1" t="s">
        <v>13802</v>
      </c>
      <c r="AP1948" s="1" t="s">
        <v>10641</v>
      </c>
      <c r="AQ1948" s="1" t="s">
        <v>13803</v>
      </c>
      <c r="AR1948" s="1" t="s">
        <v>13804</v>
      </c>
    </row>
    <row r="1949">
      <c r="A1949" s="2">
        <f ca="1">DATE(2006,08,11)</f>
        <v>0</v>
      </c>
      <c r="B1949" s="2">
        <f ca="1">DATE(2006,12,13)</f>
        <v>0</v>
      </c>
      <c r="C1949" s="1" t="s">
        <v>13805</v>
      </c>
      <c r="D1949" s="3">
        <v>7372</v>
      </c>
      <c r="E1949" s="1" t="s">
        <v>43</v>
      </c>
      <c r="F1949" s="1" t="s">
        <v>13806</v>
      </c>
      <c r="G1949" s="1" t="s">
        <v>13807</v>
      </c>
      <c r="H1949" s="4">
        <v>0.69999999999999996</v>
      </c>
      <c r="I1949" s="8">
        <v>7</v>
      </c>
      <c r="J1949" s="5">
        <v>47</v>
      </c>
      <c r="K1949" s="4">
        <v>10</v>
      </c>
      <c r="L1949" s="1" t="s">
        <v>46</v>
      </c>
      <c r="M1949" s="1" t="s">
        <v>47</v>
      </c>
      <c r="N1949" s="1" t="s">
        <v>13808</v>
      </c>
      <c r="O1949" s="1" t="s">
        <v>48</v>
      </c>
      <c r="P1949" s="1" t="s">
        <v>13809</v>
      </c>
      <c r="Q1949" s="1" t="s">
        <v>145</v>
      </c>
      <c r="R1949" s="1" t="s">
        <v>145</v>
      </c>
      <c r="S1949" s="8">
        <v>4</v>
      </c>
      <c r="T1949" s="1" t="s">
        <v>50</v>
      </c>
      <c r="U1949" s="1"/>
      <c r="V1949" s="1"/>
      <c r="W1949" s="1"/>
      <c r="X1949" s="5">
        <v>94.900000000000006</v>
      </c>
      <c r="Y1949" s="7">
        <v>3300000</v>
      </c>
      <c r="Z1949" s="7">
        <v>1400000</v>
      </c>
      <c r="AA1949" s="1" t="s">
        <v>13801</v>
      </c>
      <c r="AB1949" s="1" t="s">
        <v>13810</v>
      </c>
      <c r="AC1949" s="1" t="s">
        <v>7759</v>
      </c>
      <c r="AD1949" s="1" t="s">
        <v>13811</v>
      </c>
      <c r="AE1949" s="1" t="s">
        <v>51</v>
      </c>
      <c r="AF1949" s="1" t="s">
        <v>51</v>
      </c>
      <c r="AG1949" s="1" t="s">
        <v>47</v>
      </c>
      <c r="AH1949" s="1"/>
      <c r="AI1949" s="1"/>
      <c r="AJ1949" s="3">
        <v>1</v>
      </c>
      <c r="AK1949" s="1" t="s">
        <v>52</v>
      </c>
      <c r="AL1949" s="3">
        <v>3</v>
      </c>
      <c r="AM1949" s="1"/>
      <c r="AN1949" s="1"/>
      <c r="AO1949" s="1" t="s">
        <v>13812</v>
      </c>
      <c r="AP1949" s="1" t="s">
        <v>13807</v>
      </c>
      <c r="AQ1949" s="1" t="s">
        <v>13813</v>
      </c>
      <c r="AR1949" s="1" t="s">
        <v>13809</v>
      </c>
    </row>
    <row r="1950">
      <c r="A1950" s="2">
        <f ca="1">DATE(2006,04,21)</f>
        <v>0</v>
      </c>
      <c r="B1950" s="2">
        <f ca="1">DATE(2006,12,13)</f>
        <v>0</v>
      </c>
      <c r="C1950" s="1" t="s">
        <v>13814</v>
      </c>
      <c r="D1950" s="3">
        <v>6726</v>
      </c>
      <c r="E1950" s="1" t="s">
        <v>43</v>
      </c>
      <c r="F1950" s="1" t="s">
        <v>13815</v>
      </c>
      <c r="G1950" s="1" t="s">
        <v>9751</v>
      </c>
      <c r="H1950" s="4">
        <v>0.23999999999999999</v>
      </c>
      <c r="I1950" s="4">
        <v>3</v>
      </c>
      <c r="J1950" s="5">
        <v>26.399999999999999</v>
      </c>
      <c r="K1950" s="4">
        <v>8</v>
      </c>
      <c r="L1950" s="1" t="s">
        <v>31</v>
      </c>
      <c r="M1950" s="1" t="s">
        <v>47</v>
      </c>
      <c r="N1950" s="3">
        <v>595750308</v>
      </c>
      <c r="O1950" s="1" t="s">
        <v>77</v>
      </c>
      <c r="P1950" s="1" t="s">
        <v>13816</v>
      </c>
      <c r="Q1950" s="1" t="s">
        <v>145</v>
      </c>
      <c r="R1950" s="1" t="s">
        <v>145</v>
      </c>
      <c r="S1950" s="8">
        <v>2.5</v>
      </c>
      <c r="T1950" s="1" t="s">
        <v>50</v>
      </c>
      <c r="U1950" s="8">
        <v>8</v>
      </c>
      <c r="V1950" s="8">
        <v>8</v>
      </c>
      <c r="W1950" s="7">
        <v>180000</v>
      </c>
      <c r="X1950" s="5">
        <v>1.3999999999999999</v>
      </c>
      <c r="Y1950" s="7">
        <v>3300000</v>
      </c>
      <c r="Z1950" s="1"/>
      <c r="AA1950" s="1" t="s">
        <v>13817</v>
      </c>
      <c r="AB1950" s="1" t="s">
        <v>2067</v>
      </c>
      <c r="AC1950" s="1" t="s">
        <v>13818</v>
      </c>
      <c r="AD1950" s="1" t="s">
        <v>2067</v>
      </c>
      <c r="AE1950" s="1" t="s">
        <v>51</v>
      </c>
      <c r="AF1950" s="1" t="s">
        <v>51</v>
      </c>
      <c r="AG1950" s="1" t="s">
        <v>51</v>
      </c>
      <c r="AH1950" s="1"/>
      <c r="AI1950" s="1"/>
      <c r="AJ1950" s="3">
        <v>2</v>
      </c>
      <c r="AK1950" s="1" t="s">
        <v>89</v>
      </c>
      <c r="AL1950" s="3">
        <v>8</v>
      </c>
      <c r="AM1950" s="1"/>
      <c r="AN1950" s="1"/>
      <c r="AO1950" s="1" t="s">
        <v>13819</v>
      </c>
      <c r="AP1950" s="1" t="s">
        <v>9754</v>
      </c>
      <c r="AQ1950" s="1" t="s">
        <v>13820</v>
      </c>
      <c r="AR1950" s="1" t="s">
        <v>13821</v>
      </c>
    </row>
    <row r="1951">
      <c r="A1951" s="2">
        <f ca="1">DATE(2006,04,21)</f>
        <v>0</v>
      </c>
      <c r="B1951" s="2">
        <f ca="1">DATE(2006,12,13)</f>
        <v>0</v>
      </c>
      <c r="C1951" s="1" t="s">
        <v>13814</v>
      </c>
      <c r="D1951" s="3">
        <v>6726</v>
      </c>
      <c r="E1951" s="1" t="s">
        <v>43</v>
      </c>
      <c r="F1951" s="1" t="s">
        <v>13815</v>
      </c>
      <c r="G1951" s="1" t="s">
        <v>9751</v>
      </c>
      <c r="H1951" s="4">
        <v>0.23999999999999999</v>
      </c>
      <c r="I1951" s="4">
        <v>3</v>
      </c>
      <c r="J1951" s="5">
        <v>1.6000000000000001</v>
      </c>
      <c r="K1951" s="4">
        <v>8</v>
      </c>
      <c r="L1951" s="1" t="s">
        <v>31</v>
      </c>
      <c r="M1951" s="1" t="s">
        <v>47</v>
      </c>
      <c r="N1951" s="3">
        <v>595750209</v>
      </c>
      <c r="O1951" s="1" t="s">
        <v>77</v>
      </c>
      <c r="P1951" s="1" t="s">
        <v>13816</v>
      </c>
      <c r="Q1951" s="1" t="s">
        <v>145</v>
      </c>
      <c r="R1951" s="1" t="s">
        <v>145</v>
      </c>
      <c r="S1951" s="8">
        <v>2.5</v>
      </c>
      <c r="T1951" s="1" t="s">
        <v>50</v>
      </c>
      <c r="U1951" s="8">
        <v>8</v>
      </c>
      <c r="V1951" s="8">
        <v>8</v>
      </c>
      <c r="W1951" s="7">
        <v>180000</v>
      </c>
      <c r="X1951" s="5">
        <v>1.3999999999999999</v>
      </c>
      <c r="Y1951" s="7">
        <v>198000</v>
      </c>
      <c r="Z1951" s="1"/>
      <c r="AA1951" s="1" t="s">
        <v>13817</v>
      </c>
      <c r="AB1951" s="1" t="s">
        <v>2067</v>
      </c>
      <c r="AC1951" s="1" t="s">
        <v>13818</v>
      </c>
      <c r="AD1951" s="1" t="s">
        <v>2067</v>
      </c>
      <c r="AE1951" s="1" t="s">
        <v>51</v>
      </c>
      <c r="AF1951" s="1" t="s">
        <v>51</v>
      </c>
      <c r="AG1951" s="1" t="s">
        <v>51</v>
      </c>
      <c r="AH1951" s="1"/>
      <c r="AI1951" s="1"/>
      <c r="AJ1951" s="3">
        <v>2</v>
      </c>
      <c r="AK1951" s="1" t="s">
        <v>89</v>
      </c>
      <c r="AL1951" s="3">
        <v>8</v>
      </c>
      <c r="AM1951" s="1"/>
      <c r="AN1951" s="1"/>
      <c r="AO1951" s="1" t="s">
        <v>13819</v>
      </c>
      <c r="AP1951" s="1" t="s">
        <v>9754</v>
      </c>
      <c r="AQ1951" s="1" t="s">
        <v>13820</v>
      </c>
      <c r="AR1951" s="1" t="s">
        <v>13821</v>
      </c>
    </row>
    <row r="1952">
      <c r="A1952" s="2">
        <f ca="1">DATE(2006,09,21)</f>
        <v>0</v>
      </c>
      <c r="B1952" s="2">
        <f ca="1">DATE(2006,12,13)</f>
        <v>0</v>
      </c>
      <c r="C1952" s="1" t="s">
        <v>13822</v>
      </c>
      <c r="D1952" s="3">
        <v>6141</v>
      </c>
      <c r="E1952" s="1" t="s">
        <v>43</v>
      </c>
      <c r="F1952" s="1"/>
      <c r="G1952" s="1" t="s">
        <v>4160</v>
      </c>
      <c r="H1952" s="4">
        <v>1.19</v>
      </c>
      <c r="I1952" s="8">
        <v>7</v>
      </c>
      <c r="J1952" s="5">
        <v>204</v>
      </c>
      <c r="K1952" s="4">
        <v>17</v>
      </c>
      <c r="L1952" s="1" t="s">
        <v>46</v>
      </c>
      <c r="M1952" s="1" t="s">
        <v>47</v>
      </c>
      <c r="N1952" s="1" t="s">
        <v>13823</v>
      </c>
      <c r="O1952" s="1"/>
      <c r="P1952" s="1" t="s">
        <v>13824</v>
      </c>
      <c r="Q1952" s="4">
        <v>1.3999999999999999</v>
      </c>
      <c r="R1952" s="4">
        <v>1.3999999999999999</v>
      </c>
      <c r="S1952" s="8">
        <v>4.2000000000000002</v>
      </c>
      <c r="T1952" s="1" t="s">
        <v>50</v>
      </c>
      <c r="U1952" s="1"/>
      <c r="V1952" s="1"/>
      <c r="W1952" s="1"/>
      <c r="X1952" s="5">
        <v>100</v>
      </c>
      <c r="Y1952" s="7">
        <v>12000000</v>
      </c>
      <c r="Z1952" s="1"/>
      <c r="AA1952" s="1" t="s">
        <v>13801</v>
      </c>
      <c r="AB1952" s="1" t="s">
        <v>5265</v>
      </c>
      <c r="AC1952" s="1" t="s">
        <v>7759</v>
      </c>
      <c r="AD1952" s="1" t="s">
        <v>5265</v>
      </c>
      <c r="AE1952" s="1" t="s">
        <v>51</v>
      </c>
      <c r="AF1952" s="1" t="s">
        <v>51</v>
      </c>
      <c r="AG1952" s="1" t="s">
        <v>47</v>
      </c>
      <c r="AH1952" s="1"/>
      <c r="AI1952" s="1"/>
      <c r="AJ1952" s="3">
        <v>2</v>
      </c>
      <c r="AK1952" s="1" t="s">
        <v>1209</v>
      </c>
      <c r="AL1952" s="3">
        <v>8</v>
      </c>
      <c r="AM1952" s="8">
        <v>17.710000000000001</v>
      </c>
      <c r="AN1952" s="1"/>
      <c r="AO1952" s="1" t="s">
        <v>13825</v>
      </c>
      <c r="AP1952" s="1" t="s">
        <v>13826</v>
      </c>
      <c r="AQ1952" s="1" t="s">
        <v>13827</v>
      </c>
      <c r="AR1952" s="1" t="s">
        <v>13828</v>
      </c>
    </row>
    <row r="1953">
      <c r="A1953" s="2">
        <f ca="1">DATE(2006,09,13)</f>
        <v>0</v>
      </c>
      <c r="B1953" s="2">
        <f ca="1">DATE(2006,12,13)</f>
        <v>0</v>
      </c>
      <c r="C1953" s="1" t="s">
        <v>13829</v>
      </c>
      <c r="D1953" s="3">
        <v>2834</v>
      </c>
      <c r="E1953" s="1" t="s">
        <v>43</v>
      </c>
      <c r="F1953" s="1" t="s">
        <v>13830</v>
      </c>
      <c r="G1953" s="1" t="s">
        <v>400</v>
      </c>
      <c r="H1953" s="4">
        <v>0.77000000000000002</v>
      </c>
      <c r="I1953" s="4">
        <v>7</v>
      </c>
      <c r="J1953" s="5">
        <v>58.899999999999999</v>
      </c>
      <c r="K1953" s="4">
        <v>11</v>
      </c>
      <c r="L1953" s="1" t="s">
        <v>46</v>
      </c>
      <c r="M1953" s="1" t="s">
        <v>47</v>
      </c>
      <c r="N1953" s="1" t="s">
        <v>13831</v>
      </c>
      <c r="O1953" s="1" t="s">
        <v>48</v>
      </c>
      <c r="P1953" s="1" t="s">
        <v>13832</v>
      </c>
      <c r="Q1953" s="1" t="s">
        <v>145</v>
      </c>
      <c r="R1953" s="1" t="s">
        <v>145</v>
      </c>
      <c r="S1953" s="8">
        <v>4.2000000000000002</v>
      </c>
      <c r="T1953" s="1" t="s">
        <v>50</v>
      </c>
      <c r="U1953" s="1"/>
      <c r="V1953" s="1"/>
      <c r="W1953" s="1"/>
      <c r="X1953" s="5">
        <v>86.299999999999997</v>
      </c>
      <c r="Y1953" s="7">
        <v>4000000</v>
      </c>
      <c r="Z1953" s="7">
        <v>1350000</v>
      </c>
      <c r="AA1953" s="1" t="s">
        <v>13833</v>
      </c>
      <c r="AB1953" s="1" t="s">
        <v>13834</v>
      </c>
      <c r="AC1953" s="1" t="s">
        <v>13835</v>
      </c>
      <c r="AD1953" s="1" t="s">
        <v>13836</v>
      </c>
      <c r="AE1953" s="1" t="s">
        <v>51</v>
      </c>
      <c r="AF1953" s="1" t="s">
        <v>51</v>
      </c>
      <c r="AG1953" s="1" t="s">
        <v>51</v>
      </c>
      <c r="AH1953" s="1"/>
      <c r="AI1953" s="1"/>
      <c r="AJ1953" s="3">
        <v>1</v>
      </c>
      <c r="AK1953" s="1" t="s">
        <v>52</v>
      </c>
      <c r="AL1953" s="3">
        <v>4</v>
      </c>
      <c r="AM1953" s="8">
        <v>10.1</v>
      </c>
      <c r="AN1953" s="1"/>
      <c r="AO1953" s="1" t="s">
        <v>13837</v>
      </c>
      <c r="AP1953" s="1" t="s">
        <v>400</v>
      </c>
      <c r="AQ1953" s="1" t="s">
        <v>13838</v>
      </c>
      <c r="AR1953" s="1" t="s">
        <v>13839</v>
      </c>
    </row>
    <row r="1954">
      <c r="A1954" s="2">
        <f ca="1">DATE(2006,12,04)</f>
        <v>0</v>
      </c>
      <c r="B1954" s="2">
        <f ca="1">DATE(2006,12,13)</f>
        <v>0</v>
      </c>
      <c r="C1954" s="1" t="s">
        <v>13840</v>
      </c>
      <c r="D1954" s="3">
        <v>1382</v>
      </c>
      <c r="E1954" s="1" t="s">
        <v>1650</v>
      </c>
      <c r="F1954" s="1" t="s">
        <v>13841</v>
      </c>
      <c r="G1954" s="1" t="s">
        <v>13842</v>
      </c>
      <c r="H1954" s="1" t="s">
        <v>57</v>
      </c>
      <c r="I1954" s="1" t="s">
        <v>57</v>
      </c>
      <c r="J1954" s="5">
        <v>43.799999999999997</v>
      </c>
      <c r="K1954" s="8">
        <v>49</v>
      </c>
      <c r="L1954" s="1" t="s">
        <v>58</v>
      </c>
      <c r="M1954" s="1" t="s">
        <v>47</v>
      </c>
      <c r="N1954" s="1"/>
      <c r="O1954" s="1" t="s">
        <v>1652</v>
      </c>
      <c r="P1954" s="1" t="s">
        <v>13843</v>
      </c>
      <c r="Q1954" s="1"/>
      <c r="R1954" s="1"/>
      <c r="S1954" s="1"/>
      <c r="T1954" s="1" t="s">
        <v>3180</v>
      </c>
      <c r="U1954" s="6">
        <v>8.9860699999999998</v>
      </c>
      <c r="V1954" s="6">
        <v>7.8423800000000004</v>
      </c>
      <c r="W1954" s="1"/>
      <c r="X1954" s="5">
        <v>44.100000000000001</v>
      </c>
      <c r="Y1954" s="7">
        <v>5510200</v>
      </c>
      <c r="Z1954" s="1"/>
      <c r="AA1954" s="1"/>
      <c r="AB1954" s="1"/>
      <c r="AC1954" s="1"/>
      <c r="AD1954" s="1"/>
      <c r="AE1954" s="1" t="s">
        <v>51</v>
      </c>
      <c r="AF1954" s="1" t="s">
        <v>51</v>
      </c>
      <c r="AG1954" s="1" t="s">
        <v>47</v>
      </c>
      <c r="AH1954" s="1"/>
      <c r="AI1954" s="1"/>
      <c r="AJ1954" s="3">
        <v>1</v>
      </c>
      <c r="AK1954" s="1" t="s">
        <v>52</v>
      </c>
      <c r="AL1954" s="3">
        <v>1</v>
      </c>
      <c r="AM1954" s="4">
        <v>8.4789999999999992</v>
      </c>
      <c r="AN1954" s="4">
        <v>8.3979999999999997</v>
      </c>
      <c r="AO1954" s="1" t="s">
        <v>13842</v>
      </c>
      <c r="AP1954" s="1" t="s">
        <v>13842</v>
      </c>
      <c r="AQ1954" s="1" t="s">
        <v>13842</v>
      </c>
      <c r="AR1954" s="1" t="s">
        <v>13843</v>
      </c>
    </row>
    <row r="1955">
      <c r="A1955" s="2">
        <f ca="1">DATE(2006,12,04)</f>
        <v>0</v>
      </c>
      <c r="B1955" s="2">
        <f ca="1">DATE(2006,12,13)</f>
        <v>0</v>
      </c>
      <c r="C1955" s="1" t="s">
        <v>13844</v>
      </c>
      <c r="D1955" s="3">
        <v>4412</v>
      </c>
      <c r="E1955" s="1" t="s">
        <v>517</v>
      </c>
      <c r="F1955" s="1" t="s">
        <v>13845</v>
      </c>
      <c r="G1955" s="1" t="s">
        <v>8893</v>
      </c>
      <c r="H1955" s="4">
        <v>1.339</v>
      </c>
      <c r="I1955" s="4">
        <v>6.375</v>
      </c>
      <c r="J1955" s="5">
        <v>147</v>
      </c>
      <c r="K1955" s="4">
        <v>21</v>
      </c>
      <c r="L1955" s="1" t="s">
        <v>85</v>
      </c>
      <c r="M1955" s="1" t="s">
        <v>47</v>
      </c>
      <c r="N1955" s="1" t="s">
        <v>13846</v>
      </c>
      <c r="O1955" s="1" t="s">
        <v>108</v>
      </c>
      <c r="P1955" s="1" t="s">
        <v>13847</v>
      </c>
      <c r="Q1955" s="1" t="s">
        <v>145</v>
      </c>
      <c r="R1955" s="1" t="s">
        <v>145</v>
      </c>
      <c r="S1955" s="6">
        <v>3.82524</v>
      </c>
      <c r="T1955" s="1" t="s">
        <v>50</v>
      </c>
      <c r="U1955" s="8">
        <v>21</v>
      </c>
      <c r="V1955" s="8">
        <v>19</v>
      </c>
      <c r="W1955" s="7">
        <v>7000000</v>
      </c>
      <c r="X1955" s="5">
        <v>140</v>
      </c>
      <c r="Y1955" s="7">
        <v>7000000</v>
      </c>
      <c r="Z1955" s="1"/>
      <c r="AA1955" s="1" t="s">
        <v>13801</v>
      </c>
      <c r="AB1955" s="1" t="s">
        <v>5265</v>
      </c>
      <c r="AC1955" s="1" t="s">
        <v>7759</v>
      </c>
      <c r="AD1955" s="1" t="s">
        <v>5265</v>
      </c>
      <c r="AE1955" s="1" t="s">
        <v>51</v>
      </c>
      <c r="AF1955" s="1" t="s">
        <v>51</v>
      </c>
      <c r="AG1955" s="1" t="s">
        <v>51</v>
      </c>
      <c r="AH1955" s="1"/>
      <c r="AI1955" s="1"/>
      <c r="AJ1955" s="3">
        <v>2</v>
      </c>
      <c r="AK1955" s="1" t="s">
        <v>110</v>
      </c>
      <c r="AL1955" s="3">
        <v>9</v>
      </c>
      <c r="AM1955" s="8">
        <v>25</v>
      </c>
      <c r="AN1955" s="1"/>
      <c r="AO1955" s="1" t="s">
        <v>13848</v>
      </c>
      <c r="AP1955" s="1" t="s">
        <v>8815</v>
      </c>
      <c r="AQ1955" s="1" t="s">
        <v>13849</v>
      </c>
      <c r="AR1955" s="1" t="s">
        <v>13850</v>
      </c>
    </row>
    <row r="1956">
      <c r="A1956" s="2">
        <f ca="1">DATE(2006,07,28)</f>
        <v>0</v>
      </c>
      <c r="B1956" s="2">
        <f ca="1">DATE(2006,12,14)</f>
        <v>0</v>
      </c>
      <c r="C1956" s="1" t="s">
        <v>13851</v>
      </c>
      <c r="D1956" s="3">
        <v>2834</v>
      </c>
      <c r="E1956" s="1" t="s">
        <v>43</v>
      </c>
      <c r="F1956" s="1" t="s">
        <v>13852</v>
      </c>
      <c r="G1956" s="1" t="s">
        <v>796</v>
      </c>
      <c r="H1956" s="4">
        <v>1.75</v>
      </c>
      <c r="I1956" s="4">
        <v>7</v>
      </c>
      <c r="J1956" s="5">
        <v>92.5</v>
      </c>
      <c r="K1956" s="4">
        <v>25</v>
      </c>
      <c r="L1956" s="1" t="s">
        <v>46</v>
      </c>
      <c r="M1956" s="1" t="s">
        <v>47</v>
      </c>
      <c r="N1956" s="1" t="s">
        <v>13853</v>
      </c>
      <c r="O1956" s="1" t="s">
        <v>48</v>
      </c>
      <c r="P1956" s="1" t="s">
        <v>13854</v>
      </c>
      <c r="Q1956" s="1" t="s">
        <v>145</v>
      </c>
      <c r="R1956" s="1" t="s">
        <v>145</v>
      </c>
      <c r="S1956" s="8">
        <v>4.2000000000000002</v>
      </c>
      <c r="T1956" s="1" t="s">
        <v>50</v>
      </c>
      <c r="U1956" s="1"/>
      <c r="V1956" s="1"/>
      <c r="W1956" s="1"/>
      <c r="X1956" s="5">
        <v>115</v>
      </c>
      <c r="Y1956" s="7">
        <v>3700000</v>
      </c>
      <c r="Z1956" s="1"/>
      <c r="AA1956" s="1" t="s">
        <v>13855</v>
      </c>
      <c r="AB1956" s="1" t="s">
        <v>13856</v>
      </c>
      <c r="AC1956" s="1" t="s">
        <v>7759</v>
      </c>
      <c r="AD1956" s="1" t="s">
        <v>13857</v>
      </c>
      <c r="AE1956" s="1" t="s">
        <v>51</v>
      </c>
      <c r="AF1956" s="1" t="s">
        <v>51</v>
      </c>
      <c r="AG1956" s="1" t="s">
        <v>47</v>
      </c>
      <c r="AH1956" s="1"/>
      <c r="AI1956" s="1"/>
      <c r="AJ1956" s="3">
        <v>1</v>
      </c>
      <c r="AK1956" s="1" t="s">
        <v>52</v>
      </c>
      <c r="AL1956" s="3">
        <v>4</v>
      </c>
      <c r="AM1956" s="8">
        <v>33.880000000000003</v>
      </c>
      <c r="AN1956" s="1"/>
      <c r="AO1956" s="1" t="s">
        <v>13858</v>
      </c>
      <c r="AP1956" s="1" t="s">
        <v>796</v>
      </c>
      <c r="AQ1956" s="1" t="s">
        <v>13859</v>
      </c>
      <c r="AR1956" s="1" t="s">
        <v>13854</v>
      </c>
    </row>
    <row r="1957">
      <c r="A1957" s="2">
        <f ca="1">DATE(2006,09,29)</f>
        <v>0</v>
      </c>
      <c r="B1957" s="2">
        <f ca="1">DATE(2006,12,14)</f>
        <v>0</v>
      </c>
      <c r="C1957" s="1" t="s">
        <v>13860</v>
      </c>
      <c r="D1957" s="3">
        <v>3568</v>
      </c>
      <c r="E1957" s="1" t="s">
        <v>43</v>
      </c>
      <c r="F1957" s="1" t="s">
        <v>13861</v>
      </c>
      <c r="G1957" s="1" t="s">
        <v>45</v>
      </c>
      <c r="H1957" s="4">
        <v>0.94499999999999995</v>
      </c>
      <c r="I1957" s="8">
        <v>7</v>
      </c>
      <c r="J1957" s="5">
        <v>135</v>
      </c>
      <c r="K1957" s="4">
        <v>13.5</v>
      </c>
      <c r="L1957" s="1" t="s">
        <v>46</v>
      </c>
      <c r="M1957" s="1" t="s">
        <v>47</v>
      </c>
      <c r="N1957" s="1" t="s">
        <v>13862</v>
      </c>
      <c r="O1957" s="1" t="s">
        <v>48</v>
      </c>
      <c r="P1957" s="1" t="s">
        <v>13863</v>
      </c>
      <c r="Q1957" s="4">
        <v>1.444</v>
      </c>
      <c r="R1957" s="4">
        <v>1.407</v>
      </c>
      <c r="S1957" s="6">
        <v>4.1481500000000002</v>
      </c>
      <c r="T1957" s="1" t="s">
        <v>50</v>
      </c>
      <c r="U1957" s="1"/>
      <c r="V1957" s="1"/>
      <c r="W1957" s="1"/>
      <c r="X1957" s="5">
        <v>172.5</v>
      </c>
      <c r="Y1957" s="7">
        <v>3333334</v>
      </c>
      <c r="Z1957" s="7">
        <v>6666666</v>
      </c>
      <c r="AA1957" s="1" t="s">
        <v>13855</v>
      </c>
      <c r="AB1957" s="1" t="s">
        <v>13864</v>
      </c>
      <c r="AC1957" s="1" t="s">
        <v>7759</v>
      </c>
      <c r="AD1957" s="1" t="s">
        <v>13865</v>
      </c>
      <c r="AE1957" s="1" t="s">
        <v>51</v>
      </c>
      <c r="AF1957" s="1" t="s">
        <v>51</v>
      </c>
      <c r="AG1957" s="1" t="s">
        <v>51</v>
      </c>
      <c r="AH1957" s="1"/>
      <c r="AI1957" s="1"/>
      <c r="AJ1957" s="3">
        <v>1</v>
      </c>
      <c r="AK1957" s="1" t="s">
        <v>52</v>
      </c>
      <c r="AL1957" s="3">
        <v>4</v>
      </c>
      <c r="AM1957" s="8">
        <v>14.289999999999999</v>
      </c>
      <c r="AN1957" s="1"/>
      <c r="AO1957" s="1" t="s">
        <v>13866</v>
      </c>
      <c r="AP1957" s="1" t="s">
        <v>45</v>
      </c>
      <c r="AQ1957" s="1" t="s">
        <v>13867</v>
      </c>
      <c r="AR1957" s="1" t="s">
        <v>13868</v>
      </c>
    </row>
    <row r="1958">
      <c r="A1958" s="2">
        <f ca="1">DATE(2006,05,31)</f>
        <v>0</v>
      </c>
      <c r="B1958" s="2">
        <f ca="1">DATE(2006,12,14)</f>
        <v>0</v>
      </c>
      <c r="C1958" s="1" t="s">
        <v>13869</v>
      </c>
      <c r="D1958" s="3">
        <v>1389</v>
      </c>
      <c r="E1958" s="1" t="s">
        <v>43</v>
      </c>
      <c r="F1958" s="1" t="s">
        <v>13870</v>
      </c>
      <c r="G1958" s="1" t="s">
        <v>11673</v>
      </c>
      <c r="H1958" s="4">
        <v>0.84499999999999997</v>
      </c>
      <c r="I1958" s="4">
        <v>6.5</v>
      </c>
      <c r="J1958" s="5">
        <v>288.19999999999999</v>
      </c>
      <c r="K1958" s="4">
        <v>13</v>
      </c>
      <c r="L1958" s="1" t="s">
        <v>46</v>
      </c>
      <c r="M1958" s="1" t="s">
        <v>47</v>
      </c>
      <c r="N1958" s="1" t="s">
        <v>13871</v>
      </c>
      <c r="O1958" s="1" t="s">
        <v>108</v>
      </c>
      <c r="P1958" s="1" t="s">
        <v>13872</v>
      </c>
      <c r="Q1958" s="1" t="s">
        <v>145</v>
      </c>
      <c r="R1958" s="1" t="s">
        <v>145</v>
      </c>
      <c r="S1958" s="8">
        <v>3.8999999999999999</v>
      </c>
      <c r="T1958" s="1" t="s">
        <v>50</v>
      </c>
      <c r="U1958" s="1"/>
      <c r="V1958" s="1"/>
      <c r="W1958" s="1"/>
      <c r="X1958" s="5">
        <v>350</v>
      </c>
      <c r="Y1958" s="7">
        <v>22173000</v>
      </c>
      <c r="Z1958" s="1"/>
      <c r="AA1958" s="1" t="s">
        <v>13855</v>
      </c>
      <c r="AB1958" s="1" t="s">
        <v>5265</v>
      </c>
      <c r="AC1958" s="1" t="s">
        <v>7759</v>
      </c>
      <c r="AD1958" s="1" t="s">
        <v>5265</v>
      </c>
      <c r="AE1958" s="1" t="s">
        <v>51</v>
      </c>
      <c r="AF1958" s="1" t="s">
        <v>51</v>
      </c>
      <c r="AG1958" s="1" t="s">
        <v>51</v>
      </c>
      <c r="AH1958" s="1"/>
      <c r="AI1958" s="1"/>
      <c r="AJ1958" s="3">
        <v>2</v>
      </c>
      <c r="AK1958" s="1" t="s">
        <v>89</v>
      </c>
      <c r="AL1958" s="3">
        <v>6</v>
      </c>
      <c r="AM1958" s="8">
        <v>12.35</v>
      </c>
      <c r="AN1958" s="1"/>
      <c r="AO1958" s="1" t="s">
        <v>13873</v>
      </c>
      <c r="AP1958" s="1" t="s">
        <v>11679</v>
      </c>
      <c r="AQ1958" s="1" t="s">
        <v>13874</v>
      </c>
      <c r="AR1958" s="1" t="s">
        <v>13875</v>
      </c>
    </row>
    <row r="1959">
      <c r="A1959" s="2">
        <f ca="1">DATE(2006,09,22)</f>
        <v>0</v>
      </c>
      <c r="B1959" s="2">
        <f ca="1">DATE(2006,12,14)</f>
        <v>0</v>
      </c>
      <c r="C1959" s="1" t="s">
        <v>13876</v>
      </c>
      <c r="D1959" s="3">
        <v>5812</v>
      </c>
      <c r="E1959" s="1" t="s">
        <v>43</v>
      </c>
      <c r="F1959" s="1" t="s">
        <v>13877</v>
      </c>
      <c r="G1959" s="1" t="s">
        <v>7882</v>
      </c>
      <c r="H1959" s="4">
        <v>0.84499999999999997</v>
      </c>
      <c r="I1959" s="4">
        <v>6.5</v>
      </c>
      <c r="J1959" s="5">
        <v>130</v>
      </c>
      <c r="K1959" s="4">
        <v>13</v>
      </c>
      <c r="L1959" s="1" t="s">
        <v>46</v>
      </c>
      <c r="M1959" s="1" t="s">
        <v>47</v>
      </c>
      <c r="N1959" s="1" t="s">
        <v>13878</v>
      </c>
      <c r="O1959" s="1" t="s">
        <v>48</v>
      </c>
      <c r="P1959" s="1" t="s">
        <v>13879</v>
      </c>
      <c r="Q1959" s="1" t="s">
        <v>145</v>
      </c>
      <c r="R1959" s="1" t="s">
        <v>145</v>
      </c>
      <c r="S1959" s="8">
        <v>3.8999999999999999</v>
      </c>
      <c r="T1959" s="1" t="s">
        <v>50</v>
      </c>
      <c r="U1959" s="1"/>
      <c r="V1959" s="1"/>
      <c r="W1959" s="1"/>
      <c r="X1959" s="5">
        <v>210</v>
      </c>
      <c r="Y1959" s="7">
        <v>5666666</v>
      </c>
      <c r="Z1959" s="7">
        <v>4333334</v>
      </c>
      <c r="AA1959" s="1" t="s">
        <v>13855</v>
      </c>
      <c r="AB1959" s="1" t="s">
        <v>13880</v>
      </c>
      <c r="AC1959" s="1" t="s">
        <v>7759</v>
      </c>
      <c r="AD1959" s="1" t="s">
        <v>13881</v>
      </c>
      <c r="AE1959" s="1" t="s">
        <v>51</v>
      </c>
      <c r="AF1959" s="1" t="s">
        <v>51</v>
      </c>
      <c r="AG1959" s="1" t="s">
        <v>51</v>
      </c>
      <c r="AH1959" s="1"/>
      <c r="AI1959" s="1"/>
      <c r="AJ1959" s="3">
        <v>2</v>
      </c>
      <c r="AK1959" s="1" t="s">
        <v>89</v>
      </c>
      <c r="AL1959" s="3">
        <v>4</v>
      </c>
      <c r="AM1959" s="8">
        <v>15.199999999999999</v>
      </c>
      <c r="AN1959" s="1"/>
      <c r="AO1959" s="1" t="s">
        <v>13882</v>
      </c>
      <c r="AP1959" s="1" t="s">
        <v>7888</v>
      </c>
      <c r="AQ1959" s="1" t="s">
        <v>13883</v>
      </c>
      <c r="AR1959" s="1" t="s">
        <v>13884</v>
      </c>
    </row>
    <row r="1960">
      <c r="A1960" s="2">
        <f ca="1">DATE(2006,09,01)</f>
        <v>0</v>
      </c>
      <c r="B1960" s="2">
        <f ca="1">DATE(2006,12,14)</f>
        <v>0</v>
      </c>
      <c r="C1960" s="1" t="s">
        <v>13885</v>
      </c>
      <c r="D1960" s="3">
        <v>3572</v>
      </c>
      <c r="E1960" s="1" t="s">
        <v>43</v>
      </c>
      <c r="F1960" s="1" t="s">
        <v>13886</v>
      </c>
      <c r="G1960" s="1" t="s">
        <v>9071</v>
      </c>
      <c r="H1960" s="4">
        <v>0.91000000000000003</v>
      </c>
      <c r="I1960" s="4">
        <v>7</v>
      </c>
      <c r="J1960" s="5">
        <v>108.59999999999999</v>
      </c>
      <c r="K1960" s="4">
        <v>13</v>
      </c>
      <c r="L1960" s="1" t="s">
        <v>46</v>
      </c>
      <c r="M1960" s="1" t="s">
        <v>47</v>
      </c>
      <c r="N1960" s="1" t="s">
        <v>13887</v>
      </c>
      <c r="O1960" s="1" t="s">
        <v>48</v>
      </c>
      <c r="P1960" s="1" t="s">
        <v>13888</v>
      </c>
      <c r="Q1960" s="1" t="s">
        <v>145</v>
      </c>
      <c r="R1960" s="1" t="s">
        <v>145</v>
      </c>
      <c r="S1960" s="6">
        <v>4.2307699999999997</v>
      </c>
      <c r="T1960" s="1" t="s">
        <v>50</v>
      </c>
      <c r="U1960" s="1"/>
      <c r="V1960" s="1"/>
      <c r="W1960" s="1"/>
      <c r="X1960" s="5">
        <v>86.299999999999997</v>
      </c>
      <c r="Y1960" s="7">
        <v>8350000</v>
      </c>
      <c r="Z1960" s="1"/>
      <c r="AA1960" s="1" t="s">
        <v>13855</v>
      </c>
      <c r="AB1960" s="1" t="s">
        <v>13889</v>
      </c>
      <c r="AC1960" s="1" t="s">
        <v>7759</v>
      </c>
      <c r="AD1960" s="1" t="s">
        <v>13890</v>
      </c>
      <c r="AE1960" s="1" t="s">
        <v>51</v>
      </c>
      <c r="AF1960" s="1" t="s">
        <v>51</v>
      </c>
      <c r="AG1960" s="1" t="s">
        <v>47</v>
      </c>
      <c r="AH1960" s="1"/>
      <c r="AI1960" s="1"/>
      <c r="AJ1960" s="3">
        <v>2</v>
      </c>
      <c r="AK1960" s="1" t="s">
        <v>89</v>
      </c>
      <c r="AL1960" s="3">
        <v>4</v>
      </c>
      <c r="AM1960" s="8">
        <v>23.100000000000001</v>
      </c>
      <c r="AN1960" s="1"/>
      <c r="AO1960" s="1" t="s">
        <v>13891</v>
      </c>
      <c r="AP1960" s="1" t="s">
        <v>4103</v>
      </c>
      <c r="AQ1960" s="1" t="s">
        <v>13892</v>
      </c>
      <c r="AR1960" s="1" t="s">
        <v>13893</v>
      </c>
    </row>
    <row r="1961">
      <c r="A1961" s="2">
        <f ca="1">DATE(2006,08,14)</f>
        <v>0</v>
      </c>
      <c r="B1961" s="2">
        <f ca="1">DATE(2006,12,14)</f>
        <v>0</v>
      </c>
      <c r="C1961" s="1" t="s">
        <v>13894</v>
      </c>
      <c r="D1961" s="3">
        <v>6726</v>
      </c>
      <c r="E1961" s="1" t="s">
        <v>744</v>
      </c>
      <c r="F1961" s="1" t="s">
        <v>13895</v>
      </c>
      <c r="G1961" s="1" t="s">
        <v>7222</v>
      </c>
      <c r="H1961" s="4">
        <v>0.35999999999999999</v>
      </c>
      <c r="I1961" s="4">
        <v>6</v>
      </c>
      <c r="J1961" s="5">
        <v>30</v>
      </c>
      <c r="K1961" s="4">
        <v>6</v>
      </c>
      <c r="L1961" s="1" t="s">
        <v>46</v>
      </c>
      <c r="M1961" s="1" t="s">
        <v>47</v>
      </c>
      <c r="N1961" s="3">
        <v>698659109</v>
      </c>
      <c r="O1961" s="1" t="s">
        <v>77</v>
      </c>
      <c r="P1961" s="1" t="s">
        <v>13896</v>
      </c>
      <c r="Q1961" s="1" t="s">
        <v>145</v>
      </c>
      <c r="R1961" s="1" t="s">
        <v>145</v>
      </c>
      <c r="S1961" s="6">
        <v>2.6666699999999999</v>
      </c>
      <c r="T1961" s="1" t="s">
        <v>50</v>
      </c>
      <c r="U1961" s="8">
        <v>6</v>
      </c>
      <c r="V1961" s="8">
        <v>6</v>
      </c>
      <c r="W1961" s="7">
        <v>5000000</v>
      </c>
      <c r="X1961" s="5">
        <v>30</v>
      </c>
      <c r="Y1961" s="7">
        <v>5000000</v>
      </c>
      <c r="Z1961" s="1"/>
      <c r="AA1961" s="2">
        <f ca="1">DATE(2009,11,28)</f>
        <v>0</v>
      </c>
      <c r="AB1961" s="4">
        <v>20</v>
      </c>
      <c r="AC1961" s="3">
        <v>1080</v>
      </c>
      <c r="AD1961" s="8">
        <v>1250000</v>
      </c>
      <c r="AE1961" s="1" t="s">
        <v>51</v>
      </c>
      <c r="AF1961" s="1" t="s">
        <v>51</v>
      </c>
      <c r="AG1961" s="1" t="s">
        <v>51</v>
      </c>
      <c r="AH1961" s="1"/>
      <c r="AI1961" s="1"/>
      <c r="AJ1961" s="3">
        <v>1</v>
      </c>
      <c r="AK1961" s="1" t="s">
        <v>52</v>
      </c>
      <c r="AL1961" s="3">
        <v>2</v>
      </c>
      <c r="AM1961" s="1"/>
      <c r="AN1961" s="1"/>
      <c r="AO1961" s="1" t="s">
        <v>13897</v>
      </c>
      <c r="AP1961" s="1" t="s">
        <v>7222</v>
      </c>
      <c r="AQ1961" s="1" t="s">
        <v>13898</v>
      </c>
      <c r="AR1961" s="1" t="s">
        <v>13896</v>
      </c>
    </row>
    <row r="1962">
      <c r="A1962" s="2">
        <f ca="1">DATE(2006,08,03)</f>
        <v>0</v>
      </c>
      <c r="B1962" s="2">
        <f ca="1">DATE(2006,12,14)</f>
        <v>0</v>
      </c>
      <c r="C1962" s="1" t="s">
        <v>13899</v>
      </c>
      <c r="D1962" s="3">
        <v>2869</v>
      </c>
      <c r="E1962" s="1" t="s">
        <v>43</v>
      </c>
      <c r="F1962" s="1" t="s">
        <v>13900</v>
      </c>
      <c r="G1962" s="1" t="s">
        <v>10770</v>
      </c>
      <c r="H1962" s="4">
        <v>0.97999999999999998</v>
      </c>
      <c r="I1962" s="8">
        <v>7</v>
      </c>
      <c r="J1962" s="5">
        <v>140</v>
      </c>
      <c r="K1962" s="4">
        <v>14</v>
      </c>
      <c r="L1962" s="1" t="s">
        <v>46</v>
      </c>
      <c r="M1962" s="1" t="s">
        <v>47</v>
      </c>
      <c r="N1962" s="1" t="s">
        <v>13901</v>
      </c>
      <c r="O1962" s="1" t="s">
        <v>48</v>
      </c>
      <c r="P1962" s="1" t="s">
        <v>13902</v>
      </c>
      <c r="Q1962" s="1" t="s">
        <v>145</v>
      </c>
      <c r="R1962" s="1" t="s">
        <v>145</v>
      </c>
      <c r="S1962" s="6">
        <v>4.1428599999999998</v>
      </c>
      <c r="T1962" s="1" t="s">
        <v>50</v>
      </c>
      <c r="U1962" s="1"/>
      <c r="V1962" s="1"/>
      <c r="W1962" s="7">
        <v>9375000</v>
      </c>
      <c r="X1962" s="1"/>
      <c r="Y1962" s="7">
        <v>10000000</v>
      </c>
      <c r="Z1962" s="1"/>
      <c r="AA1962" s="1" t="s">
        <v>13855</v>
      </c>
      <c r="AB1962" s="1" t="s">
        <v>13903</v>
      </c>
      <c r="AC1962" s="1" t="s">
        <v>7759</v>
      </c>
      <c r="AD1962" s="1" t="s">
        <v>13904</v>
      </c>
      <c r="AE1962" s="1" t="s">
        <v>51</v>
      </c>
      <c r="AF1962" s="1" t="s">
        <v>51</v>
      </c>
      <c r="AG1962" s="1" t="s">
        <v>51</v>
      </c>
      <c r="AH1962" s="1"/>
      <c r="AI1962" s="1"/>
      <c r="AJ1962" s="3">
        <v>2</v>
      </c>
      <c r="AK1962" s="1" t="s">
        <v>89</v>
      </c>
      <c r="AL1962" s="3">
        <v>4</v>
      </c>
      <c r="AM1962" s="8">
        <v>15.1</v>
      </c>
      <c r="AN1962" s="1"/>
      <c r="AO1962" s="1" t="s">
        <v>13905</v>
      </c>
      <c r="AP1962" s="1" t="s">
        <v>10777</v>
      </c>
      <c r="AQ1962" s="1" t="s">
        <v>13906</v>
      </c>
      <c r="AR1962" s="1" t="s">
        <v>13902</v>
      </c>
    </row>
    <row r="1963">
      <c r="A1963" s="2">
        <f ca="1">DATE(2006,08,10)</f>
        <v>0</v>
      </c>
      <c r="B1963" s="2">
        <f ca="1">DATE(2006,12,15)</f>
        <v>0</v>
      </c>
      <c r="C1963" s="1" t="s">
        <v>13907</v>
      </c>
      <c r="D1963" s="3">
        <v>7372</v>
      </c>
      <c r="E1963" s="1" t="s">
        <v>43</v>
      </c>
      <c r="F1963" s="1" t="s">
        <v>13908</v>
      </c>
      <c r="G1963" s="1" t="s">
        <v>13909</v>
      </c>
      <c r="H1963" s="4">
        <v>0.77000000000000002</v>
      </c>
      <c r="I1963" s="4">
        <v>7</v>
      </c>
      <c r="J1963" s="5">
        <v>82.5</v>
      </c>
      <c r="K1963" s="4">
        <v>11</v>
      </c>
      <c r="L1963" s="1" t="s">
        <v>46</v>
      </c>
      <c r="M1963" s="1" t="s">
        <v>47</v>
      </c>
      <c r="N1963" s="3">
        <v>258598101</v>
      </c>
      <c r="O1963" s="1" t="s">
        <v>48</v>
      </c>
      <c r="P1963" s="1" t="s">
        <v>13910</v>
      </c>
      <c r="Q1963" s="1" t="s">
        <v>145</v>
      </c>
      <c r="R1963" s="1" t="s">
        <v>145</v>
      </c>
      <c r="S1963" s="6">
        <v>4.1818200000000001</v>
      </c>
      <c r="T1963" s="1" t="s">
        <v>50</v>
      </c>
      <c r="U1963" s="1"/>
      <c r="V1963" s="1"/>
      <c r="W1963" s="1"/>
      <c r="X1963" s="5">
        <v>86.299999999999997</v>
      </c>
      <c r="Y1963" s="7">
        <v>5000000</v>
      </c>
      <c r="Z1963" s="7">
        <v>2500000</v>
      </c>
      <c r="AA1963" s="1" t="s">
        <v>13911</v>
      </c>
      <c r="AB1963" s="1" t="s">
        <v>13912</v>
      </c>
      <c r="AC1963" s="1" t="s">
        <v>7759</v>
      </c>
      <c r="AD1963" s="1" t="s">
        <v>13913</v>
      </c>
      <c r="AE1963" s="1" t="s">
        <v>51</v>
      </c>
      <c r="AF1963" s="1" t="s">
        <v>51</v>
      </c>
      <c r="AG1963" s="1" t="s">
        <v>47</v>
      </c>
      <c r="AH1963" s="1"/>
      <c r="AI1963" s="1"/>
      <c r="AJ1963" s="3">
        <v>2</v>
      </c>
      <c r="AK1963" s="1" t="s">
        <v>89</v>
      </c>
      <c r="AL1963" s="3">
        <v>4</v>
      </c>
      <c r="AM1963" s="8">
        <v>12.66</v>
      </c>
      <c r="AN1963" s="1"/>
      <c r="AO1963" s="1" t="s">
        <v>13914</v>
      </c>
      <c r="AP1963" s="1" t="s">
        <v>13915</v>
      </c>
      <c r="AQ1963" s="1" t="s">
        <v>13916</v>
      </c>
      <c r="AR1963" s="1" t="s">
        <v>13910</v>
      </c>
    </row>
    <row r="1964">
      <c r="A1964" s="2">
        <f ca="1">DATE(2005,10,28)</f>
        <v>0</v>
      </c>
      <c r="B1964" s="2">
        <f ca="1">DATE(2006,12,15)</f>
        <v>0</v>
      </c>
      <c r="C1964" s="1" t="s">
        <v>13917</v>
      </c>
      <c r="D1964" s="3">
        <v>6726</v>
      </c>
      <c r="E1964" s="1" t="s">
        <v>43</v>
      </c>
      <c r="F1964" s="1" t="s">
        <v>13918</v>
      </c>
      <c r="G1964" s="1" t="s">
        <v>8619</v>
      </c>
      <c r="H1964" s="1" t="s">
        <v>57</v>
      </c>
      <c r="I1964" s="1" t="s">
        <v>57</v>
      </c>
      <c r="J1964" s="5">
        <v>20</v>
      </c>
      <c r="K1964" s="4">
        <v>6</v>
      </c>
      <c r="L1964" s="1" t="s">
        <v>46</v>
      </c>
      <c r="M1964" s="1" t="s">
        <v>47</v>
      </c>
      <c r="N1964" s="1"/>
      <c r="O1964" s="1" t="s">
        <v>77</v>
      </c>
      <c r="P1964" s="1" t="s">
        <v>13919</v>
      </c>
      <c r="Q1964" s="1"/>
      <c r="R1964" s="1"/>
      <c r="S1964" s="1"/>
      <c r="T1964" s="1" t="s">
        <v>50</v>
      </c>
      <c r="U1964" s="8">
        <v>6</v>
      </c>
      <c r="V1964" s="8">
        <v>6</v>
      </c>
      <c r="W1964" s="7">
        <v>4000000</v>
      </c>
      <c r="X1964" s="5">
        <v>24</v>
      </c>
      <c r="Y1964" s="7">
        <v>3333333</v>
      </c>
      <c r="Z1964" s="1"/>
      <c r="AA1964" s="1"/>
      <c r="AB1964" s="1"/>
      <c r="AC1964" s="1"/>
      <c r="AD1964" s="1"/>
      <c r="AE1964" s="1" t="s">
        <v>51</v>
      </c>
      <c r="AF1964" s="1" t="s">
        <v>51</v>
      </c>
      <c r="AG1964" s="1" t="s">
        <v>51</v>
      </c>
      <c r="AH1964" s="1"/>
      <c r="AI1964" s="1"/>
      <c r="AJ1964" s="3">
        <v>1</v>
      </c>
      <c r="AK1964" s="1" t="s">
        <v>52</v>
      </c>
      <c r="AL1964" s="3">
        <v>5</v>
      </c>
      <c r="AM1964" s="1"/>
      <c r="AN1964" s="1"/>
      <c r="AO1964" s="1" t="s">
        <v>13920</v>
      </c>
      <c r="AP1964" s="1" t="s">
        <v>8619</v>
      </c>
      <c r="AQ1964" s="1" t="s">
        <v>13921</v>
      </c>
      <c r="AR1964" s="1" t="s">
        <v>13922</v>
      </c>
    </row>
    <row r="1965">
      <c r="A1965" s="2">
        <f ca="1">DATE(2006,08,31)</f>
        <v>0</v>
      </c>
      <c r="B1965" s="2">
        <f ca="1">DATE(2006,12,15)</f>
        <v>0</v>
      </c>
      <c r="C1965" s="1" t="s">
        <v>13923</v>
      </c>
      <c r="D1965" s="3">
        <v>6022</v>
      </c>
      <c r="E1965" s="1" t="s">
        <v>43</v>
      </c>
      <c r="F1965" s="1" t="s">
        <v>13924</v>
      </c>
      <c r="G1965" s="1" t="s">
        <v>13925</v>
      </c>
      <c r="H1965" s="4">
        <v>1.073</v>
      </c>
      <c r="I1965" s="4">
        <v>6.5</v>
      </c>
      <c r="J1965" s="5">
        <v>38</v>
      </c>
      <c r="K1965" s="4">
        <v>16.5</v>
      </c>
      <c r="L1965" s="1" t="s">
        <v>46</v>
      </c>
      <c r="M1965" s="1" t="s">
        <v>47</v>
      </c>
      <c r="N1965" s="1" t="s">
        <v>13926</v>
      </c>
      <c r="O1965" s="1" t="s">
        <v>48</v>
      </c>
      <c r="P1965" s="1" t="s">
        <v>13927</v>
      </c>
      <c r="Q1965" s="1" t="s">
        <v>145</v>
      </c>
      <c r="R1965" s="1" t="s">
        <v>145</v>
      </c>
      <c r="S1965" s="6">
        <v>3.6363599999999998</v>
      </c>
      <c r="T1965" s="1" t="s">
        <v>50</v>
      </c>
      <c r="U1965" s="1"/>
      <c r="V1965" s="1"/>
      <c r="W1965" s="1"/>
      <c r="X1965" s="5">
        <v>35</v>
      </c>
      <c r="Y1965" s="7">
        <v>2300000</v>
      </c>
      <c r="Z1965" s="1"/>
      <c r="AA1965" s="1" t="s">
        <v>13928</v>
      </c>
      <c r="AB1965" s="1" t="s">
        <v>13929</v>
      </c>
      <c r="AC1965" s="1" t="s">
        <v>12934</v>
      </c>
      <c r="AD1965" s="1" t="s">
        <v>13930</v>
      </c>
      <c r="AE1965" s="1" t="s">
        <v>51</v>
      </c>
      <c r="AF1965" s="1" t="s">
        <v>51</v>
      </c>
      <c r="AG1965" s="1" t="s">
        <v>51</v>
      </c>
      <c r="AH1965" s="1"/>
      <c r="AI1965" s="1"/>
      <c r="AJ1965" s="3">
        <v>1</v>
      </c>
      <c r="AK1965" s="1" t="s">
        <v>52</v>
      </c>
      <c r="AL1965" s="3">
        <v>1</v>
      </c>
      <c r="AM1965" s="8">
        <v>18.600000000000001</v>
      </c>
      <c r="AN1965" s="1"/>
      <c r="AO1965" s="1" t="s">
        <v>13925</v>
      </c>
      <c r="AP1965" s="1" t="s">
        <v>13925</v>
      </c>
      <c r="AQ1965" s="1" t="s">
        <v>13925</v>
      </c>
      <c r="AR1965" s="1" t="s">
        <v>13927</v>
      </c>
    </row>
    <row r="1966">
      <c r="A1966" s="2">
        <f ca="1">DATE(2006,08,07)</f>
        <v>0</v>
      </c>
      <c r="B1966" s="2">
        <f ca="1">DATE(2006,12,18)</f>
        <v>0</v>
      </c>
      <c r="C1966" s="1" t="s">
        <v>13931</v>
      </c>
      <c r="D1966" s="3">
        <v>3312</v>
      </c>
      <c r="E1966" s="1" t="s">
        <v>43</v>
      </c>
      <c r="F1966" s="1" t="s">
        <v>13932</v>
      </c>
      <c r="G1966" s="1" t="s">
        <v>3766</v>
      </c>
      <c r="H1966" s="4">
        <v>1.19</v>
      </c>
      <c r="I1966" s="8">
        <v>7</v>
      </c>
      <c r="J1966" s="5">
        <v>147.90000000000001</v>
      </c>
      <c r="K1966" s="4">
        <v>17</v>
      </c>
      <c r="L1966" s="1" t="s">
        <v>46</v>
      </c>
      <c r="M1966" s="1" t="s">
        <v>47</v>
      </c>
      <c r="N1966" s="1" t="s">
        <v>13933</v>
      </c>
      <c r="O1966" s="1" t="s">
        <v>48</v>
      </c>
      <c r="P1966" s="1" t="s">
        <v>13934</v>
      </c>
      <c r="Q1966" s="1" t="s">
        <v>145</v>
      </c>
      <c r="R1966" s="1" t="s">
        <v>145</v>
      </c>
      <c r="S1966" s="6">
        <v>4.1764700000000001</v>
      </c>
      <c r="T1966" s="1" t="s">
        <v>50</v>
      </c>
      <c r="U1966" s="1"/>
      <c r="V1966" s="1"/>
      <c r="W1966" s="1"/>
      <c r="X1966" s="5">
        <v>115</v>
      </c>
      <c r="Y1966" s="7">
        <v>6250000</v>
      </c>
      <c r="Z1966" s="7">
        <v>2450000</v>
      </c>
      <c r="AA1966" s="1" t="s">
        <v>13935</v>
      </c>
      <c r="AB1966" s="1" t="s">
        <v>13936</v>
      </c>
      <c r="AC1966" s="1" t="s">
        <v>7759</v>
      </c>
      <c r="AD1966" s="1" t="s">
        <v>13937</v>
      </c>
      <c r="AE1966" s="1" t="s">
        <v>51</v>
      </c>
      <c r="AF1966" s="1" t="s">
        <v>51</v>
      </c>
      <c r="AG1966" s="1" t="s">
        <v>51</v>
      </c>
      <c r="AH1966" s="1"/>
      <c r="AI1966" s="1"/>
      <c r="AJ1966" s="3">
        <v>1</v>
      </c>
      <c r="AK1966" s="1" t="s">
        <v>52</v>
      </c>
      <c r="AL1966" s="3">
        <v>4</v>
      </c>
      <c r="AM1966" s="8">
        <v>18.440000000000001</v>
      </c>
      <c r="AN1966" s="1"/>
      <c r="AO1966" s="1" t="s">
        <v>13938</v>
      </c>
      <c r="AP1966" s="1" t="s">
        <v>3766</v>
      </c>
      <c r="AQ1966" s="1" t="s">
        <v>13939</v>
      </c>
      <c r="AR1966" s="1" t="s">
        <v>13934</v>
      </c>
    </row>
    <row r="1967">
      <c r="A1967" s="2">
        <f ca="1">DATE(2006,11,24)</f>
        <v>0</v>
      </c>
      <c r="B1967" s="2">
        <f ca="1">DATE(2006,12,18)</f>
        <v>0</v>
      </c>
      <c r="C1967" s="1" t="s">
        <v>13940</v>
      </c>
      <c r="D1967" s="3">
        <v>3081</v>
      </c>
      <c r="E1967" s="1" t="s">
        <v>744</v>
      </c>
      <c r="F1967" s="1" t="s">
        <v>13941</v>
      </c>
      <c r="G1967" s="1" t="s">
        <v>10277</v>
      </c>
      <c r="H1967" s="4">
        <v>0.70399999999999996</v>
      </c>
      <c r="I1967" s="4">
        <v>8.5</v>
      </c>
      <c r="J1967" s="5">
        <v>31.100000000000001</v>
      </c>
      <c r="K1967" s="8">
        <v>8.2799999999999994</v>
      </c>
      <c r="L1967" s="1" t="s">
        <v>1057</v>
      </c>
      <c r="M1967" s="1" t="s">
        <v>47</v>
      </c>
      <c r="N1967" s="1"/>
      <c r="O1967" s="1" t="s">
        <v>48</v>
      </c>
      <c r="P1967" s="1" t="s">
        <v>13942</v>
      </c>
      <c r="Q1967" s="1" t="s">
        <v>145</v>
      </c>
      <c r="R1967" s="1" t="s">
        <v>145</v>
      </c>
      <c r="S1967" s="10">
        <v>4.4686000000000003</v>
      </c>
      <c r="T1967" s="1" t="s">
        <v>50</v>
      </c>
      <c r="U1967" s="8">
        <v>12</v>
      </c>
      <c r="V1967" s="8">
        <v>8</v>
      </c>
      <c r="W1967" s="7">
        <v>3750000</v>
      </c>
      <c r="X1967" s="5">
        <v>37.5</v>
      </c>
      <c r="Y1967" s="7">
        <v>3750000</v>
      </c>
      <c r="Z1967" s="1"/>
      <c r="AA1967" s="1" t="s">
        <v>13943</v>
      </c>
      <c r="AB1967" s="1" t="s">
        <v>5265</v>
      </c>
      <c r="AC1967" s="1" t="s">
        <v>8687</v>
      </c>
      <c r="AD1967" s="1" t="s">
        <v>5265</v>
      </c>
      <c r="AE1967" s="1" t="s">
        <v>51</v>
      </c>
      <c r="AF1967" s="1" t="s">
        <v>51</v>
      </c>
      <c r="AG1967" s="1" t="s">
        <v>51</v>
      </c>
      <c r="AH1967" s="1"/>
      <c r="AI1967" s="1"/>
      <c r="AJ1967" s="3">
        <v>1</v>
      </c>
      <c r="AK1967" s="1" t="s">
        <v>52</v>
      </c>
      <c r="AL1967" s="3">
        <v>3</v>
      </c>
      <c r="AM1967" s="8">
        <v>9.2899999999999991</v>
      </c>
      <c r="AN1967" s="1"/>
      <c r="AO1967" s="1" t="s">
        <v>13944</v>
      </c>
      <c r="AP1967" s="1" t="s">
        <v>10277</v>
      </c>
      <c r="AQ1967" s="1" t="s">
        <v>13945</v>
      </c>
      <c r="AR1967" s="1" t="s">
        <v>13942</v>
      </c>
    </row>
    <row r="1968">
      <c r="A1968" s="2">
        <f ca="1">DATE(2006,12,01)</f>
        <v>0</v>
      </c>
      <c r="B1968" s="2">
        <f ca="1">DATE(2006,12,18)</f>
        <v>0</v>
      </c>
      <c r="C1968" s="1" t="s">
        <v>13946</v>
      </c>
      <c r="D1968" s="3">
        <v>7011</v>
      </c>
      <c r="E1968" s="1" t="s">
        <v>845</v>
      </c>
      <c r="F1968" s="1" t="s">
        <v>13947</v>
      </c>
      <c r="G1968" s="1" t="s">
        <v>13948</v>
      </c>
      <c r="H1968" s="4">
        <v>1.2350000000000001</v>
      </c>
      <c r="I1968" s="4">
        <v>6.5</v>
      </c>
      <c r="J1968" s="9">
        <v>1144.8</v>
      </c>
      <c r="K1968" s="4">
        <v>19</v>
      </c>
      <c r="L1968" s="1" t="s">
        <v>651</v>
      </c>
      <c r="M1968" s="1" t="s">
        <v>47</v>
      </c>
      <c r="N1968" s="3">
        <v>585464100</v>
      </c>
      <c r="O1968" s="1" t="s">
        <v>48</v>
      </c>
      <c r="P1968" s="1" t="s">
        <v>13949</v>
      </c>
      <c r="Q1968" s="4">
        <v>1.3</v>
      </c>
      <c r="R1968" s="4">
        <v>1.3</v>
      </c>
      <c r="S1968" s="8">
        <v>3.8999999999999999</v>
      </c>
      <c r="T1968" s="1" t="s">
        <v>50</v>
      </c>
      <c r="U1968" s="8">
        <v>18</v>
      </c>
      <c r="V1968" s="8">
        <v>16</v>
      </c>
      <c r="W1968" s="7">
        <v>53000000</v>
      </c>
      <c r="X1968" s="5">
        <v>901</v>
      </c>
      <c r="Y1968" s="7">
        <v>60250000</v>
      </c>
      <c r="Z1968" s="1"/>
      <c r="AA1968" s="1" t="s">
        <v>13935</v>
      </c>
      <c r="AB1968" s="1" t="s">
        <v>13950</v>
      </c>
      <c r="AC1968" s="1" t="s">
        <v>7759</v>
      </c>
      <c r="AD1968" s="1" t="s">
        <v>13951</v>
      </c>
      <c r="AE1968" s="1" t="s">
        <v>47</v>
      </c>
      <c r="AF1968" s="1" t="s">
        <v>51</v>
      </c>
      <c r="AG1968" s="1" t="s">
        <v>51</v>
      </c>
      <c r="AH1968" s="1"/>
      <c r="AI1968" s="1"/>
      <c r="AJ1968" s="3">
        <v>3</v>
      </c>
      <c r="AK1968" s="1" t="s">
        <v>110</v>
      </c>
      <c r="AL1968" s="3">
        <v>7</v>
      </c>
      <c r="AM1968" s="8">
        <v>21.550000000000001</v>
      </c>
      <c r="AN1968" s="1"/>
      <c r="AO1968" s="1" t="s">
        <v>13952</v>
      </c>
      <c r="AP1968" s="1" t="s">
        <v>13953</v>
      </c>
      <c r="AQ1968" s="1" t="s">
        <v>13954</v>
      </c>
      <c r="AR1968" s="1" t="s">
        <v>13955</v>
      </c>
    </row>
    <row r="1969">
      <c r="A1969" s="2">
        <f ca="1">DATE(2006,12,06)</f>
        <v>0</v>
      </c>
      <c r="B1969" s="2">
        <f ca="1">DATE(2006,12,18)</f>
        <v>0</v>
      </c>
      <c r="C1969" s="1" t="s">
        <v>13956</v>
      </c>
      <c r="D1969" s="3">
        <v>3674</v>
      </c>
      <c r="E1969" s="1" t="s">
        <v>744</v>
      </c>
      <c r="F1969" s="1" t="s">
        <v>13957</v>
      </c>
      <c r="G1969" s="1" t="s">
        <v>45</v>
      </c>
      <c r="H1969" s="4">
        <v>1.2949999999999999</v>
      </c>
      <c r="I1969" s="8">
        <v>7</v>
      </c>
      <c r="J1969" s="5">
        <v>98.099999999999994</v>
      </c>
      <c r="K1969" s="4">
        <v>18.5</v>
      </c>
      <c r="L1969" s="1" t="s">
        <v>651</v>
      </c>
      <c r="M1969" s="1" t="s">
        <v>47</v>
      </c>
      <c r="N1969" s="1" t="s">
        <v>13958</v>
      </c>
      <c r="O1969" s="1" t="s">
        <v>108</v>
      </c>
      <c r="P1969" s="1" t="s">
        <v>13959</v>
      </c>
      <c r="Q1969" s="1" t="s">
        <v>145</v>
      </c>
      <c r="R1969" s="1" t="s">
        <v>145</v>
      </c>
      <c r="S1969" s="8">
        <v>4.2000000000000002</v>
      </c>
      <c r="T1969" s="1" t="s">
        <v>50</v>
      </c>
      <c r="U1969" s="1"/>
      <c r="V1969" s="1"/>
      <c r="W1969" s="1"/>
      <c r="X1969" s="5">
        <v>100</v>
      </c>
      <c r="Y1969" s="7">
        <v>5300000</v>
      </c>
      <c r="Z1969" s="1"/>
      <c r="AA1969" s="1" t="s">
        <v>13935</v>
      </c>
      <c r="AB1969" s="1" t="s">
        <v>5265</v>
      </c>
      <c r="AC1969" s="1" t="s">
        <v>7759</v>
      </c>
      <c r="AD1969" s="1" t="s">
        <v>5265</v>
      </c>
      <c r="AE1969" s="1" t="s">
        <v>47</v>
      </c>
      <c r="AF1969" s="1" t="s">
        <v>51</v>
      </c>
      <c r="AG1969" s="1" t="s">
        <v>47</v>
      </c>
      <c r="AH1969" s="1"/>
      <c r="AI1969" s="1"/>
      <c r="AJ1969" s="3">
        <v>1</v>
      </c>
      <c r="AK1969" s="1" t="s">
        <v>89</v>
      </c>
      <c r="AL1969" s="3">
        <v>3</v>
      </c>
      <c r="AM1969" s="8">
        <v>20.280000000000001</v>
      </c>
      <c r="AN1969" s="1"/>
      <c r="AO1969" s="1" t="s">
        <v>13960</v>
      </c>
      <c r="AP1969" s="1" t="s">
        <v>13961</v>
      </c>
      <c r="AQ1969" s="1" t="s">
        <v>13962</v>
      </c>
      <c r="AR1969" s="1" t="s">
        <v>13963</v>
      </c>
    </row>
    <row r="1970">
      <c r="A1970" s="2">
        <f ca="1">DATE(2006,05,12)</f>
        <v>0</v>
      </c>
      <c r="B1970" s="2">
        <f ca="1">DATE(2006,12,19)</f>
        <v>0</v>
      </c>
      <c r="C1970" s="1" t="s">
        <v>13964</v>
      </c>
      <c r="D1970" s="3">
        <v>8731</v>
      </c>
      <c r="E1970" s="1" t="s">
        <v>43</v>
      </c>
      <c r="F1970" s="1" t="s">
        <v>13965</v>
      </c>
      <c r="G1970" s="1" t="s">
        <v>13966</v>
      </c>
      <c r="H1970" s="4">
        <v>0.41999999999999998</v>
      </c>
      <c r="I1970" s="8">
        <v>7</v>
      </c>
      <c r="J1970" s="5">
        <v>27.600000000000001</v>
      </c>
      <c r="K1970" s="4">
        <v>6</v>
      </c>
      <c r="L1970" s="1" t="s">
        <v>46</v>
      </c>
      <c r="M1970" s="1" t="s">
        <v>47</v>
      </c>
      <c r="N1970" s="1" t="s">
        <v>13967</v>
      </c>
      <c r="O1970" s="1" t="s">
        <v>48</v>
      </c>
      <c r="P1970" s="1" t="s">
        <v>13968</v>
      </c>
      <c r="Q1970" s="1" t="s">
        <v>145</v>
      </c>
      <c r="R1970" s="1" t="s">
        <v>145</v>
      </c>
      <c r="S1970" s="6">
        <v>3.6666699999999999</v>
      </c>
      <c r="T1970" s="1" t="s">
        <v>50</v>
      </c>
      <c r="U1970" s="1"/>
      <c r="V1970" s="1"/>
      <c r="W1970" s="1"/>
      <c r="X1970" s="5">
        <v>75</v>
      </c>
      <c r="Y1970" s="7">
        <v>4600000</v>
      </c>
      <c r="Z1970" s="1"/>
      <c r="AA1970" s="1" t="s">
        <v>13969</v>
      </c>
      <c r="AB1970" s="1" t="s">
        <v>13970</v>
      </c>
      <c r="AC1970" s="1" t="s">
        <v>7759</v>
      </c>
      <c r="AD1970" s="1" t="s">
        <v>13971</v>
      </c>
      <c r="AE1970" s="1" t="s">
        <v>51</v>
      </c>
      <c r="AF1970" s="1" t="s">
        <v>51</v>
      </c>
      <c r="AG1970" s="1" t="s">
        <v>47</v>
      </c>
      <c r="AH1970" s="1"/>
      <c r="AI1970" s="1"/>
      <c r="AJ1970" s="3">
        <v>2</v>
      </c>
      <c r="AK1970" s="1" t="s">
        <v>89</v>
      </c>
      <c r="AL1970" s="3">
        <v>3</v>
      </c>
      <c r="AM1970" s="8">
        <v>7.6699999999999999</v>
      </c>
      <c r="AN1970" s="1"/>
      <c r="AO1970" s="1" t="s">
        <v>13972</v>
      </c>
      <c r="AP1970" s="1" t="s">
        <v>13973</v>
      </c>
      <c r="AQ1970" s="1" t="s">
        <v>13974</v>
      </c>
      <c r="AR1970" s="1" t="s">
        <v>13975</v>
      </c>
    </row>
    <row r="1971">
      <c r="A1971" s="2">
        <f ca="1">DATE(2006,10,03)</f>
        <v>0</v>
      </c>
      <c r="B1971" s="2">
        <f ca="1">DATE(2006,12,19)</f>
        <v>0</v>
      </c>
      <c r="C1971" s="1" t="s">
        <v>13976</v>
      </c>
      <c r="D1971" s="3">
        <v>3315</v>
      </c>
      <c r="E1971" s="1" t="s">
        <v>43</v>
      </c>
      <c r="F1971" s="1"/>
      <c r="G1971" s="1" t="s">
        <v>6552</v>
      </c>
      <c r="H1971" s="4">
        <v>0.83999999999999997</v>
      </c>
      <c r="I1971" s="8">
        <v>7</v>
      </c>
      <c r="J1971" s="5">
        <v>94.200000000000003</v>
      </c>
      <c r="K1971" s="4">
        <v>12</v>
      </c>
      <c r="L1971" s="1" t="s">
        <v>46</v>
      </c>
      <c r="M1971" s="1" t="s">
        <v>47</v>
      </c>
      <c r="N1971" s="3">
        <v>240028308</v>
      </c>
      <c r="O1971" s="1"/>
      <c r="P1971" s="1" t="s">
        <v>13977</v>
      </c>
      <c r="Q1971" s="1" t="s">
        <v>145</v>
      </c>
      <c r="R1971" s="1" t="s">
        <v>145</v>
      </c>
      <c r="S1971" s="8">
        <v>4.2000000000000002</v>
      </c>
      <c r="T1971" s="1" t="s">
        <v>50</v>
      </c>
      <c r="U1971" s="1"/>
      <c r="V1971" s="1"/>
      <c r="W1971" s="1"/>
      <c r="X1971" s="5">
        <v>150</v>
      </c>
      <c r="Y1971" s="7">
        <v>7850000</v>
      </c>
      <c r="Z1971" s="1"/>
      <c r="AA1971" s="1" t="s">
        <v>13969</v>
      </c>
      <c r="AB1971" s="1" t="s">
        <v>13978</v>
      </c>
      <c r="AC1971" s="1" t="s">
        <v>7759</v>
      </c>
      <c r="AD1971" s="1" t="s">
        <v>13979</v>
      </c>
      <c r="AE1971" s="1" t="s">
        <v>51</v>
      </c>
      <c r="AF1971" s="1" t="s">
        <v>51</v>
      </c>
      <c r="AG1971" s="1" t="s">
        <v>51</v>
      </c>
      <c r="AH1971" s="1"/>
      <c r="AI1971" s="1"/>
      <c r="AJ1971" s="3">
        <v>1</v>
      </c>
      <c r="AK1971" s="1" t="s">
        <v>52</v>
      </c>
      <c r="AL1971" s="3">
        <v>4</v>
      </c>
      <c r="AM1971" s="8">
        <v>11.5</v>
      </c>
      <c r="AN1971" s="1"/>
      <c r="AO1971" s="1" t="s">
        <v>13980</v>
      </c>
      <c r="AP1971" s="1" t="s">
        <v>6552</v>
      </c>
      <c r="AQ1971" s="1" t="s">
        <v>13981</v>
      </c>
      <c r="AR1971" s="1" t="s">
        <v>13977</v>
      </c>
    </row>
    <row r="1972">
      <c r="A1972" s="2">
        <f ca="1">DATE(2006,12,11)</f>
        <v>0</v>
      </c>
      <c r="B1972" s="2">
        <f ca="1">DATE(2006,12,19)</f>
        <v>0</v>
      </c>
      <c r="C1972" s="1" t="s">
        <v>13982</v>
      </c>
      <c r="D1972" s="3">
        <v>3674</v>
      </c>
      <c r="E1972" s="1" t="s">
        <v>744</v>
      </c>
      <c r="F1972" s="1" t="s">
        <v>13983</v>
      </c>
      <c r="G1972" s="1" t="s">
        <v>160</v>
      </c>
      <c r="H1972" s="4">
        <v>0.875</v>
      </c>
      <c r="I1972" s="4">
        <v>7</v>
      </c>
      <c r="J1972" s="5">
        <v>150</v>
      </c>
      <c r="K1972" s="4">
        <v>12.5</v>
      </c>
      <c r="L1972" s="1" t="s">
        <v>651</v>
      </c>
      <c r="M1972" s="1" t="s">
        <v>47</v>
      </c>
      <c r="N1972" s="1" t="s">
        <v>13984</v>
      </c>
      <c r="O1972" s="1" t="s">
        <v>48</v>
      </c>
      <c r="P1972" s="1" t="s">
        <v>13985</v>
      </c>
      <c r="Q1972" s="4">
        <v>1.3999999999999999</v>
      </c>
      <c r="R1972" s="4">
        <v>1.3999999999999999</v>
      </c>
      <c r="S1972" s="8">
        <v>4.2000000000000002</v>
      </c>
      <c r="T1972" s="1" t="s">
        <v>50</v>
      </c>
      <c r="U1972" s="8">
        <v>13.5</v>
      </c>
      <c r="V1972" s="8">
        <v>11.5</v>
      </c>
      <c r="W1972" s="7">
        <v>12000000</v>
      </c>
      <c r="X1972" s="5">
        <v>150</v>
      </c>
      <c r="Y1972" s="7">
        <v>12000000</v>
      </c>
      <c r="Z1972" s="1"/>
      <c r="AA1972" s="1" t="s">
        <v>13969</v>
      </c>
      <c r="AB1972" s="1" t="s">
        <v>5265</v>
      </c>
      <c r="AC1972" s="1" t="s">
        <v>7759</v>
      </c>
      <c r="AD1972" s="1" t="s">
        <v>5265</v>
      </c>
      <c r="AE1972" s="1" t="s">
        <v>47</v>
      </c>
      <c r="AF1972" s="1" t="s">
        <v>51</v>
      </c>
      <c r="AG1972" s="1" t="s">
        <v>47</v>
      </c>
      <c r="AH1972" s="1"/>
      <c r="AI1972" s="1"/>
      <c r="AJ1972" s="3">
        <v>1</v>
      </c>
      <c r="AK1972" s="1" t="s">
        <v>52</v>
      </c>
      <c r="AL1972" s="3">
        <v>2</v>
      </c>
      <c r="AM1972" s="8">
        <v>11.66</v>
      </c>
      <c r="AN1972" s="1"/>
      <c r="AO1972" s="1" t="s">
        <v>13986</v>
      </c>
      <c r="AP1972" s="1" t="s">
        <v>160</v>
      </c>
      <c r="AQ1972" s="1" t="s">
        <v>13987</v>
      </c>
      <c r="AR1972" s="1" t="s">
        <v>13988</v>
      </c>
    </row>
    <row r="1973">
      <c r="A1973" s="2">
        <f ca="1">DATE(2005,08,02)</f>
        <v>0</v>
      </c>
      <c r="B1973" s="2">
        <f ca="1">DATE(2006,12,20)</f>
        <v>0</v>
      </c>
      <c r="C1973" s="1" t="s">
        <v>13989</v>
      </c>
      <c r="D1973" s="3">
        <v>6726</v>
      </c>
      <c r="E1973" s="1" t="s">
        <v>744</v>
      </c>
      <c r="F1973" s="1" t="s">
        <v>13990</v>
      </c>
      <c r="G1973" s="1" t="s">
        <v>13991</v>
      </c>
      <c r="H1973" s="4">
        <v>0.35999999999999999</v>
      </c>
      <c r="I1973" s="4">
        <v>6</v>
      </c>
      <c r="J1973" s="5">
        <v>36</v>
      </c>
      <c r="K1973" s="4">
        <v>6</v>
      </c>
      <c r="L1973" s="1" t="s">
        <v>46</v>
      </c>
      <c r="M1973" s="1" t="s">
        <v>47</v>
      </c>
      <c r="N1973" s="3">
        <v>824564108</v>
      </c>
      <c r="O1973" s="1" t="s">
        <v>77</v>
      </c>
      <c r="P1973" s="1" t="s">
        <v>13992</v>
      </c>
      <c r="Q1973" s="1" t="s">
        <v>145</v>
      </c>
      <c r="R1973" s="1" t="s">
        <v>145</v>
      </c>
      <c r="S1973" s="6">
        <v>4.1666699999999999</v>
      </c>
      <c r="T1973" s="1" t="s">
        <v>50</v>
      </c>
      <c r="U1973" s="8">
        <v>8</v>
      </c>
      <c r="V1973" s="8">
        <v>8</v>
      </c>
      <c r="W1973" s="7">
        <v>7500000</v>
      </c>
      <c r="X1973" s="5">
        <v>60</v>
      </c>
      <c r="Y1973" s="7">
        <v>6000000</v>
      </c>
      <c r="Z1973" s="1"/>
      <c r="AA1973" s="1"/>
      <c r="AB1973" s="1"/>
      <c r="AC1973" s="1"/>
      <c r="AD1973" s="1"/>
      <c r="AE1973" s="1" t="s">
        <v>51</v>
      </c>
      <c r="AF1973" s="1" t="s">
        <v>51</v>
      </c>
      <c r="AG1973" s="1" t="s">
        <v>51</v>
      </c>
      <c r="AH1973" s="1"/>
      <c r="AI1973" s="1"/>
      <c r="AJ1973" s="3">
        <v>1</v>
      </c>
      <c r="AK1973" s="1" t="s">
        <v>52</v>
      </c>
      <c r="AL1973" s="3">
        <v>2</v>
      </c>
      <c r="AM1973" s="1"/>
      <c r="AN1973" s="1"/>
      <c r="AO1973" s="1" t="s">
        <v>13993</v>
      </c>
      <c r="AP1973" s="1" t="s">
        <v>13991</v>
      </c>
      <c r="AQ1973" s="1" t="s">
        <v>13994</v>
      </c>
      <c r="AR1973" s="1" t="s">
        <v>13995</v>
      </c>
    </row>
    <row r="1974">
      <c r="A1974" s="2">
        <f ca="1">DATE(2006,09,12)</f>
        <v>0</v>
      </c>
      <c r="B1974" s="2">
        <f ca="1">DATE(2006,12,20)</f>
        <v>0</v>
      </c>
      <c r="C1974" s="1" t="s">
        <v>13996</v>
      </c>
      <c r="D1974" s="3">
        <v>6726</v>
      </c>
      <c r="E1974" s="1" t="s">
        <v>43</v>
      </c>
      <c r="F1974" s="1" t="s">
        <v>13997</v>
      </c>
      <c r="G1974" s="1" t="s">
        <v>13998</v>
      </c>
      <c r="H1974" s="4">
        <v>0.56000000000000005</v>
      </c>
      <c r="I1974" s="4">
        <v>7</v>
      </c>
      <c r="J1974" s="5">
        <v>100</v>
      </c>
      <c r="K1974" s="4">
        <v>8</v>
      </c>
      <c r="L1974" s="1" t="s">
        <v>46</v>
      </c>
      <c r="M1974" s="1" t="s">
        <v>47</v>
      </c>
      <c r="N1974" s="1" t="s">
        <v>13999</v>
      </c>
      <c r="O1974" s="1" t="s">
        <v>87</v>
      </c>
      <c r="P1974" s="1" t="s">
        <v>14000</v>
      </c>
      <c r="Q1974" s="1" t="s">
        <v>145</v>
      </c>
      <c r="R1974" s="1" t="s">
        <v>145</v>
      </c>
      <c r="S1974" s="8">
        <v>2.75</v>
      </c>
      <c r="T1974" s="1" t="s">
        <v>50</v>
      </c>
      <c r="U1974" s="8">
        <v>8</v>
      </c>
      <c r="V1974" s="8">
        <v>8</v>
      </c>
      <c r="W1974" s="7">
        <v>18750000</v>
      </c>
      <c r="X1974" s="5">
        <v>150</v>
      </c>
      <c r="Y1974" s="7">
        <v>12500000</v>
      </c>
      <c r="Z1974" s="1"/>
      <c r="AA1974" s="1" t="s">
        <v>14001</v>
      </c>
      <c r="AB1974" s="1" t="s">
        <v>2067</v>
      </c>
      <c r="AC1974" s="1" t="s">
        <v>2068</v>
      </c>
      <c r="AD1974" s="1" t="s">
        <v>2067</v>
      </c>
      <c r="AE1974" s="1" t="s">
        <v>51</v>
      </c>
      <c r="AF1974" s="1" t="s">
        <v>51</v>
      </c>
      <c r="AG1974" s="1" t="s">
        <v>51</v>
      </c>
      <c r="AH1974" s="1"/>
      <c r="AI1974" s="1"/>
      <c r="AJ1974" s="3">
        <v>2</v>
      </c>
      <c r="AK1974" s="1" t="s">
        <v>89</v>
      </c>
      <c r="AL1974" s="3">
        <v>2</v>
      </c>
      <c r="AM1974" s="8">
        <v>7.9400000000000004</v>
      </c>
      <c r="AN1974" s="1"/>
      <c r="AO1974" s="1" t="s">
        <v>14002</v>
      </c>
      <c r="AP1974" s="1" t="s">
        <v>14003</v>
      </c>
      <c r="AQ1974" s="1" t="s">
        <v>14004</v>
      </c>
      <c r="AR1974" s="1" t="s">
        <v>14000</v>
      </c>
    </row>
    <row r="1975">
      <c r="A1975" s="2">
        <f ca="1">DATE(2006,09,12)</f>
        <v>0</v>
      </c>
      <c r="B1975" s="2">
        <f ca="1">DATE(2006,12,20)</f>
        <v>0</v>
      </c>
      <c r="C1975" s="1" t="s">
        <v>14005</v>
      </c>
      <c r="D1975" s="3">
        <v>3691</v>
      </c>
      <c r="E1975" s="1" t="s">
        <v>43</v>
      </c>
      <c r="F1975" s="1" t="s">
        <v>14006</v>
      </c>
      <c r="G1975" s="1" t="s">
        <v>14007</v>
      </c>
      <c r="H1975" s="4">
        <v>0.48999999999999999</v>
      </c>
      <c r="I1975" s="8">
        <v>7</v>
      </c>
      <c r="J1975" s="5">
        <v>21</v>
      </c>
      <c r="K1975" s="4">
        <v>7</v>
      </c>
      <c r="L1975" s="1" t="s">
        <v>46</v>
      </c>
      <c r="M1975" s="1" t="s">
        <v>47</v>
      </c>
      <c r="N1975" s="3">
        <v>913788105</v>
      </c>
      <c r="O1975" s="1" t="s">
        <v>87</v>
      </c>
      <c r="P1975" s="1" t="s">
        <v>10947</v>
      </c>
      <c r="Q1975" s="1" t="s">
        <v>145</v>
      </c>
      <c r="R1975" s="1" t="s">
        <v>145</v>
      </c>
      <c r="S1975" s="1"/>
      <c r="T1975" s="1" t="s">
        <v>50</v>
      </c>
      <c r="U1975" s="1"/>
      <c r="V1975" s="1"/>
      <c r="W1975" s="1"/>
      <c r="X1975" s="5">
        <v>27.600000000000001</v>
      </c>
      <c r="Y1975" s="7">
        <v>2000000</v>
      </c>
      <c r="Z1975" s="7">
        <v>1000000</v>
      </c>
      <c r="AA1975" s="2">
        <f ca="1">DATE(2007,12,15)</f>
        <v>0</v>
      </c>
      <c r="AB1975" s="4">
        <v>40</v>
      </c>
      <c r="AC1975" s="3">
        <v>360</v>
      </c>
      <c r="AD1975" s="8">
        <v>2000000</v>
      </c>
      <c r="AE1975" s="1" t="s">
        <v>51</v>
      </c>
      <c r="AF1975" s="1" t="s">
        <v>51</v>
      </c>
      <c r="AG1975" s="1" t="s">
        <v>51</v>
      </c>
      <c r="AH1975" s="1"/>
      <c r="AI1975" s="1"/>
      <c r="AJ1975" s="3">
        <v>2</v>
      </c>
      <c r="AK1975" s="1" t="s">
        <v>89</v>
      </c>
      <c r="AL1975" s="3">
        <v>2</v>
      </c>
      <c r="AM1975" s="8">
        <v>7.3499999999999996</v>
      </c>
      <c r="AN1975" s="1"/>
      <c r="AO1975" s="1" t="s">
        <v>14008</v>
      </c>
      <c r="AP1975" s="1" t="s">
        <v>14009</v>
      </c>
      <c r="AQ1975" s="1" t="s">
        <v>14010</v>
      </c>
      <c r="AR1975" s="1" t="s">
        <v>10947</v>
      </c>
    </row>
    <row r="1976">
      <c r="A1976" s="2">
        <f ca="1">DATE(2006,10,31)</f>
        <v>0</v>
      </c>
      <c r="B1976" s="2">
        <f ca="1">DATE(2006,12,21)</f>
        <v>0</v>
      </c>
      <c r="C1976" s="1" t="s">
        <v>14011</v>
      </c>
      <c r="D1976" s="3">
        <v>6726</v>
      </c>
      <c r="E1976" s="1" t="s">
        <v>43</v>
      </c>
      <c r="F1976" s="1" t="s">
        <v>14012</v>
      </c>
      <c r="G1976" s="1" t="s">
        <v>45</v>
      </c>
      <c r="H1976" s="4">
        <v>0.16300000000000001</v>
      </c>
      <c r="I1976" s="4">
        <v>0.65000000000000002</v>
      </c>
      <c r="J1976" s="9">
        <v>1175</v>
      </c>
      <c r="K1976" s="4">
        <v>25</v>
      </c>
      <c r="L1976" s="1" t="s">
        <v>46</v>
      </c>
      <c r="M1976" s="1" t="s">
        <v>47</v>
      </c>
      <c r="N1976" s="1" t="s">
        <v>14013</v>
      </c>
      <c r="O1976" s="1" t="s">
        <v>108</v>
      </c>
      <c r="P1976" s="1" t="s">
        <v>14014</v>
      </c>
      <c r="Q1976" s="1" t="s">
        <v>145</v>
      </c>
      <c r="R1976" s="1" t="s">
        <v>145</v>
      </c>
      <c r="S1976" s="1"/>
      <c r="T1976" s="1" t="s">
        <v>50</v>
      </c>
      <c r="U1976" s="1"/>
      <c r="V1976" s="1"/>
      <c r="W1976" s="7">
        <v>100000</v>
      </c>
      <c r="X1976" s="5">
        <v>1.5</v>
      </c>
      <c r="Y1976" s="7">
        <v>47000000</v>
      </c>
      <c r="Z1976" s="1"/>
      <c r="AA1976" s="1"/>
      <c r="AB1976" s="1"/>
      <c r="AC1976" s="1"/>
      <c r="AD1976" s="1"/>
      <c r="AE1976" s="1" t="s">
        <v>51</v>
      </c>
      <c r="AF1976" s="1" t="s">
        <v>51</v>
      </c>
      <c r="AG1976" s="1" t="s">
        <v>51</v>
      </c>
      <c r="AH1976" s="1"/>
      <c r="AI1976" s="1"/>
      <c r="AJ1976" s="3">
        <v>1</v>
      </c>
      <c r="AK1976" s="1" t="s">
        <v>52</v>
      </c>
      <c r="AL1976" s="3">
        <v>23</v>
      </c>
      <c r="AM1976" s="1"/>
      <c r="AN1976" s="1"/>
      <c r="AO1976" s="1" t="s">
        <v>14015</v>
      </c>
      <c r="AP1976" s="1" t="s">
        <v>45</v>
      </c>
      <c r="AQ1976" s="1" t="s">
        <v>14016</v>
      </c>
      <c r="AR1976" s="1" t="s">
        <v>14017</v>
      </c>
    </row>
    <row r="1977">
      <c r="A1977" s="2">
        <f ca="1">DATE(2006,08,02)</f>
        <v>0</v>
      </c>
      <c r="B1977" s="2">
        <f ca="1">DATE(2006,12,21)</f>
        <v>0</v>
      </c>
      <c r="C1977" s="1" t="s">
        <v>14018</v>
      </c>
      <c r="D1977" s="3">
        <v>6726</v>
      </c>
      <c r="E1977" s="1" t="s">
        <v>43</v>
      </c>
      <c r="F1977" s="1" t="s">
        <v>14019</v>
      </c>
      <c r="G1977" s="1" t="s">
        <v>6201</v>
      </c>
      <c r="H1977" s="4">
        <v>0.69999999999999996</v>
      </c>
      <c r="I1977" s="8">
        <v>7</v>
      </c>
      <c r="J1977" s="5">
        <v>480</v>
      </c>
      <c r="K1977" s="4">
        <v>10</v>
      </c>
      <c r="L1977" s="1" t="s">
        <v>46</v>
      </c>
      <c r="M1977" s="1" t="s">
        <v>47</v>
      </c>
      <c r="N1977" s="3">
        <v>356329201</v>
      </c>
      <c r="O1977" s="1" t="s">
        <v>87</v>
      </c>
      <c r="P1977" s="1" t="s">
        <v>14020</v>
      </c>
      <c r="Q1977" s="1" t="s">
        <v>145</v>
      </c>
      <c r="R1977" s="1" t="s">
        <v>145</v>
      </c>
      <c r="S1977" s="8">
        <v>2.1600000000000001</v>
      </c>
      <c r="T1977" s="1" t="s">
        <v>50</v>
      </c>
      <c r="U1977" s="8">
        <v>8</v>
      </c>
      <c r="V1977" s="8">
        <v>8</v>
      </c>
      <c r="W1977" s="7">
        <v>37500000</v>
      </c>
      <c r="X1977" s="5">
        <v>300</v>
      </c>
      <c r="Y1977" s="7">
        <v>48000000</v>
      </c>
      <c r="Z1977" s="1"/>
      <c r="AA1977" s="1" t="s">
        <v>14021</v>
      </c>
      <c r="AB1977" s="1" t="s">
        <v>5265</v>
      </c>
      <c r="AC1977" s="1" t="s">
        <v>13333</v>
      </c>
      <c r="AD1977" s="1" t="s">
        <v>5265</v>
      </c>
      <c r="AE1977" s="1" t="s">
        <v>51</v>
      </c>
      <c r="AF1977" s="1" t="s">
        <v>51</v>
      </c>
      <c r="AG1977" s="1" t="s">
        <v>51</v>
      </c>
      <c r="AH1977" s="1"/>
      <c r="AI1977" s="1"/>
      <c r="AJ1977" s="3">
        <v>1</v>
      </c>
      <c r="AK1977" s="1" t="s">
        <v>52</v>
      </c>
      <c r="AL1977" s="3">
        <v>2</v>
      </c>
      <c r="AM1977" s="1"/>
      <c r="AN1977" s="1"/>
      <c r="AO1977" s="1" t="s">
        <v>14022</v>
      </c>
      <c r="AP1977" s="1" t="s">
        <v>6201</v>
      </c>
      <c r="AQ1977" s="1" t="s">
        <v>14023</v>
      </c>
      <c r="AR1977" s="1" t="s">
        <v>14020</v>
      </c>
    </row>
    <row r="1978">
      <c r="A1978" s="2">
        <f ca="1">DATE(2006,11,13)</f>
        <v>0</v>
      </c>
      <c r="B1978" s="2">
        <f ca="1">DATE(2007,01,11)</f>
        <v>0</v>
      </c>
      <c r="C1978" s="1" t="s">
        <v>14024</v>
      </c>
      <c r="D1978" s="3">
        <v>1311</v>
      </c>
      <c r="E1978" s="1" t="s">
        <v>43</v>
      </c>
      <c r="F1978" s="1" t="s">
        <v>14025</v>
      </c>
      <c r="G1978" s="1" t="s">
        <v>14026</v>
      </c>
      <c r="H1978" s="4">
        <v>1.3300000000000001</v>
      </c>
      <c r="I1978" s="4">
        <v>7</v>
      </c>
      <c r="J1978" s="5">
        <v>114</v>
      </c>
      <c r="K1978" s="4">
        <v>19</v>
      </c>
      <c r="L1978" s="1" t="s">
        <v>85</v>
      </c>
      <c r="M1978" s="1" t="s">
        <v>47</v>
      </c>
      <c r="N1978" s="3">
        <v>524707304</v>
      </c>
      <c r="O1978" s="1" t="s">
        <v>48</v>
      </c>
      <c r="P1978" s="1" t="s">
        <v>14027</v>
      </c>
      <c r="Q1978" s="1" t="s">
        <v>145</v>
      </c>
      <c r="R1978" s="1" t="s">
        <v>145</v>
      </c>
      <c r="S1978" s="8">
        <v>4.2000000000000002</v>
      </c>
      <c r="T1978" s="1" t="s">
        <v>50</v>
      </c>
      <c r="U1978" s="1"/>
      <c r="V1978" s="1"/>
      <c r="W1978" s="1"/>
      <c r="X1978" s="5">
        <v>13</v>
      </c>
      <c r="Y1978" s="7">
        <v>6000000</v>
      </c>
      <c r="Z1978" s="1"/>
      <c r="AA1978" s="1" t="s">
        <v>14028</v>
      </c>
      <c r="AB1978" s="1" t="s">
        <v>5265</v>
      </c>
      <c r="AC1978" s="1" t="s">
        <v>7759</v>
      </c>
      <c r="AD1978" s="1" t="s">
        <v>5265</v>
      </c>
      <c r="AE1978" s="1" t="s">
        <v>51</v>
      </c>
      <c r="AF1978" s="1" t="s">
        <v>51</v>
      </c>
      <c r="AG1978" s="1" t="s">
        <v>51</v>
      </c>
      <c r="AH1978" s="1"/>
      <c r="AI1978" s="1"/>
      <c r="AJ1978" s="3">
        <v>2</v>
      </c>
      <c r="AK1978" s="1" t="s">
        <v>89</v>
      </c>
      <c r="AL1978" s="3">
        <v>6</v>
      </c>
      <c r="AM1978" s="8">
        <v>20.300000000000001</v>
      </c>
      <c r="AN1978" s="1"/>
      <c r="AO1978" s="1" t="s">
        <v>14029</v>
      </c>
      <c r="AP1978" s="1" t="s">
        <v>14030</v>
      </c>
      <c r="AQ1978" s="1" t="s">
        <v>14031</v>
      </c>
      <c r="AR1978" s="1" t="s">
        <v>14032</v>
      </c>
    </row>
    <row r="1979">
      <c r="A1979" s="2">
        <f ca="1">DATE(2006,08,14)</f>
        <v>0</v>
      </c>
      <c r="B1979" s="2">
        <f ca="1">DATE(2007,01,19)</f>
        <v>0</v>
      </c>
      <c r="C1979" s="1" t="s">
        <v>14033</v>
      </c>
      <c r="D1979" s="3">
        <v>1311</v>
      </c>
      <c r="E1979" s="1" t="s">
        <v>43</v>
      </c>
      <c r="F1979" s="1" t="s">
        <v>14034</v>
      </c>
      <c r="G1979" s="1" t="s">
        <v>4327</v>
      </c>
      <c r="H1979" s="4">
        <v>1.3</v>
      </c>
      <c r="I1979" s="4">
        <v>6.5</v>
      </c>
      <c r="J1979" s="5">
        <v>150</v>
      </c>
      <c r="K1979" s="4">
        <v>20</v>
      </c>
      <c r="L1979" s="1" t="s">
        <v>4422</v>
      </c>
      <c r="M1979" s="1" t="s">
        <v>47</v>
      </c>
      <c r="N1979" s="3">
        <v>553859109</v>
      </c>
      <c r="O1979" s="1" t="s">
        <v>108</v>
      </c>
      <c r="P1979" s="1" t="s">
        <v>14035</v>
      </c>
      <c r="Q1979" s="1" t="s">
        <v>145</v>
      </c>
      <c r="R1979" s="1" t="s">
        <v>145</v>
      </c>
      <c r="S1979" s="8">
        <v>0.76000000000000001</v>
      </c>
      <c r="T1979" s="1" t="s">
        <v>50</v>
      </c>
      <c r="U1979" s="1"/>
      <c r="V1979" s="1"/>
      <c r="W1979" s="7">
        <v>7500000</v>
      </c>
      <c r="X1979" s="5">
        <v>172.5</v>
      </c>
      <c r="Y1979" s="1"/>
      <c r="Z1979" s="7">
        <v>7500000</v>
      </c>
      <c r="AA1979" s="2">
        <f ca="1">DATE(2007,07,18)</f>
        <v>0</v>
      </c>
      <c r="AB1979" s="1"/>
      <c r="AC1979" s="3">
        <v>180</v>
      </c>
      <c r="AD1979" s="1"/>
      <c r="AE1979" s="1" t="s">
        <v>51</v>
      </c>
      <c r="AF1979" s="1" t="s">
        <v>51</v>
      </c>
      <c r="AG1979" s="1" t="s">
        <v>51</v>
      </c>
      <c r="AH1979" s="1"/>
      <c r="AI1979" s="1"/>
      <c r="AJ1979" s="3">
        <v>1</v>
      </c>
      <c r="AK1979" s="1" t="s">
        <v>52</v>
      </c>
      <c r="AL1979" s="3">
        <v>4</v>
      </c>
      <c r="AM1979" s="8">
        <v>22.370000000000001</v>
      </c>
      <c r="AN1979" s="1"/>
      <c r="AO1979" s="1" t="s">
        <v>14036</v>
      </c>
      <c r="AP1979" s="1" t="s">
        <v>4327</v>
      </c>
      <c r="AQ1979" s="1" t="s">
        <v>14037</v>
      </c>
      <c r="AR1979" s="1" t="s">
        <v>14035</v>
      </c>
    </row>
    <row r="1980">
      <c r="A1980" s="2">
        <f ca="1">DATE(2006,09,28)</f>
        <v>0</v>
      </c>
      <c r="B1980" s="2">
        <f ca="1">DATE(2007,01,22)</f>
        <v>0</v>
      </c>
      <c r="C1980" s="1" t="s">
        <v>14038</v>
      </c>
      <c r="D1980" s="3">
        <v>3721</v>
      </c>
      <c r="E1980" s="1" t="s">
        <v>43</v>
      </c>
      <c r="F1980" s="1" t="s">
        <v>14039</v>
      </c>
      <c r="G1980" s="1" t="s">
        <v>160</v>
      </c>
      <c r="H1980" s="4">
        <v>1.19</v>
      </c>
      <c r="I1980" s="8">
        <v>7</v>
      </c>
      <c r="J1980" s="5">
        <v>113.90000000000001</v>
      </c>
      <c r="K1980" s="4">
        <v>17</v>
      </c>
      <c r="L1980" s="1" t="s">
        <v>46</v>
      </c>
      <c r="M1980" s="1" t="s">
        <v>47</v>
      </c>
      <c r="N1980" s="1" t="s">
        <v>14040</v>
      </c>
      <c r="O1980" s="1" t="s">
        <v>48</v>
      </c>
      <c r="P1980" s="1" t="s">
        <v>14041</v>
      </c>
      <c r="Q1980" s="4">
        <v>1.3999999999999999</v>
      </c>
      <c r="R1980" s="4">
        <v>1.3999999999999999</v>
      </c>
      <c r="S1980" s="8">
        <v>4.2000000000000002</v>
      </c>
      <c r="T1980" s="1" t="s">
        <v>50</v>
      </c>
      <c r="U1980" s="1"/>
      <c r="V1980" s="1"/>
      <c r="W1980" s="1"/>
      <c r="X1980" s="5">
        <v>115</v>
      </c>
      <c r="Y1980" s="7">
        <v>4536306</v>
      </c>
      <c r="Z1980" s="7">
        <v>2163694</v>
      </c>
      <c r="AA1980" s="1" t="s">
        <v>14042</v>
      </c>
      <c r="AB1980" s="1" t="s">
        <v>14043</v>
      </c>
      <c r="AC1980" s="1" t="s">
        <v>7759</v>
      </c>
      <c r="AD1980" s="1" t="s">
        <v>14044</v>
      </c>
      <c r="AE1980" s="1" t="s">
        <v>51</v>
      </c>
      <c r="AF1980" s="1" t="s">
        <v>51</v>
      </c>
      <c r="AG1980" s="1" t="s">
        <v>47</v>
      </c>
      <c r="AH1980" s="1"/>
      <c r="AI1980" s="1"/>
      <c r="AJ1980" s="3">
        <v>1</v>
      </c>
      <c r="AK1980" s="1" t="s">
        <v>52</v>
      </c>
      <c r="AL1980" s="3">
        <v>6</v>
      </c>
      <c r="AM1980" s="8">
        <v>23.93</v>
      </c>
      <c r="AN1980" s="1"/>
      <c r="AO1980" s="1" t="s">
        <v>14045</v>
      </c>
      <c r="AP1980" s="1" t="s">
        <v>160</v>
      </c>
      <c r="AQ1980" s="1" t="s">
        <v>14046</v>
      </c>
      <c r="AR1980" s="1" t="s">
        <v>14047</v>
      </c>
    </row>
    <row r="1981">
      <c r="A1981" s="2">
        <f ca="1">DATE(2006,05,25)</f>
        <v>0</v>
      </c>
      <c r="B1981" s="2">
        <f ca="1">DATE(2007,01,23)</f>
        <v>0</v>
      </c>
      <c r="C1981" s="1" t="s">
        <v>14048</v>
      </c>
      <c r="D1981" s="3">
        <v>6726</v>
      </c>
      <c r="E1981" s="1" t="s">
        <v>744</v>
      </c>
      <c r="F1981" s="1" t="s">
        <v>14049</v>
      </c>
      <c r="G1981" s="1" t="s">
        <v>9810</v>
      </c>
      <c r="H1981" s="4">
        <v>0.56000000000000005</v>
      </c>
      <c r="I1981" s="4">
        <v>7</v>
      </c>
      <c r="J1981" s="5">
        <v>36</v>
      </c>
      <c r="K1981" s="4">
        <v>8</v>
      </c>
      <c r="L1981" s="1" t="s">
        <v>46</v>
      </c>
      <c r="M1981" s="1" t="s">
        <v>47</v>
      </c>
      <c r="N1981" s="1"/>
      <c r="O1981" s="1" t="s">
        <v>77</v>
      </c>
      <c r="P1981" s="1" t="s">
        <v>14050</v>
      </c>
      <c r="Q1981" s="1" t="s">
        <v>145</v>
      </c>
      <c r="R1981" s="1" t="s">
        <v>145</v>
      </c>
      <c r="S1981" s="8">
        <v>3</v>
      </c>
      <c r="T1981" s="1" t="s">
        <v>50</v>
      </c>
      <c r="U1981" s="8">
        <v>8</v>
      </c>
      <c r="V1981" s="8">
        <v>8</v>
      </c>
      <c r="W1981" s="7">
        <v>4500000</v>
      </c>
      <c r="X1981" s="5">
        <v>36</v>
      </c>
      <c r="Y1981" s="7">
        <v>4500000</v>
      </c>
      <c r="Z1981" s="1"/>
      <c r="AA1981" s="2">
        <f ca="1">DATE(2007,07,22)</f>
        <v>0</v>
      </c>
      <c r="AB1981" s="1"/>
      <c r="AC1981" s="3">
        <v>180</v>
      </c>
      <c r="AD1981" s="1"/>
      <c r="AE1981" s="1" t="s">
        <v>51</v>
      </c>
      <c r="AF1981" s="1" t="s">
        <v>51</v>
      </c>
      <c r="AG1981" s="1" t="s">
        <v>51</v>
      </c>
      <c r="AH1981" s="1"/>
      <c r="AI1981" s="1"/>
      <c r="AJ1981" s="3">
        <v>1</v>
      </c>
      <c r="AK1981" s="1" t="s">
        <v>52</v>
      </c>
      <c r="AL1981" s="3">
        <v>2</v>
      </c>
      <c r="AM1981" s="1"/>
      <c r="AN1981" s="1"/>
      <c r="AO1981" s="1" t="s">
        <v>14051</v>
      </c>
      <c r="AP1981" s="1" t="s">
        <v>9810</v>
      </c>
      <c r="AQ1981" s="1" t="s">
        <v>14052</v>
      </c>
      <c r="AR1981" s="1" t="s">
        <v>14053</v>
      </c>
    </row>
    <row r="1982">
      <c r="A1982" s="2">
        <f ca="1">DATE(2006,05,25)</f>
        <v>0</v>
      </c>
      <c r="B1982" s="2">
        <f ca="1">DATE(2007,01,23)</f>
        <v>0</v>
      </c>
      <c r="C1982" s="1" t="s">
        <v>14054</v>
      </c>
      <c r="D1982" s="3">
        <v>6726</v>
      </c>
      <c r="E1982" s="1" t="s">
        <v>744</v>
      </c>
      <c r="F1982" s="1" t="s">
        <v>14055</v>
      </c>
      <c r="G1982" s="1" t="s">
        <v>9810</v>
      </c>
      <c r="H1982" s="4">
        <v>0.56000000000000005</v>
      </c>
      <c r="I1982" s="4">
        <v>7</v>
      </c>
      <c r="J1982" s="5">
        <v>36</v>
      </c>
      <c r="K1982" s="4">
        <v>8</v>
      </c>
      <c r="L1982" s="1" t="s">
        <v>1057</v>
      </c>
      <c r="M1982" s="1" t="s">
        <v>47</v>
      </c>
      <c r="N1982" s="1" t="s">
        <v>14056</v>
      </c>
      <c r="O1982" s="1" t="s">
        <v>77</v>
      </c>
      <c r="P1982" s="1" t="s">
        <v>14050</v>
      </c>
      <c r="Q1982" s="1" t="s">
        <v>145</v>
      </c>
      <c r="R1982" s="1" t="s">
        <v>145</v>
      </c>
      <c r="S1982" s="8">
        <v>3</v>
      </c>
      <c r="T1982" s="1" t="s">
        <v>50</v>
      </c>
      <c r="U1982" s="8">
        <v>8</v>
      </c>
      <c r="V1982" s="8">
        <v>8</v>
      </c>
      <c r="W1982" s="7">
        <v>4500000</v>
      </c>
      <c r="X1982" s="5">
        <v>36</v>
      </c>
      <c r="Y1982" s="7">
        <v>4500000</v>
      </c>
      <c r="Z1982" s="1"/>
      <c r="AA1982" s="2">
        <f ca="1">DATE(2007,07,22)</f>
        <v>0</v>
      </c>
      <c r="AB1982" s="1"/>
      <c r="AC1982" s="3">
        <v>180</v>
      </c>
      <c r="AD1982" s="1"/>
      <c r="AE1982" s="1" t="s">
        <v>51</v>
      </c>
      <c r="AF1982" s="1" t="s">
        <v>51</v>
      </c>
      <c r="AG1982" s="1" t="s">
        <v>51</v>
      </c>
      <c r="AH1982" s="1"/>
      <c r="AI1982" s="1"/>
      <c r="AJ1982" s="3">
        <v>1</v>
      </c>
      <c r="AK1982" s="1" t="s">
        <v>52</v>
      </c>
      <c r="AL1982" s="3">
        <v>2</v>
      </c>
      <c r="AM1982" s="1"/>
      <c r="AN1982" s="1"/>
      <c r="AO1982" s="1" t="s">
        <v>14051</v>
      </c>
      <c r="AP1982" s="1" t="s">
        <v>9810</v>
      </c>
      <c r="AQ1982" s="1" t="s">
        <v>14052</v>
      </c>
      <c r="AR1982" s="1" t="s">
        <v>14053</v>
      </c>
    </row>
    <row r="1983">
      <c r="A1983" s="2">
        <f ca="1">DATE(2006,09,19)</f>
        <v>0</v>
      </c>
      <c r="B1983" s="2">
        <f ca="1">DATE(2007,01,24)</f>
        <v>0</v>
      </c>
      <c r="C1983" s="1" t="s">
        <v>14057</v>
      </c>
      <c r="D1983" s="3">
        <v>6531</v>
      </c>
      <c r="E1983" s="1" t="s">
        <v>43</v>
      </c>
      <c r="F1983" s="1" t="s">
        <v>14058</v>
      </c>
      <c r="G1983" s="1" t="s">
        <v>14059</v>
      </c>
      <c r="H1983" s="4">
        <v>0.69999999999999996</v>
      </c>
      <c r="I1983" s="8">
        <v>7</v>
      </c>
      <c r="J1983" s="5">
        <v>370</v>
      </c>
      <c r="K1983" s="4">
        <v>10</v>
      </c>
      <c r="L1983" s="1" t="s">
        <v>46</v>
      </c>
      <c r="M1983" s="1" t="s">
        <v>47</v>
      </c>
      <c r="N1983" s="3">
        <v>590473104</v>
      </c>
      <c r="O1983" s="1" t="s">
        <v>48</v>
      </c>
      <c r="P1983" s="1" t="s">
        <v>14060</v>
      </c>
      <c r="Q1983" s="1" t="s">
        <v>145</v>
      </c>
      <c r="R1983" s="1" t="s">
        <v>145</v>
      </c>
      <c r="S1983" s="8">
        <v>3.75</v>
      </c>
      <c r="T1983" s="1" t="s">
        <v>50</v>
      </c>
      <c r="U1983" s="1"/>
      <c r="V1983" s="1"/>
      <c r="W1983" s="7">
        <v>40000000</v>
      </c>
      <c r="X1983" s="5">
        <v>500</v>
      </c>
      <c r="Y1983" s="7">
        <v>37000000</v>
      </c>
      <c r="Z1983" s="1"/>
      <c r="AA1983" s="1" t="s">
        <v>14061</v>
      </c>
      <c r="AB1983" s="1" t="s">
        <v>2067</v>
      </c>
      <c r="AC1983" s="1" t="s">
        <v>6689</v>
      </c>
      <c r="AD1983" s="1" t="s">
        <v>2067</v>
      </c>
      <c r="AE1983" s="1" t="s">
        <v>51</v>
      </c>
      <c r="AF1983" s="1" t="s">
        <v>51</v>
      </c>
      <c r="AG1983" s="1" t="s">
        <v>51</v>
      </c>
      <c r="AH1983" s="1"/>
      <c r="AI1983" s="1"/>
      <c r="AJ1983" s="3">
        <v>2</v>
      </c>
      <c r="AK1983" s="1" t="s">
        <v>89</v>
      </c>
      <c r="AL1983" s="3">
        <v>7</v>
      </c>
      <c r="AM1983" s="8">
        <v>10.6</v>
      </c>
      <c r="AN1983" s="1"/>
      <c r="AO1983" s="1" t="s">
        <v>14062</v>
      </c>
      <c r="AP1983" s="1" t="s">
        <v>14063</v>
      </c>
      <c r="AQ1983" s="1" t="s">
        <v>14064</v>
      </c>
      <c r="AR1983" s="1" t="s">
        <v>14065</v>
      </c>
    </row>
    <row r="1984">
      <c r="A1984" s="2">
        <f ca="1">DATE(2006,11,13)</f>
        <v>0</v>
      </c>
      <c r="B1984" s="2">
        <f ca="1">DATE(2007,01,25)</f>
        <v>0</v>
      </c>
      <c r="C1984" s="1" t="s">
        <v>14066</v>
      </c>
      <c r="D1984" s="3">
        <v>6726</v>
      </c>
      <c r="E1984" s="1" t="s">
        <v>43</v>
      </c>
      <c r="F1984" s="1" t="s">
        <v>14067</v>
      </c>
      <c r="G1984" s="1" t="s">
        <v>3332</v>
      </c>
      <c r="H1984" s="4">
        <v>0.90000000000000002</v>
      </c>
      <c r="I1984" s="4">
        <v>4.5</v>
      </c>
      <c r="J1984" s="9">
        <v>3520</v>
      </c>
      <c r="K1984" s="4">
        <v>20</v>
      </c>
      <c r="L1984" s="1" t="s">
        <v>4851</v>
      </c>
      <c r="M1984" s="1" t="s">
        <v>47</v>
      </c>
      <c r="N1984" s="1" t="s">
        <v>14068</v>
      </c>
      <c r="O1984" s="1" t="s">
        <v>108</v>
      </c>
      <c r="P1984" s="1" t="s">
        <v>14069</v>
      </c>
      <c r="Q1984" s="1" t="s">
        <v>145</v>
      </c>
      <c r="R1984" s="1" t="s">
        <v>145</v>
      </c>
      <c r="S1984" s="8">
        <v>3</v>
      </c>
      <c r="T1984" s="1" t="s">
        <v>50</v>
      </c>
      <c r="U1984" s="8">
        <v>20</v>
      </c>
      <c r="V1984" s="8">
        <v>20</v>
      </c>
      <c r="W1984" s="7">
        <v>50000</v>
      </c>
      <c r="X1984" s="5">
        <v>1</v>
      </c>
      <c r="Y1984" s="7">
        <v>176000000</v>
      </c>
      <c r="Z1984" s="1"/>
      <c r="AA1984" s="2">
        <f ca="1">DATE(2007,03,11)</f>
        <v>0</v>
      </c>
      <c r="AB1984" s="1"/>
      <c r="AC1984" s="3">
        <v>45</v>
      </c>
      <c r="AD1984" s="1"/>
      <c r="AE1984" s="1" t="s">
        <v>51</v>
      </c>
      <c r="AF1984" s="1" t="s">
        <v>51</v>
      </c>
      <c r="AG1984" s="1" t="s">
        <v>51</v>
      </c>
      <c r="AH1984" s="1"/>
      <c r="AI1984" s="1"/>
      <c r="AJ1984" s="3">
        <v>1</v>
      </c>
      <c r="AK1984" s="1" t="s">
        <v>52</v>
      </c>
      <c r="AL1984" s="3">
        <v>17</v>
      </c>
      <c r="AM1984" s="8">
        <v>20.5</v>
      </c>
      <c r="AN1984" s="1"/>
      <c r="AO1984" s="1" t="s">
        <v>14070</v>
      </c>
      <c r="AP1984" s="1" t="s">
        <v>3332</v>
      </c>
      <c r="AQ1984" s="1" t="s">
        <v>14071</v>
      </c>
      <c r="AR1984" s="1" t="s">
        <v>14072</v>
      </c>
    </row>
    <row r="1985">
      <c r="A1985" s="2">
        <f ca="1">DATE(2006,11,17)</f>
        <v>0</v>
      </c>
      <c r="B1985" s="2">
        <f ca="1">DATE(2007,01,25)</f>
        <v>0</v>
      </c>
      <c r="C1985" s="1" t="s">
        <v>14073</v>
      </c>
      <c r="D1985" s="3">
        <v>6726</v>
      </c>
      <c r="E1985" s="1" t="s">
        <v>43</v>
      </c>
      <c r="F1985" s="1" t="s">
        <v>14074</v>
      </c>
      <c r="G1985" s="1" t="s">
        <v>45</v>
      </c>
      <c r="H1985" s="4">
        <v>0.90000000000000002</v>
      </c>
      <c r="I1985" s="4">
        <v>4.5</v>
      </c>
      <c r="J1985" s="5">
        <v>335</v>
      </c>
      <c r="K1985" s="4">
        <v>20</v>
      </c>
      <c r="L1985" s="1" t="s">
        <v>46</v>
      </c>
      <c r="M1985" s="1" t="s">
        <v>47</v>
      </c>
      <c r="N1985" s="1" t="s">
        <v>14075</v>
      </c>
      <c r="O1985" s="1" t="s">
        <v>48</v>
      </c>
      <c r="P1985" s="1" t="s">
        <v>14076</v>
      </c>
      <c r="Q1985" s="4">
        <v>1</v>
      </c>
      <c r="R1985" s="4">
        <v>0.5</v>
      </c>
      <c r="S1985" s="8">
        <v>3</v>
      </c>
      <c r="T1985" s="1" t="s">
        <v>50</v>
      </c>
      <c r="U1985" s="8">
        <v>20</v>
      </c>
      <c r="V1985" s="8">
        <v>20</v>
      </c>
      <c r="W1985" s="7">
        <v>50000</v>
      </c>
      <c r="X1985" s="5">
        <v>1</v>
      </c>
      <c r="Y1985" s="7">
        <v>16750000</v>
      </c>
      <c r="Z1985" s="1"/>
      <c r="AA1985" s="1"/>
      <c r="AB1985" s="1"/>
      <c r="AC1985" s="1"/>
      <c r="AD1985" s="1"/>
      <c r="AE1985" s="1" t="s">
        <v>51</v>
      </c>
      <c r="AF1985" s="1" t="s">
        <v>51</v>
      </c>
      <c r="AG1985" s="1" t="s">
        <v>51</v>
      </c>
      <c r="AH1985" s="1"/>
      <c r="AI1985" s="1"/>
      <c r="AJ1985" s="3">
        <v>1</v>
      </c>
      <c r="AK1985" s="1" t="s">
        <v>52</v>
      </c>
      <c r="AL1985" s="3">
        <v>17</v>
      </c>
      <c r="AM1985" s="8">
        <v>20</v>
      </c>
      <c r="AN1985" s="1"/>
      <c r="AO1985" s="1" t="s">
        <v>14077</v>
      </c>
      <c r="AP1985" s="1" t="s">
        <v>45</v>
      </c>
      <c r="AQ1985" s="1" t="s">
        <v>14078</v>
      </c>
      <c r="AR1985" s="1" t="s">
        <v>14079</v>
      </c>
    </row>
    <row r="1986">
      <c r="A1986" s="2">
        <f ca="1">DATE(2006,10,20)</f>
        <v>0</v>
      </c>
      <c r="B1986" s="2">
        <f ca="1">DATE(2007,01,26)</f>
        <v>0</v>
      </c>
      <c r="C1986" s="1" t="s">
        <v>14080</v>
      </c>
      <c r="D1986" s="3">
        <v>6726</v>
      </c>
      <c r="E1986" s="1" t="s">
        <v>43</v>
      </c>
      <c r="F1986" s="1" t="s">
        <v>14081</v>
      </c>
      <c r="G1986" s="1" t="s">
        <v>45</v>
      </c>
      <c r="H1986" s="4">
        <v>0.90000000000000002</v>
      </c>
      <c r="I1986" s="4">
        <v>4.5</v>
      </c>
      <c r="J1986" s="5">
        <v>375</v>
      </c>
      <c r="K1986" s="4">
        <v>20</v>
      </c>
      <c r="L1986" s="1" t="s">
        <v>4422</v>
      </c>
      <c r="M1986" s="1" t="s">
        <v>47</v>
      </c>
      <c r="N1986" s="1" t="s">
        <v>14082</v>
      </c>
      <c r="O1986" s="1" t="s">
        <v>108</v>
      </c>
      <c r="P1986" s="1" t="s">
        <v>14083</v>
      </c>
      <c r="Q1986" s="4">
        <v>1</v>
      </c>
      <c r="R1986" s="4">
        <v>0.5</v>
      </c>
      <c r="S1986" s="8">
        <v>3</v>
      </c>
      <c r="T1986" s="1" t="s">
        <v>50</v>
      </c>
      <c r="U1986" s="8">
        <v>20</v>
      </c>
      <c r="V1986" s="8">
        <v>20</v>
      </c>
      <c r="W1986" s="7">
        <v>100000</v>
      </c>
      <c r="X1986" s="5">
        <v>2</v>
      </c>
      <c r="Y1986" s="7">
        <v>18750000</v>
      </c>
      <c r="Z1986" s="1"/>
      <c r="AA1986" s="2">
        <f ca="1">DATE(2007,07,25)</f>
        <v>0</v>
      </c>
      <c r="AB1986" s="1"/>
      <c r="AC1986" s="3">
        <v>180</v>
      </c>
      <c r="AD1986" s="1"/>
      <c r="AE1986" s="1" t="s">
        <v>51</v>
      </c>
      <c r="AF1986" s="1" t="s">
        <v>51</v>
      </c>
      <c r="AG1986" s="1" t="s">
        <v>51</v>
      </c>
      <c r="AH1986" s="1"/>
      <c r="AI1986" s="1"/>
      <c r="AJ1986" s="3">
        <v>1</v>
      </c>
      <c r="AK1986" s="1" t="s">
        <v>52</v>
      </c>
      <c r="AL1986" s="3">
        <v>13</v>
      </c>
      <c r="AM1986" s="1"/>
      <c r="AN1986" s="1"/>
      <c r="AO1986" s="1" t="s">
        <v>14084</v>
      </c>
      <c r="AP1986" s="1" t="s">
        <v>45</v>
      </c>
      <c r="AQ1986" s="1" t="s">
        <v>14085</v>
      </c>
      <c r="AR1986" s="1" t="s">
        <v>14086</v>
      </c>
    </row>
    <row r="1987">
      <c r="A1987" s="2">
        <f ca="1">DATE(2006,09,18)</f>
        <v>0</v>
      </c>
      <c r="B1987" s="2">
        <f ca="1">DATE(2007,01,26)</f>
        <v>0</v>
      </c>
      <c r="C1987" s="1" t="s">
        <v>14087</v>
      </c>
      <c r="D1987" s="3">
        <v>3841</v>
      </c>
      <c r="E1987" s="1" t="s">
        <v>43</v>
      </c>
      <c r="F1987" s="1" t="s">
        <v>14088</v>
      </c>
      <c r="G1987" s="1" t="s">
        <v>1048</v>
      </c>
      <c r="H1987" s="4">
        <v>0.56000000000000005</v>
      </c>
      <c r="I1987" s="4">
        <v>7</v>
      </c>
      <c r="J1987" s="5">
        <v>24.199999999999999</v>
      </c>
      <c r="K1987" s="4">
        <v>8</v>
      </c>
      <c r="L1987" s="1" t="s">
        <v>46</v>
      </c>
      <c r="M1987" s="1" t="s">
        <v>47</v>
      </c>
      <c r="N1987" s="1" t="s">
        <v>14089</v>
      </c>
      <c r="O1987" s="1" t="s">
        <v>48</v>
      </c>
      <c r="P1987" s="1" t="s">
        <v>14090</v>
      </c>
      <c r="Q1987" s="1" t="s">
        <v>145</v>
      </c>
      <c r="R1987" s="1" t="s">
        <v>145</v>
      </c>
      <c r="S1987" s="8">
        <v>3.5</v>
      </c>
      <c r="T1987" s="1" t="s">
        <v>50</v>
      </c>
      <c r="U1987" s="1"/>
      <c r="V1987" s="1"/>
      <c r="W1987" s="1"/>
      <c r="X1987" s="5">
        <v>80.5</v>
      </c>
      <c r="Y1987" s="7">
        <v>3025000</v>
      </c>
      <c r="Z1987" s="1"/>
      <c r="AA1987" s="1" t="s">
        <v>14091</v>
      </c>
      <c r="AB1987" s="1" t="s">
        <v>5265</v>
      </c>
      <c r="AC1987" s="1" t="s">
        <v>7759</v>
      </c>
      <c r="AD1987" s="1" t="s">
        <v>5265</v>
      </c>
      <c r="AE1987" s="1" t="s">
        <v>51</v>
      </c>
      <c r="AF1987" s="1" t="s">
        <v>51</v>
      </c>
      <c r="AG1987" s="1" t="s">
        <v>47</v>
      </c>
      <c r="AH1987" s="1"/>
      <c r="AI1987" s="1"/>
      <c r="AJ1987" s="3">
        <v>1</v>
      </c>
      <c r="AK1987" s="1" t="s">
        <v>52</v>
      </c>
      <c r="AL1987" s="3">
        <v>3</v>
      </c>
      <c r="AM1987" s="8">
        <v>7.8899999999999997</v>
      </c>
      <c r="AN1987" s="1"/>
      <c r="AO1987" s="1" t="s">
        <v>14092</v>
      </c>
      <c r="AP1987" s="1" t="s">
        <v>1048</v>
      </c>
      <c r="AQ1987" s="1" t="s">
        <v>14093</v>
      </c>
      <c r="AR1987" s="1" t="s">
        <v>14090</v>
      </c>
    </row>
    <row r="1988">
      <c r="A1988" s="2">
        <f ca="1">DATE(2006,05,24)</f>
        <v>0</v>
      </c>
      <c r="B1988" s="2">
        <f ca="1">DATE(2007,01,29)</f>
        <v>0</v>
      </c>
      <c r="C1988" s="1" t="s">
        <v>14094</v>
      </c>
      <c r="D1988" s="3">
        <v>6726</v>
      </c>
      <c r="E1988" s="1" t="s">
        <v>43</v>
      </c>
      <c r="F1988" s="1" t="s">
        <v>14095</v>
      </c>
      <c r="G1988" s="1" t="s">
        <v>10946</v>
      </c>
      <c r="H1988" s="4">
        <v>0.28000000000000003</v>
      </c>
      <c r="I1988" s="4">
        <v>4.6669999999999998</v>
      </c>
      <c r="J1988" s="5">
        <v>93.599999999999994</v>
      </c>
      <c r="K1988" s="4">
        <v>6</v>
      </c>
      <c r="L1988" s="1" t="s">
        <v>31</v>
      </c>
      <c r="M1988" s="1" t="s">
        <v>47</v>
      </c>
      <c r="N1988" s="1" t="s">
        <v>14096</v>
      </c>
      <c r="O1988" s="1" t="s">
        <v>87</v>
      </c>
      <c r="P1988" s="1" t="s">
        <v>14097</v>
      </c>
      <c r="Q1988" s="1" t="s">
        <v>145</v>
      </c>
      <c r="R1988" s="1" t="s">
        <v>145</v>
      </c>
      <c r="S1988" s="8">
        <v>3</v>
      </c>
      <c r="T1988" s="1" t="s">
        <v>50</v>
      </c>
      <c r="U1988" s="8">
        <v>6</v>
      </c>
      <c r="V1988" s="8">
        <v>6</v>
      </c>
      <c r="W1988" s="7">
        <v>14500000</v>
      </c>
      <c r="X1988" s="5">
        <v>87</v>
      </c>
      <c r="Y1988" s="7">
        <v>15600000</v>
      </c>
      <c r="Z1988" s="1"/>
      <c r="AA1988" s="2">
        <f ca="1">DATE(2007,07,28)</f>
        <v>0</v>
      </c>
      <c r="AB1988" s="1"/>
      <c r="AC1988" s="3">
        <v>180</v>
      </c>
      <c r="AD1988" s="1"/>
      <c r="AE1988" s="1" t="s">
        <v>51</v>
      </c>
      <c r="AF1988" s="1" t="s">
        <v>51</v>
      </c>
      <c r="AG1988" s="1" t="s">
        <v>51</v>
      </c>
      <c r="AH1988" s="1"/>
      <c r="AI1988" s="1"/>
      <c r="AJ1988" s="3">
        <v>1</v>
      </c>
      <c r="AK1988" s="1" t="s">
        <v>52</v>
      </c>
      <c r="AL1988" s="3">
        <v>2</v>
      </c>
      <c r="AM1988" s="8">
        <v>6.0300000000000002</v>
      </c>
      <c r="AN1988" s="1"/>
      <c r="AO1988" s="1" t="s">
        <v>14098</v>
      </c>
      <c r="AP1988" s="1" t="s">
        <v>10946</v>
      </c>
      <c r="AQ1988" s="1" t="s">
        <v>14099</v>
      </c>
      <c r="AR1988" s="1" t="s">
        <v>14097</v>
      </c>
    </row>
    <row r="1989">
      <c r="A1989" s="2">
        <f ca="1">DATE(2006,09,28)</f>
        <v>0</v>
      </c>
      <c r="B1989" s="2">
        <f ca="1">DATE(2007,01,30)</f>
        <v>0</v>
      </c>
      <c r="C1989" s="1" t="s">
        <v>14100</v>
      </c>
      <c r="D1989" s="3">
        <v>5191</v>
      </c>
      <c r="E1989" s="1" t="s">
        <v>43</v>
      </c>
      <c r="F1989" s="1" t="s">
        <v>14101</v>
      </c>
      <c r="G1989" s="1" t="s">
        <v>400</v>
      </c>
      <c r="H1989" s="4">
        <v>0.77000000000000002</v>
      </c>
      <c r="I1989" s="4">
        <v>7</v>
      </c>
      <c r="J1989" s="5">
        <v>129.80000000000001</v>
      </c>
      <c r="K1989" s="4">
        <v>11</v>
      </c>
      <c r="L1989" s="1" t="s">
        <v>46</v>
      </c>
      <c r="M1989" s="1" t="s">
        <v>47</v>
      </c>
      <c r="N1989" s="1" t="s">
        <v>14102</v>
      </c>
      <c r="O1989" s="1" t="s">
        <v>48</v>
      </c>
      <c r="P1989" s="1" t="s">
        <v>14103</v>
      </c>
      <c r="Q1989" s="1" t="s">
        <v>145</v>
      </c>
      <c r="R1989" s="1" t="s">
        <v>145</v>
      </c>
      <c r="S1989" s="6">
        <v>0.90908999999999995</v>
      </c>
      <c r="T1989" s="1" t="s">
        <v>50</v>
      </c>
      <c r="U1989" s="1"/>
      <c r="V1989" s="1"/>
      <c r="W1989" s="1"/>
      <c r="X1989" s="5">
        <v>155.30000000000001</v>
      </c>
      <c r="Y1989" s="7">
        <v>9100000</v>
      </c>
      <c r="Z1989" s="7">
        <v>2700000</v>
      </c>
      <c r="AA1989" s="1" t="s">
        <v>14104</v>
      </c>
      <c r="AB1989" s="1" t="s">
        <v>5265</v>
      </c>
      <c r="AC1989" s="1" t="s">
        <v>7759</v>
      </c>
      <c r="AD1989" s="1" t="s">
        <v>5265</v>
      </c>
      <c r="AE1989" s="1" t="s">
        <v>51</v>
      </c>
      <c r="AF1989" s="1" t="s">
        <v>51</v>
      </c>
      <c r="AG1989" s="1" t="s">
        <v>51</v>
      </c>
      <c r="AH1989" s="1"/>
      <c r="AI1989" s="1"/>
      <c r="AJ1989" s="3">
        <v>1</v>
      </c>
      <c r="AK1989" s="1" t="s">
        <v>52</v>
      </c>
      <c r="AL1989" s="3">
        <v>4</v>
      </c>
      <c r="AM1989" s="8">
        <v>12.449999999999999</v>
      </c>
      <c r="AN1989" s="1"/>
      <c r="AO1989" s="1" t="s">
        <v>14105</v>
      </c>
      <c r="AP1989" s="1" t="s">
        <v>400</v>
      </c>
      <c r="AQ1989" s="1" t="s">
        <v>14106</v>
      </c>
      <c r="AR1989" s="1" t="s">
        <v>14107</v>
      </c>
    </row>
    <row r="1990">
      <c r="A1990" s="2">
        <f ca="1">DATE(2006,11,02)</f>
        <v>0</v>
      </c>
      <c r="B1990" s="2">
        <f ca="1">DATE(2007,01,30)</f>
        <v>0</v>
      </c>
      <c r="C1990" s="1" t="s">
        <v>14108</v>
      </c>
      <c r="D1990" s="3">
        <v>4924</v>
      </c>
      <c r="E1990" s="1" t="s">
        <v>43</v>
      </c>
      <c r="F1990" s="1" t="s">
        <v>14109</v>
      </c>
      <c r="G1990" s="1" t="s">
        <v>13710</v>
      </c>
      <c r="H1990" s="4">
        <v>1.26</v>
      </c>
      <c r="I1990" s="4">
        <v>6</v>
      </c>
      <c r="J1990" s="5">
        <v>273</v>
      </c>
      <c r="K1990" s="4">
        <v>21</v>
      </c>
      <c r="L1990" s="1" t="s">
        <v>85</v>
      </c>
      <c r="M1990" s="1" t="s">
        <v>47</v>
      </c>
      <c r="N1990" s="3">
        <v>265026104</v>
      </c>
      <c r="O1990" s="1" t="s">
        <v>108</v>
      </c>
      <c r="P1990" s="1" t="s">
        <v>14110</v>
      </c>
      <c r="Q1990" s="1" t="s">
        <v>145</v>
      </c>
      <c r="R1990" s="1" t="s">
        <v>145</v>
      </c>
      <c r="S1990" s="6">
        <v>3.6190500000000001</v>
      </c>
      <c r="T1990" s="1" t="s">
        <v>50</v>
      </c>
      <c r="U1990" s="1"/>
      <c r="V1990" s="1"/>
      <c r="W1990" s="7">
        <v>13000000</v>
      </c>
      <c r="X1990" s="1"/>
      <c r="Y1990" s="7">
        <v>13000000</v>
      </c>
      <c r="Z1990" s="1"/>
      <c r="AA1990" s="1" t="s">
        <v>14111</v>
      </c>
      <c r="AB1990" s="1" t="s">
        <v>2067</v>
      </c>
      <c r="AC1990" s="1" t="s">
        <v>2068</v>
      </c>
      <c r="AD1990" s="1" t="s">
        <v>2067</v>
      </c>
      <c r="AE1990" s="1" t="s">
        <v>51</v>
      </c>
      <c r="AF1990" s="1" t="s">
        <v>51</v>
      </c>
      <c r="AG1990" s="1" t="s">
        <v>51</v>
      </c>
      <c r="AH1990" s="1"/>
      <c r="AI1990" s="1"/>
      <c r="AJ1990" s="3">
        <v>2</v>
      </c>
      <c r="AK1990" s="1" t="s">
        <v>89</v>
      </c>
      <c r="AL1990" s="3">
        <v>15</v>
      </c>
      <c r="AM1990" s="8">
        <v>23.050000000000001</v>
      </c>
      <c r="AN1990" s="1"/>
      <c r="AO1990" s="1" t="s">
        <v>14112</v>
      </c>
      <c r="AP1990" s="1" t="s">
        <v>7028</v>
      </c>
      <c r="AQ1990" s="1" t="s">
        <v>14113</v>
      </c>
      <c r="AR1990" s="1" t="s">
        <v>14114</v>
      </c>
    </row>
    <row r="1991">
      <c r="A1991" s="2">
        <f ca="1">DATE(2006,12,04)</f>
        <v>0</v>
      </c>
      <c r="B1991" s="2">
        <f ca="1">DATE(2007,01,30)</f>
        <v>0</v>
      </c>
      <c r="C1991" s="1" t="s">
        <v>14115</v>
      </c>
      <c r="D1991" s="3">
        <v>6331</v>
      </c>
      <c r="E1991" s="1" t="s">
        <v>43</v>
      </c>
      <c r="F1991" s="1" t="s">
        <v>14116</v>
      </c>
      <c r="G1991" s="1" t="s">
        <v>796</v>
      </c>
      <c r="H1991" s="4">
        <v>1.105</v>
      </c>
      <c r="I1991" s="4">
        <v>6.5</v>
      </c>
      <c r="J1991" s="5">
        <v>454.80000000000001</v>
      </c>
      <c r="K1991" s="4">
        <v>17</v>
      </c>
      <c r="L1991" s="1" t="s">
        <v>46</v>
      </c>
      <c r="M1991" s="1" t="s">
        <v>47</v>
      </c>
      <c r="N1991" s="3">
        <v>292218104</v>
      </c>
      <c r="O1991" s="1" t="s">
        <v>108</v>
      </c>
      <c r="P1991" s="1" t="s">
        <v>14117</v>
      </c>
      <c r="Q1991" s="1" t="s">
        <v>145</v>
      </c>
      <c r="R1991" s="1" t="s">
        <v>145</v>
      </c>
      <c r="S1991" s="6">
        <v>3.8823500000000002</v>
      </c>
      <c r="T1991" s="1" t="s">
        <v>50</v>
      </c>
      <c r="U1991" s="1"/>
      <c r="V1991" s="1"/>
      <c r="W1991" s="1"/>
      <c r="X1991" s="5">
        <v>288</v>
      </c>
      <c r="Y1991" s="7">
        <v>26750000</v>
      </c>
      <c r="Z1991" s="1"/>
      <c r="AA1991" s="1" t="s">
        <v>14111</v>
      </c>
      <c r="AB1991" s="1" t="s">
        <v>2067</v>
      </c>
      <c r="AC1991" s="1" t="s">
        <v>2068</v>
      </c>
      <c r="AD1991" s="1" t="s">
        <v>2067</v>
      </c>
      <c r="AE1991" s="1" t="s">
        <v>51</v>
      </c>
      <c r="AF1991" s="1" t="s">
        <v>51</v>
      </c>
      <c r="AG1991" s="1" t="s">
        <v>51</v>
      </c>
      <c r="AH1991" s="1"/>
      <c r="AI1991" s="1"/>
      <c r="AJ1991" s="3">
        <v>1</v>
      </c>
      <c r="AK1991" s="1" t="s">
        <v>52</v>
      </c>
      <c r="AL1991" s="3">
        <v>4</v>
      </c>
      <c r="AM1991" s="8">
        <v>19.969999999999999</v>
      </c>
      <c r="AN1991" s="1"/>
      <c r="AO1991" s="1" t="s">
        <v>14118</v>
      </c>
      <c r="AP1991" s="1" t="s">
        <v>796</v>
      </c>
      <c r="AQ1991" s="1" t="s">
        <v>14119</v>
      </c>
      <c r="AR1991" s="1" t="s">
        <v>14120</v>
      </c>
    </row>
    <row r="1992">
      <c r="A1992" s="2">
        <f ca="1">DATE(2006,11,09)</f>
        <v>0</v>
      </c>
      <c r="B1992" s="2">
        <f ca="1">DATE(2007,01,30)</f>
        <v>0</v>
      </c>
      <c r="C1992" s="1" t="s">
        <v>14121</v>
      </c>
      <c r="D1992" s="3">
        <v>6519</v>
      </c>
      <c r="E1992" s="1" t="s">
        <v>43</v>
      </c>
      <c r="F1992" s="1" t="s">
        <v>14122</v>
      </c>
      <c r="G1992" s="1" t="s">
        <v>4160</v>
      </c>
      <c r="H1992" s="4">
        <v>1.26</v>
      </c>
      <c r="I1992" s="4">
        <v>7</v>
      </c>
      <c r="J1992" s="5">
        <v>257.39999999999998</v>
      </c>
      <c r="K1992" s="4">
        <v>18</v>
      </c>
      <c r="L1992" s="1" t="s">
        <v>5129</v>
      </c>
      <c r="M1992" s="1" t="s">
        <v>47</v>
      </c>
      <c r="N1992" s="1" t="s">
        <v>14123</v>
      </c>
      <c r="O1992" s="1" t="s">
        <v>108</v>
      </c>
      <c r="P1992" s="1" t="s">
        <v>14124</v>
      </c>
      <c r="Q1992" s="4">
        <v>1.3999999999999999</v>
      </c>
      <c r="R1992" s="4">
        <v>1.3999999999999999</v>
      </c>
      <c r="S1992" s="8">
        <v>4.2000000000000002</v>
      </c>
      <c r="T1992" s="1" t="s">
        <v>50</v>
      </c>
      <c r="U1992" s="1"/>
      <c r="V1992" s="1"/>
      <c r="W1992" s="1"/>
      <c r="X1992" s="5">
        <v>100</v>
      </c>
      <c r="Y1992" s="7">
        <v>14300000</v>
      </c>
      <c r="Z1992" s="1"/>
      <c r="AA1992" s="1" t="s">
        <v>14111</v>
      </c>
      <c r="AB1992" s="1" t="s">
        <v>2067</v>
      </c>
      <c r="AC1992" s="1" t="s">
        <v>2068</v>
      </c>
      <c r="AD1992" s="1" t="s">
        <v>2067</v>
      </c>
      <c r="AE1992" s="1" t="s">
        <v>51</v>
      </c>
      <c r="AF1992" s="1" t="s">
        <v>51</v>
      </c>
      <c r="AG1992" s="1" t="s">
        <v>51</v>
      </c>
      <c r="AH1992" s="1"/>
      <c r="AI1992" s="1"/>
      <c r="AJ1992" s="3">
        <v>2</v>
      </c>
      <c r="AK1992" s="1" t="s">
        <v>89</v>
      </c>
      <c r="AL1992" s="3">
        <v>6</v>
      </c>
      <c r="AM1992" s="8">
        <v>18.699999999999999</v>
      </c>
      <c r="AN1992" s="1"/>
      <c r="AO1992" s="1" t="s">
        <v>14125</v>
      </c>
      <c r="AP1992" s="1" t="s">
        <v>4164</v>
      </c>
      <c r="AQ1992" s="1" t="s">
        <v>14126</v>
      </c>
      <c r="AR1992" s="1" t="s">
        <v>14127</v>
      </c>
    </row>
    <row r="1993">
      <c r="A1993" s="2">
        <f ca="1">DATE(2006,06,28)</f>
        <v>0</v>
      </c>
      <c r="B1993" s="2">
        <f ca="1">DATE(2007,01,30)</f>
        <v>0</v>
      </c>
      <c r="C1993" s="1" t="s">
        <v>14128</v>
      </c>
      <c r="D1993" s="3">
        <v>6726</v>
      </c>
      <c r="E1993" s="1" t="s">
        <v>43</v>
      </c>
      <c r="F1993" s="1" t="s">
        <v>14129</v>
      </c>
      <c r="G1993" s="1" t="s">
        <v>6201</v>
      </c>
      <c r="H1993" s="4">
        <v>0.69999999999999996</v>
      </c>
      <c r="I1993" s="8">
        <v>7</v>
      </c>
      <c r="J1993" s="5">
        <v>240</v>
      </c>
      <c r="K1993" s="4">
        <v>10</v>
      </c>
      <c r="L1993" s="1" t="s">
        <v>46</v>
      </c>
      <c r="M1993" s="1" t="s">
        <v>47</v>
      </c>
      <c r="N1993" s="3">
        <v>629415209</v>
      </c>
      <c r="O1993" s="1" t="s">
        <v>87</v>
      </c>
      <c r="P1993" s="1" t="s">
        <v>14020</v>
      </c>
      <c r="Q1993" s="1" t="s">
        <v>145</v>
      </c>
      <c r="R1993" s="1" t="s">
        <v>145</v>
      </c>
      <c r="S1993" s="8">
        <v>2.3999999999999999</v>
      </c>
      <c r="T1993" s="1" t="s">
        <v>50</v>
      </c>
      <c r="U1993" s="8">
        <v>8</v>
      </c>
      <c r="V1993" s="8">
        <v>8</v>
      </c>
      <c r="W1993" s="7">
        <v>31250000</v>
      </c>
      <c r="X1993" s="5">
        <v>250</v>
      </c>
      <c r="Y1993" s="7">
        <v>24000000</v>
      </c>
      <c r="Z1993" s="1"/>
      <c r="AA1993" s="1" t="s">
        <v>14111</v>
      </c>
      <c r="AB1993" s="1" t="s">
        <v>2067</v>
      </c>
      <c r="AC1993" s="1" t="s">
        <v>2068</v>
      </c>
      <c r="AD1993" s="1" t="s">
        <v>2067</v>
      </c>
      <c r="AE1993" s="1" t="s">
        <v>51</v>
      </c>
      <c r="AF1993" s="1" t="s">
        <v>51</v>
      </c>
      <c r="AG1993" s="1" t="s">
        <v>51</v>
      </c>
      <c r="AH1993" s="1"/>
      <c r="AI1993" s="1"/>
      <c r="AJ1993" s="3">
        <v>1</v>
      </c>
      <c r="AK1993" s="1" t="s">
        <v>52</v>
      </c>
      <c r="AL1993" s="3">
        <v>2</v>
      </c>
      <c r="AM1993" s="8">
        <v>9.9399999999999995</v>
      </c>
      <c r="AN1993" s="1"/>
      <c r="AO1993" s="1" t="s">
        <v>14022</v>
      </c>
      <c r="AP1993" s="1" t="s">
        <v>6201</v>
      </c>
      <c r="AQ1993" s="1" t="s">
        <v>14023</v>
      </c>
      <c r="AR1993" s="1" t="s">
        <v>14020</v>
      </c>
    </row>
    <row r="1994">
      <c r="A1994" s="2">
        <f ca="1">DATE(2006,08,11)</f>
        <v>0</v>
      </c>
      <c r="B1994" s="2">
        <f ca="1">DATE(2007,01,31)</f>
        <v>0</v>
      </c>
      <c r="C1994" s="1" t="s">
        <v>14130</v>
      </c>
      <c r="D1994" s="3">
        <v>8742</v>
      </c>
      <c r="E1994" s="1" t="s">
        <v>43</v>
      </c>
      <c r="F1994" s="1" t="s">
        <v>14131</v>
      </c>
      <c r="G1994" s="1" t="s">
        <v>5110</v>
      </c>
      <c r="H1994" s="4">
        <v>0.56000000000000005</v>
      </c>
      <c r="I1994" s="4">
        <v>7</v>
      </c>
      <c r="J1994" s="5">
        <v>225</v>
      </c>
      <c r="K1994" s="4">
        <v>8</v>
      </c>
      <c r="L1994" s="1" t="s">
        <v>31</v>
      </c>
      <c r="M1994" s="1" t="s">
        <v>47</v>
      </c>
      <c r="N1994" s="1" t="s">
        <v>14132</v>
      </c>
      <c r="O1994" s="1" t="s">
        <v>87</v>
      </c>
      <c r="P1994" s="1" t="s">
        <v>14133</v>
      </c>
      <c r="Q1994" s="1" t="s">
        <v>145</v>
      </c>
      <c r="R1994" s="1" t="s">
        <v>145</v>
      </c>
      <c r="S1994" s="8">
        <v>2.25</v>
      </c>
      <c r="T1994" s="1" t="s">
        <v>50</v>
      </c>
      <c r="U1994" s="8">
        <v>8</v>
      </c>
      <c r="V1994" s="8">
        <v>8</v>
      </c>
      <c r="W1994" s="7">
        <v>18750000</v>
      </c>
      <c r="X1994" s="5">
        <v>150</v>
      </c>
      <c r="Y1994" s="7">
        <v>28125000</v>
      </c>
      <c r="Z1994" s="1"/>
      <c r="AA1994" s="1" t="s">
        <v>14134</v>
      </c>
      <c r="AB1994" s="1" t="s">
        <v>2067</v>
      </c>
      <c r="AC1994" s="1" t="s">
        <v>6689</v>
      </c>
      <c r="AD1994" s="1" t="s">
        <v>2067</v>
      </c>
      <c r="AE1994" s="1" t="s">
        <v>51</v>
      </c>
      <c r="AF1994" s="1" t="s">
        <v>51</v>
      </c>
      <c r="AG1994" s="1" t="s">
        <v>51</v>
      </c>
      <c r="AH1994" s="1"/>
      <c r="AI1994" s="1"/>
      <c r="AJ1994" s="3">
        <v>1</v>
      </c>
      <c r="AK1994" s="1" t="s">
        <v>52</v>
      </c>
      <c r="AL1994" s="3">
        <v>3</v>
      </c>
      <c r="AM1994" s="1"/>
      <c r="AN1994" s="1"/>
      <c r="AO1994" s="1" t="s">
        <v>14135</v>
      </c>
      <c r="AP1994" s="1" t="s">
        <v>5110</v>
      </c>
      <c r="AQ1994" s="1" t="s">
        <v>14136</v>
      </c>
      <c r="AR1994" s="1" t="s">
        <v>14137</v>
      </c>
    </row>
    <row r="1995">
      <c r="A1995" s="2">
        <f ca="1">DATE(2006,08,07)</f>
        <v>0</v>
      </c>
      <c r="B1995" s="2">
        <f ca="1">DATE(2007,01,31)</f>
        <v>0</v>
      </c>
      <c r="C1995" s="1" t="s">
        <v>14138</v>
      </c>
      <c r="D1995" s="3">
        <v>3841</v>
      </c>
      <c r="E1995" s="1" t="s">
        <v>43</v>
      </c>
      <c r="F1995" s="1" t="s">
        <v>14139</v>
      </c>
      <c r="G1995" s="1" t="s">
        <v>7471</v>
      </c>
      <c r="H1995" s="4">
        <v>1.1200000000000001</v>
      </c>
      <c r="I1995" s="4">
        <v>7</v>
      </c>
      <c r="J1995" s="5">
        <v>75.200000000000003</v>
      </c>
      <c r="K1995" s="4">
        <v>16</v>
      </c>
      <c r="L1995" s="1" t="s">
        <v>46</v>
      </c>
      <c r="M1995" s="1" t="s">
        <v>47</v>
      </c>
      <c r="N1995" s="3">
        <v>984141101</v>
      </c>
      <c r="O1995" s="1" t="s">
        <v>48</v>
      </c>
      <c r="P1995" s="1" t="s">
        <v>14140</v>
      </c>
      <c r="Q1995" s="1" t="s">
        <v>145</v>
      </c>
      <c r="R1995" s="1" t="s">
        <v>145</v>
      </c>
      <c r="S1995" s="8">
        <v>4.25</v>
      </c>
      <c r="T1995" s="1" t="s">
        <v>50</v>
      </c>
      <c r="U1995" s="1"/>
      <c r="V1995" s="1"/>
      <c r="W1995" s="1"/>
      <c r="X1995" s="5">
        <v>103.5</v>
      </c>
      <c r="Y1995" s="7">
        <v>4700000</v>
      </c>
      <c r="Z1995" s="1"/>
      <c r="AA1995" s="1" t="s">
        <v>14141</v>
      </c>
      <c r="AB1995" s="1" t="s">
        <v>2067</v>
      </c>
      <c r="AC1995" s="1" t="s">
        <v>2068</v>
      </c>
      <c r="AD1995" s="1" t="s">
        <v>2067</v>
      </c>
      <c r="AE1995" s="1" t="s">
        <v>51</v>
      </c>
      <c r="AF1995" s="1" t="s">
        <v>51</v>
      </c>
      <c r="AG1995" s="1" t="s">
        <v>47</v>
      </c>
      <c r="AH1995" s="1"/>
      <c r="AI1995" s="1"/>
      <c r="AJ1995" s="3">
        <v>1</v>
      </c>
      <c r="AK1995" s="1" t="s">
        <v>52</v>
      </c>
      <c r="AL1995" s="3">
        <v>4</v>
      </c>
      <c r="AM1995" s="8">
        <v>16.48</v>
      </c>
      <c r="AN1995" s="1"/>
      <c r="AO1995" s="1" t="s">
        <v>14142</v>
      </c>
      <c r="AP1995" s="1" t="s">
        <v>7471</v>
      </c>
      <c r="AQ1995" s="1" t="s">
        <v>14143</v>
      </c>
      <c r="AR1995" s="1" t="s">
        <v>14140</v>
      </c>
    </row>
    <row r="1996">
      <c r="A1996" s="2">
        <f ca="1">DATE(2006,06,06)</f>
        <v>0</v>
      </c>
      <c r="B1996" s="2">
        <f ca="1">DATE(2007,02,01)</f>
        <v>0</v>
      </c>
      <c r="C1996" s="1" t="s">
        <v>14144</v>
      </c>
      <c r="D1996" s="3">
        <v>6726</v>
      </c>
      <c r="E1996" s="1" t="s">
        <v>43</v>
      </c>
      <c r="F1996" s="1" t="s">
        <v>14145</v>
      </c>
      <c r="G1996" s="1" t="s">
        <v>14146</v>
      </c>
      <c r="H1996" s="4">
        <v>0.5</v>
      </c>
      <c r="I1996" s="4">
        <v>5</v>
      </c>
      <c r="J1996" s="5">
        <v>97</v>
      </c>
      <c r="K1996" s="4">
        <v>10</v>
      </c>
      <c r="L1996" s="1" t="s">
        <v>46</v>
      </c>
      <c r="M1996" s="1" t="s">
        <v>47</v>
      </c>
      <c r="N1996" s="1" t="s">
        <v>14147</v>
      </c>
      <c r="O1996" s="1" t="s">
        <v>87</v>
      </c>
      <c r="P1996" s="1" t="s">
        <v>14148</v>
      </c>
      <c r="Q1996" s="4">
        <v>1</v>
      </c>
      <c r="R1996" s="4">
        <v>1.25</v>
      </c>
      <c r="S1996" s="8">
        <v>2.75</v>
      </c>
      <c r="T1996" s="1" t="s">
        <v>50</v>
      </c>
      <c r="U1996" s="8">
        <v>10</v>
      </c>
      <c r="V1996" s="8">
        <v>10</v>
      </c>
      <c r="W1996" s="7">
        <v>9700000</v>
      </c>
      <c r="X1996" s="5">
        <v>97</v>
      </c>
      <c r="Y1996" s="7">
        <v>9700000</v>
      </c>
      <c r="Z1996" s="1"/>
      <c r="AA1996" s="1"/>
      <c r="AB1996" s="1"/>
      <c r="AC1996" s="1"/>
      <c r="AD1996" s="1"/>
      <c r="AE1996" s="1" t="s">
        <v>51</v>
      </c>
      <c r="AF1996" s="1" t="s">
        <v>51</v>
      </c>
      <c r="AG1996" s="1" t="s">
        <v>51</v>
      </c>
      <c r="AH1996" s="1"/>
      <c r="AI1996" s="1"/>
      <c r="AJ1996" s="3">
        <v>2</v>
      </c>
      <c r="AK1996" s="1" t="s">
        <v>89</v>
      </c>
      <c r="AL1996" s="3">
        <v>2</v>
      </c>
      <c r="AM1996" s="8">
        <v>10.01</v>
      </c>
      <c r="AN1996" s="1"/>
      <c r="AO1996" s="1" t="s">
        <v>14149</v>
      </c>
      <c r="AP1996" s="1" t="s">
        <v>14150</v>
      </c>
      <c r="AQ1996" s="1" t="s">
        <v>14151</v>
      </c>
      <c r="AR1996" s="1" t="s">
        <v>14152</v>
      </c>
    </row>
    <row r="1997">
      <c r="A1997" s="2">
        <f ca="1">DATE(2005,11,08)</f>
        <v>0</v>
      </c>
      <c r="B1997" s="2">
        <f ca="1">DATE(2007,02,01)</f>
        <v>0</v>
      </c>
      <c r="C1997" s="1" t="s">
        <v>14153</v>
      </c>
      <c r="D1997" s="3">
        <v>2834</v>
      </c>
      <c r="E1997" s="1" t="s">
        <v>43</v>
      </c>
      <c r="F1997" s="1" t="s">
        <v>14154</v>
      </c>
      <c r="G1997" s="1" t="s">
        <v>14155</v>
      </c>
      <c r="H1997" s="4">
        <v>0.97999999999999998</v>
      </c>
      <c r="I1997" s="8">
        <v>7</v>
      </c>
      <c r="J1997" s="5">
        <v>70</v>
      </c>
      <c r="K1997" s="4">
        <v>14</v>
      </c>
      <c r="L1997" s="1" t="s">
        <v>46</v>
      </c>
      <c r="M1997" s="1" t="s">
        <v>47</v>
      </c>
      <c r="N1997" s="1" t="s">
        <v>14156</v>
      </c>
      <c r="O1997" s="1" t="s">
        <v>48</v>
      </c>
      <c r="P1997" s="1" t="s">
        <v>14157</v>
      </c>
      <c r="Q1997" s="1" t="s">
        <v>145</v>
      </c>
      <c r="R1997" s="1" t="s">
        <v>145</v>
      </c>
      <c r="S1997" s="6">
        <v>4.2142900000000001</v>
      </c>
      <c r="T1997" s="1" t="s">
        <v>50</v>
      </c>
      <c r="U1997" s="1"/>
      <c r="V1997" s="1"/>
      <c r="W1997" s="1"/>
      <c r="X1997" s="5">
        <v>57.5</v>
      </c>
      <c r="Y1997" s="7">
        <v>5000000</v>
      </c>
      <c r="Z1997" s="1"/>
      <c r="AA1997" s="1" t="s">
        <v>14158</v>
      </c>
      <c r="AB1997" s="1" t="s">
        <v>5265</v>
      </c>
      <c r="AC1997" s="1" t="s">
        <v>7759</v>
      </c>
      <c r="AD1997" s="1" t="s">
        <v>5265</v>
      </c>
      <c r="AE1997" s="1" t="s">
        <v>51</v>
      </c>
      <c r="AF1997" s="1" t="s">
        <v>51</v>
      </c>
      <c r="AG1997" s="1" t="s">
        <v>47</v>
      </c>
      <c r="AH1997" s="1"/>
      <c r="AI1997" s="1"/>
      <c r="AJ1997" s="3">
        <v>2</v>
      </c>
      <c r="AK1997" s="1" t="s">
        <v>89</v>
      </c>
      <c r="AL1997" s="3">
        <v>4</v>
      </c>
      <c r="AM1997" s="8">
        <v>14.09</v>
      </c>
      <c r="AN1997" s="1"/>
      <c r="AO1997" s="1" t="s">
        <v>14159</v>
      </c>
      <c r="AP1997" s="1" t="s">
        <v>14160</v>
      </c>
      <c r="AQ1997" s="1" t="s">
        <v>14161</v>
      </c>
      <c r="AR1997" s="1" t="s">
        <v>14157</v>
      </c>
    </row>
    <row r="1998">
      <c r="A1998" s="2">
        <f ca="1">DATE(2006,08,28)</f>
        <v>0</v>
      </c>
      <c r="B1998" s="2">
        <f ca="1">DATE(2007,02,01)</f>
        <v>0</v>
      </c>
      <c r="C1998" s="1" t="s">
        <v>14162</v>
      </c>
      <c r="D1998" s="3">
        <v>6799</v>
      </c>
      <c r="E1998" s="1" t="s">
        <v>43</v>
      </c>
      <c r="F1998" s="1" t="s">
        <v>14163</v>
      </c>
      <c r="G1998" s="1" t="s">
        <v>45</v>
      </c>
      <c r="H1998" s="4">
        <v>1.05</v>
      </c>
      <c r="I1998" s="4">
        <v>7</v>
      </c>
      <c r="J1998" s="5">
        <v>86.099999999999994</v>
      </c>
      <c r="K1998" s="4">
        <v>15</v>
      </c>
      <c r="L1998" s="1" t="s">
        <v>46</v>
      </c>
      <c r="M1998" s="1" t="s">
        <v>47</v>
      </c>
      <c r="N1998" s="1" t="s">
        <v>14164</v>
      </c>
      <c r="O1998" s="1" t="s">
        <v>108</v>
      </c>
      <c r="P1998" s="1" t="s">
        <v>14165</v>
      </c>
      <c r="Q1998" s="4">
        <v>1.3999999999999999</v>
      </c>
      <c r="R1998" s="4">
        <v>1.3999999999999999</v>
      </c>
      <c r="S1998" s="8">
        <v>4.2000000000000002</v>
      </c>
      <c r="T1998" s="1" t="s">
        <v>50</v>
      </c>
      <c r="U1998" s="1"/>
      <c r="V1998" s="1"/>
      <c r="W1998" s="1"/>
      <c r="X1998" s="5">
        <v>75</v>
      </c>
      <c r="Y1998" s="7">
        <v>5740000</v>
      </c>
      <c r="Z1998" s="1"/>
      <c r="AA1998" s="1" t="s">
        <v>14166</v>
      </c>
      <c r="AB1998" s="1" t="s">
        <v>2067</v>
      </c>
      <c r="AC1998" s="1" t="s">
        <v>2068</v>
      </c>
      <c r="AD1998" s="1" t="s">
        <v>2067</v>
      </c>
      <c r="AE1998" s="1" t="s">
        <v>51</v>
      </c>
      <c r="AF1998" s="1" t="s">
        <v>51</v>
      </c>
      <c r="AG1998" s="1" t="s">
        <v>51</v>
      </c>
      <c r="AH1998" s="1"/>
      <c r="AI1998" s="1"/>
      <c r="AJ1998" s="3">
        <v>1</v>
      </c>
      <c r="AK1998" s="1" t="s">
        <v>110</v>
      </c>
      <c r="AL1998" s="3">
        <v>4</v>
      </c>
      <c r="AM1998" s="8">
        <v>15</v>
      </c>
      <c r="AN1998" s="1"/>
      <c r="AO1998" s="1" t="s">
        <v>14167</v>
      </c>
      <c r="AP1998" s="1" t="s">
        <v>14168</v>
      </c>
      <c r="AQ1998" s="1" t="s">
        <v>14169</v>
      </c>
      <c r="AR1998" s="1" t="s">
        <v>14170</v>
      </c>
    </row>
    <row r="1999">
      <c r="A1999" s="2">
        <f ca="1">DATE(2006,08,11)</f>
        <v>0</v>
      </c>
      <c r="B1999" s="2">
        <f ca="1">DATE(2007,02,05)</f>
        <v>0</v>
      </c>
      <c r="C1999" s="1" t="s">
        <v>14171</v>
      </c>
      <c r="D1999" s="3">
        <v>6726</v>
      </c>
      <c r="E1999" s="1" t="s">
        <v>43</v>
      </c>
      <c r="F1999" s="1" t="s">
        <v>14172</v>
      </c>
      <c r="G1999" s="1" t="s">
        <v>1297</v>
      </c>
      <c r="H1999" s="4">
        <v>0.56000000000000005</v>
      </c>
      <c r="I1999" s="4">
        <v>7</v>
      </c>
      <c r="J1999" s="5">
        <v>100</v>
      </c>
      <c r="K1999" s="4">
        <v>8</v>
      </c>
      <c r="L1999" s="1" t="s">
        <v>46</v>
      </c>
      <c r="M1999" s="1" t="s">
        <v>47</v>
      </c>
      <c r="N1999" s="3">
        <v>908536105</v>
      </c>
      <c r="O1999" s="1" t="s">
        <v>87</v>
      </c>
      <c r="P1999" s="1" t="s">
        <v>14173</v>
      </c>
      <c r="Q1999" s="1" t="s">
        <v>145</v>
      </c>
      <c r="R1999" s="1" t="s">
        <v>145</v>
      </c>
      <c r="S1999" s="8">
        <v>2.5</v>
      </c>
      <c r="T1999" s="1" t="s">
        <v>50</v>
      </c>
      <c r="U1999" s="8">
        <v>8</v>
      </c>
      <c r="V1999" s="8">
        <v>8</v>
      </c>
      <c r="W1999" s="7">
        <v>12500000</v>
      </c>
      <c r="X1999" s="5">
        <v>100</v>
      </c>
      <c r="Y1999" s="7">
        <v>12500000</v>
      </c>
      <c r="Z1999" s="1"/>
      <c r="AA1999" s="1" t="s">
        <v>14174</v>
      </c>
      <c r="AB1999" s="1" t="s">
        <v>2067</v>
      </c>
      <c r="AC1999" s="1" t="s">
        <v>14175</v>
      </c>
      <c r="AD1999" s="1" t="s">
        <v>2067</v>
      </c>
      <c r="AE1999" s="1" t="s">
        <v>51</v>
      </c>
      <c r="AF1999" s="1" t="s">
        <v>51</v>
      </c>
      <c r="AG1999" s="1" t="s">
        <v>51</v>
      </c>
      <c r="AH1999" s="1"/>
      <c r="AI1999" s="1"/>
      <c r="AJ1999" s="3">
        <v>1</v>
      </c>
      <c r="AK1999" s="1" t="s">
        <v>52</v>
      </c>
      <c r="AL1999" s="3">
        <v>2</v>
      </c>
      <c r="AM1999" s="1"/>
      <c r="AN1999" s="1"/>
      <c r="AO1999" s="1" t="s">
        <v>14176</v>
      </c>
      <c r="AP1999" s="1" t="s">
        <v>1297</v>
      </c>
      <c r="AQ1999" s="1" t="s">
        <v>14177</v>
      </c>
      <c r="AR1999" s="1" t="s">
        <v>14173</v>
      </c>
    </row>
    <row r="2000">
      <c r="A2000" s="2">
        <f ca="1">DATE(2007,01,17)</f>
        <v>0</v>
      </c>
      <c r="B2000" s="2">
        <f ca="1">DATE(2007,02,05)</f>
        <v>0</v>
      </c>
      <c r="C2000" s="1" t="s">
        <v>14178</v>
      </c>
      <c r="D2000" s="3">
        <v>4812</v>
      </c>
      <c r="E2000" s="1" t="s">
        <v>934</v>
      </c>
      <c r="F2000" s="1" t="s">
        <v>14179</v>
      </c>
      <c r="G2000" s="1" t="s">
        <v>14180</v>
      </c>
      <c r="H2000" s="4">
        <v>1.3</v>
      </c>
      <c r="I2000" s="4">
        <v>6.5</v>
      </c>
      <c r="J2000" s="5">
        <v>400</v>
      </c>
      <c r="K2000" s="4">
        <v>20</v>
      </c>
      <c r="L2000" s="1" t="s">
        <v>1057</v>
      </c>
      <c r="M2000" s="1" t="s">
        <v>47</v>
      </c>
      <c r="N2000" s="1" t="s">
        <v>14181</v>
      </c>
      <c r="O2000" s="1" t="s">
        <v>2646</v>
      </c>
      <c r="P2000" s="1" t="s">
        <v>14182</v>
      </c>
      <c r="Q2000" s="1" t="s">
        <v>145</v>
      </c>
      <c r="R2000" s="1" t="s">
        <v>145</v>
      </c>
      <c r="S2000" s="8">
        <v>3.8999999999999999</v>
      </c>
      <c r="T2000" s="1" t="s">
        <v>50</v>
      </c>
      <c r="U2000" s="8">
        <v>18</v>
      </c>
      <c r="V2000" s="8">
        <v>16</v>
      </c>
      <c r="W2000" s="7">
        <v>18975000</v>
      </c>
      <c r="X2000" s="5">
        <v>322.60000000000002</v>
      </c>
      <c r="Y2000" s="1"/>
      <c r="Z2000" s="7">
        <v>20000000</v>
      </c>
      <c r="AA2000" s="1" t="s">
        <v>14183</v>
      </c>
      <c r="AB2000" s="1" t="s">
        <v>5265</v>
      </c>
      <c r="AC2000" s="1" t="s">
        <v>7759</v>
      </c>
      <c r="AD2000" s="1" t="s">
        <v>5265</v>
      </c>
      <c r="AE2000" s="1" t="s">
        <v>51</v>
      </c>
      <c r="AF2000" s="1" t="s">
        <v>51</v>
      </c>
      <c r="AG2000" s="1" t="s">
        <v>51</v>
      </c>
      <c r="AH2000" s="1"/>
      <c r="AI2000" s="1"/>
      <c r="AJ2000" s="3">
        <v>3</v>
      </c>
      <c r="AK2000" s="1" t="s">
        <v>1209</v>
      </c>
      <c r="AL2000" s="3">
        <v>6</v>
      </c>
      <c r="AM2000" s="8">
        <v>19.68</v>
      </c>
      <c r="AN2000" s="1"/>
      <c r="AO2000" s="1" t="s">
        <v>14184</v>
      </c>
      <c r="AP2000" s="1" t="s">
        <v>14185</v>
      </c>
      <c r="AQ2000" s="1" t="s">
        <v>14186</v>
      </c>
      <c r="AR2000" s="1" t="s">
        <v>14187</v>
      </c>
    </row>
    <row r="2001">
      <c r="A2001" s="2">
        <f ca="1">DATE(2007,01,16)</f>
        <v>0</v>
      </c>
      <c r="B2001" s="2">
        <f ca="1">DATE(2007,02,06)</f>
        <v>0</v>
      </c>
      <c r="C2001" s="1" t="s">
        <v>14188</v>
      </c>
      <c r="D2001" s="3">
        <v>3674</v>
      </c>
      <c r="E2001" s="1" t="s">
        <v>744</v>
      </c>
      <c r="F2001" s="1" t="s">
        <v>14189</v>
      </c>
      <c r="G2001" s="1" t="s">
        <v>8777</v>
      </c>
      <c r="H2001" s="4">
        <v>1.05</v>
      </c>
      <c r="I2001" s="4">
        <v>7</v>
      </c>
      <c r="J2001" s="5">
        <v>225</v>
      </c>
      <c r="K2001" s="4">
        <v>15</v>
      </c>
      <c r="L2001" s="1" t="s">
        <v>651</v>
      </c>
      <c r="M2001" s="1" t="s">
        <v>47</v>
      </c>
      <c r="N2001" s="3">
        <v>466090107</v>
      </c>
      <c r="O2001" s="1" t="s">
        <v>48</v>
      </c>
      <c r="P2001" s="1" t="s">
        <v>14190</v>
      </c>
      <c r="Q2001" s="1" t="s">
        <v>145</v>
      </c>
      <c r="R2001" s="1" t="s">
        <v>145</v>
      </c>
      <c r="S2001" s="8">
        <v>4.2000000000000002</v>
      </c>
      <c r="T2001" s="1" t="s">
        <v>50</v>
      </c>
      <c r="U2001" s="8">
        <v>14.5</v>
      </c>
      <c r="V2001" s="8">
        <v>12.5</v>
      </c>
      <c r="W2001" s="7">
        <v>15000000</v>
      </c>
      <c r="X2001" s="5">
        <v>202.5</v>
      </c>
      <c r="Y2001" s="7">
        <v>15000000</v>
      </c>
      <c r="Z2001" s="1"/>
      <c r="AA2001" s="1" t="s">
        <v>14191</v>
      </c>
      <c r="AB2001" s="1" t="s">
        <v>5265</v>
      </c>
      <c r="AC2001" s="1" t="s">
        <v>7759</v>
      </c>
      <c r="AD2001" s="1" t="s">
        <v>5265</v>
      </c>
      <c r="AE2001" s="1" t="s">
        <v>47</v>
      </c>
      <c r="AF2001" s="1" t="s">
        <v>51</v>
      </c>
      <c r="AG2001" s="1" t="s">
        <v>51</v>
      </c>
      <c r="AH2001" s="1"/>
      <c r="AI2001" s="1"/>
      <c r="AJ2001" s="3">
        <v>2</v>
      </c>
      <c r="AK2001" s="1" t="s">
        <v>89</v>
      </c>
      <c r="AL2001" s="3">
        <v>4</v>
      </c>
      <c r="AM2001" s="8">
        <v>17.800000000000001</v>
      </c>
      <c r="AN2001" s="1"/>
      <c r="AO2001" s="1" t="s">
        <v>14192</v>
      </c>
      <c r="AP2001" s="1" t="s">
        <v>8784</v>
      </c>
      <c r="AQ2001" s="1" t="s">
        <v>14193</v>
      </c>
      <c r="AR2001" s="1" t="s">
        <v>14190</v>
      </c>
    </row>
    <row r="2002">
      <c r="A2002" s="2">
        <f ca="1">DATE(2006,11,22)</f>
        <v>0</v>
      </c>
      <c r="B2002" s="2">
        <f ca="1">DATE(2007,02,06)</f>
        <v>0</v>
      </c>
      <c r="C2002" s="1" t="s">
        <v>14194</v>
      </c>
      <c r="D2002" s="3">
        <v>2834</v>
      </c>
      <c r="E2002" s="1" t="s">
        <v>43</v>
      </c>
      <c r="F2002" s="1" t="s">
        <v>14195</v>
      </c>
      <c r="G2002" s="1" t="s">
        <v>14196</v>
      </c>
      <c r="H2002" s="4">
        <v>0.69999999999999996</v>
      </c>
      <c r="I2002" s="8">
        <v>7</v>
      </c>
      <c r="J2002" s="5">
        <v>50</v>
      </c>
      <c r="K2002" s="4">
        <v>10</v>
      </c>
      <c r="L2002" s="1" t="s">
        <v>46</v>
      </c>
      <c r="M2002" s="1" t="s">
        <v>47</v>
      </c>
      <c r="N2002" s="1" t="s">
        <v>14197</v>
      </c>
      <c r="O2002" s="1" t="s">
        <v>48</v>
      </c>
      <c r="P2002" s="1" t="s">
        <v>14198</v>
      </c>
      <c r="Q2002" s="1" t="s">
        <v>145</v>
      </c>
      <c r="R2002" s="1" t="s">
        <v>145</v>
      </c>
      <c r="S2002" s="8">
        <v>4.2000000000000002</v>
      </c>
      <c r="T2002" s="1" t="s">
        <v>50</v>
      </c>
      <c r="U2002" s="1"/>
      <c r="V2002" s="1"/>
      <c r="W2002" s="1"/>
      <c r="X2002" s="5">
        <v>115</v>
      </c>
      <c r="Y2002" s="7">
        <v>5000000</v>
      </c>
      <c r="Z2002" s="1"/>
      <c r="AA2002" s="1" t="s">
        <v>14191</v>
      </c>
      <c r="AB2002" s="1" t="s">
        <v>5265</v>
      </c>
      <c r="AC2002" s="1" t="s">
        <v>7759</v>
      </c>
      <c r="AD2002" s="1" t="s">
        <v>5265</v>
      </c>
      <c r="AE2002" s="1" t="s">
        <v>51</v>
      </c>
      <c r="AF2002" s="1" t="s">
        <v>51</v>
      </c>
      <c r="AG2002" s="1" t="s">
        <v>47</v>
      </c>
      <c r="AH2002" s="1"/>
      <c r="AI2002" s="1"/>
      <c r="AJ2002" s="3">
        <v>2</v>
      </c>
      <c r="AK2002" s="1" t="s">
        <v>89</v>
      </c>
      <c r="AL2002" s="3">
        <v>4</v>
      </c>
      <c r="AM2002" s="8">
        <v>9.0899999999999999</v>
      </c>
      <c r="AN2002" s="1"/>
      <c r="AO2002" s="1" t="s">
        <v>14199</v>
      </c>
      <c r="AP2002" s="1" t="s">
        <v>5618</v>
      </c>
      <c r="AQ2002" s="1" t="s">
        <v>14200</v>
      </c>
      <c r="AR2002" s="1" t="s">
        <v>14198</v>
      </c>
    </row>
    <row r="2003">
      <c r="A2003" s="2">
        <f ca="1">DATE(2007,01,19)</f>
        <v>0</v>
      </c>
      <c r="B2003" s="2">
        <f ca="1">DATE(2007,02,06)</f>
        <v>0</v>
      </c>
      <c r="C2003" s="1" t="s">
        <v>14201</v>
      </c>
      <c r="D2003" s="3">
        <v>2834</v>
      </c>
      <c r="E2003" s="1" t="s">
        <v>744</v>
      </c>
      <c r="F2003" s="1" t="s">
        <v>14202</v>
      </c>
      <c r="G2003" s="1" t="s">
        <v>5704</v>
      </c>
      <c r="H2003" s="4">
        <v>1.1200000000000001</v>
      </c>
      <c r="I2003" s="4">
        <v>7</v>
      </c>
      <c r="J2003" s="5">
        <v>123.2</v>
      </c>
      <c r="K2003" s="4">
        <v>16</v>
      </c>
      <c r="L2003" s="1" t="s">
        <v>651</v>
      </c>
      <c r="M2003" s="1" t="s">
        <v>47</v>
      </c>
      <c r="N2003" s="1" t="s">
        <v>14203</v>
      </c>
      <c r="O2003" s="1" t="s">
        <v>48</v>
      </c>
      <c r="P2003" s="1" t="s">
        <v>14204</v>
      </c>
      <c r="Q2003" s="1" t="s">
        <v>145</v>
      </c>
      <c r="R2003" s="1" t="s">
        <v>145</v>
      </c>
      <c r="S2003" s="4">
        <v>4.125</v>
      </c>
      <c r="T2003" s="1" t="s">
        <v>50</v>
      </c>
      <c r="U2003" s="8">
        <v>14</v>
      </c>
      <c r="V2003" s="8">
        <v>12</v>
      </c>
      <c r="W2003" s="7">
        <v>7700000</v>
      </c>
      <c r="X2003" s="5">
        <v>100.09999999999999</v>
      </c>
      <c r="Y2003" s="7">
        <v>7187817</v>
      </c>
      <c r="Z2003" s="7">
        <v>512183</v>
      </c>
      <c r="AA2003" s="1" t="s">
        <v>14191</v>
      </c>
      <c r="AB2003" s="1" t="s">
        <v>5265</v>
      </c>
      <c r="AC2003" s="1" t="s">
        <v>7759</v>
      </c>
      <c r="AD2003" s="1" t="s">
        <v>5265</v>
      </c>
      <c r="AE2003" s="1" t="s">
        <v>47</v>
      </c>
      <c r="AF2003" s="1" t="s">
        <v>51</v>
      </c>
      <c r="AG2003" s="1" t="s">
        <v>51</v>
      </c>
      <c r="AH2003" s="1"/>
      <c r="AI2003" s="1"/>
      <c r="AJ2003" s="3">
        <v>1</v>
      </c>
      <c r="AK2003" s="1" t="s">
        <v>52</v>
      </c>
      <c r="AL2003" s="3">
        <v>3</v>
      </c>
      <c r="AM2003" s="8">
        <v>14.85</v>
      </c>
      <c r="AN2003" s="1"/>
      <c r="AO2003" s="1" t="s">
        <v>14205</v>
      </c>
      <c r="AP2003" s="1" t="s">
        <v>5704</v>
      </c>
      <c r="AQ2003" s="1" t="s">
        <v>14206</v>
      </c>
      <c r="AR2003" s="1" t="s">
        <v>14207</v>
      </c>
    </row>
    <row r="2004">
      <c r="A2004" s="2">
        <f ca="1">DATE(2006,11,13)</f>
        <v>0</v>
      </c>
      <c r="B2004" s="2">
        <f ca="1">DATE(2007,02,07)</f>
        <v>0</v>
      </c>
      <c r="C2004" s="1" t="s">
        <v>14208</v>
      </c>
      <c r="D2004" s="3">
        <v>3841</v>
      </c>
      <c r="E2004" s="1" t="s">
        <v>43</v>
      </c>
      <c r="F2004" s="1" t="s">
        <v>14209</v>
      </c>
      <c r="G2004" s="1" t="s">
        <v>9468</v>
      </c>
      <c r="H2004" s="4">
        <v>1.26</v>
      </c>
      <c r="I2004" s="4">
        <v>7</v>
      </c>
      <c r="J2004" s="5">
        <v>288</v>
      </c>
      <c r="K2004" s="4">
        <v>18</v>
      </c>
      <c r="L2004" s="1" t="s">
        <v>46</v>
      </c>
      <c r="M2004" s="1" t="s">
        <v>47</v>
      </c>
      <c r="N2004" s="1" t="s">
        <v>14210</v>
      </c>
      <c r="O2004" s="1" t="s">
        <v>48</v>
      </c>
      <c r="P2004" s="1" t="s">
        <v>14211</v>
      </c>
      <c r="Q2004" s="1" t="s">
        <v>145</v>
      </c>
      <c r="R2004" s="1" t="s">
        <v>145</v>
      </c>
      <c r="S2004" s="8">
        <v>7</v>
      </c>
      <c r="T2004" s="1" t="s">
        <v>50</v>
      </c>
      <c r="U2004" s="1"/>
      <c r="V2004" s="1"/>
      <c r="W2004" s="1"/>
      <c r="X2004" s="5">
        <v>230</v>
      </c>
      <c r="Y2004" s="7">
        <v>10000000</v>
      </c>
      <c r="Z2004" s="7">
        <v>6000000</v>
      </c>
      <c r="AA2004" s="1" t="s">
        <v>14212</v>
      </c>
      <c r="AB2004" s="1" t="s">
        <v>5265</v>
      </c>
      <c r="AC2004" s="1" t="s">
        <v>7759</v>
      </c>
      <c r="AD2004" s="1" t="s">
        <v>5265</v>
      </c>
      <c r="AE2004" s="1" t="s">
        <v>51</v>
      </c>
      <c r="AF2004" s="1" t="s">
        <v>51</v>
      </c>
      <c r="AG2004" s="1" t="s">
        <v>47</v>
      </c>
      <c r="AH2004" s="1"/>
      <c r="AI2004" s="1"/>
      <c r="AJ2004" s="3">
        <v>2</v>
      </c>
      <c r="AK2004" s="1" t="s">
        <v>110</v>
      </c>
      <c r="AL2004" s="3">
        <v>4</v>
      </c>
      <c r="AM2004" s="8">
        <v>28.469999999999999</v>
      </c>
      <c r="AN2004" s="1"/>
      <c r="AO2004" s="1" t="s">
        <v>14213</v>
      </c>
      <c r="AP2004" s="1" t="s">
        <v>14214</v>
      </c>
      <c r="AQ2004" s="1" t="s">
        <v>14215</v>
      </c>
      <c r="AR2004" s="1" t="s">
        <v>14216</v>
      </c>
    </row>
    <row r="2005">
      <c r="A2005" s="2">
        <f ca="1">DATE(2006,09,28)</f>
        <v>0</v>
      </c>
      <c r="B2005" s="2">
        <f ca="1">DATE(2007,02,07)</f>
        <v>0</v>
      </c>
      <c r="C2005" s="1" t="s">
        <v>14217</v>
      </c>
      <c r="D2005" s="3">
        <v>3674</v>
      </c>
      <c r="E2005" s="1" t="s">
        <v>934</v>
      </c>
      <c r="F2005" s="1" t="s">
        <v>14218</v>
      </c>
      <c r="G2005" s="1" t="s">
        <v>14219</v>
      </c>
      <c r="H2005" s="4">
        <v>1.19</v>
      </c>
      <c r="I2005" s="8">
        <v>7</v>
      </c>
      <c r="J2005" s="5">
        <v>102</v>
      </c>
      <c r="K2005" s="4">
        <v>17</v>
      </c>
      <c r="L2005" s="1" t="s">
        <v>1057</v>
      </c>
      <c r="M2005" s="1" t="s">
        <v>47</v>
      </c>
      <c r="N2005" s="3">
        <v>585502206</v>
      </c>
      <c r="O2005" s="1" t="s">
        <v>48</v>
      </c>
      <c r="P2005" s="1" t="s">
        <v>14220</v>
      </c>
      <c r="Q2005" s="4">
        <v>1.3999999999999999</v>
      </c>
      <c r="R2005" s="4">
        <v>1.3999999999999999</v>
      </c>
      <c r="S2005" s="8">
        <v>4.2000000000000002</v>
      </c>
      <c r="T2005" s="1" t="s">
        <v>50</v>
      </c>
      <c r="U2005" s="1"/>
      <c r="V2005" s="1"/>
      <c r="W2005" s="1"/>
      <c r="X2005" s="5">
        <v>86.299999999999997</v>
      </c>
      <c r="Y2005" s="7">
        <v>6000000</v>
      </c>
      <c r="Z2005" s="1"/>
      <c r="AA2005" s="1" t="s">
        <v>14221</v>
      </c>
      <c r="AB2005" s="1" t="s">
        <v>2067</v>
      </c>
      <c r="AC2005" s="1" t="s">
        <v>2068</v>
      </c>
      <c r="AD2005" s="1" t="s">
        <v>2067</v>
      </c>
      <c r="AE2005" s="1" t="s">
        <v>51</v>
      </c>
      <c r="AF2005" s="1" t="s">
        <v>51</v>
      </c>
      <c r="AG2005" s="1" t="s">
        <v>47</v>
      </c>
      <c r="AH2005" s="1"/>
      <c r="AI2005" s="1"/>
      <c r="AJ2005" s="3">
        <v>2</v>
      </c>
      <c r="AK2005" s="1" t="s">
        <v>89</v>
      </c>
      <c r="AL2005" s="3">
        <v>4</v>
      </c>
      <c r="AM2005" s="3">
        <v>17</v>
      </c>
      <c r="AN2005" s="1"/>
      <c r="AO2005" s="1" t="s">
        <v>14222</v>
      </c>
      <c r="AP2005" s="1" t="s">
        <v>14223</v>
      </c>
      <c r="AQ2005" s="1" t="s">
        <v>14224</v>
      </c>
      <c r="AR2005" s="1" t="s">
        <v>14225</v>
      </c>
    </row>
    <row r="2006">
      <c r="A2006" s="2">
        <f ca="1">DATE(2006,10,12)</f>
        <v>0</v>
      </c>
      <c r="B2006" s="2">
        <f ca="1">DATE(2007,02,07)</f>
        <v>0</v>
      </c>
      <c r="C2006" s="1" t="s">
        <v>14226</v>
      </c>
      <c r="D2006" s="3">
        <v>7319</v>
      </c>
      <c r="E2006" s="1" t="s">
        <v>43</v>
      </c>
      <c r="F2006" s="1" t="s">
        <v>14227</v>
      </c>
      <c r="G2006" s="1" t="s">
        <v>14228</v>
      </c>
      <c r="H2006" s="4">
        <v>1.155</v>
      </c>
      <c r="I2006" s="4">
        <v>5.5</v>
      </c>
      <c r="J2006" s="5">
        <v>798</v>
      </c>
      <c r="K2006" s="4">
        <v>21</v>
      </c>
      <c r="L2006" s="1" t="s">
        <v>46</v>
      </c>
      <c r="M2006" s="1" t="s">
        <v>47</v>
      </c>
      <c r="N2006" s="3">
        <v>635309107</v>
      </c>
      <c r="O2006" s="1" t="s">
        <v>48</v>
      </c>
      <c r="P2006" s="1" t="s">
        <v>14229</v>
      </c>
      <c r="Q2006" s="4">
        <v>1.5</v>
      </c>
      <c r="R2006" s="4">
        <v>1</v>
      </c>
      <c r="S2006" s="8">
        <v>3</v>
      </c>
      <c r="T2006" s="1" t="s">
        <v>50</v>
      </c>
      <c r="U2006" s="1"/>
      <c r="V2006" s="1"/>
      <c r="W2006" s="1"/>
      <c r="X2006" s="5">
        <v>700</v>
      </c>
      <c r="Y2006" s="7">
        <v>38000000</v>
      </c>
      <c r="Z2006" s="1"/>
      <c r="AA2006" s="1" t="s">
        <v>14221</v>
      </c>
      <c r="AB2006" s="1" t="s">
        <v>2067</v>
      </c>
      <c r="AC2006" s="1" t="s">
        <v>2068</v>
      </c>
      <c r="AD2006" s="1" t="s">
        <v>2067</v>
      </c>
      <c r="AE2006" s="1" t="s">
        <v>51</v>
      </c>
      <c r="AF2006" s="1" t="s">
        <v>51</v>
      </c>
      <c r="AG2006" s="1" t="s">
        <v>51</v>
      </c>
      <c r="AH2006" s="1"/>
      <c r="AI2006" s="1"/>
      <c r="AJ2006" s="3">
        <v>4</v>
      </c>
      <c r="AK2006" s="1" t="s">
        <v>1209</v>
      </c>
      <c r="AL2006" s="3">
        <v>13</v>
      </c>
      <c r="AM2006" s="8">
        <v>25.670000000000002</v>
      </c>
      <c r="AN2006" s="1"/>
      <c r="AO2006" s="1" t="s">
        <v>14230</v>
      </c>
      <c r="AP2006" s="1" t="s">
        <v>14231</v>
      </c>
      <c r="AQ2006" s="1" t="s">
        <v>14232</v>
      </c>
      <c r="AR2006" s="1" t="s">
        <v>14233</v>
      </c>
    </row>
    <row r="2007">
      <c r="A2007" s="2">
        <f ca="1">DATE(2006,09,27)</f>
        <v>0</v>
      </c>
      <c r="B2007" s="2">
        <f ca="1">DATE(2007,02,07)</f>
        <v>0</v>
      </c>
      <c r="C2007" s="1" t="s">
        <v>14234</v>
      </c>
      <c r="D2007" s="3">
        <v>4813</v>
      </c>
      <c r="E2007" s="1" t="s">
        <v>43</v>
      </c>
      <c r="F2007" s="1" t="s">
        <v>14235</v>
      </c>
      <c r="G2007" s="1" t="s">
        <v>14236</v>
      </c>
      <c r="H2007" s="4">
        <v>1.19</v>
      </c>
      <c r="I2007" s="8">
        <v>7</v>
      </c>
      <c r="J2007" s="5">
        <v>198.30000000000001</v>
      </c>
      <c r="K2007" s="4">
        <v>17</v>
      </c>
      <c r="L2007" s="1" t="s">
        <v>46</v>
      </c>
      <c r="M2007" s="1" t="s">
        <v>47</v>
      </c>
      <c r="N2007" s="3">
        <v>871043105</v>
      </c>
      <c r="O2007" s="1" t="s">
        <v>48</v>
      </c>
      <c r="P2007" s="1" t="s">
        <v>14237</v>
      </c>
      <c r="Q2007" s="1" t="s">
        <v>145</v>
      </c>
      <c r="R2007" s="1" t="s">
        <v>145</v>
      </c>
      <c r="S2007" s="8">
        <v>4.2000000000000002</v>
      </c>
      <c r="T2007" s="1" t="s">
        <v>50</v>
      </c>
      <c r="U2007" s="1"/>
      <c r="V2007" s="1"/>
      <c r="W2007" s="1"/>
      <c r="X2007" s="5">
        <v>150</v>
      </c>
      <c r="Y2007" s="7">
        <v>9000000</v>
      </c>
      <c r="Z2007" s="7">
        <v>2666667</v>
      </c>
      <c r="AA2007" s="1" t="s">
        <v>14212</v>
      </c>
      <c r="AB2007" s="1" t="s">
        <v>5265</v>
      </c>
      <c r="AC2007" s="1" t="s">
        <v>7759</v>
      </c>
      <c r="AD2007" s="1" t="s">
        <v>5265</v>
      </c>
      <c r="AE2007" s="1" t="s">
        <v>51</v>
      </c>
      <c r="AF2007" s="1" t="s">
        <v>51</v>
      </c>
      <c r="AG2007" s="1" t="s">
        <v>47</v>
      </c>
      <c r="AH2007" s="1"/>
      <c r="AI2007" s="1"/>
      <c r="AJ2007" s="3">
        <v>2</v>
      </c>
      <c r="AK2007" s="1" t="s">
        <v>89</v>
      </c>
      <c r="AL2007" s="3">
        <v>7</v>
      </c>
      <c r="AM2007" s="8">
        <v>19</v>
      </c>
      <c r="AN2007" s="1"/>
      <c r="AO2007" s="1" t="s">
        <v>14238</v>
      </c>
      <c r="AP2007" s="1" t="s">
        <v>14239</v>
      </c>
      <c r="AQ2007" s="1" t="s">
        <v>14240</v>
      </c>
      <c r="AR2007" s="1" t="s">
        <v>14241</v>
      </c>
    </row>
    <row r="2008">
      <c r="A2008" s="2">
        <f ca="1">DATE(2006,11,08)</f>
        <v>0</v>
      </c>
      <c r="B2008" s="2">
        <f ca="1">DATE(2007,02,08)</f>
        <v>0</v>
      </c>
      <c r="C2008" s="1" t="s">
        <v>11485</v>
      </c>
      <c r="D2008" s="3">
        <v>6799</v>
      </c>
      <c r="E2008" s="1" t="s">
        <v>43</v>
      </c>
      <c r="F2008" s="1" t="s">
        <v>14242</v>
      </c>
      <c r="G2008" s="1" t="s">
        <v>14243</v>
      </c>
      <c r="H2008" s="4">
        <v>1.1100000000000001</v>
      </c>
      <c r="I2008" s="4">
        <v>6</v>
      </c>
      <c r="J2008" s="5">
        <v>634.29999999999995</v>
      </c>
      <c r="K2008" s="4">
        <v>18.5</v>
      </c>
      <c r="L2008" s="1" t="s">
        <v>152</v>
      </c>
      <c r="M2008" s="1" t="s">
        <v>47</v>
      </c>
      <c r="N2008" s="1" t="s">
        <v>14244</v>
      </c>
      <c r="O2008" s="1" t="s">
        <v>108</v>
      </c>
      <c r="P2008" s="1" t="s">
        <v>14245</v>
      </c>
      <c r="Q2008" s="1" t="s">
        <v>145</v>
      </c>
      <c r="R2008" s="1" t="s">
        <v>145</v>
      </c>
      <c r="S2008" s="6">
        <v>3.8918900000000001</v>
      </c>
      <c r="T2008" s="1" t="s">
        <v>50</v>
      </c>
      <c r="U2008" s="8">
        <v>18.5</v>
      </c>
      <c r="V2008" s="1"/>
      <c r="W2008" s="1"/>
      <c r="X2008" s="5">
        <v>750</v>
      </c>
      <c r="Y2008" s="7">
        <v>34286000</v>
      </c>
      <c r="Z2008" s="1"/>
      <c r="AA2008" s="1" t="s">
        <v>14246</v>
      </c>
      <c r="AB2008" s="1" t="s">
        <v>5265</v>
      </c>
      <c r="AC2008" s="1" t="s">
        <v>11484</v>
      </c>
      <c r="AD2008" s="1" t="s">
        <v>5265</v>
      </c>
      <c r="AE2008" s="1" t="s">
        <v>51</v>
      </c>
      <c r="AF2008" s="1" t="s">
        <v>51</v>
      </c>
      <c r="AG2008" s="1" t="s">
        <v>51</v>
      </c>
      <c r="AH2008" s="1"/>
      <c r="AI2008" s="1"/>
      <c r="AJ2008" s="3">
        <v>5</v>
      </c>
      <c r="AK2008" s="1" t="s">
        <v>3985</v>
      </c>
      <c r="AL2008" s="3">
        <v>10</v>
      </c>
      <c r="AM2008" s="8">
        <v>31</v>
      </c>
      <c r="AN2008" s="1"/>
      <c r="AO2008" s="1" t="s">
        <v>14247</v>
      </c>
      <c r="AP2008" s="1" t="s">
        <v>14248</v>
      </c>
      <c r="AQ2008" s="1" t="s">
        <v>14249</v>
      </c>
      <c r="AR2008" s="1" t="s">
        <v>14250</v>
      </c>
    </row>
    <row r="2009">
      <c r="A2009" s="2">
        <f ca="1">DATE(2006,11,15)</f>
        <v>0</v>
      </c>
      <c r="B2009" s="2">
        <f ca="1">DATE(2007,02,08)</f>
        <v>0</v>
      </c>
      <c r="C2009" s="1" t="s">
        <v>14251</v>
      </c>
      <c r="D2009" s="3">
        <v>4922</v>
      </c>
      <c r="E2009" s="1" t="s">
        <v>43</v>
      </c>
      <c r="F2009" s="1" t="s">
        <v>14252</v>
      </c>
      <c r="G2009" s="1" t="s">
        <v>14253</v>
      </c>
      <c r="H2009" s="4">
        <v>1.208</v>
      </c>
      <c r="I2009" s="4">
        <v>5.75</v>
      </c>
      <c r="J2009" s="5">
        <v>352.80000000000001</v>
      </c>
      <c r="K2009" s="4">
        <v>21</v>
      </c>
      <c r="L2009" s="1" t="s">
        <v>85</v>
      </c>
      <c r="M2009" s="1" t="s">
        <v>47</v>
      </c>
      <c r="N2009" s="1" t="s">
        <v>14254</v>
      </c>
      <c r="O2009" s="1" t="s">
        <v>48</v>
      </c>
      <c r="P2009" s="1" t="s">
        <v>14255</v>
      </c>
      <c r="Q2009" s="1" t="s">
        <v>145</v>
      </c>
      <c r="R2009" s="1" t="s">
        <v>145</v>
      </c>
      <c r="S2009" s="8">
        <v>3.4500000000000002</v>
      </c>
      <c r="T2009" s="1" t="s">
        <v>50</v>
      </c>
      <c r="U2009" s="1"/>
      <c r="V2009" s="1"/>
      <c r="W2009" s="7">
        <v>16800000</v>
      </c>
      <c r="X2009" s="1"/>
      <c r="Y2009" s="7">
        <v>16800000</v>
      </c>
      <c r="Z2009" s="1"/>
      <c r="AA2009" s="1" t="s">
        <v>14256</v>
      </c>
      <c r="AB2009" s="1" t="s">
        <v>2067</v>
      </c>
      <c r="AC2009" s="1" t="s">
        <v>2068</v>
      </c>
      <c r="AD2009" s="1" t="s">
        <v>2067</v>
      </c>
      <c r="AE2009" s="1" t="s">
        <v>51</v>
      </c>
      <c r="AF2009" s="1" t="s">
        <v>51</v>
      </c>
      <c r="AG2009" s="1" t="s">
        <v>51</v>
      </c>
      <c r="AH2009" s="1"/>
      <c r="AI2009" s="1"/>
      <c r="AJ2009" s="3">
        <v>4</v>
      </c>
      <c r="AK2009" s="1" t="s">
        <v>1209</v>
      </c>
      <c r="AL2009" s="3">
        <v>11</v>
      </c>
      <c r="AM2009" s="8">
        <v>23.760000000000002</v>
      </c>
      <c r="AN2009" s="1"/>
      <c r="AO2009" s="1" t="s">
        <v>14257</v>
      </c>
      <c r="AP2009" s="1" t="s">
        <v>14258</v>
      </c>
      <c r="AQ2009" s="1" t="s">
        <v>14259</v>
      </c>
      <c r="AR2009" s="1" t="s">
        <v>14260</v>
      </c>
    </row>
    <row r="2010">
      <c r="A2010" s="2">
        <f ca="1">DATE(2006,08,04)</f>
        <v>0</v>
      </c>
      <c r="B2010" s="2">
        <f ca="1">DATE(2007,02,08)</f>
        <v>0</v>
      </c>
      <c r="C2010" s="1" t="s">
        <v>14261</v>
      </c>
      <c r="D2010" s="3">
        <v>6726</v>
      </c>
      <c r="E2010" s="1" t="s">
        <v>43</v>
      </c>
      <c r="F2010" s="1" t="s">
        <v>14262</v>
      </c>
      <c r="G2010" s="1" t="s">
        <v>14263</v>
      </c>
      <c r="H2010" s="4">
        <v>0.59999999999999998</v>
      </c>
      <c r="I2010" s="4">
        <v>7.5</v>
      </c>
      <c r="J2010" s="5">
        <v>80</v>
      </c>
      <c r="K2010" s="4">
        <v>8</v>
      </c>
      <c r="L2010" s="1" t="s">
        <v>46</v>
      </c>
      <c r="M2010" s="1" t="s">
        <v>47</v>
      </c>
      <c r="N2010" s="3">
        <v>893237206</v>
      </c>
      <c r="O2010" s="1" t="s">
        <v>87</v>
      </c>
      <c r="P2010" s="1" t="s">
        <v>14264</v>
      </c>
      <c r="Q2010" s="1" t="s">
        <v>145</v>
      </c>
      <c r="R2010" s="1" t="s">
        <v>145</v>
      </c>
      <c r="S2010" s="8">
        <v>2</v>
      </c>
      <c r="T2010" s="1" t="s">
        <v>50</v>
      </c>
      <c r="U2010" s="8">
        <v>8</v>
      </c>
      <c r="V2010" s="8">
        <v>8</v>
      </c>
      <c r="W2010" s="7">
        <v>10000000</v>
      </c>
      <c r="X2010" s="5">
        <v>80</v>
      </c>
      <c r="Y2010" s="7">
        <v>10000000</v>
      </c>
      <c r="Z2010" s="1"/>
      <c r="AA2010" s="1"/>
      <c r="AB2010" s="1"/>
      <c r="AC2010" s="1"/>
      <c r="AD2010" s="1"/>
      <c r="AE2010" s="1" t="s">
        <v>51</v>
      </c>
      <c r="AF2010" s="1" t="s">
        <v>51</v>
      </c>
      <c r="AG2010" s="1" t="s">
        <v>51</v>
      </c>
      <c r="AH2010" s="1"/>
      <c r="AI2010" s="1"/>
      <c r="AJ2010" s="3">
        <v>2</v>
      </c>
      <c r="AK2010" s="1" t="s">
        <v>89</v>
      </c>
      <c r="AL2010" s="3">
        <v>2</v>
      </c>
      <c r="AM2010" s="1"/>
      <c r="AN2010" s="1"/>
      <c r="AO2010" s="1" t="s">
        <v>14265</v>
      </c>
      <c r="AP2010" s="1" t="s">
        <v>14266</v>
      </c>
      <c r="AQ2010" s="1" t="s">
        <v>14267</v>
      </c>
      <c r="AR2010" s="1" t="s">
        <v>14268</v>
      </c>
    </row>
    <row r="2011">
      <c r="A2011" s="2">
        <f ca="1">DATE(2006,11,02)</f>
        <v>0</v>
      </c>
      <c r="B2011" s="2">
        <f ca="1">DATE(2007,02,08)</f>
        <v>0</v>
      </c>
      <c r="C2011" s="1" t="s">
        <v>14269</v>
      </c>
      <c r="D2011" s="3">
        <v>5013</v>
      </c>
      <c r="E2011" s="1" t="s">
        <v>43</v>
      </c>
      <c r="F2011" s="1" t="s">
        <v>1047</v>
      </c>
      <c r="G2011" s="1" t="s">
        <v>14270</v>
      </c>
      <c r="H2011" s="4">
        <v>0.69999999999999996</v>
      </c>
      <c r="I2011" s="8">
        <v>7</v>
      </c>
      <c r="J2011" s="5">
        <v>100</v>
      </c>
      <c r="K2011" s="4">
        <v>10</v>
      </c>
      <c r="L2011" s="1" t="s">
        <v>46</v>
      </c>
      <c r="M2011" s="1" t="s">
        <v>47</v>
      </c>
      <c r="N2011" s="1" t="s">
        <v>14271</v>
      </c>
      <c r="O2011" s="1" t="s">
        <v>48</v>
      </c>
      <c r="P2011" s="1" t="s">
        <v>14272</v>
      </c>
      <c r="Q2011" s="1" t="s">
        <v>145</v>
      </c>
      <c r="R2011" s="1" t="s">
        <v>145</v>
      </c>
      <c r="S2011" s="8">
        <v>4.2000000000000002</v>
      </c>
      <c r="T2011" s="1" t="s">
        <v>50</v>
      </c>
      <c r="U2011" s="1"/>
      <c r="V2011" s="1"/>
      <c r="W2011" s="1"/>
      <c r="X2011" s="5">
        <v>100</v>
      </c>
      <c r="Y2011" s="7">
        <v>8000000</v>
      </c>
      <c r="Z2011" s="7">
        <v>2000000</v>
      </c>
      <c r="AA2011" s="1" t="s">
        <v>14273</v>
      </c>
      <c r="AB2011" s="1" t="s">
        <v>5265</v>
      </c>
      <c r="AC2011" s="1" t="s">
        <v>7759</v>
      </c>
      <c r="AD2011" s="1" t="s">
        <v>5265</v>
      </c>
      <c r="AE2011" s="1" t="s">
        <v>51</v>
      </c>
      <c r="AF2011" s="1" t="s">
        <v>51</v>
      </c>
      <c r="AG2011" s="1" t="s">
        <v>47</v>
      </c>
      <c r="AH2011" s="1"/>
      <c r="AI2011" s="1"/>
      <c r="AJ2011" s="3">
        <v>2</v>
      </c>
      <c r="AK2011" s="1" t="s">
        <v>89</v>
      </c>
      <c r="AL2011" s="3">
        <v>4</v>
      </c>
      <c r="AM2011" s="8">
        <v>11.9</v>
      </c>
      <c r="AN2011" s="1"/>
      <c r="AO2011" s="1" t="s">
        <v>14274</v>
      </c>
      <c r="AP2011" s="1" t="s">
        <v>14275</v>
      </c>
      <c r="AQ2011" s="1" t="s">
        <v>14276</v>
      </c>
      <c r="AR2011" s="1" t="s">
        <v>14272</v>
      </c>
    </row>
    <row r="2012">
      <c r="A2012" s="2">
        <f ca="1">DATE(2006,11,09)</f>
        <v>0</v>
      </c>
      <c r="B2012" s="2">
        <f ca="1">DATE(2007,02,09)</f>
        <v>0</v>
      </c>
      <c r="C2012" s="1" t="s">
        <v>14277</v>
      </c>
      <c r="D2012" s="3">
        <v>2834</v>
      </c>
      <c r="E2012" s="1" t="s">
        <v>43</v>
      </c>
      <c r="F2012" s="1" t="s">
        <v>14278</v>
      </c>
      <c r="G2012" s="1" t="s">
        <v>9526</v>
      </c>
      <c r="H2012" s="4">
        <v>0.48999999999999999</v>
      </c>
      <c r="I2012" s="8">
        <v>7</v>
      </c>
      <c r="J2012" s="5">
        <v>49</v>
      </c>
      <c r="K2012" s="4">
        <v>7</v>
      </c>
      <c r="L2012" s="1" t="s">
        <v>46</v>
      </c>
      <c r="M2012" s="1" t="s">
        <v>47</v>
      </c>
      <c r="N2012" s="1" t="s">
        <v>14279</v>
      </c>
      <c r="O2012" s="1" t="s">
        <v>48</v>
      </c>
      <c r="P2012" s="1" t="s">
        <v>14280</v>
      </c>
      <c r="Q2012" s="1" t="s">
        <v>145</v>
      </c>
      <c r="R2012" s="1" t="s">
        <v>145</v>
      </c>
      <c r="S2012" s="6">
        <v>4.1428599999999998</v>
      </c>
      <c r="T2012" s="1" t="s">
        <v>50</v>
      </c>
      <c r="U2012" s="1"/>
      <c r="V2012" s="1"/>
      <c r="W2012" s="1"/>
      <c r="X2012" s="5">
        <v>86.299999999999997</v>
      </c>
      <c r="Y2012" s="7">
        <v>7000000</v>
      </c>
      <c r="Z2012" s="1"/>
      <c r="AA2012" s="1" t="s">
        <v>14281</v>
      </c>
      <c r="AB2012" s="1" t="s">
        <v>5265</v>
      </c>
      <c r="AC2012" s="1" t="s">
        <v>7759</v>
      </c>
      <c r="AD2012" s="1" t="s">
        <v>5265</v>
      </c>
      <c r="AE2012" s="1" t="s">
        <v>51</v>
      </c>
      <c r="AF2012" s="1" t="s">
        <v>51</v>
      </c>
      <c r="AG2012" s="1" t="s">
        <v>47</v>
      </c>
      <c r="AH2012" s="1"/>
      <c r="AI2012" s="1"/>
      <c r="AJ2012" s="3">
        <v>2</v>
      </c>
      <c r="AK2012" s="1" t="s">
        <v>89</v>
      </c>
      <c r="AL2012" s="3">
        <v>4</v>
      </c>
      <c r="AM2012" s="8">
        <v>8.5</v>
      </c>
      <c r="AN2012" s="1"/>
      <c r="AO2012" s="1" t="s">
        <v>14282</v>
      </c>
      <c r="AP2012" s="1" t="s">
        <v>9532</v>
      </c>
      <c r="AQ2012" s="1" t="s">
        <v>14283</v>
      </c>
      <c r="AR2012" s="1" t="s">
        <v>14280</v>
      </c>
    </row>
    <row r="2013">
      <c r="A2013" s="2">
        <f ca="1">DATE(2005,12,29)</f>
        <v>0</v>
      </c>
      <c r="B2013" s="2">
        <f ca="1">DATE(2007,02,09)</f>
        <v>0</v>
      </c>
      <c r="C2013" s="1" t="s">
        <v>14284</v>
      </c>
      <c r="D2013" s="3">
        <v>3669</v>
      </c>
      <c r="E2013" s="1" t="s">
        <v>43</v>
      </c>
      <c r="F2013" s="1" t="s">
        <v>14285</v>
      </c>
      <c r="G2013" s="1" t="s">
        <v>13991</v>
      </c>
      <c r="H2013" s="4">
        <v>0.45500000000000002</v>
      </c>
      <c r="I2013" s="4">
        <v>7</v>
      </c>
      <c r="J2013" s="5">
        <v>20.199999999999999</v>
      </c>
      <c r="K2013" s="4">
        <v>6.5</v>
      </c>
      <c r="L2013" s="1" t="s">
        <v>46</v>
      </c>
      <c r="M2013" s="1" t="s">
        <v>47</v>
      </c>
      <c r="N2013" s="1" t="s">
        <v>14286</v>
      </c>
      <c r="O2013" s="1" t="s">
        <v>48</v>
      </c>
      <c r="P2013" s="1" t="s">
        <v>14287</v>
      </c>
      <c r="Q2013" s="1" t="s">
        <v>145</v>
      </c>
      <c r="R2013" s="1" t="s">
        <v>145</v>
      </c>
      <c r="S2013" s="8">
        <v>4.2000000000000002</v>
      </c>
      <c r="T2013" s="1" t="s">
        <v>50</v>
      </c>
      <c r="U2013" s="1"/>
      <c r="V2013" s="1"/>
      <c r="W2013" s="1"/>
      <c r="X2013" s="5">
        <v>45.799999999999997</v>
      </c>
      <c r="Y2013" s="7">
        <v>3100000</v>
      </c>
      <c r="Z2013" s="1"/>
      <c r="AA2013" s="1" t="s">
        <v>14288</v>
      </c>
      <c r="AB2013" s="1" t="s">
        <v>2067</v>
      </c>
      <c r="AC2013" s="1" t="s">
        <v>2068</v>
      </c>
      <c r="AD2013" s="1" t="s">
        <v>2067</v>
      </c>
      <c r="AE2013" s="1" t="s">
        <v>51</v>
      </c>
      <c r="AF2013" s="1" t="s">
        <v>51</v>
      </c>
      <c r="AG2013" s="1" t="s">
        <v>51</v>
      </c>
      <c r="AH2013" s="1"/>
      <c r="AI2013" s="1"/>
      <c r="AJ2013" s="3">
        <v>1</v>
      </c>
      <c r="AK2013" s="1" t="s">
        <v>52</v>
      </c>
      <c r="AL2013" s="3">
        <v>3</v>
      </c>
      <c r="AM2013" s="8">
        <v>6.5</v>
      </c>
      <c r="AN2013" s="1"/>
      <c r="AO2013" s="1" t="s">
        <v>14289</v>
      </c>
      <c r="AP2013" s="1" t="s">
        <v>13991</v>
      </c>
      <c r="AQ2013" s="1" t="s">
        <v>14290</v>
      </c>
      <c r="AR2013" s="1" t="s">
        <v>14291</v>
      </c>
    </row>
    <row r="2014">
      <c r="A2014" s="2">
        <f ca="1">DATE(2006,06,28)</f>
        <v>0</v>
      </c>
      <c r="B2014" s="2">
        <f ca="1">DATE(2007,02,12)</f>
        <v>0</v>
      </c>
      <c r="C2014" s="1" t="s">
        <v>14292</v>
      </c>
      <c r="D2014" s="3">
        <v>6726</v>
      </c>
      <c r="E2014" s="1" t="s">
        <v>43</v>
      </c>
      <c r="F2014" s="1" t="s">
        <v>14293</v>
      </c>
      <c r="G2014" s="1" t="s">
        <v>14294</v>
      </c>
      <c r="H2014" s="4">
        <v>0.23999999999999999</v>
      </c>
      <c r="I2014" s="4">
        <v>4</v>
      </c>
      <c r="J2014" s="5">
        <v>60</v>
      </c>
      <c r="K2014" s="4">
        <v>6</v>
      </c>
      <c r="L2014" s="1" t="s">
        <v>46</v>
      </c>
      <c r="M2014" s="1" t="s">
        <v>47</v>
      </c>
      <c r="N2014" s="1" t="s">
        <v>14295</v>
      </c>
      <c r="O2014" s="1" t="s">
        <v>87</v>
      </c>
      <c r="P2014" s="1" t="s">
        <v>14296</v>
      </c>
      <c r="Q2014" s="1" t="s">
        <v>145</v>
      </c>
      <c r="R2014" s="1" t="s">
        <v>145</v>
      </c>
      <c r="S2014" s="6">
        <v>2.3333300000000001</v>
      </c>
      <c r="T2014" s="1" t="s">
        <v>50</v>
      </c>
      <c r="U2014" s="8">
        <v>6</v>
      </c>
      <c r="V2014" s="8">
        <v>6</v>
      </c>
      <c r="W2014" s="7">
        <v>10000000</v>
      </c>
      <c r="X2014" s="5">
        <v>60</v>
      </c>
      <c r="Y2014" s="7">
        <v>10000000</v>
      </c>
      <c r="Z2014" s="1"/>
      <c r="AA2014" s="2">
        <f ca="1">DATE(2008,02,07)</f>
        <v>0</v>
      </c>
      <c r="AB2014" s="4">
        <v>20</v>
      </c>
      <c r="AC2014" s="3">
        <v>360</v>
      </c>
      <c r="AD2014" s="8">
        <v>2500000</v>
      </c>
      <c r="AE2014" s="1" t="s">
        <v>51</v>
      </c>
      <c r="AF2014" s="1" t="s">
        <v>51</v>
      </c>
      <c r="AG2014" s="1" t="s">
        <v>51</v>
      </c>
      <c r="AH2014" s="1"/>
      <c r="AI2014" s="1"/>
      <c r="AJ2014" s="3">
        <v>1</v>
      </c>
      <c r="AK2014" s="1" t="s">
        <v>52</v>
      </c>
      <c r="AL2014" s="3">
        <v>3</v>
      </c>
      <c r="AM2014" s="1"/>
      <c r="AN2014" s="1"/>
      <c r="AO2014" s="1" t="s">
        <v>14297</v>
      </c>
      <c r="AP2014" s="1" t="s">
        <v>14294</v>
      </c>
      <c r="AQ2014" s="1" t="s">
        <v>14298</v>
      </c>
      <c r="AR2014" s="1" t="s">
        <v>14299</v>
      </c>
    </row>
    <row r="2015">
      <c r="A2015" s="2">
        <f ca="1">DATE(2006,06,21)</f>
        <v>0</v>
      </c>
      <c r="B2015" s="2">
        <f ca="1">DATE(2007,02,13)</f>
        <v>0</v>
      </c>
      <c r="C2015" s="1" t="s">
        <v>14300</v>
      </c>
      <c r="D2015" s="3">
        <v>2879</v>
      </c>
      <c r="E2015" s="1" t="s">
        <v>43</v>
      </c>
      <c r="F2015" s="1" t="s">
        <v>14301</v>
      </c>
      <c r="G2015" s="1" t="s">
        <v>1223</v>
      </c>
      <c r="H2015" s="4">
        <v>0.38500000000000001</v>
      </c>
      <c r="I2015" s="4">
        <v>7</v>
      </c>
      <c r="J2015" s="5">
        <v>9.9000000000000004</v>
      </c>
      <c r="K2015" s="4">
        <v>5.5</v>
      </c>
      <c r="L2015" s="1" t="s">
        <v>46</v>
      </c>
      <c r="M2015" s="1" t="s">
        <v>47</v>
      </c>
      <c r="N2015" s="1" t="s">
        <v>14302</v>
      </c>
      <c r="O2015" s="1" t="s">
        <v>48</v>
      </c>
      <c r="P2015" s="1" t="s">
        <v>14303</v>
      </c>
      <c r="Q2015" s="1" t="s">
        <v>145</v>
      </c>
      <c r="R2015" s="1" t="s">
        <v>145</v>
      </c>
      <c r="S2015" s="8">
        <v>4</v>
      </c>
      <c r="T2015" s="1" t="s">
        <v>50</v>
      </c>
      <c r="U2015" s="8">
        <v>6</v>
      </c>
      <c r="V2015" s="8">
        <v>4</v>
      </c>
      <c r="W2015" s="7">
        <v>2000000</v>
      </c>
      <c r="X2015" s="5">
        <v>10</v>
      </c>
      <c r="Y2015" s="7">
        <v>1800000</v>
      </c>
      <c r="Z2015" s="1"/>
      <c r="AA2015" s="1" t="s">
        <v>14304</v>
      </c>
      <c r="AB2015" s="1" t="s">
        <v>2067</v>
      </c>
      <c r="AC2015" s="1" t="s">
        <v>6689</v>
      </c>
      <c r="AD2015" s="1" t="s">
        <v>2067</v>
      </c>
      <c r="AE2015" s="1" t="s">
        <v>51</v>
      </c>
      <c r="AF2015" s="1" t="s">
        <v>51</v>
      </c>
      <c r="AG2015" s="1" t="s">
        <v>51</v>
      </c>
      <c r="AH2015" s="1"/>
      <c r="AI2015" s="1"/>
      <c r="AJ2015" s="3">
        <v>1</v>
      </c>
      <c r="AK2015" s="1" t="s">
        <v>52</v>
      </c>
      <c r="AL2015" s="3">
        <v>3</v>
      </c>
      <c r="AM2015" s="1"/>
      <c r="AN2015" s="1"/>
      <c r="AO2015" s="1" t="s">
        <v>14305</v>
      </c>
      <c r="AP2015" s="1" t="s">
        <v>1223</v>
      </c>
      <c r="AQ2015" s="1" t="s">
        <v>14306</v>
      </c>
      <c r="AR2015" s="1" t="s">
        <v>14303</v>
      </c>
    </row>
    <row r="2016">
      <c r="A2016" s="2">
        <f ca="1">DATE(2006,10,27)</f>
        <v>0</v>
      </c>
      <c r="B2016" s="2">
        <f ca="1">DATE(2007,02,14)</f>
        <v>0</v>
      </c>
      <c r="C2016" s="1" t="s">
        <v>14307</v>
      </c>
      <c r="D2016" s="3">
        <v>3674</v>
      </c>
      <c r="E2016" s="1" t="s">
        <v>43</v>
      </c>
      <c r="F2016" s="1" t="s">
        <v>14308</v>
      </c>
      <c r="G2016" s="1" t="s">
        <v>160</v>
      </c>
      <c r="H2016" s="4">
        <v>1.05</v>
      </c>
      <c r="I2016" s="4">
        <v>7</v>
      </c>
      <c r="J2016" s="5">
        <v>253.59999999999999</v>
      </c>
      <c r="K2016" s="4">
        <v>15</v>
      </c>
      <c r="L2016" s="1" t="s">
        <v>46</v>
      </c>
      <c r="M2016" s="1" t="s">
        <v>47</v>
      </c>
      <c r="N2016" s="1" t="s">
        <v>14309</v>
      </c>
      <c r="O2016" s="1" t="s">
        <v>48</v>
      </c>
      <c r="P2016" s="1" t="s">
        <v>14310</v>
      </c>
      <c r="Q2016" s="1" t="s">
        <v>145</v>
      </c>
      <c r="R2016" s="1" t="s">
        <v>145</v>
      </c>
      <c r="S2016" s="8">
        <v>4.2000000000000002</v>
      </c>
      <c r="T2016" s="1" t="s">
        <v>50</v>
      </c>
      <c r="U2016" s="1"/>
      <c r="V2016" s="1"/>
      <c r="W2016" s="1"/>
      <c r="X2016" s="5">
        <v>150</v>
      </c>
      <c r="Y2016" s="7">
        <v>10000000</v>
      </c>
      <c r="Z2016" s="7">
        <v>6909375</v>
      </c>
      <c r="AA2016" s="1" t="s">
        <v>14311</v>
      </c>
      <c r="AB2016" s="1" t="s">
        <v>5265</v>
      </c>
      <c r="AC2016" s="1" t="s">
        <v>7759</v>
      </c>
      <c r="AD2016" s="1" t="s">
        <v>5265</v>
      </c>
      <c r="AE2016" s="1" t="s">
        <v>51</v>
      </c>
      <c r="AF2016" s="1" t="s">
        <v>51</v>
      </c>
      <c r="AG2016" s="1" t="s">
        <v>51</v>
      </c>
      <c r="AH2016" s="1"/>
      <c r="AI2016" s="1"/>
      <c r="AJ2016" s="3">
        <v>1</v>
      </c>
      <c r="AK2016" s="1" t="s">
        <v>52</v>
      </c>
      <c r="AL2016" s="3">
        <v>5</v>
      </c>
      <c r="AM2016" s="8">
        <v>17.399999999999999</v>
      </c>
      <c r="AN2016" s="1"/>
      <c r="AO2016" s="1" t="s">
        <v>14312</v>
      </c>
      <c r="AP2016" s="1" t="s">
        <v>160</v>
      </c>
      <c r="AQ2016" s="1" t="s">
        <v>14313</v>
      </c>
      <c r="AR2016" s="1" t="s">
        <v>14314</v>
      </c>
    </row>
    <row r="2017">
      <c r="A2017" s="2">
        <f ca="1">DATE(2006,11,09)</f>
        <v>0</v>
      </c>
      <c r="B2017" s="2">
        <f ca="1">DATE(2007,02,14)</f>
        <v>0</v>
      </c>
      <c r="C2017" s="1" t="s">
        <v>14315</v>
      </c>
      <c r="D2017" s="3">
        <v>6798</v>
      </c>
      <c r="E2017" s="1" t="s">
        <v>43</v>
      </c>
      <c r="F2017" s="1" t="s">
        <v>14316</v>
      </c>
      <c r="G2017" s="1" t="s">
        <v>14317</v>
      </c>
      <c r="H2017" s="4">
        <v>1.05</v>
      </c>
      <c r="I2017" s="4">
        <v>7</v>
      </c>
      <c r="J2017" s="5">
        <v>250.09999999999999</v>
      </c>
      <c r="K2017" s="4">
        <v>15</v>
      </c>
      <c r="L2017" s="1" t="s">
        <v>46</v>
      </c>
      <c r="M2017" s="1" t="s">
        <v>47</v>
      </c>
      <c r="N2017" s="3">
        <v>746945104</v>
      </c>
      <c r="O2017" s="1" t="s">
        <v>108</v>
      </c>
      <c r="P2017" s="1" t="s">
        <v>14318</v>
      </c>
      <c r="Q2017" s="1" t="s">
        <v>145</v>
      </c>
      <c r="R2017" s="1" t="s">
        <v>145</v>
      </c>
      <c r="S2017" s="8">
        <v>4.2000000000000002</v>
      </c>
      <c r="T2017" s="1" t="s">
        <v>50</v>
      </c>
      <c r="U2017" s="1"/>
      <c r="V2017" s="1"/>
      <c r="W2017" s="1"/>
      <c r="X2017" s="5">
        <v>250</v>
      </c>
      <c r="Y2017" s="7">
        <v>16670000</v>
      </c>
      <c r="Z2017" s="1"/>
      <c r="AA2017" s="1" t="s">
        <v>14319</v>
      </c>
      <c r="AB2017" s="1" t="s">
        <v>2067</v>
      </c>
      <c r="AC2017" s="1" t="s">
        <v>2068</v>
      </c>
      <c r="AD2017" s="1" t="s">
        <v>2067</v>
      </c>
      <c r="AE2017" s="1" t="s">
        <v>51</v>
      </c>
      <c r="AF2017" s="1" t="s">
        <v>51</v>
      </c>
      <c r="AG2017" s="1" t="s">
        <v>51</v>
      </c>
      <c r="AH2017" s="1"/>
      <c r="AI2017" s="1"/>
      <c r="AJ2017" s="3">
        <v>2</v>
      </c>
      <c r="AK2017" s="1" t="s">
        <v>89</v>
      </c>
      <c r="AL2017" s="3">
        <v>5</v>
      </c>
      <c r="AM2017" s="8">
        <v>15.16</v>
      </c>
      <c r="AN2017" s="1"/>
      <c r="AO2017" s="1" t="s">
        <v>14320</v>
      </c>
      <c r="AP2017" s="1" t="s">
        <v>14321</v>
      </c>
      <c r="AQ2017" s="1" t="s">
        <v>14322</v>
      </c>
      <c r="AR2017" s="1" t="s">
        <v>14318</v>
      </c>
    </row>
    <row r="2018">
      <c r="A2018" s="2">
        <f ca="1">DATE(2006,11,03)</f>
        <v>0</v>
      </c>
      <c r="B2018" s="2">
        <f ca="1">DATE(2007,02,14)</f>
        <v>0</v>
      </c>
      <c r="C2018" s="1" t="s">
        <v>14323</v>
      </c>
      <c r="D2018" s="3">
        <v>6726</v>
      </c>
      <c r="E2018" s="1" t="s">
        <v>43</v>
      </c>
      <c r="F2018" s="1" t="s">
        <v>14324</v>
      </c>
      <c r="G2018" s="1" t="s">
        <v>2705</v>
      </c>
      <c r="H2018" s="4">
        <v>1.425</v>
      </c>
      <c r="I2018" s="4">
        <v>9.5</v>
      </c>
      <c r="J2018" s="5">
        <v>63</v>
      </c>
      <c r="K2018" s="4">
        <v>15</v>
      </c>
      <c r="L2018" s="1" t="s">
        <v>46</v>
      </c>
      <c r="M2018" s="1" t="s">
        <v>47</v>
      </c>
      <c r="N2018" s="3">
        <v>895848109</v>
      </c>
      <c r="O2018" s="1" t="s">
        <v>48</v>
      </c>
      <c r="P2018" s="1" t="s">
        <v>14325</v>
      </c>
      <c r="Q2018" s="1" t="s">
        <v>145</v>
      </c>
      <c r="R2018" s="1" t="s">
        <v>145</v>
      </c>
      <c r="S2018" s="8">
        <v>4.2000000000000002</v>
      </c>
      <c r="T2018" s="1" t="s">
        <v>50</v>
      </c>
      <c r="U2018" s="1"/>
      <c r="V2018" s="1"/>
      <c r="W2018" s="1"/>
      <c r="X2018" s="5">
        <v>57.5</v>
      </c>
      <c r="Y2018" s="7">
        <v>4200000</v>
      </c>
      <c r="Z2018" s="1"/>
      <c r="AA2018" s="1" t="s">
        <v>14326</v>
      </c>
      <c r="AB2018" s="1" t="s">
        <v>2067</v>
      </c>
      <c r="AC2018" s="1" t="s">
        <v>14327</v>
      </c>
      <c r="AD2018" s="1" t="s">
        <v>2067</v>
      </c>
      <c r="AE2018" s="1" t="s">
        <v>51</v>
      </c>
      <c r="AF2018" s="1" t="s">
        <v>51</v>
      </c>
      <c r="AG2018" s="1" t="s">
        <v>51</v>
      </c>
      <c r="AH2018" s="1"/>
      <c r="AI2018" s="1"/>
      <c r="AJ2018" s="3">
        <v>1</v>
      </c>
      <c r="AK2018" s="1" t="s">
        <v>52</v>
      </c>
      <c r="AL2018" s="3">
        <v>4</v>
      </c>
      <c r="AM2018" s="8">
        <v>16</v>
      </c>
      <c r="AN2018" s="1"/>
      <c r="AO2018" s="1" t="s">
        <v>14328</v>
      </c>
      <c r="AP2018" s="1" t="s">
        <v>2705</v>
      </c>
      <c r="AQ2018" s="1" t="s">
        <v>14329</v>
      </c>
      <c r="AR2018" s="1" t="s">
        <v>14325</v>
      </c>
    </row>
    <row r="2019">
      <c r="A2019" s="2">
        <f ca="1">DATE(2006,11,13)</f>
        <v>0</v>
      </c>
      <c r="B2019" s="2">
        <f ca="1">DATE(2007,02,15)</f>
        <v>0</v>
      </c>
      <c r="C2019" s="1" t="s">
        <v>14330</v>
      </c>
      <c r="D2019" s="3">
        <v>7372</v>
      </c>
      <c r="E2019" s="1" t="s">
        <v>43</v>
      </c>
      <c r="F2019" s="1"/>
      <c r="G2019" s="1" t="s">
        <v>789</v>
      </c>
      <c r="H2019" s="4">
        <v>0.73499999999999999</v>
      </c>
      <c r="I2019" s="8">
        <v>7</v>
      </c>
      <c r="J2019" s="5">
        <v>59.899999999999999</v>
      </c>
      <c r="K2019" s="4">
        <v>10.5</v>
      </c>
      <c r="L2019" s="1" t="s">
        <v>46</v>
      </c>
      <c r="M2019" s="1" t="s">
        <v>47</v>
      </c>
      <c r="N2019" s="3">
        <v>794006106</v>
      </c>
      <c r="O2019" s="1"/>
      <c r="P2019" s="1" t="s">
        <v>14331</v>
      </c>
      <c r="Q2019" s="1" t="s">
        <v>145</v>
      </c>
      <c r="R2019" s="1" t="s">
        <v>145</v>
      </c>
      <c r="S2019" s="8">
        <v>4.2000000000000002</v>
      </c>
      <c r="T2019" s="1" t="s">
        <v>50</v>
      </c>
      <c r="U2019" s="1"/>
      <c r="V2019" s="1"/>
      <c r="W2019" s="1"/>
      <c r="X2019" s="5">
        <v>50</v>
      </c>
      <c r="Y2019" s="7">
        <v>4898443</v>
      </c>
      <c r="Z2019" s="7">
        <v>801557</v>
      </c>
      <c r="AA2019" s="1" t="s">
        <v>14332</v>
      </c>
      <c r="AB2019" s="1" t="s">
        <v>5265</v>
      </c>
      <c r="AC2019" s="1" t="s">
        <v>7759</v>
      </c>
      <c r="AD2019" s="1" t="s">
        <v>5265</v>
      </c>
      <c r="AE2019" s="1" t="s">
        <v>51</v>
      </c>
      <c r="AF2019" s="1" t="s">
        <v>51</v>
      </c>
      <c r="AG2019" s="1" t="s">
        <v>47</v>
      </c>
      <c r="AH2019" s="1"/>
      <c r="AI2019" s="1"/>
      <c r="AJ2019" s="3">
        <v>1</v>
      </c>
      <c r="AK2019" s="1" t="s">
        <v>52</v>
      </c>
      <c r="AL2019" s="3">
        <v>5</v>
      </c>
      <c r="AM2019" s="8">
        <v>12.5</v>
      </c>
      <c r="AN2019" s="1"/>
      <c r="AO2019" s="1" t="s">
        <v>14333</v>
      </c>
      <c r="AP2019" s="1" t="s">
        <v>789</v>
      </c>
      <c r="AQ2019" s="1" t="s">
        <v>14334</v>
      </c>
      <c r="AR2019" s="1" t="s">
        <v>14331</v>
      </c>
    </row>
    <row r="2020">
      <c r="A2020" s="2">
        <f ca="1">DATE(2006,09,19)</f>
        <v>0</v>
      </c>
      <c r="B2020" s="2">
        <f ca="1">DATE(2007,02,21)</f>
        <v>0</v>
      </c>
      <c r="C2020" s="1" t="s">
        <v>14335</v>
      </c>
      <c r="D2020" s="3">
        <v>6726</v>
      </c>
      <c r="E2020" s="1" t="s">
        <v>43</v>
      </c>
      <c r="F2020" s="1" t="s">
        <v>14336</v>
      </c>
      <c r="G2020" s="1" t="s">
        <v>14337</v>
      </c>
      <c r="H2020" s="4">
        <v>0.82499999999999996</v>
      </c>
      <c r="I2020" s="4">
        <v>5.5</v>
      </c>
      <c r="J2020" s="5">
        <v>255</v>
      </c>
      <c r="K2020" s="4">
        <v>15</v>
      </c>
      <c r="L2020" s="1" t="s">
        <v>46</v>
      </c>
      <c r="M2020" s="1" t="s">
        <v>47</v>
      </c>
      <c r="N2020" s="3">
        <v>430067108</v>
      </c>
      <c r="O2020" s="1" t="s">
        <v>108</v>
      </c>
      <c r="P2020" s="1" t="s">
        <v>14338</v>
      </c>
      <c r="Q2020" s="1" t="s">
        <v>145</v>
      </c>
      <c r="R2020" s="1" t="s">
        <v>145</v>
      </c>
      <c r="S2020" s="8">
        <v>3.2999999999999998</v>
      </c>
      <c r="T2020" s="1" t="s">
        <v>50</v>
      </c>
      <c r="U2020" s="8">
        <v>15</v>
      </c>
      <c r="V2020" s="8">
        <v>15</v>
      </c>
      <c r="W2020" s="7">
        <v>17000000</v>
      </c>
      <c r="X2020" s="5">
        <v>255</v>
      </c>
      <c r="Y2020" s="7">
        <v>17000000</v>
      </c>
      <c r="Z2020" s="1"/>
      <c r="AA2020" s="1" t="s">
        <v>14339</v>
      </c>
      <c r="AB2020" s="1" t="s">
        <v>2067</v>
      </c>
      <c r="AC2020" s="1" t="s">
        <v>2068</v>
      </c>
      <c r="AD2020" s="1" t="s">
        <v>2067</v>
      </c>
      <c r="AE2020" s="1" t="s">
        <v>51</v>
      </c>
      <c r="AF2020" s="1" t="s">
        <v>51</v>
      </c>
      <c r="AG2020" s="1" t="s">
        <v>51</v>
      </c>
      <c r="AH2020" s="1"/>
      <c r="AI2020" s="1"/>
      <c r="AJ2020" s="3">
        <v>3</v>
      </c>
      <c r="AK2020" s="1" t="s">
        <v>110</v>
      </c>
      <c r="AL2020" s="3">
        <v>8</v>
      </c>
      <c r="AM2020" s="8">
        <v>15</v>
      </c>
      <c r="AN2020" s="1"/>
      <c r="AO2020" s="1" t="s">
        <v>14340</v>
      </c>
      <c r="AP2020" s="1" t="s">
        <v>14341</v>
      </c>
      <c r="AQ2020" s="1" t="s">
        <v>14342</v>
      </c>
      <c r="AR2020" s="1" t="s">
        <v>14343</v>
      </c>
    </row>
    <row r="2021">
      <c r="A2021" s="2">
        <f ca="1">DATE(2006,10,31)</f>
        <v>0</v>
      </c>
      <c r="B2021" s="2">
        <f ca="1">DATE(2007,02,22)</f>
        <v>0</v>
      </c>
      <c r="C2021" s="1" t="s">
        <v>14344</v>
      </c>
      <c r="D2021" s="3">
        <v>6726</v>
      </c>
      <c r="E2021" s="1" t="s">
        <v>43</v>
      </c>
      <c r="F2021" s="1" t="s">
        <v>14345</v>
      </c>
      <c r="G2021" s="1" t="s">
        <v>3332</v>
      </c>
      <c r="H2021" s="4">
        <v>0.90000000000000002</v>
      </c>
      <c r="I2021" s="4">
        <v>4.5</v>
      </c>
      <c r="J2021" s="9">
        <v>5500</v>
      </c>
      <c r="K2021" s="4">
        <v>20</v>
      </c>
      <c r="L2021" s="1" t="s">
        <v>4422</v>
      </c>
      <c r="M2021" s="1" t="s">
        <v>47</v>
      </c>
      <c r="N2021" s="1" t="s">
        <v>14346</v>
      </c>
      <c r="O2021" s="1" t="s">
        <v>108</v>
      </c>
      <c r="P2021" s="1" t="s">
        <v>14347</v>
      </c>
      <c r="Q2021" s="4">
        <v>0.94999999999999996</v>
      </c>
      <c r="R2021" s="4">
        <v>0.55000000000000004</v>
      </c>
      <c r="S2021" s="8">
        <v>3</v>
      </c>
      <c r="T2021" s="1" t="s">
        <v>50</v>
      </c>
      <c r="U2021" s="8">
        <v>20</v>
      </c>
      <c r="V2021" s="8">
        <v>20</v>
      </c>
      <c r="W2021" s="7">
        <v>50000</v>
      </c>
      <c r="X2021" s="5">
        <v>1</v>
      </c>
      <c r="Y2021" s="7">
        <v>275000000</v>
      </c>
      <c r="Z2021" s="1"/>
      <c r="AA2021" s="2">
        <f ca="1">DATE(2007,08,21)</f>
        <v>0</v>
      </c>
      <c r="AB2021" s="1"/>
      <c r="AC2021" s="3">
        <v>180</v>
      </c>
      <c r="AD2021" s="1"/>
      <c r="AE2021" s="1" t="s">
        <v>51</v>
      </c>
      <c r="AF2021" s="1" t="s">
        <v>51</v>
      </c>
      <c r="AG2021" s="1" t="s">
        <v>51</v>
      </c>
      <c r="AH2021" s="1"/>
      <c r="AI2021" s="1"/>
      <c r="AJ2021" s="3">
        <v>1</v>
      </c>
      <c r="AK2021" s="1" t="s">
        <v>52</v>
      </c>
      <c r="AL2021" s="3">
        <v>26</v>
      </c>
      <c r="AM2021" s="8">
        <v>20</v>
      </c>
      <c r="AN2021" s="1"/>
      <c r="AO2021" s="1" t="s">
        <v>14348</v>
      </c>
      <c r="AP2021" s="1" t="s">
        <v>3332</v>
      </c>
      <c r="AQ2021" s="1" t="s">
        <v>14349</v>
      </c>
      <c r="AR2021" s="1" t="s">
        <v>14350</v>
      </c>
    </row>
    <row r="2022">
      <c r="A2022" s="2">
        <f ca="1">DATE(2006,12,14)</f>
        <v>0</v>
      </c>
      <c r="B2022" s="2">
        <f ca="1">DATE(2007,02,22)</f>
        <v>0</v>
      </c>
      <c r="C2022" s="1" t="s">
        <v>14351</v>
      </c>
      <c r="D2022" s="3">
        <v>6726</v>
      </c>
      <c r="E2022" s="1" t="s">
        <v>43</v>
      </c>
      <c r="F2022" s="1" t="s">
        <v>14352</v>
      </c>
      <c r="G2022" s="1" t="s">
        <v>14353</v>
      </c>
      <c r="H2022" s="4">
        <v>1.125</v>
      </c>
      <c r="I2022" s="4">
        <v>4.5</v>
      </c>
      <c r="J2022" s="5">
        <v>507.5</v>
      </c>
      <c r="K2022" s="4">
        <v>25</v>
      </c>
      <c r="L2022" s="1" t="s">
        <v>46</v>
      </c>
      <c r="M2022" s="1" t="s">
        <v>47</v>
      </c>
      <c r="N2022" s="1" t="s">
        <v>14354</v>
      </c>
      <c r="O2022" s="1" t="s">
        <v>108</v>
      </c>
      <c r="P2022" s="1" t="s">
        <v>14355</v>
      </c>
      <c r="Q2022" s="1" t="s">
        <v>145</v>
      </c>
      <c r="R2022" s="1" t="s">
        <v>145</v>
      </c>
      <c r="S2022" s="8">
        <v>3</v>
      </c>
      <c r="T2022" s="1" t="s">
        <v>50</v>
      </c>
      <c r="U2022" s="8">
        <v>25</v>
      </c>
      <c r="V2022" s="8">
        <v>25</v>
      </c>
      <c r="W2022" s="7">
        <v>40000</v>
      </c>
      <c r="X2022" s="5">
        <v>1</v>
      </c>
      <c r="Y2022" s="7">
        <v>20300000</v>
      </c>
      <c r="Z2022" s="1"/>
      <c r="AA2022" s="2">
        <f ca="1">DATE(2007,08,21)</f>
        <v>0</v>
      </c>
      <c r="AB2022" s="1"/>
      <c r="AC2022" s="3">
        <v>180</v>
      </c>
      <c r="AD2022" s="1"/>
      <c r="AE2022" s="1" t="s">
        <v>51</v>
      </c>
      <c r="AF2022" s="1" t="s">
        <v>51</v>
      </c>
      <c r="AG2022" s="1" t="s">
        <v>51</v>
      </c>
      <c r="AH2022" s="1"/>
      <c r="AI2022" s="1"/>
      <c r="AJ2022" s="3">
        <v>2</v>
      </c>
      <c r="AK2022" s="1" t="s">
        <v>89</v>
      </c>
      <c r="AL2022" s="3">
        <v>15</v>
      </c>
      <c r="AM2022" s="1"/>
      <c r="AN2022" s="1"/>
      <c r="AO2022" s="1" t="s">
        <v>14356</v>
      </c>
      <c r="AP2022" s="1" t="s">
        <v>7270</v>
      </c>
      <c r="AQ2022" s="1" t="s">
        <v>14357</v>
      </c>
      <c r="AR2022" s="1" t="s">
        <v>14358</v>
      </c>
    </row>
    <row r="2023">
      <c r="A2023" s="2">
        <f ca="1">DATE(2006,09,01)</f>
        <v>0</v>
      </c>
      <c r="B2023" s="2">
        <f ca="1">DATE(2007,02,26)</f>
        <v>0</v>
      </c>
      <c r="C2023" s="1" t="s">
        <v>14359</v>
      </c>
      <c r="D2023" s="3">
        <v>2834</v>
      </c>
      <c r="E2023" s="1" t="s">
        <v>934</v>
      </c>
      <c r="F2023" s="1" t="s">
        <v>14360</v>
      </c>
      <c r="G2023" s="1" t="s">
        <v>2896</v>
      </c>
      <c r="H2023" s="4">
        <v>0.48999999999999999</v>
      </c>
      <c r="I2023" s="8">
        <v>7</v>
      </c>
      <c r="J2023" s="5">
        <v>26.300000000000001</v>
      </c>
      <c r="K2023" s="4">
        <v>7</v>
      </c>
      <c r="L2023" s="1" t="s">
        <v>46</v>
      </c>
      <c r="M2023" s="1" t="s">
        <v>47</v>
      </c>
      <c r="N2023" s="1"/>
      <c r="O2023" s="1" t="s">
        <v>48</v>
      </c>
      <c r="P2023" s="1" t="s">
        <v>14361</v>
      </c>
      <c r="Q2023" s="1" t="s">
        <v>145</v>
      </c>
      <c r="R2023" s="1" t="s">
        <v>145</v>
      </c>
      <c r="S2023" s="8">
        <v>4.2000000000000002</v>
      </c>
      <c r="T2023" s="1" t="s">
        <v>50</v>
      </c>
      <c r="U2023" s="8">
        <v>13</v>
      </c>
      <c r="V2023" s="8">
        <v>11</v>
      </c>
      <c r="W2023" s="7">
        <v>3000000</v>
      </c>
      <c r="X2023" s="5">
        <v>36</v>
      </c>
      <c r="Y2023" s="7">
        <v>3750000</v>
      </c>
      <c r="Z2023" s="1"/>
      <c r="AA2023" s="1" t="s">
        <v>14362</v>
      </c>
      <c r="AB2023" s="1" t="s">
        <v>2067</v>
      </c>
      <c r="AC2023" s="1" t="s">
        <v>2068</v>
      </c>
      <c r="AD2023" s="1" t="s">
        <v>2067</v>
      </c>
      <c r="AE2023" s="1" t="s">
        <v>51</v>
      </c>
      <c r="AF2023" s="1" t="s">
        <v>51</v>
      </c>
      <c r="AG2023" s="1" t="s">
        <v>47</v>
      </c>
      <c r="AH2023" s="1"/>
      <c r="AI2023" s="1"/>
      <c r="AJ2023" s="3">
        <v>1</v>
      </c>
      <c r="AK2023" s="1" t="s">
        <v>52</v>
      </c>
      <c r="AL2023" s="3">
        <v>2</v>
      </c>
      <c r="AM2023" s="1"/>
      <c r="AN2023" s="1"/>
      <c r="AO2023" s="1" t="s">
        <v>14363</v>
      </c>
      <c r="AP2023" s="1" t="s">
        <v>2896</v>
      </c>
      <c r="AQ2023" s="1" t="s">
        <v>14364</v>
      </c>
      <c r="AR2023" s="1" t="s">
        <v>14361</v>
      </c>
    </row>
    <row r="2024">
      <c r="A2024" s="2">
        <f ca="1">DATE(2006,11,16)</f>
        <v>0</v>
      </c>
      <c r="B2024" s="2">
        <f ca="1">DATE(2007,02,28)</f>
        <v>0</v>
      </c>
      <c r="C2024" s="1" t="s">
        <v>14365</v>
      </c>
      <c r="D2024" s="3">
        <v>3357</v>
      </c>
      <c r="E2024" s="1" t="s">
        <v>43</v>
      </c>
      <c r="F2024" s="1" t="s">
        <v>14366</v>
      </c>
      <c r="G2024" s="1" t="s">
        <v>13399</v>
      </c>
      <c r="H2024" s="1" t="s">
        <v>57</v>
      </c>
      <c r="I2024" s="1" t="s">
        <v>57</v>
      </c>
      <c r="J2024" s="5">
        <v>251.80000000000001</v>
      </c>
      <c r="K2024" s="4">
        <v>15</v>
      </c>
      <c r="L2024" s="1" t="s">
        <v>46</v>
      </c>
      <c r="M2024" s="1" t="s">
        <v>47</v>
      </c>
      <c r="N2024" s="3">
        <v>193459302</v>
      </c>
      <c r="O2024" s="1" t="s">
        <v>48</v>
      </c>
      <c r="P2024" s="1" t="s">
        <v>13401</v>
      </c>
      <c r="Q2024" s="1"/>
      <c r="R2024" s="1"/>
      <c r="S2024" s="1"/>
      <c r="T2024" s="1" t="s">
        <v>50</v>
      </c>
      <c r="U2024" s="8">
        <v>15</v>
      </c>
      <c r="V2024" s="8">
        <v>15</v>
      </c>
      <c r="W2024" s="7">
        <v>16786895</v>
      </c>
      <c r="X2024" s="5">
        <v>251.80000000000001</v>
      </c>
      <c r="Y2024" s="1"/>
      <c r="Z2024" s="7">
        <v>16786895</v>
      </c>
      <c r="AA2024" s="1" t="s">
        <v>14367</v>
      </c>
      <c r="AB2024" s="1" t="s">
        <v>2067</v>
      </c>
      <c r="AC2024" s="1" t="s">
        <v>2068</v>
      </c>
      <c r="AD2024" s="1" t="s">
        <v>2067</v>
      </c>
      <c r="AE2024" s="1" t="s">
        <v>51</v>
      </c>
      <c r="AF2024" s="1" t="s">
        <v>51</v>
      </c>
      <c r="AG2024" s="1" t="s">
        <v>51</v>
      </c>
      <c r="AH2024" s="1"/>
      <c r="AI2024" s="1"/>
      <c r="AJ2024" s="3">
        <v>1</v>
      </c>
      <c r="AK2024" s="1" t="s">
        <v>52</v>
      </c>
      <c r="AL2024" s="3">
        <v>1</v>
      </c>
      <c r="AM2024" s="1"/>
      <c r="AN2024" s="1"/>
      <c r="AO2024" s="1" t="s">
        <v>13399</v>
      </c>
      <c r="AP2024" s="1" t="s">
        <v>13399</v>
      </c>
      <c r="AQ2024" s="1" t="s">
        <v>13399</v>
      </c>
      <c r="AR2024" s="1" t="s">
        <v>13401</v>
      </c>
    </row>
    <row r="2025">
      <c r="A2025" s="2">
        <f ca="1">DATE(2006,07,13)</f>
        <v>0</v>
      </c>
      <c r="B2025" s="2">
        <f ca="1">DATE(2007,03,01)</f>
        <v>0</v>
      </c>
      <c r="C2025" s="1" t="s">
        <v>14368</v>
      </c>
      <c r="D2025" s="3">
        <v>6726</v>
      </c>
      <c r="E2025" s="1" t="s">
        <v>43</v>
      </c>
      <c r="F2025" s="1" t="s">
        <v>14369</v>
      </c>
      <c r="G2025" s="1" t="s">
        <v>1297</v>
      </c>
      <c r="H2025" s="4">
        <v>0.56000000000000005</v>
      </c>
      <c r="I2025" s="4">
        <v>7</v>
      </c>
      <c r="J2025" s="5">
        <v>100</v>
      </c>
      <c r="K2025" s="4">
        <v>8</v>
      </c>
      <c r="L2025" s="1" t="s">
        <v>46</v>
      </c>
      <c r="M2025" s="1" t="s">
        <v>47</v>
      </c>
      <c r="N2025" s="1" t="s">
        <v>14370</v>
      </c>
      <c r="O2025" s="1" t="s">
        <v>87</v>
      </c>
      <c r="P2025" s="1" t="s">
        <v>14371</v>
      </c>
      <c r="Q2025" s="1" t="s">
        <v>145</v>
      </c>
      <c r="R2025" s="1" t="s">
        <v>145</v>
      </c>
      <c r="S2025" s="8">
        <v>2.1000000000000001</v>
      </c>
      <c r="T2025" s="1" t="s">
        <v>50</v>
      </c>
      <c r="U2025" s="8">
        <v>8</v>
      </c>
      <c r="V2025" s="8">
        <v>8</v>
      </c>
      <c r="W2025" s="7">
        <v>12500000</v>
      </c>
      <c r="X2025" s="5">
        <v>100</v>
      </c>
      <c r="Y2025" s="7">
        <v>12500000</v>
      </c>
      <c r="Z2025" s="1"/>
      <c r="AA2025" s="1" t="s">
        <v>14372</v>
      </c>
      <c r="AB2025" s="1" t="s">
        <v>2067</v>
      </c>
      <c r="AC2025" s="1" t="s">
        <v>6689</v>
      </c>
      <c r="AD2025" s="1" t="s">
        <v>2067</v>
      </c>
      <c r="AE2025" s="1" t="s">
        <v>51</v>
      </c>
      <c r="AF2025" s="1" t="s">
        <v>51</v>
      </c>
      <c r="AG2025" s="1" t="s">
        <v>51</v>
      </c>
      <c r="AH2025" s="1"/>
      <c r="AI2025" s="1"/>
      <c r="AJ2025" s="3">
        <v>1</v>
      </c>
      <c r="AK2025" s="1" t="s">
        <v>52</v>
      </c>
      <c r="AL2025" s="3">
        <v>1</v>
      </c>
      <c r="AM2025" s="1"/>
      <c r="AN2025" s="1"/>
      <c r="AO2025" s="1" t="s">
        <v>14373</v>
      </c>
      <c r="AP2025" s="1" t="s">
        <v>1297</v>
      </c>
      <c r="AQ2025" s="1" t="s">
        <v>1297</v>
      </c>
      <c r="AR2025" s="1" t="s">
        <v>14374</v>
      </c>
    </row>
    <row r="2026">
      <c r="A2026" s="2">
        <f ca="1">DATE(2007,02,13)</f>
        <v>0</v>
      </c>
      <c r="B2026" s="2">
        <f ca="1">DATE(2007,03,01)</f>
        <v>0</v>
      </c>
      <c r="C2026" s="1" t="s">
        <v>14375</v>
      </c>
      <c r="D2026" s="3">
        <v>6726</v>
      </c>
      <c r="E2026" s="1" t="s">
        <v>3764</v>
      </c>
      <c r="F2026" s="1" t="s">
        <v>14376</v>
      </c>
      <c r="G2026" s="1" t="s">
        <v>6201</v>
      </c>
      <c r="H2026" s="4">
        <v>0.56000000000000005</v>
      </c>
      <c r="I2026" s="4">
        <v>7</v>
      </c>
      <c r="J2026" s="5">
        <v>150</v>
      </c>
      <c r="K2026" s="4">
        <v>8</v>
      </c>
      <c r="L2026" s="1" t="s">
        <v>46</v>
      </c>
      <c r="M2026" s="1" t="s">
        <v>47</v>
      </c>
      <c r="N2026" s="3">
        <v>675227201</v>
      </c>
      <c r="O2026" s="1" t="s">
        <v>87</v>
      </c>
      <c r="P2026" s="1" t="s">
        <v>14377</v>
      </c>
      <c r="Q2026" s="1" t="s">
        <v>145</v>
      </c>
      <c r="R2026" s="1" t="s">
        <v>145</v>
      </c>
      <c r="S2026" s="8">
        <v>2.3999999999999999</v>
      </c>
      <c r="T2026" s="1" t="s">
        <v>50</v>
      </c>
      <c r="U2026" s="8">
        <v>8</v>
      </c>
      <c r="V2026" s="8">
        <v>8</v>
      </c>
      <c r="W2026" s="7">
        <v>18750000</v>
      </c>
      <c r="X2026" s="5">
        <v>150</v>
      </c>
      <c r="Y2026" s="7">
        <v>18750000</v>
      </c>
      <c r="Z2026" s="1"/>
      <c r="AA2026" s="1" t="s">
        <v>14378</v>
      </c>
      <c r="AB2026" s="1" t="s">
        <v>5265</v>
      </c>
      <c r="AC2026" s="1" t="s">
        <v>7759</v>
      </c>
      <c r="AD2026" s="1" t="s">
        <v>5265</v>
      </c>
      <c r="AE2026" s="1" t="s">
        <v>51</v>
      </c>
      <c r="AF2026" s="1" t="s">
        <v>51</v>
      </c>
      <c r="AG2026" s="1" t="s">
        <v>51</v>
      </c>
      <c r="AH2026" s="1"/>
      <c r="AI2026" s="1"/>
      <c r="AJ2026" s="3">
        <v>1</v>
      </c>
      <c r="AK2026" s="1" t="s">
        <v>52</v>
      </c>
      <c r="AL2026" s="3">
        <v>2</v>
      </c>
      <c r="AM2026" s="1"/>
      <c r="AN2026" s="1"/>
      <c r="AO2026" s="1" t="s">
        <v>14379</v>
      </c>
      <c r="AP2026" s="1" t="s">
        <v>6201</v>
      </c>
      <c r="AQ2026" s="1" t="s">
        <v>14380</v>
      </c>
      <c r="AR2026" s="1" t="s">
        <v>14377</v>
      </c>
    </row>
    <row r="2027">
      <c r="A2027" s="2">
        <f ca="1">DATE(2006,11,06)</f>
        <v>0</v>
      </c>
      <c r="B2027" s="2">
        <f ca="1">DATE(2007,03,05)</f>
        <v>0</v>
      </c>
      <c r="C2027" s="1" t="s">
        <v>14381</v>
      </c>
      <c r="D2027" s="3">
        <v>6726</v>
      </c>
      <c r="E2027" s="1" t="s">
        <v>43</v>
      </c>
      <c r="F2027" s="1" t="s">
        <v>14382</v>
      </c>
      <c r="G2027" s="1" t="s">
        <v>7222</v>
      </c>
      <c r="H2027" s="4">
        <v>0.27000000000000002</v>
      </c>
      <c r="I2027" s="4">
        <v>3.375</v>
      </c>
      <c r="J2027" s="5">
        <v>90</v>
      </c>
      <c r="K2027" s="4">
        <v>8</v>
      </c>
      <c r="L2027" s="1" t="s">
        <v>46</v>
      </c>
      <c r="M2027" s="1" t="s">
        <v>47</v>
      </c>
      <c r="N2027" s="3">
        <v>448638205</v>
      </c>
      <c r="O2027" s="1" t="s">
        <v>77</v>
      </c>
      <c r="P2027" s="1" t="s">
        <v>14383</v>
      </c>
      <c r="Q2027" s="1" t="s">
        <v>145</v>
      </c>
      <c r="R2027" s="1" t="s">
        <v>145</v>
      </c>
      <c r="S2027" s="8">
        <v>2.25</v>
      </c>
      <c r="T2027" s="1" t="s">
        <v>50</v>
      </c>
      <c r="U2027" s="8">
        <v>8</v>
      </c>
      <c r="V2027" s="8">
        <v>8</v>
      </c>
      <c r="W2027" s="7">
        <v>6000000</v>
      </c>
      <c r="X2027" s="5">
        <v>48</v>
      </c>
      <c r="Y2027" s="7">
        <v>11250000</v>
      </c>
      <c r="Z2027" s="1"/>
      <c r="AA2027" s="1"/>
      <c r="AB2027" s="1"/>
      <c r="AC2027" s="1"/>
      <c r="AD2027" s="1"/>
      <c r="AE2027" s="1" t="s">
        <v>51</v>
      </c>
      <c r="AF2027" s="1" t="s">
        <v>51</v>
      </c>
      <c r="AG2027" s="1" t="s">
        <v>51</v>
      </c>
      <c r="AH2027" s="1"/>
      <c r="AI2027" s="1"/>
      <c r="AJ2027" s="3">
        <v>1</v>
      </c>
      <c r="AK2027" s="1" t="s">
        <v>52</v>
      </c>
      <c r="AL2027" s="3">
        <v>4</v>
      </c>
      <c r="AM2027" s="1"/>
      <c r="AN2027" s="1"/>
      <c r="AO2027" s="1" t="s">
        <v>14384</v>
      </c>
      <c r="AP2027" s="1" t="s">
        <v>7222</v>
      </c>
      <c r="AQ2027" s="1" t="s">
        <v>14385</v>
      </c>
      <c r="AR2027" s="1" t="s">
        <v>14383</v>
      </c>
    </row>
    <row r="2028">
      <c r="A2028" s="2">
        <f ca="1">DATE(2006,12,19)</f>
        <v>0</v>
      </c>
      <c r="B2028" s="2">
        <f ca="1">DATE(2007,03,07)</f>
        <v>0</v>
      </c>
      <c r="C2028" s="1" t="s">
        <v>14386</v>
      </c>
      <c r="D2028" s="3">
        <v>7375</v>
      </c>
      <c r="E2028" s="1" t="s">
        <v>43</v>
      </c>
      <c r="F2028" s="1" t="s">
        <v>14387</v>
      </c>
      <c r="G2028" s="1" t="s">
        <v>14388</v>
      </c>
      <c r="H2028" s="4">
        <v>1.5</v>
      </c>
      <c r="I2028" s="4">
        <v>6</v>
      </c>
      <c r="J2028" s="5">
        <v>600</v>
      </c>
      <c r="K2028" s="4">
        <v>25</v>
      </c>
      <c r="L2028" s="1" t="s">
        <v>152</v>
      </c>
      <c r="M2028" s="1" t="s">
        <v>47</v>
      </c>
      <c r="N2028" s="3">
        <v>185385309</v>
      </c>
      <c r="O2028" s="1" t="s">
        <v>48</v>
      </c>
      <c r="P2028" s="1" t="s">
        <v>14389</v>
      </c>
      <c r="Q2028" s="1" t="s">
        <v>145</v>
      </c>
      <c r="R2028" s="1" t="s">
        <v>145</v>
      </c>
      <c r="S2028" s="8">
        <v>3.6000000000000001</v>
      </c>
      <c r="T2028" s="1" t="s">
        <v>50</v>
      </c>
      <c r="U2028" s="1"/>
      <c r="V2028" s="1"/>
      <c r="W2028" s="1"/>
      <c r="X2028" s="5">
        <v>400</v>
      </c>
      <c r="Y2028" s="7">
        <v>24000000</v>
      </c>
      <c r="Z2028" s="1"/>
      <c r="AA2028" s="1" t="s">
        <v>14390</v>
      </c>
      <c r="AB2028" s="1" t="s">
        <v>14391</v>
      </c>
      <c r="AC2028" s="1" t="s">
        <v>14392</v>
      </c>
      <c r="AD2028" s="1" t="s">
        <v>14391</v>
      </c>
      <c r="AE2028" s="1" t="s">
        <v>51</v>
      </c>
      <c r="AF2028" s="1" t="s">
        <v>51</v>
      </c>
      <c r="AG2028" s="1" t="s">
        <v>51</v>
      </c>
      <c r="AH2028" s="1" t="s">
        <v>14393</v>
      </c>
      <c r="AI2028" s="1" t="s">
        <v>14394</v>
      </c>
      <c r="AJ2028" s="3">
        <v>3</v>
      </c>
      <c r="AK2028" s="1" t="s">
        <v>8132</v>
      </c>
      <c r="AL2028" s="3">
        <v>10</v>
      </c>
      <c r="AM2028" s="8">
        <v>24.620000000000001</v>
      </c>
      <c r="AN2028" s="1"/>
      <c r="AO2028" s="1" t="s">
        <v>14395</v>
      </c>
      <c r="AP2028" s="1" t="s">
        <v>14396</v>
      </c>
      <c r="AQ2028" s="1" t="s">
        <v>14397</v>
      </c>
      <c r="AR2028" s="1" t="s">
        <v>14398</v>
      </c>
    </row>
    <row r="2029">
      <c r="A2029" s="2">
        <f ca="1">DATE(2006,06,27)</f>
        <v>0</v>
      </c>
      <c r="B2029" s="2">
        <f ca="1">DATE(2007,03,07)</f>
        <v>0</v>
      </c>
      <c r="C2029" s="1" t="s">
        <v>14399</v>
      </c>
      <c r="D2029" s="3">
        <v>6726</v>
      </c>
      <c r="E2029" s="1" t="s">
        <v>43</v>
      </c>
      <c r="F2029" s="1" t="s">
        <v>14400</v>
      </c>
      <c r="G2029" s="1" t="s">
        <v>1056</v>
      </c>
      <c r="H2029" s="4">
        <v>0.23999999999999999</v>
      </c>
      <c r="I2029" s="4">
        <v>3</v>
      </c>
      <c r="J2029" s="5">
        <v>150</v>
      </c>
      <c r="K2029" s="4">
        <v>8</v>
      </c>
      <c r="L2029" s="1" t="s">
        <v>31</v>
      </c>
      <c r="M2029" s="1" t="s">
        <v>47</v>
      </c>
      <c r="N2029" s="3">
        <v>871545208</v>
      </c>
      <c r="O2029" s="1" t="s">
        <v>87</v>
      </c>
      <c r="P2029" s="1" t="s">
        <v>14401</v>
      </c>
      <c r="Q2029" s="1" t="s">
        <v>145</v>
      </c>
      <c r="R2029" s="1" t="s">
        <v>145</v>
      </c>
      <c r="S2029" s="8">
        <v>1.8</v>
      </c>
      <c r="T2029" s="1" t="s">
        <v>50</v>
      </c>
      <c r="U2029" s="8">
        <v>8</v>
      </c>
      <c r="V2029" s="8">
        <v>8</v>
      </c>
      <c r="W2029" s="7">
        <v>18750000</v>
      </c>
      <c r="X2029" s="5">
        <v>150</v>
      </c>
      <c r="Y2029" s="7">
        <v>18750000</v>
      </c>
      <c r="Z2029" s="1"/>
      <c r="AA2029" s="1"/>
      <c r="AB2029" s="1"/>
      <c r="AC2029" s="1"/>
      <c r="AD2029" s="1"/>
      <c r="AE2029" s="1" t="s">
        <v>51</v>
      </c>
      <c r="AF2029" s="1" t="s">
        <v>51</v>
      </c>
      <c r="AG2029" s="1" t="s">
        <v>51</v>
      </c>
      <c r="AH2029" s="1"/>
      <c r="AI2029" s="1"/>
      <c r="AJ2029" s="3">
        <v>1</v>
      </c>
      <c r="AK2029" s="1" t="s">
        <v>52</v>
      </c>
      <c r="AL2029" s="3">
        <v>5</v>
      </c>
      <c r="AM2029" s="8">
        <v>8.0099999999999998</v>
      </c>
      <c r="AN2029" s="1"/>
      <c r="AO2029" s="1" t="s">
        <v>14402</v>
      </c>
      <c r="AP2029" s="1" t="s">
        <v>1056</v>
      </c>
      <c r="AQ2029" s="1" t="s">
        <v>14403</v>
      </c>
      <c r="AR2029" s="1" t="s">
        <v>14404</v>
      </c>
    </row>
    <row r="2030">
      <c r="A2030" s="2">
        <f ca="1">DATE(2006,10,25)</f>
        <v>0</v>
      </c>
      <c r="B2030" s="2">
        <f ca="1">DATE(2007,03,08)</f>
        <v>0</v>
      </c>
      <c r="C2030" s="1" t="s">
        <v>14405</v>
      </c>
      <c r="D2030" s="3">
        <v>7374</v>
      </c>
      <c r="E2030" s="1" t="s">
        <v>43</v>
      </c>
      <c r="F2030" s="1" t="s">
        <v>356</v>
      </c>
      <c r="G2030" s="1" t="s">
        <v>796</v>
      </c>
      <c r="H2030" s="4">
        <v>1.05</v>
      </c>
      <c r="I2030" s="4">
        <v>7</v>
      </c>
      <c r="J2030" s="5">
        <v>86.599999999999994</v>
      </c>
      <c r="K2030" s="4">
        <v>15</v>
      </c>
      <c r="L2030" s="1" t="s">
        <v>46</v>
      </c>
      <c r="M2030" s="1" t="s">
        <v>47</v>
      </c>
      <c r="N2030" s="1" t="s">
        <v>14406</v>
      </c>
      <c r="O2030" s="1" t="s">
        <v>48</v>
      </c>
      <c r="P2030" s="1" t="s">
        <v>14407</v>
      </c>
      <c r="Q2030" s="1" t="s">
        <v>145</v>
      </c>
      <c r="R2030" s="1" t="s">
        <v>145</v>
      </c>
      <c r="S2030" s="8">
        <v>4.2000000000000002</v>
      </c>
      <c r="T2030" s="1" t="s">
        <v>50</v>
      </c>
      <c r="U2030" s="1"/>
      <c r="V2030" s="1"/>
      <c r="W2030" s="1"/>
      <c r="X2030" s="5">
        <v>75</v>
      </c>
      <c r="Y2030" s="7">
        <v>5320000</v>
      </c>
      <c r="Z2030" s="7">
        <v>450000</v>
      </c>
      <c r="AA2030" s="1" t="s">
        <v>14408</v>
      </c>
      <c r="AB2030" s="1" t="s">
        <v>5265</v>
      </c>
      <c r="AC2030" s="1" t="s">
        <v>7759</v>
      </c>
      <c r="AD2030" s="1" t="s">
        <v>5265</v>
      </c>
      <c r="AE2030" s="1" t="s">
        <v>51</v>
      </c>
      <c r="AF2030" s="1" t="s">
        <v>51</v>
      </c>
      <c r="AG2030" s="1" t="s">
        <v>47</v>
      </c>
      <c r="AH2030" s="1"/>
      <c r="AI2030" s="1"/>
      <c r="AJ2030" s="3">
        <v>1</v>
      </c>
      <c r="AK2030" s="1" t="s">
        <v>52</v>
      </c>
      <c r="AL2030" s="3">
        <v>5</v>
      </c>
      <c r="AM2030" s="8">
        <v>15.49</v>
      </c>
      <c r="AN2030" s="1"/>
      <c r="AO2030" s="1" t="s">
        <v>14409</v>
      </c>
      <c r="AP2030" s="1" t="s">
        <v>796</v>
      </c>
      <c r="AQ2030" s="1" t="s">
        <v>14410</v>
      </c>
      <c r="AR2030" s="1" t="s">
        <v>14407</v>
      </c>
    </row>
    <row r="2031">
      <c r="A2031" s="2">
        <f ca="1">DATE(2007,02,21)</f>
        <v>0</v>
      </c>
      <c r="B2031" s="2">
        <f ca="1">DATE(2007,03,08)</f>
        <v>0</v>
      </c>
      <c r="C2031" s="1" t="s">
        <v>14411</v>
      </c>
      <c r="D2031" s="3">
        <v>4833</v>
      </c>
      <c r="E2031" s="1" t="s">
        <v>744</v>
      </c>
      <c r="F2031" s="1" t="s">
        <v>14412</v>
      </c>
      <c r="G2031" s="1" t="s">
        <v>9468</v>
      </c>
      <c r="H2031" s="4">
        <v>0.91000000000000003</v>
      </c>
      <c r="I2031" s="4">
        <v>7</v>
      </c>
      <c r="J2031" s="5">
        <v>300</v>
      </c>
      <c r="K2031" s="4">
        <v>13</v>
      </c>
      <c r="L2031" s="1" t="s">
        <v>651</v>
      </c>
      <c r="M2031" s="1" t="s">
        <v>47</v>
      </c>
      <c r="N2031" s="3">
        <v>983982109</v>
      </c>
      <c r="O2031" s="1" t="s">
        <v>48</v>
      </c>
      <c r="P2031" s="1" t="s">
        <v>14413</v>
      </c>
      <c r="Q2031" s="1" t="s">
        <v>145</v>
      </c>
      <c r="R2031" s="1" t="s">
        <v>145</v>
      </c>
      <c r="S2031" s="6">
        <v>4.2307699999999997</v>
      </c>
      <c r="T2031" s="1" t="s">
        <v>50</v>
      </c>
      <c r="U2031" s="8">
        <v>14</v>
      </c>
      <c r="V2031" s="8">
        <v>12</v>
      </c>
      <c r="W2031" s="7">
        <v>23076923</v>
      </c>
      <c r="X2031" s="5">
        <v>300</v>
      </c>
      <c r="Y2031" s="7">
        <v>17307923</v>
      </c>
      <c r="Z2031" s="7">
        <v>5769000</v>
      </c>
      <c r="AA2031" s="1" t="s">
        <v>14408</v>
      </c>
      <c r="AB2031" s="1" t="s">
        <v>5265</v>
      </c>
      <c r="AC2031" s="1" t="s">
        <v>7759</v>
      </c>
      <c r="AD2031" s="1" t="s">
        <v>5265</v>
      </c>
      <c r="AE2031" s="1" t="s">
        <v>47</v>
      </c>
      <c r="AF2031" s="1" t="s">
        <v>51</v>
      </c>
      <c r="AG2031" s="1" t="s">
        <v>47</v>
      </c>
      <c r="AH2031" s="1"/>
      <c r="AI2031" s="1"/>
      <c r="AJ2031" s="3">
        <v>2</v>
      </c>
      <c r="AK2031" s="1" t="s">
        <v>89</v>
      </c>
      <c r="AL2031" s="3">
        <v>5</v>
      </c>
      <c r="AM2031" s="8">
        <v>11.35</v>
      </c>
      <c r="AN2031" s="1"/>
      <c r="AO2031" s="1" t="s">
        <v>14414</v>
      </c>
      <c r="AP2031" s="1" t="s">
        <v>9472</v>
      </c>
      <c r="AQ2031" s="1" t="s">
        <v>14415</v>
      </c>
      <c r="AR2031" s="1" t="s">
        <v>14416</v>
      </c>
    </row>
    <row r="2032">
      <c r="A2032" s="2">
        <f ca="1">DATE(2005,09,09)</f>
        <v>0</v>
      </c>
      <c r="B2032" s="2">
        <f ca="1">DATE(2007,03,09)</f>
        <v>0</v>
      </c>
      <c r="C2032" s="1" t="s">
        <v>14417</v>
      </c>
      <c r="D2032" s="3">
        <v>6726</v>
      </c>
      <c r="E2032" s="1" t="s">
        <v>43</v>
      </c>
      <c r="F2032" s="1" t="s">
        <v>14418</v>
      </c>
      <c r="G2032" s="1" t="s">
        <v>14419</v>
      </c>
      <c r="H2032" s="4">
        <v>0.35999999999999999</v>
      </c>
      <c r="I2032" s="4">
        <v>4.5</v>
      </c>
      <c r="J2032" s="5">
        <v>86.400000000000006</v>
      </c>
      <c r="K2032" s="4">
        <v>8</v>
      </c>
      <c r="L2032" s="1" t="s">
        <v>46</v>
      </c>
      <c r="M2032" s="1" t="s">
        <v>47</v>
      </c>
      <c r="N2032" s="1" t="s">
        <v>14420</v>
      </c>
      <c r="O2032" s="1" t="s">
        <v>87</v>
      </c>
      <c r="P2032" s="1" t="s">
        <v>14421</v>
      </c>
      <c r="Q2032" s="1" t="s">
        <v>145</v>
      </c>
      <c r="R2032" s="1" t="s">
        <v>145</v>
      </c>
      <c r="S2032" s="4">
        <v>2.625</v>
      </c>
      <c r="T2032" s="1" t="s">
        <v>50</v>
      </c>
      <c r="U2032" s="8">
        <v>6</v>
      </c>
      <c r="V2032" s="8">
        <v>6</v>
      </c>
      <c r="W2032" s="7">
        <v>15000000</v>
      </c>
      <c r="X2032" s="5">
        <v>90</v>
      </c>
      <c r="Y2032" s="7">
        <v>10800000</v>
      </c>
      <c r="Z2032" s="1"/>
      <c r="AA2032" s="2">
        <f ca="1">DATE(2008,03,03)</f>
        <v>0</v>
      </c>
      <c r="AB2032" s="4">
        <v>20</v>
      </c>
      <c r="AC2032" s="3">
        <v>360</v>
      </c>
      <c r="AD2032" s="8">
        <v>2700000</v>
      </c>
      <c r="AE2032" s="1" t="s">
        <v>51</v>
      </c>
      <c r="AF2032" s="1" t="s">
        <v>51</v>
      </c>
      <c r="AG2032" s="1" t="s">
        <v>51</v>
      </c>
      <c r="AH2032" s="1"/>
      <c r="AI2032" s="1"/>
      <c r="AJ2032" s="3">
        <v>2</v>
      </c>
      <c r="AK2032" s="1" t="s">
        <v>89</v>
      </c>
      <c r="AL2032" s="3">
        <v>3</v>
      </c>
      <c r="AM2032" s="1"/>
      <c r="AN2032" s="1"/>
      <c r="AO2032" s="1" t="s">
        <v>14422</v>
      </c>
      <c r="AP2032" s="1" t="s">
        <v>14423</v>
      </c>
      <c r="AQ2032" s="1" t="s">
        <v>14424</v>
      </c>
      <c r="AR2032" s="1" t="s">
        <v>14425</v>
      </c>
    </row>
    <row r="2033">
      <c r="A2033" s="2">
        <f ca="1">DATE(2006,12,22)</f>
        <v>0</v>
      </c>
      <c r="B2033" s="2">
        <f ca="1">DATE(2007,03,14)</f>
        <v>0</v>
      </c>
      <c r="C2033" s="1" t="s">
        <v>14426</v>
      </c>
      <c r="D2033" s="3">
        <v>7372</v>
      </c>
      <c r="E2033" s="1" t="s">
        <v>43</v>
      </c>
      <c r="F2033" s="1" t="s">
        <v>14427</v>
      </c>
      <c r="G2033" s="1" t="s">
        <v>9071</v>
      </c>
      <c r="H2033" s="4">
        <v>0.91000000000000003</v>
      </c>
      <c r="I2033" s="4">
        <v>7</v>
      </c>
      <c r="J2033" s="5">
        <v>139.09999999999999</v>
      </c>
      <c r="K2033" s="4">
        <v>13</v>
      </c>
      <c r="L2033" s="1" t="s">
        <v>46</v>
      </c>
      <c r="M2033" s="1" t="s">
        <v>47</v>
      </c>
      <c r="N2033" s="1" t="s">
        <v>14428</v>
      </c>
      <c r="O2033" s="1" t="s">
        <v>48</v>
      </c>
      <c r="P2033" s="1" t="s">
        <v>14429</v>
      </c>
      <c r="Q2033" s="1" t="s">
        <v>145</v>
      </c>
      <c r="R2033" s="1" t="s">
        <v>145</v>
      </c>
      <c r="S2033" s="6">
        <v>4.2307699999999997</v>
      </c>
      <c r="T2033" s="1" t="s">
        <v>50</v>
      </c>
      <c r="U2033" s="1"/>
      <c r="V2033" s="1"/>
      <c r="W2033" s="1"/>
      <c r="X2033" s="5">
        <v>140</v>
      </c>
      <c r="Y2033" s="7">
        <v>7500000</v>
      </c>
      <c r="Z2033" s="7">
        <v>3200000</v>
      </c>
      <c r="AA2033" s="1" t="s">
        <v>14430</v>
      </c>
      <c r="AB2033" s="1" t="s">
        <v>5265</v>
      </c>
      <c r="AC2033" s="1" t="s">
        <v>7759</v>
      </c>
      <c r="AD2033" s="1" t="s">
        <v>5265</v>
      </c>
      <c r="AE2033" s="1" t="s">
        <v>51</v>
      </c>
      <c r="AF2033" s="1" t="s">
        <v>51</v>
      </c>
      <c r="AG2033" s="1" t="s">
        <v>51</v>
      </c>
      <c r="AH2033" s="1"/>
      <c r="AI2033" s="1"/>
      <c r="AJ2033" s="3">
        <v>2</v>
      </c>
      <c r="AK2033" s="1" t="s">
        <v>89</v>
      </c>
      <c r="AL2033" s="3">
        <v>5</v>
      </c>
      <c r="AM2033" s="1"/>
      <c r="AN2033" s="1"/>
      <c r="AO2033" s="1" t="s">
        <v>14431</v>
      </c>
      <c r="AP2033" s="1" t="s">
        <v>4103</v>
      </c>
      <c r="AQ2033" s="1" t="s">
        <v>14432</v>
      </c>
      <c r="AR2033" s="1" t="s">
        <v>14433</v>
      </c>
    </row>
    <row r="2034">
      <c r="A2034" s="2">
        <f ca="1">DATE(2007,02,22)</f>
        <v>0</v>
      </c>
      <c r="B2034" s="2">
        <f ca="1">DATE(2007,03,15)</f>
        <v>0</v>
      </c>
      <c r="C2034" s="1" t="s">
        <v>14434</v>
      </c>
      <c r="D2034" s="3">
        <v>6552</v>
      </c>
      <c r="E2034" s="1" t="s">
        <v>1445</v>
      </c>
      <c r="F2034" s="1" t="s">
        <v>14435</v>
      </c>
      <c r="G2034" s="1" t="s">
        <v>14436</v>
      </c>
      <c r="H2034" s="4">
        <v>0.68400000000000005</v>
      </c>
      <c r="I2034" s="8">
        <v>2.75</v>
      </c>
      <c r="J2034" s="5">
        <v>389.5</v>
      </c>
      <c r="K2034" s="4">
        <v>24.879999999999999</v>
      </c>
      <c r="L2034" s="1" t="s">
        <v>651</v>
      </c>
      <c r="M2034" s="1" t="s">
        <v>47</v>
      </c>
      <c r="N2034" s="3">
        <v>362607301</v>
      </c>
      <c r="O2034" s="1" t="s">
        <v>8580</v>
      </c>
      <c r="P2034" s="1" t="s">
        <v>14437</v>
      </c>
      <c r="Q2034" s="1" t="s">
        <v>145</v>
      </c>
      <c r="R2034" s="1" t="s">
        <v>145</v>
      </c>
      <c r="S2034" s="6">
        <v>1.4999800000000001</v>
      </c>
      <c r="T2034" s="1" t="s">
        <v>50</v>
      </c>
      <c r="U2034" s="1"/>
      <c r="V2034" s="1"/>
      <c r="W2034" s="1"/>
      <c r="X2034" s="1"/>
      <c r="Y2034" s="7">
        <v>9380996</v>
      </c>
      <c r="Z2034" s="7">
        <v>6274282</v>
      </c>
      <c r="AA2034" s="1" t="s">
        <v>13911</v>
      </c>
      <c r="AB2034" s="1" t="s">
        <v>5265</v>
      </c>
      <c r="AC2034" s="1" t="s">
        <v>5266</v>
      </c>
      <c r="AD2034" s="1" t="s">
        <v>5265</v>
      </c>
      <c r="AE2034" s="1" t="s">
        <v>47</v>
      </c>
      <c r="AF2034" s="1" t="s">
        <v>51</v>
      </c>
      <c r="AG2034" s="1" t="s">
        <v>51</v>
      </c>
      <c r="AH2034" s="1"/>
      <c r="AI2034" s="1"/>
      <c r="AJ2034" s="3">
        <v>3</v>
      </c>
      <c r="AK2034" s="1" t="s">
        <v>110</v>
      </c>
      <c r="AL2034" s="3">
        <v>5</v>
      </c>
      <c r="AM2034" s="1"/>
      <c r="AN2034" s="1"/>
      <c r="AO2034" s="1" t="s">
        <v>14438</v>
      </c>
      <c r="AP2034" s="1" t="s">
        <v>14439</v>
      </c>
      <c r="AQ2034" s="1" t="s">
        <v>14440</v>
      </c>
      <c r="AR2034" s="1" t="s">
        <v>14441</v>
      </c>
    </row>
    <row r="2035">
      <c r="A2035" s="2">
        <f ca="1">DATE(2007,02,26)</f>
        <v>0</v>
      </c>
      <c r="B2035" s="2">
        <f ca="1">DATE(2007,03,15)</f>
        <v>0</v>
      </c>
      <c r="C2035" s="1" t="s">
        <v>14442</v>
      </c>
      <c r="D2035" s="3">
        <v>2834</v>
      </c>
      <c r="E2035" s="1" t="s">
        <v>744</v>
      </c>
      <c r="F2035" s="1" t="s">
        <v>2269</v>
      </c>
      <c r="G2035" s="1" t="s">
        <v>11153</v>
      </c>
      <c r="H2035" s="4">
        <v>0.69999999999999996</v>
      </c>
      <c r="I2035" s="8">
        <v>7</v>
      </c>
      <c r="J2035" s="5">
        <v>98.700000000000003</v>
      </c>
      <c r="K2035" s="4">
        <v>10</v>
      </c>
      <c r="L2035" s="1" t="s">
        <v>651</v>
      </c>
      <c r="M2035" s="1" t="s">
        <v>47</v>
      </c>
      <c r="N2035" s="1" t="s">
        <v>14443</v>
      </c>
      <c r="O2035" s="1" t="s">
        <v>108</v>
      </c>
      <c r="P2035" s="1" t="s">
        <v>14444</v>
      </c>
      <c r="Q2035" s="4">
        <v>1.3999999999999999</v>
      </c>
      <c r="R2035" s="4">
        <v>1.3999999999999999</v>
      </c>
      <c r="S2035" s="8">
        <v>4.2000000000000002</v>
      </c>
      <c r="T2035" s="1" t="s">
        <v>50</v>
      </c>
      <c r="U2035" s="8">
        <v>17</v>
      </c>
      <c r="V2035" s="8">
        <v>15</v>
      </c>
      <c r="W2035" s="7">
        <v>9865000</v>
      </c>
      <c r="X2035" s="5">
        <v>157.80000000000001</v>
      </c>
      <c r="Y2035" s="7">
        <v>8350000</v>
      </c>
      <c r="Z2035" s="7">
        <v>1515000</v>
      </c>
      <c r="AA2035" s="1" t="s">
        <v>14445</v>
      </c>
      <c r="AB2035" s="1" t="s">
        <v>5265</v>
      </c>
      <c r="AC2035" s="1" t="s">
        <v>7759</v>
      </c>
      <c r="AD2035" s="1" t="s">
        <v>5265</v>
      </c>
      <c r="AE2035" s="1" t="s">
        <v>47</v>
      </c>
      <c r="AF2035" s="1" t="s">
        <v>51</v>
      </c>
      <c r="AG2035" s="1" t="s">
        <v>47</v>
      </c>
      <c r="AH2035" s="1"/>
      <c r="AI2035" s="1"/>
      <c r="AJ2035" s="3">
        <v>2</v>
      </c>
      <c r="AK2035" s="1" t="s">
        <v>89</v>
      </c>
      <c r="AL2035" s="3">
        <v>3</v>
      </c>
      <c r="AM2035" s="8">
        <v>9.75</v>
      </c>
      <c r="AN2035" s="1"/>
      <c r="AO2035" s="1" t="s">
        <v>14446</v>
      </c>
      <c r="AP2035" s="1" t="s">
        <v>9826</v>
      </c>
      <c r="AQ2035" s="1" t="s">
        <v>14447</v>
      </c>
      <c r="AR2035" s="1" t="s">
        <v>14448</v>
      </c>
    </row>
    <row r="2036">
      <c r="A2036" s="2">
        <f ca="1">DATE(2006,10,12)</f>
        <v>0</v>
      </c>
      <c r="B2036" s="2">
        <f ca="1">DATE(2007,03,16)</f>
        <v>0</v>
      </c>
      <c r="C2036" s="1" t="s">
        <v>14449</v>
      </c>
      <c r="D2036" s="3">
        <v>8748</v>
      </c>
      <c r="E2036" s="1" t="s">
        <v>43</v>
      </c>
      <c r="F2036" s="1" t="s">
        <v>14450</v>
      </c>
      <c r="G2036" s="1" t="s">
        <v>14451</v>
      </c>
      <c r="H2036" s="4">
        <v>1.6799999999999999</v>
      </c>
      <c r="I2036" s="8">
        <v>7</v>
      </c>
      <c r="J2036" s="5">
        <v>122.40000000000001</v>
      </c>
      <c r="K2036" s="4">
        <v>24</v>
      </c>
      <c r="L2036" s="1" t="s">
        <v>46</v>
      </c>
      <c r="M2036" s="1" t="s">
        <v>47</v>
      </c>
      <c r="N2036" s="1" t="s">
        <v>14452</v>
      </c>
      <c r="O2036" s="1" t="s">
        <v>48</v>
      </c>
      <c r="P2036" s="1" t="s">
        <v>14453</v>
      </c>
      <c r="Q2036" s="4">
        <v>1.417</v>
      </c>
      <c r="R2036" s="4">
        <v>1.375</v>
      </c>
      <c r="S2036" s="6">
        <v>4.2083300000000001</v>
      </c>
      <c r="T2036" s="1" t="s">
        <v>50</v>
      </c>
      <c r="U2036" s="1"/>
      <c r="V2036" s="1"/>
      <c r="W2036" s="1"/>
      <c r="X2036" s="5">
        <v>90</v>
      </c>
      <c r="Y2036" s="7">
        <v>5100000</v>
      </c>
      <c r="Z2036" s="1"/>
      <c r="AA2036" s="1" t="s">
        <v>14454</v>
      </c>
      <c r="AB2036" s="1" t="s">
        <v>5265</v>
      </c>
      <c r="AC2036" s="1" t="s">
        <v>7759</v>
      </c>
      <c r="AD2036" s="1" t="s">
        <v>5265</v>
      </c>
      <c r="AE2036" s="1" t="s">
        <v>51</v>
      </c>
      <c r="AF2036" s="1" t="s">
        <v>51</v>
      </c>
      <c r="AG2036" s="1" t="s">
        <v>51</v>
      </c>
      <c r="AH2036" s="1"/>
      <c r="AI2036" s="1"/>
      <c r="AJ2036" s="3">
        <v>2</v>
      </c>
      <c r="AK2036" s="1" t="s">
        <v>89</v>
      </c>
      <c r="AL2036" s="3">
        <v>5</v>
      </c>
      <c r="AM2036" s="8">
        <v>31.109999999999999</v>
      </c>
      <c r="AN2036" s="1"/>
      <c r="AO2036" s="1" t="s">
        <v>14455</v>
      </c>
      <c r="AP2036" s="1" t="s">
        <v>14456</v>
      </c>
      <c r="AQ2036" s="1" t="s">
        <v>14457</v>
      </c>
      <c r="AR2036" s="1" t="s">
        <v>14458</v>
      </c>
    </row>
    <row r="2037">
      <c r="A2037" s="2">
        <f ca="1">DATE(2007,01,25)</f>
        <v>0</v>
      </c>
      <c r="B2037" s="2">
        <f ca="1">DATE(2007,03,19)</f>
        <v>0</v>
      </c>
      <c r="C2037" s="1" t="s">
        <v>14459</v>
      </c>
      <c r="D2037" s="3">
        <v>3356</v>
      </c>
      <c r="E2037" s="1" t="s">
        <v>43</v>
      </c>
      <c r="F2037" s="1" t="s">
        <v>14460</v>
      </c>
      <c r="G2037" s="1" t="s">
        <v>400</v>
      </c>
      <c r="H2037" s="4">
        <v>3.4129999999999998</v>
      </c>
      <c r="I2037" s="4">
        <v>5.25</v>
      </c>
      <c r="J2037" s="5">
        <v>136.5</v>
      </c>
      <c r="K2037" s="4">
        <v>65</v>
      </c>
      <c r="L2037" s="1" t="s">
        <v>46</v>
      </c>
      <c r="M2037" s="1" t="s">
        <v>47</v>
      </c>
      <c r="N2037" s="3">
        <v>420877201</v>
      </c>
      <c r="O2037" s="1" t="s">
        <v>48</v>
      </c>
      <c r="P2037" s="1" t="s">
        <v>14461</v>
      </c>
      <c r="Q2037" s="1" t="s">
        <v>145</v>
      </c>
      <c r="R2037" s="1" t="s">
        <v>145</v>
      </c>
      <c r="S2037" s="8">
        <v>3</v>
      </c>
      <c r="T2037" s="1" t="s">
        <v>50</v>
      </c>
      <c r="U2037" s="1"/>
      <c r="V2037" s="1"/>
      <c r="W2037" s="7">
        <v>2000000</v>
      </c>
      <c r="X2037" s="5">
        <v>119.59999999999999</v>
      </c>
      <c r="Y2037" s="7">
        <v>1100000</v>
      </c>
      <c r="Z2037" s="7">
        <v>1000000</v>
      </c>
      <c r="AA2037" s="1" t="s">
        <v>13969</v>
      </c>
      <c r="AB2037" s="1" t="s">
        <v>5265</v>
      </c>
      <c r="AC2037" s="1" t="s">
        <v>5266</v>
      </c>
      <c r="AD2037" s="1" t="s">
        <v>5265</v>
      </c>
      <c r="AE2037" s="1" t="s">
        <v>51</v>
      </c>
      <c r="AF2037" s="1" t="s">
        <v>51</v>
      </c>
      <c r="AG2037" s="1" t="s">
        <v>51</v>
      </c>
      <c r="AH2037" s="1"/>
      <c r="AI2037" s="1"/>
      <c r="AJ2037" s="3">
        <v>1</v>
      </c>
      <c r="AK2037" s="1" t="s">
        <v>52</v>
      </c>
      <c r="AL2037" s="3">
        <v>3</v>
      </c>
      <c r="AM2037" s="8">
        <v>68.150000000000006</v>
      </c>
      <c r="AN2037" s="1"/>
      <c r="AO2037" s="1" t="s">
        <v>14462</v>
      </c>
      <c r="AP2037" s="1" t="s">
        <v>400</v>
      </c>
      <c r="AQ2037" s="1" t="s">
        <v>14463</v>
      </c>
      <c r="AR2037" s="1" t="s">
        <v>14464</v>
      </c>
    </row>
    <row r="2038">
      <c r="A2038" s="2">
        <f ca="1">DATE(2006,12,21)</f>
        <v>0</v>
      </c>
      <c r="B2038" s="2">
        <f ca="1">DATE(2007,03,20)</f>
        <v>0</v>
      </c>
      <c r="C2038" s="1" t="s">
        <v>14465</v>
      </c>
      <c r="D2038" s="3">
        <v>2813</v>
      </c>
      <c r="E2038" s="1" t="s">
        <v>43</v>
      </c>
      <c r="F2038" s="1" t="s">
        <v>14466</v>
      </c>
      <c r="G2038" s="1" t="s">
        <v>14467</v>
      </c>
      <c r="H2038" s="4">
        <v>1.4179999999999999</v>
      </c>
      <c r="I2038" s="4">
        <v>6.75</v>
      </c>
      <c r="J2038" s="5">
        <v>283.5</v>
      </c>
      <c r="K2038" s="4">
        <v>21</v>
      </c>
      <c r="L2038" s="1" t="s">
        <v>85</v>
      </c>
      <c r="M2038" s="1" t="s">
        <v>47</v>
      </c>
      <c r="N2038" s="1" t="s">
        <v>14468</v>
      </c>
      <c r="O2038" s="1" t="s">
        <v>87</v>
      </c>
      <c r="P2038" s="1" t="s">
        <v>14469</v>
      </c>
      <c r="Q2038" s="1" t="s">
        <v>145</v>
      </c>
      <c r="R2038" s="1" t="s">
        <v>145</v>
      </c>
      <c r="S2038" s="8">
        <v>4.0499999999999998</v>
      </c>
      <c r="T2038" s="1" t="s">
        <v>50</v>
      </c>
      <c r="U2038" s="1"/>
      <c r="V2038" s="1"/>
      <c r="W2038" s="7">
        <v>12500000</v>
      </c>
      <c r="X2038" s="5">
        <v>301.89999999999998</v>
      </c>
      <c r="Y2038" s="7">
        <v>5054164</v>
      </c>
      <c r="Z2038" s="7">
        <v>8445836</v>
      </c>
      <c r="AA2038" s="1" t="s">
        <v>14470</v>
      </c>
      <c r="AB2038" s="1" t="s">
        <v>5265</v>
      </c>
      <c r="AC2038" s="1" t="s">
        <v>7759</v>
      </c>
      <c r="AD2038" s="1" t="s">
        <v>5265</v>
      </c>
      <c r="AE2038" s="1" t="s">
        <v>51</v>
      </c>
      <c r="AF2038" s="1" t="s">
        <v>51</v>
      </c>
      <c r="AG2038" s="1" t="s">
        <v>51</v>
      </c>
      <c r="AH2038" s="1"/>
      <c r="AI2038" s="1"/>
      <c r="AJ2038" s="3">
        <v>3</v>
      </c>
      <c r="AK2038" s="1" t="s">
        <v>110</v>
      </c>
      <c r="AL2038" s="3">
        <v>9</v>
      </c>
      <c r="AM2038" s="8">
        <v>21.710000000000001</v>
      </c>
      <c r="AN2038" s="1"/>
      <c r="AO2038" s="1" t="s">
        <v>14471</v>
      </c>
      <c r="AP2038" s="1" t="s">
        <v>14472</v>
      </c>
      <c r="AQ2038" s="1" t="s">
        <v>14473</v>
      </c>
      <c r="AR2038" s="1" t="s">
        <v>14474</v>
      </c>
    </row>
    <row r="2039">
      <c r="A2039" s="2">
        <f ca="1">DATE(2006,09,29)</f>
        <v>0</v>
      </c>
      <c r="B2039" s="2">
        <f ca="1">DATE(2007,03,20)</f>
        <v>0</v>
      </c>
      <c r="C2039" s="1" t="s">
        <v>14475</v>
      </c>
      <c r="D2039" s="3">
        <v>6726</v>
      </c>
      <c r="E2039" s="1" t="s">
        <v>43</v>
      </c>
      <c r="F2039" s="1" t="s">
        <v>14476</v>
      </c>
      <c r="G2039" s="1" t="s">
        <v>7222</v>
      </c>
      <c r="H2039" s="4">
        <v>0.35999999999999999</v>
      </c>
      <c r="I2039" s="4">
        <v>6</v>
      </c>
      <c r="J2039" s="5">
        <v>36</v>
      </c>
      <c r="K2039" s="4">
        <v>6</v>
      </c>
      <c r="L2039" s="1" t="s">
        <v>46</v>
      </c>
      <c r="M2039" s="1" t="s">
        <v>47</v>
      </c>
      <c r="N2039" s="1" t="s">
        <v>14477</v>
      </c>
      <c r="O2039" s="1" t="s">
        <v>77</v>
      </c>
      <c r="P2039" s="1" t="s">
        <v>13896</v>
      </c>
      <c r="Q2039" s="1" t="s">
        <v>145</v>
      </c>
      <c r="R2039" s="1" t="s">
        <v>145</v>
      </c>
      <c r="S2039" s="8">
        <v>2.5</v>
      </c>
      <c r="T2039" s="1" t="s">
        <v>50</v>
      </c>
      <c r="U2039" s="8">
        <v>6</v>
      </c>
      <c r="V2039" s="8">
        <v>6</v>
      </c>
      <c r="W2039" s="7">
        <v>6000000</v>
      </c>
      <c r="X2039" s="5">
        <v>36</v>
      </c>
      <c r="Y2039" s="7">
        <v>6000000</v>
      </c>
      <c r="Z2039" s="1"/>
      <c r="AA2039" s="1"/>
      <c r="AB2039" s="1"/>
      <c r="AC2039" s="1"/>
      <c r="AD2039" s="1"/>
      <c r="AE2039" s="1" t="s">
        <v>51</v>
      </c>
      <c r="AF2039" s="1" t="s">
        <v>51</v>
      </c>
      <c r="AG2039" s="1" t="s">
        <v>51</v>
      </c>
      <c r="AH2039" s="1"/>
      <c r="AI2039" s="1"/>
      <c r="AJ2039" s="3">
        <v>1</v>
      </c>
      <c r="AK2039" s="1" t="s">
        <v>52</v>
      </c>
      <c r="AL2039" s="3">
        <v>2</v>
      </c>
      <c r="AM2039" s="1"/>
      <c r="AN2039" s="1"/>
      <c r="AO2039" s="1" t="s">
        <v>13897</v>
      </c>
      <c r="AP2039" s="1" t="s">
        <v>7222</v>
      </c>
      <c r="AQ2039" s="1" t="s">
        <v>13898</v>
      </c>
      <c r="AR2039" s="1" t="s">
        <v>13896</v>
      </c>
    </row>
    <row r="2040">
      <c r="A2040" s="2">
        <f ca="1">DATE(2006,12,19)</f>
        <v>0</v>
      </c>
      <c r="B2040" s="2">
        <f ca="1">DATE(2007,03,21)</f>
        <v>0</v>
      </c>
      <c r="C2040" s="1" t="s">
        <v>14478</v>
      </c>
      <c r="D2040" s="3">
        <v>7372</v>
      </c>
      <c r="E2040" s="1" t="s">
        <v>43</v>
      </c>
      <c r="F2040" s="1" t="s">
        <v>14479</v>
      </c>
      <c r="G2040" s="1" t="s">
        <v>160</v>
      </c>
      <c r="H2040" s="4">
        <v>0.80500000000000005</v>
      </c>
      <c r="I2040" s="4">
        <v>7</v>
      </c>
      <c r="J2040" s="5">
        <v>84</v>
      </c>
      <c r="K2040" s="4">
        <v>11.5</v>
      </c>
      <c r="L2040" s="1" t="s">
        <v>46</v>
      </c>
      <c r="M2040" s="1" t="s">
        <v>47</v>
      </c>
      <c r="N2040" s="3">
        <v>379890106</v>
      </c>
      <c r="O2040" s="1" t="s">
        <v>48</v>
      </c>
      <c r="P2040" s="1" t="s">
        <v>14480</v>
      </c>
      <c r="Q2040" s="4">
        <v>1.3999999999999999</v>
      </c>
      <c r="R2040" s="4">
        <v>1.3999999999999999</v>
      </c>
      <c r="S2040" s="8">
        <v>4.2000000000000002</v>
      </c>
      <c r="T2040" s="1" t="s">
        <v>50</v>
      </c>
      <c r="U2040" s="1"/>
      <c r="V2040" s="1"/>
      <c r="W2040" s="1"/>
      <c r="X2040" s="5">
        <v>92</v>
      </c>
      <c r="Y2040" s="7">
        <v>7300000</v>
      </c>
      <c r="Z2040" s="1"/>
      <c r="AA2040" s="1" t="s">
        <v>14481</v>
      </c>
      <c r="AB2040" s="1" t="s">
        <v>5265</v>
      </c>
      <c r="AC2040" s="1" t="s">
        <v>7759</v>
      </c>
      <c r="AD2040" s="1" t="s">
        <v>5265</v>
      </c>
      <c r="AE2040" s="1" t="s">
        <v>51</v>
      </c>
      <c r="AF2040" s="1" t="s">
        <v>51</v>
      </c>
      <c r="AG2040" s="1" t="s">
        <v>47</v>
      </c>
      <c r="AH2040" s="1"/>
      <c r="AI2040" s="1"/>
      <c r="AJ2040" s="3">
        <v>1</v>
      </c>
      <c r="AK2040" s="1" t="s">
        <v>89</v>
      </c>
      <c r="AL2040" s="3">
        <v>4</v>
      </c>
      <c r="AM2040" s="8">
        <v>12.289999999999999</v>
      </c>
      <c r="AN2040" s="1"/>
      <c r="AO2040" s="1" t="s">
        <v>14482</v>
      </c>
      <c r="AP2040" s="1" t="s">
        <v>5392</v>
      </c>
      <c r="AQ2040" s="1" t="s">
        <v>14483</v>
      </c>
      <c r="AR2040" s="1" t="s">
        <v>14480</v>
      </c>
    </row>
    <row r="2041">
      <c r="A2041" s="2">
        <f ca="1">DATE(2006,06,01)</f>
        <v>0</v>
      </c>
      <c r="B2041" s="2">
        <f ca="1">DATE(2007,03,22)</f>
        <v>0</v>
      </c>
      <c r="C2041" s="1" t="s">
        <v>14484</v>
      </c>
      <c r="D2041" s="3">
        <v>6331</v>
      </c>
      <c r="E2041" s="1" t="s">
        <v>517</v>
      </c>
      <c r="F2041" s="1" t="s">
        <v>14485</v>
      </c>
      <c r="G2041" s="1" t="s">
        <v>5983</v>
      </c>
      <c r="H2041" s="4">
        <v>1.0149999999999999</v>
      </c>
      <c r="I2041" s="8">
        <v>7</v>
      </c>
      <c r="J2041" s="5">
        <v>111.40000000000001</v>
      </c>
      <c r="K2041" s="4">
        <v>14.5</v>
      </c>
      <c r="L2041" s="1" t="s">
        <v>46</v>
      </c>
      <c r="M2041" s="1" t="s">
        <v>47</v>
      </c>
      <c r="N2041" s="3">
        <v>148553100</v>
      </c>
      <c r="O2041" s="1" t="s">
        <v>48</v>
      </c>
      <c r="P2041" s="1" t="s">
        <v>14486</v>
      </c>
      <c r="Q2041" s="1" t="s">
        <v>145</v>
      </c>
      <c r="R2041" s="1" t="s">
        <v>145</v>
      </c>
      <c r="S2041" s="6">
        <v>4.2413800000000004</v>
      </c>
      <c r="T2041" s="1" t="s">
        <v>50</v>
      </c>
      <c r="U2041" s="1"/>
      <c r="V2041" s="1"/>
      <c r="W2041" s="1"/>
      <c r="X2041" s="5">
        <v>50</v>
      </c>
      <c r="Y2041" s="7">
        <v>7562738</v>
      </c>
      <c r="Z2041" s="7">
        <v>119500</v>
      </c>
      <c r="AA2041" s="1" t="s">
        <v>14487</v>
      </c>
      <c r="AB2041" s="1" t="s">
        <v>5265</v>
      </c>
      <c r="AC2041" s="1" t="s">
        <v>7759</v>
      </c>
      <c r="AD2041" s="1" t="s">
        <v>5265</v>
      </c>
      <c r="AE2041" s="1" t="s">
        <v>51</v>
      </c>
      <c r="AF2041" s="1" t="s">
        <v>51</v>
      </c>
      <c r="AG2041" s="1" t="s">
        <v>51</v>
      </c>
      <c r="AH2041" s="1"/>
      <c r="AI2041" s="1"/>
      <c r="AJ2041" s="3">
        <v>1</v>
      </c>
      <c r="AK2041" s="1" t="s">
        <v>52</v>
      </c>
      <c r="AL2041" s="3">
        <v>4</v>
      </c>
      <c r="AM2041" s="8">
        <v>11</v>
      </c>
      <c r="AN2041" s="1"/>
      <c r="AO2041" s="1" t="s">
        <v>14488</v>
      </c>
      <c r="AP2041" s="1" t="s">
        <v>5983</v>
      </c>
      <c r="AQ2041" s="1" t="s">
        <v>14489</v>
      </c>
      <c r="AR2041" s="1" t="s">
        <v>14490</v>
      </c>
    </row>
    <row r="2042">
      <c r="A2042" s="2">
        <f ca="1">DATE(2005,08,31)</f>
        <v>0</v>
      </c>
      <c r="B2042" s="2">
        <f ca="1">DATE(2007,03,23)</f>
        <v>0</v>
      </c>
      <c r="C2042" s="1" t="s">
        <v>14491</v>
      </c>
      <c r="D2042" s="3">
        <v>6726</v>
      </c>
      <c r="E2042" s="1" t="s">
        <v>43</v>
      </c>
      <c r="F2042" s="1" t="s">
        <v>14492</v>
      </c>
      <c r="G2042" s="1" t="s">
        <v>10277</v>
      </c>
      <c r="H2042" s="4">
        <v>0.33000000000000002</v>
      </c>
      <c r="I2042" s="4">
        <v>3.2999999999999998</v>
      </c>
      <c r="J2042" s="5">
        <v>60</v>
      </c>
      <c r="K2042" s="4">
        <v>10</v>
      </c>
      <c r="L2042" s="1" t="s">
        <v>46</v>
      </c>
      <c r="M2042" s="1" t="s">
        <v>47</v>
      </c>
      <c r="N2042" s="1" t="s">
        <v>14493</v>
      </c>
      <c r="O2042" s="1" t="s">
        <v>87</v>
      </c>
      <c r="P2042" s="1" t="s">
        <v>10286</v>
      </c>
      <c r="Q2042" s="1" t="s">
        <v>145</v>
      </c>
      <c r="R2042" s="1" t="s">
        <v>145</v>
      </c>
      <c r="S2042" s="8">
        <v>1.98</v>
      </c>
      <c r="T2042" s="1" t="s">
        <v>50</v>
      </c>
      <c r="U2042" s="8">
        <v>8</v>
      </c>
      <c r="V2042" s="8">
        <v>8</v>
      </c>
      <c r="W2042" s="7">
        <v>8000000</v>
      </c>
      <c r="X2042" s="5">
        <v>64</v>
      </c>
      <c r="Y2042" s="7">
        <v>6000000</v>
      </c>
      <c r="Z2042" s="1"/>
      <c r="AA2042" s="2">
        <f ca="1">DATE(2007,09,19)</f>
        <v>0</v>
      </c>
      <c r="AB2042" s="1"/>
      <c r="AC2042" s="3">
        <v>180</v>
      </c>
      <c r="AD2042" s="1"/>
      <c r="AE2042" s="1" t="s">
        <v>51</v>
      </c>
      <c r="AF2042" s="1" t="s">
        <v>51</v>
      </c>
      <c r="AG2042" s="1" t="s">
        <v>51</v>
      </c>
      <c r="AH2042" s="1"/>
      <c r="AI2042" s="1"/>
      <c r="AJ2042" s="3">
        <v>1</v>
      </c>
      <c r="AK2042" s="1" t="s">
        <v>52</v>
      </c>
      <c r="AL2042" s="3">
        <v>2</v>
      </c>
      <c r="AM2042" s="1"/>
      <c r="AN2042" s="1"/>
      <c r="AO2042" s="1" t="s">
        <v>14494</v>
      </c>
      <c r="AP2042" s="1" t="s">
        <v>10277</v>
      </c>
      <c r="AQ2042" s="1" t="s">
        <v>10285</v>
      </c>
      <c r="AR2042" s="1" t="s">
        <v>10286</v>
      </c>
    </row>
    <row r="2043">
      <c r="A2043" s="2">
        <f ca="1">DATE(2006,10,17)</f>
        <v>0</v>
      </c>
      <c r="B2043" s="2">
        <f ca="1">DATE(2007,03,23)</f>
        <v>0</v>
      </c>
      <c r="C2043" s="1" t="s">
        <v>14495</v>
      </c>
      <c r="D2043" s="3">
        <v>6726</v>
      </c>
      <c r="E2043" s="1" t="s">
        <v>43</v>
      </c>
      <c r="F2043" s="1" t="s">
        <v>14496</v>
      </c>
      <c r="G2043" s="1" t="s">
        <v>14497</v>
      </c>
      <c r="H2043" s="4">
        <v>0.97499999999999998</v>
      </c>
      <c r="I2043" s="4">
        <v>6.5</v>
      </c>
      <c r="J2043" s="5">
        <v>108.8</v>
      </c>
      <c r="K2043" s="4">
        <v>15</v>
      </c>
      <c r="L2043" s="1" t="s">
        <v>46</v>
      </c>
      <c r="M2043" s="1" t="s">
        <v>47</v>
      </c>
      <c r="N2043" s="3">
        <v>362493108</v>
      </c>
      <c r="O2043" s="1" t="s">
        <v>108</v>
      </c>
      <c r="P2043" s="1" t="s">
        <v>14498</v>
      </c>
      <c r="Q2043" s="1" t="s">
        <v>145</v>
      </c>
      <c r="R2043" s="1" t="s">
        <v>145</v>
      </c>
      <c r="S2043" s="6">
        <v>4.2253299999999996</v>
      </c>
      <c r="T2043" s="1" t="s">
        <v>50</v>
      </c>
      <c r="U2043" s="1"/>
      <c r="V2043" s="1"/>
      <c r="W2043" s="1"/>
      <c r="X2043" s="5">
        <v>150</v>
      </c>
      <c r="Y2043" s="7">
        <v>7250000</v>
      </c>
      <c r="Z2043" s="1"/>
      <c r="AA2043" s="1" t="s">
        <v>14499</v>
      </c>
      <c r="AB2043" s="1" t="s">
        <v>5265</v>
      </c>
      <c r="AC2043" s="1" t="s">
        <v>7759</v>
      </c>
      <c r="AD2043" s="1" t="s">
        <v>5265</v>
      </c>
      <c r="AE2043" s="1" t="s">
        <v>51</v>
      </c>
      <c r="AF2043" s="1" t="s">
        <v>51</v>
      </c>
      <c r="AG2043" s="1" t="s">
        <v>51</v>
      </c>
      <c r="AH2043" s="1"/>
      <c r="AI2043" s="1"/>
      <c r="AJ2043" s="3">
        <v>3</v>
      </c>
      <c r="AK2043" s="1" t="s">
        <v>110</v>
      </c>
      <c r="AL2043" s="3">
        <v>6</v>
      </c>
      <c r="AM2043" s="8">
        <v>14.75</v>
      </c>
      <c r="AN2043" s="1"/>
      <c r="AO2043" s="1" t="s">
        <v>14500</v>
      </c>
      <c r="AP2043" s="1" t="s">
        <v>14501</v>
      </c>
      <c r="AQ2043" s="1" t="s">
        <v>14502</v>
      </c>
      <c r="AR2043" s="1" t="s">
        <v>14503</v>
      </c>
    </row>
    <row r="2044">
      <c r="A2044" s="2">
        <f ca="1">DATE(2006,12,15)</f>
        <v>0</v>
      </c>
      <c r="B2044" s="2">
        <f ca="1">DATE(2007,03,26)</f>
        <v>0</v>
      </c>
      <c r="C2044" s="1" t="s">
        <v>14504</v>
      </c>
      <c r="D2044" s="3">
        <v>7372</v>
      </c>
      <c r="E2044" s="1" t="s">
        <v>43</v>
      </c>
      <c r="F2044" s="1" t="s">
        <v>14505</v>
      </c>
      <c r="G2044" s="1" t="s">
        <v>5387</v>
      </c>
      <c r="H2044" s="4">
        <v>0.77000000000000002</v>
      </c>
      <c r="I2044" s="4">
        <v>7</v>
      </c>
      <c r="J2044" s="5">
        <v>88</v>
      </c>
      <c r="K2044" s="4">
        <v>11</v>
      </c>
      <c r="L2044" s="1" t="s">
        <v>46</v>
      </c>
      <c r="M2044" s="1" t="s">
        <v>47</v>
      </c>
      <c r="N2044" s="1" t="s">
        <v>14506</v>
      </c>
      <c r="O2044" s="1" t="s">
        <v>48</v>
      </c>
      <c r="P2044" s="1" t="s">
        <v>14507</v>
      </c>
      <c r="Q2044" s="4">
        <v>1.3999999999999999</v>
      </c>
      <c r="R2044" s="4">
        <v>1.3999999999999999</v>
      </c>
      <c r="S2044" s="8">
        <v>4.2000000000000002</v>
      </c>
      <c r="T2044" s="1" t="s">
        <v>50</v>
      </c>
      <c r="U2044" s="1"/>
      <c r="V2044" s="1"/>
      <c r="W2044" s="1"/>
      <c r="X2044" s="5">
        <v>100</v>
      </c>
      <c r="Y2044" s="7">
        <v>8000000</v>
      </c>
      <c r="Z2044" s="1"/>
      <c r="AA2044" s="1" t="s">
        <v>14508</v>
      </c>
      <c r="AB2044" s="1" t="s">
        <v>2067</v>
      </c>
      <c r="AC2044" s="1" t="s">
        <v>2068</v>
      </c>
      <c r="AD2044" s="1" t="s">
        <v>2067</v>
      </c>
      <c r="AE2044" s="1" t="s">
        <v>51</v>
      </c>
      <c r="AF2044" s="1" t="s">
        <v>51</v>
      </c>
      <c r="AG2044" s="1" t="s">
        <v>47</v>
      </c>
      <c r="AH2044" s="1"/>
      <c r="AI2044" s="1"/>
      <c r="AJ2044" s="3">
        <v>2</v>
      </c>
      <c r="AK2044" s="1" t="s">
        <v>89</v>
      </c>
      <c r="AL2044" s="3">
        <v>4</v>
      </c>
      <c r="AM2044" s="8">
        <v>14.15</v>
      </c>
      <c r="AN2044" s="1"/>
      <c r="AO2044" s="1" t="s">
        <v>14509</v>
      </c>
      <c r="AP2044" s="1" t="s">
        <v>5392</v>
      </c>
      <c r="AQ2044" s="1" t="s">
        <v>14510</v>
      </c>
      <c r="AR2044" s="1" t="s">
        <v>14511</v>
      </c>
    </row>
    <row r="2045">
      <c r="A2045" s="2">
        <f ca="1">DATE(2007,01,17)</f>
        <v>0</v>
      </c>
      <c r="B2045" s="2">
        <f ca="1">DATE(2007,03,27)</f>
        <v>0</v>
      </c>
      <c r="C2045" s="1" t="s">
        <v>14512</v>
      </c>
      <c r="D2045" s="3">
        <v>6726</v>
      </c>
      <c r="E2045" s="1" t="s">
        <v>43</v>
      </c>
      <c r="F2045" s="1" t="s">
        <v>14513</v>
      </c>
      <c r="G2045" s="1" t="s">
        <v>45</v>
      </c>
      <c r="H2045" s="4">
        <v>0.90000000000000002</v>
      </c>
      <c r="I2045" s="4">
        <v>4.5</v>
      </c>
      <c r="J2045" s="5">
        <v>800</v>
      </c>
      <c r="K2045" s="4">
        <v>20</v>
      </c>
      <c r="L2045" s="1" t="s">
        <v>46</v>
      </c>
      <c r="M2045" s="1" t="s">
        <v>47</v>
      </c>
      <c r="N2045" s="1" t="s">
        <v>14514</v>
      </c>
      <c r="O2045" s="1" t="s">
        <v>108</v>
      </c>
      <c r="P2045" s="1" t="s">
        <v>14515</v>
      </c>
      <c r="Q2045" s="4">
        <v>1</v>
      </c>
      <c r="R2045" s="4">
        <v>0.5</v>
      </c>
      <c r="S2045" s="8">
        <v>3</v>
      </c>
      <c r="T2045" s="1" t="s">
        <v>50</v>
      </c>
      <c r="U2045" s="8">
        <v>15</v>
      </c>
      <c r="V2045" s="8">
        <v>15</v>
      </c>
      <c r="W2045" s="7">
        <v>100000</v>
      </c>
      <c r="X2045" s="5">
        <v>1.5</v>
      </c>
      <c r="Y2045" s="7">
        <v>40000000</v>
      </c>
      <c r="Z2045" s="1"/>
      <c r="AA2045" s="2">
        <f ca="1">DATE(2007,09,23)</f>
        <v>0</v>
      </c>
      <c r="AB2045" s="1"/>
      <c r="AC2045" s="3">
        <v>180</v>
      </c>
      <c r="AD2045" s="1"/>
      <c r="AE2045" s="1" t="s">
        <v>51</v>
      </c>
      <c r="AF2045" s="1" t="s">
        <v>51</v>
      </c>
      <c r="AG2045" s="1" t="s">
        <v>51</v>
      </c>
      <c r="AH2045" s="1"/>
      <c r="AI2045" s="1"/>
      <c r="AJ2045" s="3">
        <v>1</v>
      </c>
      <c r="AK2045" s="1" t="s">
        <v>52</v>
      </c>
      <c r="AL2045" s="3">
        <v>20</v>
      </c>
      <c r="AM2045" s="8">
        <v>20</v>
      </c>
      <c r="AN2045" s="1"/>
      <c r="AO2045" s="1" t="s">
        <v>14516</v>
      </c>
      <c r="AP2045" s="1" t="s">
        <v>45</v>
      </c>
      <c r="AQ2045" s="1" t="s">
        <v>14517</v>
      </c>
      <c r="AR2045" s="1" t="s">
        <v>14518</v>
      </c>
    </row>
    <row r="2046">
      <c r="A2046" s="2">
        <f ca="1">DATE(2007,03,12)</f>
        <v>0</v>
      </c>
      <c r="B2046" s="2">
        <f ca="1">DATE(2007,03,27)</f>
        <v>0</v>
      </c>
      <c r="C2046" s="1" t="s">
        <v>14519</v>
      </c>
      <c r="D2046" s="3">
        <v>7389</v>
      </c>
      <c r="E2046" s="1" t="s">
        <v>959</v>
      </c>
      <c r="F2046" s="1" t="s">
        <v>14520</v>
      </c>
      <c r="G2046" s="1" t="s">
        <v>796</v>
      </c>
      <c r="H2046" s="4">
        <v>0.94499999999999995</v>
      </c>
      <c r="I2046" s="8">
        <v>7</v>
      </c>
      <c r="J2046" s="5">
        <v>74.299999999999997</v>
      </c>
      <c r="K2046" s="4">
        <v>13.5</v>
      </c>
      <c r="L2046" s="1" t="s">
        <v>651</v>
      </c>
      <c r="M2046" s="1" t="s">
        <v>47</v>
      </c>
      <c r="N2046" s="1" t="s">
        <v>14521</v>
      </c>
      <c r="O2046" s="1" t="s">
        <v>48</v>
      </c>
      <c r="P2046" s="1" t="s">
        <v>14522</v>
      </c>
      <c r="Q2046" s="1" t="s">
        <v>145</v>
      </c>
      <c r="R2046" s="1" t="s">
        <v>145</v>
      </c>
      <c r="S2046" s="6">
        <v>4.2222200000000001</v>
      </c>
      <c r="T2046" s="1" t="s">
        <v>50</v>
      </c>
      <c r="U2046" s="8">
        <v>14.5</v>
      </c>
      <c r="V2046" s="8">
        <v>12.5</v>
      </c>
      <c r="W2046" s="7">
        <v>5500000</v>
      </c>
      <c r="X2046" s="5">
        <v>74.299999999999997</v>
      </c>
      <c r="Y2046" s="7">
        <v>5500000</v>
      </c>
      <c r="Z2046" s="1"/>
      <c r="AA2046" s="1" t="s">
        <v>14523</v>
      </c>
      <c r="AB2046" s="1" t="s">
        <v>5265</v>
      </c>
      <c r="AC2046" s="1" t="s">
        <v>7759</v>
      </c>
      <c r="AD2046" s="1" t="s">
        <v>5265</v>
      </c>
      <c r="AE2046" s="1" t="s">
        <v>47</v>
      </c>
      <c r="AF2046" s="1" t="s">
        <v>51</v>
      </c>
      <c r="AG2046" s="1" t="s">
        <v>51</v>
      </c>
      <c r="AH2046" s="1"/>
      <c r="AI2046" s="1"/>
      <c r="AJ2046" s="3">
        <v>1</v>
      </c>
      <c r="AK2046" s="1" t="s">
        <v>52</v>
      </c>
      <c r="AL2046" s="3">
        <v>4</v>
      </c>
      <c r="AM2046" s="8">
        <v>14.550000000000001</v>
      </c>
      <c r="AN2046" s="1"/>
      <c r="AO2046" s="1" t="s">
        <v>14524</v>
      </c>
      <c r="AP2046" s="1" t="s">
        <v>796</v>
      </c>
      <c r="AQ2046" s="1" t="s">
        <v>14525</v>
      </c>
      <c r="AR2046" s="1" t="s">
        <v>14526</v>
      </c>
    </row>
    <row r="2047">
      <c r="A2047" s="2">
        <f ca="1">DATE(2007,01,16)</f>
        <v>0</v>
      </c>
      <c r="B2047" s="2">
        <f ca="1">DATE(2007,03,27)</f>
        <v>0</v>
      </c>
      <c r="C2047" s="1" t="s">
        <v>14527</v>
      </c>
      <c r="D2047" s="3">
        <v>6726</v>
      </c>
      <c r="E2047" s="1" t="s">
        <v>43</v>
      </c>
      <c r="F2047" s="1" t="s">
        <v>14528</v>
      </c>
      <c r="G2047" s="1" t="s">
        <v>3332</v>
      </c>
      <c r="H2047" s="4">
        <v>0.90000000000000002</v>
      </c>
      <c r="I2047" s="4">
        <v>4.5</v>
      </c>
      <c r="J2047" s="5">
        <v>870</v>
      </c>
      <c r="K2047" s="4">
        <v>20</v>
      </c>
      <c r="L2047" s="1" t="s">
        <v>46</v>
      </c>
      <c r="M2047" s="1" t="s">
        <v>47</v>
      </c>
      <c r="N2047" s="1" t="s">
        <v>14529</v>
      </c>
      <c r="O2047" s="1" t="s">
        <v>108</v>
      </c>
      <c r="P2047" s="1" t="s">
        <v>14530</v>
      </c>
      <c r="Q2047" s="4">
        <v>0.94999999999999996</v>
      </c>
      <c r="R2047" s="4">
        <v>0.55000000000000004</v>
      </c>
      <c r="S2047" s="8">
        <v>3</v>
      </c>
      <c r="T2047" s="1" t="s">
        <v>50</v>
      </c>
      <c r="U2047" s="8">
        <v>20</v>
      </c>
      <c r="V2047" s="8">
        <v>20</v>
      </c>
      <c r="W2047" s="7">
        <v>1500000</v>
      </c>
      <c r="X2047" s="5">
        <v>30</v>
      </c>
      <c r="Y2047" s="7">
        <v>43500000</v>
      </c>
      <c r="Z2047" s="1"/>
      <c r="AA2047" s="2">
        <f ca="1">DATE(2007,09,23)</f>
        <v>0</v>
      </c>
      <c r="AB2047" s="1"/>
      <c r="AC2047" s="3">
        <v>180</v>
      </c>
      <c r="AD2047" s="1"/>
      <c r="AE2047" s="1" t="s">
        <v>51</v>
      </c>
      <c r="AF2047" s="1" t="s">
        <v>51</v>
      </c>
      <c r="AG2047" s="1" t="s">
        <v>51</v>
      </c>
      <c r="AH2047" s="1"/>
      <c r="AI2047" s="1"/>
      <c r="AJ2047" s="3">
        <v>1</v>
      </c>
      <c r="AK2047" s="1" t="s">
        <v>89</v>
      </c>
      <c r="AL2047" s="3">
        <v>12</v>
      </c>
      <c r="AM2047" s="8">
        <v>20</v>
      </c>
      <c r="AN2047" s="1"/>
      <c r="AO2047" s="1" t="s">
        <v>14531</v>
      </c>
      <c r="AP2047" s="1" t="s">
        <v>14532</v>
      </c>
      <c r="AQ2047" s="1" t="s">
        <v>14533</v>
      </c>
      <c r="AR2047" s="1" t="s">
        <v>14534</v>
      </c>
    </row>
    <row r="2048">
      <c r="A2048" s="2">
        <f ca="1">DATE(2006,12,21)</f>
        <v>0</v>
      </c>
      <c r="B2048" s="2">
        <f ca="1">DATE(2007,03,27)</f>
        <v>0</v>
      </c>
      <c r="C2048" s="1" t="s">
        <v>14535</v>
      </c>
      <c r="D2048" s="3">
        <v>6726</v>
      </c>
      <c r="E2048" s="1" t="s">
        <v>43</v>
      </c>
      <c r="F2048" s="1" t="s">
        <v>14536</v>
      </c>
      <c r="G2048" s="1" t="s">
        <v>5747</v>
      </c>
      <c r="H2048" s="4">
        <v>0.90000000000000002</v>
      </c>
      <c r="I2048" s="4">
        <v>4.5</v>
      </c>
      <c r="J2048" s="5">
        <v>155</v>
      </c>
      <c r="K2048" s="4">
        <v>20</v>
      </c>
      <c r="L2048" s="1" t="s">
        <v>46</v>
      </c>
      <c r="M2048" s="1" t="s">
        <v>47</v>
      </c>
      <c r="N2048" s="1" t="s">
        <v>14537</v>
      </c>
      <c r="O2048" s="1" t="s">
        <v>108</v>
      </c>
      <c r="P2048" s="1" t="s">
        <v>14538</v>
      </c>
      <c r="Q2048" s="1" t="s">
        <v>145</v>
      </c>
      <c r="R2048" s="1" t="s">
        <v>145</v>
      </c>
      <c r="S2048" s="8">
        <v>3</v>
      </c>
      <c r="T2048" s="1" t="s">
        <v>50</v>
      </c>
      <c r="U2048" s="8">
        <v>20</v>
      </c>
      <c r="V2048" s="8">
        <v>20</v>
      </c>
      <c r="W2048" s="7">
        <v>1000</v>
      </c>
      <c r="X2048" s="5">
        <v>0</v>
      </c>
      <c r="Y2048" s="7">
        <v>7750000</v>
      </c>
      <c r="Z2048" s="1"/>
      <c r="AA2048" s="2">
        <f ca="1">DATE(2007,09,23)</f>
        <v>0</v>
      </c>
      <c r="AB2048" s="1"/>
      <c r="AC2048" s="3">
        <v>180</v>
      </c>
      <c r="AD2048" s="1"/>
      <c r="AE2048" s="1" t="s">
        <v>51</v>
      </c>
      <c r="AF2048" s="1" t="s">
        <v>51</v>
      </c>
      <c r="AG2048" s="1" t="s">
        <v>51</v>
      </c>
      <c r="AH2048" s="1"/>
      <c r="AI2048" s="1"/>
      <c r="AJ2048" s="3">
        <v>1</v>
      </c>
      <c r="AK2048" s="1" t="s">
        <v>52</v>
      </c>
      <c r="AL2048" s="3">
        <v>22</v>
      </c>
      <c r="AM2048" s="1"/>
      <c r="AN2048" s="1"/>
      <c r="AO2048" s="1" t="s">
        <v>14539</v>
      </c>
      <c r="AP2048" s="1" t="s">
        <v>5747</v>
      </c>
      <c r="AQ2048" s="1" t="s">
        <v>14540</v>
      </c>
      <c r="AR2048" s="1" t="s">
        <v>14541</v>
      </c>
    </row>
    <row r="2049">
      <c r="A2049" s="2">
        <f ca="1">DATE(2007,01,12)</f>
        <v>0</v>
      </c>
      <c r="B2049" s="2">
        <f ca="1">DATE(2007,03,27)</f>
        <v>0</v>
      </c>
      <c r="C2049" s="1" t="s">
        <v>14542</v>
      </c>
      <c r="D2049" s="3">
        <v>6726</v>
      </c>
      <c r="E2049" s="1" t="s">
        <v>43</v>
      </c>
      <c r="F2049" s="1" t="s">
        <v>14543</v>
      </c>
      <c r="G2049" s="1" t="s">
        <v>6201</v>
      </c>
      <c r="H2049" s="1" t="s">
        <v>57</v>
      </c>
      <c r="I2049" s="1" t="s">
        <v>57</v>
      </c>
      <c r="J2049" s="5">
        <v>275</v>
      </c>
      <c r="K2049" s="4">
        <v>25</v>
      </c>
      <c r="L2049" s="1" t="s">
        <v>46</v>
      </c>
      <c r="M2049" s="1" t="s">
        <v>47</v>
      </c>
      <c r="N2049" s="1" t="s">
        <v>14544</v>
      </c>
      <c r="O2049" s="1" t="s">
        <v>108</v>
      </c>
      <c r="P2049" s="1" t="s">
        <v>14545</v>
      </c>
      <c r="Q2049" s="1"/>
      <c r="R2049" s="4">
        <v>4.25</v>
      </c>
      <c r="S2049" s="8">
        <v>3</v>
      </c>
      <c r="T2049" s="1" t="s">
        <v>50</v>
      </c>
      <c r="U2049" s="8">
        <v>25</v>
      </c>
      <c r="V2049" s="8">
        <v>25</v>
      </c>
      <c r="W2049" s="7">
        <v>40000</v>
      </c>
      <c r="X2049" s="5">
        <v>1</v>
      </c>
      <c r="Y2049" s="7">
        <v>11000000</v>
      </c>
      <c r="Z2049" s="1"/>
      <c r="AA2049" s="2">
        <f ca="1">DATE(2007,09,23)</f>
        <v>0</v>
      </c>
      <c r="AB2049" s="1"/>
      <c r="AC2049" s="3">
        <v>180</v>
      </c>
      <c r="AD2049" s="1"/>
      <c r="AE2049" s="1" t="s">
        <v>51</v>
      </c>
      <c r="AF2049" s="1" t="s">
        <v>51</v>
      </c>
      <c r="AG2049" s="1" t="s">
        <v>51</v>
      </c>
      <c r="AH2049" s="1"/>
      <c r="AI2049" s="1"/>
      <c r="AJ2049" s="3">
        <v>1</v>
      </c>
      <c r="AK2049" s="1" t="s">
        <v>52</v>
      </c>
      <c r="AL2049" s="3">
        <v>14</v>
      </c>
      <c r="AM2049" s="8">
        <v>25.030000000000001</v>
      </c>
      <c r="AN2049" s="1"/>
      <c r="AO2049" s="1" t="s">
        <v>14546</v>
      </c>
      <c r="AP2049" s="1" t="s">
        <v>6201</v>
      </c>
      <c r="AQ2049" s="1" t="s">
        <v>14547</v>
      </c>
      <c r="AR2049" s="1" t="s">
        <v>14548</v>
      </c>
    </row>
    <row r="2050">
      <c r="A2050" s="2">
        <f ca="1">DATE(2007,01,12)</f>
        <v>0</v>
      </c>
      <c r="B2050" s="2">
        <f ca="1">DATE(2007,03,27)</f>
        <v>0</v>
      </c>
      <c r="C2050" s="1" t="s">
        <v>14549</v>
      </c>
      <c r="D2050" s="3">
        <v>6726</v>
      </c>
      <c r="E2050" s="1" t="s">
        <v>43</v>
      </c>
      <c r="F2050" s="1" t="s">
        <v>14550</v>
      </c>
      <c r="G2050" s="1" t="s">
        <v>5704</v>
      </c>
      <c r="H2050" s="4">
        <v>0.90000000000000002</v>
      </c>
      <c r="I2050" s="4">
        <v>4.5</v>
      </c>
      <c r="J2050" s="5">
        <v>310</v>
      </c>
      <c r="K2050" s="4">
        <v>20</v>
      </c>
      <c r="L2050" s="1" t="s">
        <v>46</v>
      </c>
      <c r="M2050" s="1" t="s">
        <v>47</v>
      </c>
      <c r="N2050" s="1" t="s">
        <v>14551</v>
      </c>
      <c r="O2050" s="1" t="s">
        <v>108</v>
      </c>
      <c r="P2050" s="1" t="s">
        <v>14552</v>
      </c>
      <c r="Q2050" s="1" t="s">
        <v>145</v>
      </c>
      <c r="R2050" s="1" t="s">
        <v>145</v>
      </c>
      <c r="S2050" s="8">
        <v>3</v>
      </c>
      <c r="T2050" s="1" t="s">
        <v>50</v>
      </c>
      <c r="U2050" s="8">
        <v>20</v>
      </c>
      <c r="V2050" s="8">
        <v>20</v>
      </c>
      <c r="W2050" s="7">
        <v>1000</v>
      </c>
      <c r="X2050" s="5">
        <v>0</v>
      </c>
      <c r="Y2050" s="7">
        <v>15500000</v>
      </c>
      <c r="Z2050" s="1"/>
      <c r="AA2050" s="2">
        <f ca="1">DATE(2007,09,23)</f>
        <v>0</v>
      </c>
      <c r="AB2050" s="1"/>
      <c r="AC2050" s="3">
        <v>180</v>
      </c>
      <c r="AD2050" s="1"/>
      <c r="AE2050" s="1" t="s">
        <v>51</v>
      </c>
      <c r="AF2050" s="1" t="s">
        <v>51</v>
      </c>
      <c r="AG2050" s="1" t="s">
        <v>51</v>
      </c>
      <c r="AH2050" s="1"/>
      <c r="AI2050" s="1"/>
      <c r="AJ2050" s="3">
        <v>1</v>
      </c>
      <c r="AK2050" s="1" t="s">
        <v>89</v>
      </c>
      <c r="AL2050" s="3">
        <v>14</v>
      </c>
      <c r="AM2050" s="1"/>
      <c r="AN2050" s="1"/>
      <c r="AO2050" s="1" t="s">
        <v>14553</v>
      </c>
      <c r="AP2050" s="1" t="s">
        <v>6504</v>
      </c>
      <c r="AQ2050" s="1" t="s">
        <v>14554</v>
      </c>
      <c r="AR2050" s="1" t="s">
        <v>14555</v>
      </c>
    </row>
    <row r="2051">
      <c r="A2051" s="2">
        <f ca="1">DATE(2005,09,16)</f>
        <v>0</v>
      </c>
      <c r="B2051" s="2">
        <f ca="1">DATE(2007,03,27)</f>
        <v>0</v>
      </c>
      <c r="C2051" s="1" t="s">
        <v>14556</v>
      </c>
      <c r="D2051" s="3">
        <v>6726</v>
      </c>
      <c r="E2051" s="1" t="s">
        <v>43</v>
      </c>
      <c r="F2051" s="1" t="s">
        <v>14557</v>
      </c>
      <c r="G2051" s="1" t="s">
        <v>6201</v>
      </c>
      <c r="H2051" s="4">
        <v>0.59999999999999998</v>
      </c>
      <c r="I2051" s="4">
        <v>7.5</v>
      </c>
      <c r="J2051" s="5">
        <v>100</v>
      </c>
      <c r="K2051" s="4">
        <v>8</v>
      </c>
      <c r="L2051" s="1" t="s">
        <v>46</v>
      </c>
      <c r="M2051" s="1" t="s">
        <v>47</v>
      </c>
      <c r="N2051" s="3">
        <v>802501106</v>
      </c>
      <c r="O2051" s="1" t="s">
        <v>87</v>
      </c>
      <c r="P2051" s="1" t="s">
        <v>14020</v>
      </c>
      <c r="Q2051" s="1" t="s">
        <v>145</v>
      </c>
      <c r="R2051" s="1" t="s">
        <v>145</v>
      </c>
      <c r="S2051" s="8">
        <v>2.1000000000000001</v>
      </c>
      <c r="T2051" s="1" t="s">
        <v>50</v>
      </c>
      <c r="U2051" s="8">
        <v>8</v>
      </c>
      <c r="V2051" s="8">
        <v>8</v>
      </c>
      <c r="W2051" s="7">
        <v>15600000</v>
      </c>
      <c r="X2051" s="5">
        <v>124.8</v>
      </c>
      <c r="Y2051" s="7">
        <v>12500000</v>
      </c>
      <c r="Z2051" s="1"/>
      <c r="AA2051" s="1" t="s">
        <v>14558</v>
      </c>
      <c r="AB2051" s="1" t="s">
        <v>5265</v>
      </c>
      <c r="AC2051" s="1" t="s">
        <v>12391</v>
      </c>
      <c r="AD2051" s="1" t="s">
        <v>5265</v>
      </c>
      <c r="AE2051" s="1" t="s">
        <v>51</v>
      </c>
      <c r="AF2051" s="1" t="s">
        <v>51</v>
      </c>
      <c r="AG2051" s="1" t="s">
        <v>51</v>
      </c>
      <c r="AH2051" s="1"/>
      <c r="AI2051" s="1"/>
      <c r="AJ2051" s="3">
        <v>1</v>
      </c>
      <c r="AK2051" s="1" t="s">
        <v>52</v>
      </c>
      <c r="AL2051" s="3">
        <v>2</v>
      </c>
      <c r="AM2051" s="8">
        <v>7.8799999999999999</v>
      </c>
      <c r="AN2051" s="1"/>
      <c r="AO2051" s="1" t="s">
        <v>14022</v>
      </c>
      <c r="AP2051" s="1" t="s">
        <v>6201</v>
      </c>
      <c r="AQ2051" s="1" t="s">
        <v>14023</v>
      </c>
      <c r="AR2051" s="1" t="s">
        <v>14020</v>
      </c>
    </row>
    <row r="2052">
      <c r="A2052" s="2">
        <f ca="1">DATE(2007,01,10)</f>
        <v>0</v>
      </c>
      <c r="B2052" s="2">
        <f ca="1">DATE(2007,03,28)</f>
        <v>0</v>
      </c>
      <c r="C2052" s="1" t="s">
        <v>14559</v>
      </c>
      <c r="D2052" s="3">
        <v>3674</v>
      </c>
      <c r="E2052" s="1" t="s">
        <v>43</v>
      </c>
      <c r="F2052" s="1" t="s">
        <v>14560</v>
      </c>
      <c r="G2052" s="1" t="s">
        <v>14561</v>
      </c>
      <c r="H2052" s="4">
        <v>0.38500000000000001</v>
      </c>
      <c r="I2052" s="4">
        <v>7</v>
      </c>
      <c r="J2052" s="5">
        <v>33.700000000000003</v>
      </c>
      <c r="K2052" s="4">
        <v>5.5</v>
      </c>
      <c r="L2052" s="1" t="s">
        <v>46</v>
      </c>
      <c r="M2052" s="1" t="s">
        <v>47</v>
      </c>
      <c r="N2052" s="1" t="s">
        <v>14562</v>
      </c>
      <c r="O2052" s="1" t="s">
        <v>48</v>
      </c>
      <c r="P2052" s="1" t="s">
        <v>14563</v>
      </c>
      <c r="Q2052" s="1" t="s">
        <v>145</v>
      </c>
      <c r="R2052" s="1" t="s">
        <v>145</v>
      </c>
      <c r="S2052" s="8">
        <v>4.2000000000000002</v>
      </c>
      <c r="T2052" s="1" t="s">
        <v>50</v>
      </c>
      <c r="U2052" s="1"/>
      <c r="V2052" s="1"/>
      <c r="W2052" s="1"/>
      <c r="X2052" s="5">
        <v>57.5</v>
      </c>
      <c r="Y2052" s="7">
        <v>6131111</v>
      </c>
      <c r="Z2052" s="1"/>
      <c r="AA2052" s="1" t="s">
        <v>14564</v>
      </c>
      <c r="AB2052" s="1" t="s">
        <v>2067</v>
      </c>
      <c r="AC2052" s="1" t="s">
        <v>2068</v>
      </c>
      <c r="AD2052" s="1" t="s">
        <v>2067</v>
      </c>
      <c r="AE2052" s="1" t="s">
        <v>51</v>
      </c>
      <c r="AF2052" s="1" t="s">
        <v>51</v>
      </c>
      <c r="AG2052" s="1" t="s">
        <v>51</v>
      </c>
      <c r="AH2052" s="1"/>
      <c r="AI2052" s="1"/>
      <c r="AJ2052" s="3">
        <v>2</v>
      </c>
      <c r="AK2052" s="1" t="s">
        <v>89</v>
      </c>
      <c r="AL2052" s="3">
        <v>4</v>
      </c>
      <c r="AM2052" s="8">
        <v>5.29</v>
      </c>
      <c r="AN2052" s="1"/>
      <c r="AO2052" s="1" t="s">
        <v>14565</v>
      </c>
      <c r="AP2052" s="1" t="s">
        <v>14566</v>
      </c>
      <c r="AQ2052" s="1" t="s">
        <v>14567</v>
      </c>
      <c r="AR2052" s="1" t="s">
        <v>14563</v>
      </c>
    </row>
    <row r="2053">
      <c r="A2053" s="2">
        <f ca="1">DATE(2006,05,25)</f>
        <v>0</v>
      </c>
      <c r="B2053" s="2">
        <f ca="1">DATE(2007,03,28)</f>
        <v>0</v>
      </c>
      <c r="C2053" s="1" t="s">
        <v>14568</v>
      </c>
      <c r="D2053" s="3">
        <v>3841</v>
      </c>
      <c r="E2053" s="1" t="s">
        <v>43</v>
      </c>
      <c r="F2053" s="1" t="s">
        <v>14569</v>
      </c>
      <c r="G2053" s="1" t="s">
        <v>9354</v>
      </c>
      <c r="H2053" s="4">
        <v>0.56000000000000005</v>
      </c>
      <c r="I2053" s="4">
        <v>7</v>
      </c>
      <c r="J2053" s="5">
        <v>44</v>
      </c>
      <c r="K2053" s="4">
        <v>8</v>
      </c>
      <c r="L2053" s="1" t="s">
        <v>46</v>
      </c>
      <c r="M2053" s="1" t="s">
        <v>47</v>
      </c>
      <c r="N2053" s="1" t="s">
        <v>14570</v>
      </c>
      <c r="O2053" s="1" t="s">
        <v>48</v>
      </c>
      <c r="P2053" s="1" t="s">
        <v>14571</v>
      </c>
      <c r="Q2053" s="1" t="s">
        <v>145</v>
      </c>
      <c r="R2053" s="1" t="s">
        <v>145</v>
      </c>
      <c r="S2053" s="1"/>
      <c r="T2053" s="1" t="s">
        <v>50</v>
      </c>
      <c r="U2053" s="1"/>
      <c r="V2053" s="1"/>
      <c r="W2053" s="1"/>
      <c r="X2053" s="5">
        <v>86.299999999999997</v>
      </c>
      <c r="Y2053" s="7">
        <v>5500000</v>
      </c>
      <c r="Z2053" s="1"/>
      <c r="AA2053" s="1" t="s">
        <v>14572</v>
      </c>
      <c r="AB2053" s="1" t="s">
        <v>5265</v>
      </c>
      <c r="AC2053" s="1" t="s">
        <v>7759</v>
      </c>
      <c r="AD2053" s="1" t="s">
        <v>5265</v>
      </c>
      <c r="AE2053" s="1" t="s">
        <v>51</v>
      </c>
      <c r="AF2053" s="1" t="s">
        <v>51</v>
      </c>
      <c r="AG2053" s="1" t="s">
        <v>47</v>
      </c>
      <c r="AH2053" s="1"/>
      <c r="AI2053" s="1"/>
      <c r="AJ2053" s="3">
        <v>2</v>
      </c>
      <c r="AK2053" s="1" t="s">
        <v>89</v>
      </c>
      <c r="AL2053" s="3">
        <v>4</v>
      </c>
      <c r="AM2053" s="8">
        <v>8.1799999999999997</v>
      </c>
      <c r="AN2053" s="1"/>
      <c r="AO2053" s="1" t="s">
        <v>14573</v>
      </c>
      <c r="AP2053" s="1" t="s">
        <v>11259</v>
      </c>
      <c r="AQ2053" s="1" t="s">
        <v>14574</v>
      </c>
      <c r="AR2053" s="1" t="s">
        <v>14571</v>
      </c>
    </row>
    <row r="2054">
      <c r="A2054" s="2">
        <f ca="1">DATE(2006,11,01)</f>
        <v>0</v>
      </c>
      <c r="B2054" s="2">
        <f ca="1">DATE(2007,03,29)</f>
        <v>0</v>
      </c>
      <c r="C2054" s="1" t="s">
        <v>14575</v>
      </c>
      <c r="D2054" s="3">
        <v>3571</v>
      </c>
      <c r="E2054" s="1" t="s">
        <v>43</v>
      </c>
      <c r="F2054" s="1" t="s">
        <v>14576</v>
      </c>
      <c r="G2054" s="1" t="s">
        <v>45</v>
      </c>
      <c r="H2054" s="4">
        <v>0.56000000000000005</v>
      </c>
      <c r="I2054" s="4">
        <v>7</v>
      </c>
      <c r="J2054" s="5">
        <v>64</v>
      </c>
      <c r="K2054" s="4">
        <v>8</v>
      </c>
      <c r="L2054" s="1" t="s">
        <v>46</v>
      </c>
      <c r="M2054" s="1" t="s">
        <v>47</v>
      </c>
      <c r="N2054" s="1" t="s">
        <v>14577</v>
      </c>
      <c r="O2054" s="1" t="s">
        <v>48</v>
      </c>
      <c r="P2054" s="1" t="s">
        <v>14578</v>
      </c>
      <c r="Q2054" s="1" t="s">
        <v>145</v>
      </c>
      <c r="R2054" s="1" t="s">
        <v>145</v>
      </c>
      <c r="S2054" s="4">
        <v>4.125</v>
      </c>
      <c r="T2054" s="1" t="s">
        <v>50</v>
      </c>
      <c r="U2054" s="1"/>
      <c r="V2054" s="1"/>
      <c r="W2054" s="1"/>
      <c r="X2054" s="5">
        <v>150</v>
      </c>
      <c r="Y2054" s="7">
        <v>6400000</v>
      </c>
      <c r="Z2054" s="7">
        <v>1600000</v>
      </c>
      <c r="AA2054" s="1" t="s">
        <v>14579</v>
      </c>
      <c r="AB2054" s="1" t="s">
        <v>2067</v>
      </c>
      <c r="AC2054" s="1" t="s">
        <v>2068</v>
      </c>
      <c r="AD2054" s="1" t="s">
        <v>2067</v>
      </c>
      <c r="AE2054" s="1" t="s">
        <v>51</v>
      </c>
      <c r="AF2054" s="1" t="s">
        <v>51</v>
      </c>
      <c r="AG2054" s="1" t="s">
        <v>51</v>
      </c>
      <c r="AH2054" s="1"/>
      <c r="AI2054" s="1"/>
      <c r="AJ2054" s="3">
        <v>1</v>
      </c>
      <c r="AK2054" s="1" t="s">
        <v>52</v>
      </c>
      <c r="AL2054" s="3">
        <v>3</v>
      </c>
      <c r="AM2054" s="8">
        <v>8.7599999999999998</v>
      </c>
      <c r="AN2054" s="1"/>
      <c r="AO2054" s="1" t="s">
        <v>14580</v>
      </c>
      <c r="AP2054" s="1" t="s">
        <v>45</v>
      </c>
      <c r="AQ2054" s="1" t="s">
        <v>14581</v>
      </c>
      <c r="AR2054" s="1" t="s">
        <v>14582</v>
      </c>
    </row>
    <row r="2055">
      <c r="A2055" s="2">
        <f ca="1">DATE(2006,10,24)</f>
        <v>0</v>
      </c>
      <c r="B2055" s="2">
        <f ca="1">DATE(2007,03,29)</f>
        <v>0</v>
      </c>
      <c r="C2055" s="1" t="s">
        <v>14583</v>
      </c>
      <c r="D2055" s="3">
        <v>6331</v>
      </c>
      <c r="E2055" s="1" t="s">
        <v>517</v>
      </c>
      <c r="F2055" s="1" t="s">
        <v>14584</v>
      </c>
      <c r="G2055" s="1" t="s">
        <v>8972</v>
      </c>
      <c r="H2055" s="4">
        <v>0.91100000000000003</v>
      </c>
      <c r="I2055" s="4">
        <v>6.75</v>
      </c>
      <c r="J2055" s="5">
        <v>175.5</v>
      </c>
      <c r="K2055" s="4">
        <v>13.5</v>
      </c>
      <c r="L2055" s="1" t="s">
        <v>46</v>
      </c>
      <c r="M2055" s="1" t="s">
        <v>47</v>
      </c>
      <c r="N2055" s="1" t="s">
        <v>14585</v>
      </c>
      <c r="O2055" s="1" t="s">
        <v>108</v>
      </c>
      <c r="P2055" s="1" t="s">
        <v>14586</v>
      </c>
      <c r="Q2055" s="4">
        <v>1.3500000000000001</v>
      </c>
      <c r="R2055" s="4">
        <v>1.3500000000000001</v>
      </c>
      <c r="S2055" s="8">
        <v>4.0499999999999998</v>
      </c>
      <c r="T2055" s="1" t="s">
        <v>50</v>
      </c>
      <c r="U2055" s="1"/>
      <c r="V2055" s="1"/>
      <c r="W2055" s="1"/>
      <c r="X2055" s="5">
        <v>175</v>
      </c>
      <c r="Y2055" s="7">
        <v>13000000</v>
      </c>
      <c r="Z2055" s="1"/>
      <c r="AA2055" s="1" t="s">
        <v>14587</v>
      </c>
      <c r="AB2055" s="1" t="s">
        <v>5265</v>
      </c>
      <c r="AC2055" s="1" t="s">
        <v>7759</v>
      </c>
      <c r="AD2055" s="1" t="s">
        <v>5265</v>
      </c>
      <c r="AE2055" s="1" t="s">
        <v>51</v>
      </c>
      <c r="AF2055" s="1" t="s">
        <v>51</v>
      </c>
      <c r="AG2055" s="1" t="s">
        <v>51</v>
      </c>
      <c r="AH2055" s="1"/>
      <c r="AI2055" s="1"/>
      <c r="AJ2055" s="3">
        <v>2</v>
      </c>
      <c r="AK2055" s="1" t="s">
        <v>89</v>
      </c>
      <c r="AL2055" s="3">
        <v>9</v>
      </c>
      <c r="AM2055" s="8">
        <v>13.48</v>
      </c>
      <c r="AN2055" s="1"/>
      <c r="AO2055" s="1" t="s">
        <v>14588</v>
      </c>
      <c r="AP2055" s="1" t="s">
        <v>11528</v>
      </c>
      <c r="AQ2055" s="1" t="s">
        <v>14589</v>
      </c>
      <c r="AR2055" s="1" t="s">
        <v>14590</v>
      </c>
    </row>
    <row r="2056">
      <c r="A2056" s="2">
        <f ca="1">DATE(2007,03,19)</f>
        <v>0</v>
      </c>
      <c r="B2056" s="2">
        <f ca="1">DATE(2007,03,29)</f>
        <v>0</v>
      </c>
      <c r="C2056" s="1" t="s">
        <v>14591</v>
      </c>
      <c r="D2056" s="3">
        <v>4412</v>
      </c>
      <c r="E2056" s="1" t="s">
        <v>3764</v>
      </c>
      <c r="F2056" s="1" t="s">
        <v>14592</v>
      </c>
      <c r="G2056" s="1" t="s">
        <v>11153</v>
      </c>
      <c r="H2056" s="4">
        <v>1.3799999999999999</v>
      </c>
      <c r="I2056" s="4">
        <v>6.4189999999999996</v>
      </c>
      <c r="J2056" s="5">
        <v>252.59999999999999</v>
      </c>
      <c r="K2056" s="4">
        <v>21.5</v>
      </c>
      <c r="L2056" s="1" t="s">
        <v>85</v>
      </c>
      <c r="M2056" s="1" t="s">
        <v>47</v>
      </c>
      <c r="N2056" s="1" t="s">
        <v>14593</v>
      </c>
      <c r="O2056" s="1" t="s">
        <v>48</v>
      </c>
      <c r="P2056" s="1" t="s">
        <v>14594</v>
      </c>
      <c r="Q2056" s="4">
        <v>1.3020000000000001</v>
      </c>
      <c r="R2056" s="4">
        <v>1.2869999999999999</v>
      </c>
      <c r="S2056" s="6">
        <v>3.8604699999999998</v>
      </c>
      <c r="T2056" s="1" t="s">
        <v>50</v>
      </c>
      <c r="U2056" s="8">
        <v>21</v>
      </c>
      <c r="V2056" s="8">
        <v>19</v>
      </c>
      <c r="W2056" s="7">
        <v>11750000</v>
      </c>
      <c r="X2056" s="5">
        <v>235</v>
      </c>
      <c r="Y2056" s="1"/>
      <c r="Z2056" s="7">
        <v>11750000</v>
      </c>
      <c r="AA2056" s="1" t="s">
        <v>14595</v>
      </c>
      <c r="AB2056" s="1" t="s">
        <v>5265</v>
      </c>
      <c r="AC2056" s="1" t="s">
        <v>14596</v>
      </c>
      <c r="AD2056" s="1" t="s">
        <v>5265</v>
      </c>
      <c r="AE2056" s="1" t="s">
        <v>51</v>
      </c>
      <c r="AF2056" s="1" t="s">
        <v>51</v>
      </c>
      <c r="AG2056" s="1" t="s">
        <v>51</v>
      </c>
      <c r="AH2056" s="1"/>
      <c r="AI2056" s="1"/>
      <c r="AJ2056" s="3">
        <v>2</v>
      </c>
      <c r="AK2056" s="1" t="s">
        <v>89</v>
      </c>
      <c r="AL2056" s="3">
        <v>7</v>
      </c>
      <c r="AM2056" s="1"/>
      <c r="AN2056" s="1"/>
      <c r="AO2056" s="1" t="s">
        <v>14597</v>
      </c>
      <c r="AP2056" s="1" t="s">
        <v>9826</v>
      </c>
      <c r="AQ2056" s="1" t="s">
        <v>14598</v>
      </c>
      <c r="AR2056" s="1" t="s">
        <v>14599</v>
      </c>
    </row>
    <row r="2057">
      <c r="A2057" s="2">
        <f ca="1">DATE(2006,12,14)</f>
        <v>0</v>
      </c>
      <c r="B2057" s="2">
        <f ca="1">DATE(2007,04,04)</f>
        <v>0</v>
      </c>
      <c r="C2057" s="1" t="s">
        <v>14600</v>
      </c>
      <c r="D2057" s="3">
        <v>6035</v>
      </c>
      <c r="E2057" s="1" t="s">
        <v>43</v>
      </c>
      <c r="F2057" s="1" t="s">
        <v>14601</v>
      </c>
      <c r="G2057" s="1" t="s">
        <v>13399</v>
      </c>
      <c r="H2057" s="1" t="s">
        <v>57</v>
      </c>
      <c r="I2057" s="1" t="s">
        <v>57</v>
      </c>
      <c r="J2057" s="5">
        <v>4.0999999999999996</v>
      </c>
      <c r="K2057" s="4">
        <v>10</v>
      </c>
      <c r="L2057" s="1" t="s">
        <v>46</v>
      </c>
      <c r="M2057" s="1" t="s">
        <v>47</v>
      </c>
      <c r="N2057" s="1" t="s">
        <v>14602</v>
      </c>
      <c r="O2057" s="1" t="s">
        <v>77</v>
      </c>
      <c r="P2057" s="1" t="s">
        <v>13401</v>
      </c>
      <c r="Q2057" s="1"/>
      <c r="R2057" s="1"/>
      <c r="S2057" s="1"/>
      <c r="T2057" s="1" t="s">
        <v>50</v>
      </c>
      <c r="U2057" s="8">
        <v>10</v>
      </c>
      <c r="V2057" s="8">
        <v>10</v>
      </c>
      <c r="W2057" s="7">
        <v>491625</v>
      </c>
      <c r="X2057" s="5">
        <v>4.9000000000000004</v>
      </c>
      <c r="Y2057" s="7">
        <v>408095</v>
      </c>
      <c r="Z2057" s="1"/>
      <c r="AA2057" s="1"/>
      <c r="AB2057" s="1"/>
      <c r="AC2057" s="1"/>
      <c r="AD2057" s="1"/>
      <c r="AE2057" s="1" t="s">
        <v>51</v>
      </c>
      <c r="AF2057" s="1" t="s">
        <v>51</v>
      </c>
      <c r="AG2057" s="1" t="s">
        <v>51</v>
      </c>
      <c r="AH2057" s="1"/>
      <c r="AI2057" s="1"/>
      <c r="AJ2057" s="3">
        <v>1</v>
      </c>
      <c r="AK2057" s="1" t="s">
        <v>52</v>
      </c>
      <c r="AL2057" s="3">
        <v>1</v>
      </c>
      <c r="AM2057" s="1"/>
      <c r="AN2057" s="1"/>
      <c r="AO2057" s="1" t="s">
        <v>13399</v>
      </c>
      <c r="AP2057" s="1" t="s">
        <v>13399</v>
      </c>
      <c r="AQ2057" s="1" t="s">
        <v>13399</v>
      </c>
      <c r="AR2057" s="1" t="s">
        <v>13401</v>
      </c>
    </row>
    <row r="2058">
      <c r="A2058" s="2">
        <f ca="1">DATE(2006,10,20)</f>
        <v>0</v>
      </c>
      <c r="B2058" s="2">
        <f ca="1">DATE(2007,04,04)</f>
        <v>0</v>
      </c>
      <c r="C2058" s="1" t="s">
        <v>14603</v>
      </c>
      <c r="D2058" s="3">
        <v>7373</v>
      </c>
      <c r="E2058" s="1" t="s">
        <v>43</v>
      </c>
      <c r="F2058" s="1" t="s">
        <v>14604</v>
      </c>
      <c r="G2058" s="1" t="s">
        <v>12154</v>
      </c>
      <c r="H2058" s="4">
        <v>0.56000000000000005</v>
      </c>
      <c r="I2058" s="4">
        <v>7</v>
      </c>
      <c r="J2058" s="5">
        <v>72</v>
      </c>
      <c r="K2058" s="4">
        <v>8</v>
      </c>
      <c r="L2058" s="1" t="s">
        <v>46</v>
      </c>
      <c r="M2058" s="1" t="s">
        <v>47</v>
      </c>
      <c r="N2058" s="3">
        <v>923359103</v>
      </c>
      <c r="O2058" s="1" t="s">
        <v>48</v>
      </c>
      <c r="P2058" s="1" t="s">
        <v>14605</v>
      </c>
      <c r="Q2058" s="1" t="s">
        <v>145</v>
      </c>
      <c r="R2058" s="1" t="s">
        <v>145</v>
      </c>
      <c r="S2058" s="8">
        <v>4.2000000000000002</v>
      </c>
      <c r="T2058" s="1" t="s">
        <v>50</v>
      </c>
      <c r="U2058" s="1"/>
      <c r="V2058" s="1"/>
      <c r="W2058" s="1"/>
      <c r="X2058" s="5">
        <v>115</v>
      </c>
      <c r="Y2058" s="7">
        <v>6750000</v>
      </c>
      <c r="Z2058" s="7">
        <v>2250000</v>
      </c>
      <c r="AA2058" s="1" t="s">
        <v>14606</v>
      </c>
      <c r="AB2058" s="1" t="s">
        <v>5265</v>
      </c>
      <c r="AC2058" s="1" t="s">
        <v>7759</v>
      </c>
      <c r="AD2058" s="1" t="s">
        <v>5265</v>
      </c>
      <c r="AE2058" s="1" t="s">
        <v>51</v>
      </c>
      <c r="AF2058" s="1" t="s">
        <v>51</v>
      </c>
      <c r="AG2058" s="1" t="s">
        <v>47</v>
      </c>
      <c r="AH2058" s="1"/>
      <c r="AI2058" s="1"/>
      <c r="AJ2058" s="3">
        <v>2</v>
      </c>
      <c r="AK2058" s="1" t="s">
        <v>89</v>
      </c>
      <c r="AL2058" s="3">
        <v>4</v>
      </c>
      <c r="AM2058" s="8">
        <v>7.7999999999999998</v>
      </c>
      <c r="AN2058" s="1"/>
      <c r="AO2058" s="1" t="s">
        <v>14607</v>
      </c>
      <c r="AP2058" s="1" t="s">
        <v>12160</v>
      </c>
      <c r="AQ2058" s="1" t="s">
        <v>14608</v>
      </c>
      <c r="AR2058" s="1" t="s">
        <v>14605</v>
      </c>
    </row>
    <row r="2059">
      <c r="A2059" s="2">
        <f ca="1">DATE(2006,07,14)</f>
        <v>0</v>
      </c>
      <c r="B2059" s="2">
        <f ca="1">DATE(2007,04,11)</f>
        <v>0</v>
      </c>
      <c r="C2059" s="1" t="s">
        <v>14609</v>
      </c>
      <c r="D2059" s="3">
        <v>6726</v>
      </c>
      <c r="E2059" s="1" t="s">
        <v>166</v>
      </c>
      <c r="F2059" s="1" t="s">
        <v>14610</v>
      </c>
      <c r="G2059" s="1" t="s">
        <v>5110</v>
      </c>
      <c r="H2059" s="4">
        <v>0.56000000000000005</v>
      </c>
      <c r="I2059" s="4">
        <v>7</v>
      </c>
      <c r="J2059" s="5">
        <v>100</v>
      </c>
      <c r="K2059" s="4">
        <v>8</v>
      </c>
      <c r="L2059" s="1" t="s">
        <v>46</v>
      </c>
      <c r="M2059" s="1" t="s">
        <v>47</v>
      </c>
      <c r="N2059" s="3">
        <v>874023203</v>
      </c>
      <c r="O2059" s="1" t="s">
        <v>87</v>
      </c>
      <c r="P2059" s="1" t="s">
        <v>14611</v>
      </c>
      <c r="Q2059" s="1" t="s">
        <v>145</v>
      </c>
      <c r="R2059" s="1" t="s">
        <v>145</v>
      </c>
      <c r="S2059" s="8">
        <v>2.25</v>
      </c>
      <c r="T2059" s="1" t="s">
        <v>50</v>
      </c>
      <c r="U2059" s="8">
        <v>8</v>
      </c>
      <c r="V2059" s="8">
        <v>8</v>
      </c>
      <c r="W2059" s="7">
        <v>13125000</v>
      </c>
      <c r="X2059" s="5">
        <v>105</v>
      </c>
      <c r="Y2059" s="7">
        <v>12500000</v>
      </c>
      <c r="Z2059" s="1"/>
      <c r="AA2059" s="1"/>
      <c r="AB2059" s="1"/>
      <c r="AC2059" s="1"/>
      <c r="AD2059" s="1"/>
      <c r="AE2059" s="1" t="s">
        <v>51</v>
      </c>
      <c r="AF2059" s="1" t="s">
        <v>51</v>
      </c>
      <c r="AG2059" s="1" t="s">
        <v>51</v>
      </c>
      <c r="AH2059" s="1"/>
      <c r="AI2059" s="1"/>
      <c r="AJ2059" s="3">
        <v>1</v>
      </c>
      <c r="AK2059" s="1" t="s">
        <v>52</v>
      </c>
      <c r="AL2059" s="3">
        <v>2</v>
      </c>
      <c r="AM2059" s="8">
        <v>7.9900000000000002</v>
      </c>
      <c r="AN2059" s="1"/>
      <c r="AO2059" s="1" t="s">
        <v>14612</v>
      </c>
      <c r="AP2059" s="1" t="s">
        <v>5110</v>
      </c>
      <c r="AQ2059" s="1" t="s">
        <v>14613</v>
      </c>
      <c r="AR2059" s="1" t="s">
        <v>14614</v>
      </c>
    </row>
    <row r="2060">
      <c r="A2060" s="2">
        <f ca="1">DATE(2006,10,05)</f>
        <v>0</v>
      </c>
      <c r="B2060" s="2">
        <f ca="1">DATE(2007,04,12)</f>
        <v>0</v>
      </c>
      <c r="C2060" s="1" t="s">
        <v>14615</v>
      </c>
      <c r="D2060" s="3">
        <v>3822</v>
      </c>
      <c r="E2060" s="1" t="s">
        <v>43</v>
      </c>
      <c r="F2060" s="1" t="s">
        <v>14616</v>
      </c>
      <c r="G2060" s="1" t="s">
        <v>6201</v>
      </c>
      <c r="H2060" s="4">
        <v>1.26</v>
      </c>
      <c r="I2060" s="4">
        <v>7</v>
      </c>
      <c r="J2060" s="5">
        <v>95.400000000000006</v>
      </c>
      <c r="K2060" s="4">
        <v>18</v>
      </c>
      <c r="L2060" s="1" t="s">
        <v>46</v>
      </c>
      <c r="M2060" s="1" t="s">
        <v>47</v>
      </c>
      <c r="N2060" s="3">
        <v>205859101</v>
      </c>
      <c r="O2060" s="1" t="s">
        <v>48</v>
      </c>
      <c r="P2060" s="1" t="s">
        <v>14617</v>
      </c>
      <c r="Q2060" s="1" t="s">
        <v>145</v>
      </c>
      <c r="R2060" s="1" t="s">
        <v>145</v>
      </c>
      <c r="S2060" s="8">
        <v>4.2000000000000002</v>
      </c>
      <c r="T2060" s="1" t="s">
        <v>50</v>
      </c>
      <c r="U2060" s="1"/>
      <c r="V2060" s="1"/>
      <c r="W2060" s="1"/>
      <c r="X2060" s="5">
        <v>90</v>
      </c>
      <c r="Y2060" s="7">
        <v>5300000</v>
      </c>
      <c r="Z2060" s="1"/>
      <c r="AA2060" s="1" t="s">
        <v>14618</v>
      </c>
      <c r="AB2060" s="1" t="s">
        <v>5265</v>
      </c>
      <c r="AC2060" s="1" t="s">
        <v>7759</v>
      </c>
      <c r="AD2060" s="1" t="s">
        <v>5265</v>
      </c>
      <c r="AE2060" s="1" t="s">
        <v>51</v>
      </c>
      <c r="AF2060" s="1" t="s">
        <v>51</v>
      </c>
      <c r="AG2060" s="1" t="s">
        <v>47</v>
      </c>
      <c r="AH2060" s="1"/>
      <c r="AI2060" s="1"/>
      <c r="AJ2060" s="3">
        <v>1</v>
      </c>
      <c r="AK2060" s="1" t="s">
        <v>52</v>
      </c>
      <c r="AL2060" s="3">
        <v>4</v>
      </c>
      <c r="AM2060" s="8">
        <v>22.309999999999999</v>
      </c>
      <c r="AN2060" s="1"/>
      <c r="AO2060" s="1" t="s">
        <v>14619</v>
      </c>
      <c r="AP2060" s="1" t="s">
        <v>6201</v>
      </c>
      <c r="AQ2060" s="1" t="s">
        <v>14620</v>
      </c>
      <c r="AR2060" s="1" t="s">
        <v>14617</v>
      </c>
    </row>
    <row r="2061">
      <c r="A2061" s="2">
        <f ca="1">DATE(2006,07,06)</f>
        <v>0</v>
      </c>
      <c r="B2061" s="2">
        <f ca="1">DATE(2007,04,17)</f>
        <v>0</v>
      </c>
      <c r="C2061" s="1" t="s">
        <v>14621</v>
      </c>
      <c r="D2061" s="3">
        <v>6726</v>
      </c>
      <c r="E2061" s="1" t="s">
        <v>43</v>
      </c>
      <c r="F2061" s="1" t="s">
        <v>14622</v>
      </c>
      <c r="G2061" s="1" t="s">
        <v>45</v>
      </c>
      <c r="H2061" s="4">
        <v>0.28000000000000003</v>
      </c>
      <c r="I2061" s="4">
        <v>3.5</v>
      </c>
      <c r="J2061" s="5">
        <v>150</v>
      </c>
      <c r="K2061" s="4">
        <v>8</v>
      </c>
      <c r="L2061" s="1" t="s">
        <v>31</v>
      </c>
      <c r="M2061" s="1" t="s">
        <v>47</v>
      </c>
      <c r="N2061" s="3">
        <v>552650202</v>
      </c>
      <c r="O2061" s="1" t="s">
        <v>87</v>
      </c>
      <c r="P2061" s="1" t="s">
        <v>14623</v>
      </c>
      <c r="Q2061" s="4">
        <v>0.75</v>
      </c>
      <c r="R2061" s="4">
        <v>0.75</v>
      </c>
      <c r="S2061" s="8">
        <v>2</v>
      </c>
      <c r="T2061" s="1" t="s">
        <v>50</v>
      </c>
      <c r="U2061" s="8">
        <v>8</v>
      </c>
      <c r="V2061" s="8">
        <v>8</v>
      </c>
      <c r="W2061" s="7">
        <v>18750000</v>
      </c>
      <c r="X2061" s="5">
        <v>150</v>
      </c>
      <c r="Y2061" s="7">
        <v>18750000</v>
      </c>
      <c r="Z2061" s="1"/>
      <c r="AA2061" s="2">
        <f ca="1">DATE(2007,05,05)</f>
        <v>0</v>
      </c>
      <c r="AB2061" s="1"/>
      <c r="AC2061" s="3">
        <v>18</v>
      </c>
      <c r="AD2061" s="1"/>
      <c r="AE2061" s="1" t="s">
        <v>51</v>
      </c>
      <c r="AF2061" s="1" t="s">
        <v>51</v>
      </c>
      <c r="AG2061" s="1" t="s">
        <v>51</v>
      </c>
      <c r="AH2061" s="1"/>
      <c r="AI2061" s="1"/>
      <c r="AJ2061" s="3">
        <v>1</v>
      </c>
      <c r="AK2061" s="1" t="s">
        <v>89</v>
      </c>
      <c r="AL2061" s="3">
        <v>3</v>
      </c>
      <c r="AM2061" s="8">
        <v>8.0199999999999996</v>
      </c>
      <c r="AN2061" s="1"/>
      <c r="AO2061" s="1" t="s">
        <v>14624</v>
      </c>
      <c r="AP2061" s="1" t="s">
        <v>14625</v>
      </c>
      <c r="AQ2061" s="1" t="s">
        <v>14626</v>
      </c>
      <c r="AR2061" s="1" t="s">
        <v>14627</v>
      </c>
    </row>
    <row r="2062">
      <c r="A2062" s="2">
        <f ca="1">DATE(2007,01,04)</f>
        <v>0</v>
      </c>
      <c r="B2062" s="2">
        <f ca="1">DATE(2007,04,18)</f>
        <v>0</v>
      </c>
      <c r="C2062" s="1" t="s">
        <v>14628</v>
      </c>
      <c r="D2062" s="3">
        <v>4812</v>
      </c>
      <c r="E2062" s="1" t="s">
        <v>43</v>
      </c>
      <c r="F2062" s="1" t="s">
        <v>14629</v>
      </c>
      <c r="G2062" s="1" t="s">
        <v>14630</v>
      </c>
      <c r="H2062" s="4">
        <v>1.081</v>
      </c>
      <c r="I2062" s="4">
        <v>4.7000000000000002</v>
      </c>
      <c r="J2062" s="9">
        <v>1150</v>
      </c>
      <c r="K2062" s="4">
        <v>23</v>
      </c>
      <c r="L2062" s="1" t="s">
        <v>46</v>
      </c>
      <c r="M2062" s="1" t="s">
        <v>47</v>
      </c>
      <c r="N2062" s="3">
        <v>591708102</v>
      </c>
      <c r="O2062" s="1" t="s">
        <v>108</v>
      </c>
      <c r="P2062" s="1" t="s">
        <v>14631</v>
      </c>
      <c r="Q2062" s="1" t="s">
        <v>145</v>
      </c>
      <c r="R2062" s="1" t="s">
        <v>145</v>
      </c>
      <c r="S2062" s="6">
        <v>2.8260900000000002</v>
      </c>
      <c r="T2062" s="1" t="s">
        <v>50</v>
      </c>
      <c r="U2062" s="1"/>
      <c r="V2062" s="1"/>
      <c r="W2062" s="1"/>
      <c r="X2062" s="9">
        <v>1125</v>
      </c>
      <c r="Y2062" s="7">
        <v>37500000</v>
      </c>
      <c r="Z2062" s="7">
        <v>12500000</v>
      </c>
      <c r="AA2062" s="1" t="s">
        <v>14632</v>
      </c>
      <c r="AB2062" s="1" t="s">
        <v>5265</v>
      </c>
      <c r="AC2062" s="1" t="s">
        <v>7759</v>
      </c>
      <c r="AD2062" s="1" t="s">
        <v>5265</v>
      </c>
      <c r="AE2062" s="1" t="s">
        <v>51</v>
      </c>
      <c r="AF2062" s="1" t="s">
        <v>51</v>
      </c>
      <c r="AG2062" s="1" t="s">
        <v>47</v>
      </c>
      <c r="AH2062" s="1"/>
      <c r="AI2062" s="1"/>
      <c r="AJ2062" s="3">
        <v>4</v>
      </c>
      <c r="AK2062" s="1" t="s">
        <v>1209</v>
      </c>
      <c r="AL2062" s="3">
        <v>8</v>
      </c>
      <c r="AM2062" s="8">
        <v>27.399999999999999</v>
      </c>
      <c r="AN2062" s="1"/>
      <c r="AO2062" s="1" t="s">
        <v>14633</v>
      </c>
      <c r="AP2062" s="1" t="s">
        <v>14634</v>
      </c>
      <c r="AQ2062" s="1" t="s">
        <v>14635</v>
      </c>
      <c r="AR2062" s="1" t="s">
        <v>14636</v>
      </c>
    </row>
    <row r="2063">
      <c r="A2063" s="2">
        <f ca="1">DATE(2006,07,11)</f>
        <v>0</v>
      </c>
      <c r="B2063" s="2">
        <f ca="1">DATE(2007,04,19)</f>
        <v>0</v>
      </c>
      <c r="C2063" s="1" t="s">
        <v>14637</v>
      </c>
      <c r="D2063" s="3">
        <v>6726</v>
      </c>
      <c r="E2063" s="1" t="s">
        <v>43</v>
      </c>
      <c r="F2063" s="1" t="s">
        <v>14638</v>
      </c>
      <c r="G2063" s="1" t="s">
        <v>5479</v>
      </c>
      <c r="H2063" s="4">
        <v>0.435</v>
      </c>
      <c r="I2063" s="8">
        <v>7.25</v>
      </c>
      <c r="J2063" s="5">
        <v>51</v>
      </c>
      <c r="K2063" s="4">
        <v>6</v>
      </c>
      <c r="L2063" s="1" t="s">
        <v>46</v>
      </c>
      <c r="M2063" s="1" t="s">
        <v>47</v>
      </c>
      <c r="N2063" s="1" t="s">
        <v>14639</v>
      </c>
      <c r="O2063" s="1" t="s">
        <v>87</v>
      </c>
      <c r="P2063" s="1" t="s">
        <v>14640</v>
      </c>
      <c r="Q2063" s="1" t="s">
        <v>145</v>
      </c>
      <c r="R2063" s="1" t="s">
        <v>145</v>
      </c>
      <c r="S2063" s="6">
        <v>2.3333300000000001</v>
      </c>
      <c r="T2063" s="1" t="s">
        <v>50</v>
      </c>
      <c r="U2063" s="8">
        <v>6</v>
      </c>
      <c r="V2063" s="8">
        <v>6</v>
      </c>
      <c r="W2063" s="7">
        <v>10000000</v>
      </c>
      <c r="X2063" s="5">
        <v>60</v>
      </c>
      <c r="Y2063" s="7">
        <v>8500000</v>
      </c>
      <c r="Z2063" s="1"/>
      <c r="AA2063" s="1" t="s">
        <v>14001</v>
      </c>
      <c r="AB2063" s="1" t="s">
        <v>2067</v>
      </c>
      <c r="AC2063" s="1" t="s">
        <v>14641</v>
      </c>
      <c r="AD2063" s="1" t="s">
        <v>2067</v>
      </c>
      <c r="AE2063" s="1" t="s">
        <v>51</v>
      </c>
      <c r="AF2063" s="1" t="s">
        <v>51</v>
      </c>
      <c r="AG2063" s="1" t="s">
        <v>51</v>
      </c>
      <c r="AH2063" s="1"/>
      <c r="AI2063" s="1"/>
      <c r="AJ2063" s="3">
        <v>1</v>
      </c>
      <c r="AK2063" s="1" t="s">
        <v>52</v>
      </c>
      <c r="AL2063" s="3">
        <v>4</v>
      </c>
      <c r="AM2063" s="1"/>
      <c r="AN2063" s="1"/>
      <c r="AO2063" s="1" t="s">
        <v>14642</v>
      </c>
      <c r="AP2063" s="1" t="s">
        <v>5479</v>
      </c>
      <c r="AQ2063" s="1" t="s">
        <v>14643</v>
      </c>
      <c r="AR2063" s="1" t="s">
        <v>14644</v>
      </c>
    </row>
    <row r="2064">
      <c r="A2064" s="2">
        <f ca="1">DATE(2007,01,19)</f>
        <v>0</v>
      </c>
      <c r="B2064" s="2">
        <f ca="1">DATE(2007,04,19)</f>
        <v>0</v>
      </c>
      <c r="C2064" s="1" t="s">
        <v>14645</v>
      </c>
      <c r="D2064" s="3">
        <v>6726</v>
      </c>
      <c r="E2064" s="1" t="s">
        <v>43</v>
      </c>
      <c r="F2064" s="1" t="s">
        <v>14646</v>
      </c>
      <c r="G2064" s="1" t="s">
        <v>14647</v>
      </c>
      <c r="H2064" s="4">
        <v>0.97499999999999998</v>
      </c>
      <c r="I2064" s="4">
        <v>6.5</v>
      </c>
      <c r="J2064" s="5">
        <v>300</v>
      </c>
      <c r="K2064" s="4">
        <v>15</v>
      </c>
      <c r="L2064" s="1" t="s">
        <v>46</v>
      </c>
      <c r="M2064" s="1" t="s">
        <v>47</v>
      </c>
      <c r="N2064" s="3">
        <v>708062104</v>
      </c>
      <c r="O2064" s="1" t="s">
        <v>48</v>
      </c>
      <c r="P2064" s="1" t="s">
        <v>14648</v>
      </c>
      <c r="Q2064" s="1" t="s">
        <v>145</v>
      </c>
      <c r="R2064" s="1" t="s">
        <v>145</v>
      </c>
      <c r="S2064" s="8">
        <v>3.8999999999999999</v>
      </c>
      <c r="T2064" s="1" t="s">
        <v>50</v>
      </c>
      <c r="U2064" s="1"/>
      <c r="V2064" s="1"/>
      <c r="W2064" s="1"/>
      <c r="X2064" s="5">
        <v>460</v>
      </c>
      <c r="Y2064" s="7">
        <v>20000000</v>
      </c>
      <c r="Z2064" s="1"/>
      <c r="AA2064" s="1" t="s">
        <v>14649</v>
      </c>
      <c r="AB2064" s="1" t="s">
        <v>5265</v>
      </c>
      <c r="AC2064" s="1" t="s">
        <v>7759</v>
      </c>
      <c r="AD2064" s="1" t="s">
        <v>5265</v>
      </c>
      <c r="AE2064" s="1" t="s">
        <v>51</v>
      </c>
      <c r="AF2064" s="1" t="s">
        <v>51</v>
      </c>
      <c r="AG2064" s="1" t="s">
        <v>51</v>
      </c>
      <c r="AH2064" s="1"/>
      <c r="AI2064" s="1"/>
      <c r="AJ2064" s="3">
        <v>4</v>
      </c>
      <c r="AK2064" s="1" t="s">
        <v>1209</v>
      </c>
      <c r="AL2064" s="3">
        <v>8</v>
      </c>
      <c r="AM2064" s="8">
        <v>14.4</v>
      </c>
      <c r="AN2064" s="1"/>
      <c r="AO2064" s="1" t="s">
        <v>14650</v>
      </c>
      <c r="AP2064" s="1" t="s">
        <v>14651</v>
      </c>
      <c r="AQ2064" s="1" t="s">
        <v>14652</v>
      </c>
      <c r="AR2064" s="1" t="s">
        <v>14653</v>
      </c>
    </row>
    <row r="2065">
      <c r="A2065" s="2">
        <f ca="1">DATE(2006,10,20)</f>
        <v>0</v>
      </c>
      <c r="B2065" s="2">
        <f ca="1">DATE(2007,04,19)</f>
        <v>0</v>
      </c>
      <c r="C2065" s="1" t="s">
        <v>14654</v>
      </c>
      <c r="D2065" s="3">
        <v>6726</v>
      </c>
      <c r="E2065" s="1" t="s">
        <v>934</v>
      </c>
      <c r="F2065" s="1" t="s">
        <v>14655</v>
      </c>
      <c r="G2065" s="1" t="s">
        <v>10277</v>
      </c>
      <c r="H2065" s="4">
        <v>0.40000000000000002</v>
      </c>
      <c r="I2065" s="4">
        <v>4</v>
      </c>
      <c r="J2065" s="5">
        <v>25</v>
      </c>
      <c r="K2065" s="4">
        <v>10</v>
      </c>
      <c r="L2065" s="1" t="s">
        <v>46</v>
      </c>
      <c r="M2065" s="1" t="s">
        <v>47</v>
      </c>
      <c r="N2065" s="3">
        <v>723513206</v>
      </c>
      <c r="O2065" s="1" t="s">
        <v>77</v>
      </c>
      <c r="P2065" s="1" t="s">
        <v>12631</v>
      </c>
      <c r="Q2065" s="1" t="s">
        <v>145</v>
      </c>
      <c r="R2065" s="1" t="s">
        <v>145</v>
      </c>
      <c r="S2065" s="8">
        <v>2.5</v>
      </c>
      <c r="T2065" s="1" t="s">
        <v>50</v>
      </c>
      <c r="U2065" s="8">
        <v>8</v>
      </c>
      <c r="V2065" s="8">
        <v>8</v>
      </c>
      <c r="W2065" s="7">
        <v>3125000</v>
      </c>
      <c r="X2065" s="5">
        <v>25</v>
      </c>
      <c r="Y2065" s="7">
        <v>2500000</v>
      </c>
      <c r="Z2065" s="1"/>
      <c r="AA2065" s="1"/>
      <c r="AB2065" s="1"/>
      <c r="AC2065" s="1"/>
      <c r="AD2065" s="1"/>
      <c r="AE2065" s="1" t="s">
        <v>51</v>
      </c>
      <c r="AF2065" s="1" t="s">
        <v>51</v>
      </c>
      <c r="AG2065" s="1" t="s">
        <v>51</v>
      </c>
      <c r="AH2065" s="1"/>
      <c r="AI2065" s="1"/>
      <c r="AJ2065" s="3">
        <v>1</v>
      </c>
      <c r="AK2065" s="1" t="s">
        <v>52</v>
      </c>
      <c r="AL2065" s="3">
        <v>2</v>
      </c>
      <c r="AM2065" s="1"/>
      <c r="AN2065" s="1"/>
      <c r="AO2065" s="1" t="s">
        <v>12632</v>
      </c>
      <c r="AP2065" s="1" t="s">
        <v>10277</v>
      </c>
      <c r="AQ2065" s="1" t="s">
        <v>12633</v>
      </c>
      <c r="AR2065" s="1" t="s">
        <v>12631</v>
      </c>
    </row>
    <row r="2066">
      <c r="A2066" s="2">
        <f ca="1">DATE(2007,03,23)</f>
        <v>0</v>
      </c>
      <c r="B2066" s="2">
        <f ca="1">DATE(2007,04,19)</f>
        <v>0</v>
      </c>
      <c r="C2066" s="1" t="s">
        <v>14656</v>
      </c>
      <c r="D2066" s="3">
        <v>2834</v>
      </c>
      <c r="E2066" s="1" t="s">
        <v>744</v>
      </c>
      <c r="F2066" s="1" t="s">
        <v>2715</v>
      </c>
      <c r="G2066" s="1" t="s">
        <v>1206</v>
      </c>
      <c r="H2066" s="4">
        <v>1.0149999999999999</v>
      </c>
      <c r="I2066" s="8">
        <v>7</v>
      </c>
      <c r="J2066" s="5">
        <v>226.59999999999999</v>
      </c>
      <c r="K2066" s="4">
        <v>14.5</v>
      </c>
      <c r="L2066" s="1" t="s">
        <v>651</v>
      </c>
      <c r="M2066" s="1" t="s">
        <v>47</v>
      </c>
      <c r="N2066" s="1" t="s">
        <v>14657</v>
      </c>
      <c r="O2066" s="1" t="s">
        <v>108</v>
      </c>
      <c r="P2066" s="1" t="s">
        <v>14658</v>
      </c>
      <c r="Q2066" s="1" t="s">
        <v>145</v>
      </c>
      <c r="R2066" s="1" t="s">
        <v>145</v>
      </c>
      <c r="S2066" s="8">
        <v>4.2000000000000002</v>
      </c>
      <c r="T2066" s="1" t="s">
        <v>50</v>
      </c>
      <c r="U2066" s="1"/>
      <c r="V2066" s="1"/>
      <c r="W2066" s="1"/>
      <c r="X2066" s="5">
        <v>120</v>
      </c>
      <c r="Y2066" s="7">
        <v>12500000</v>
      </c>
      <c r="Z2066" s="7">
        <v>3125000</v>
      </c>
      <c r="AA2066" s="1" t="s">
        <v>14659</v>
      </c>
      <c r="AB2066" s="1" t="s">
        <v>2067</v>
      </c>
      <c r="AC2066" s="1" t="s">
        <v>2068</v>
      </c>
      <c r="AD2066" s="1" t="s">
        <v>2067</v>
      </c>
      <c r="AE2066" s="1" t="s">
        <v>47</v>
      </c>
      <c r="AF2066" s="1" t="s">
        <v>51</v>
      </c>
      <c r="AG2066" s="1" t="s">
        <v>51</v>
      </c>
      <c r="AH2066" s="1"/>
      <c r="AI2066" s="1"/>
      <c r="AJ2066" s="3">
        <v>1</v>
      </c>
      <c r="AK2066" s="1" t="s">
        <v>52</v>
      </c>
      <c r="AL2066" s="3">
        <v>4</v>
      </c>
      <c r="AM2066" s="8">
        <v>15.300000000000001</v>
      </c>
      <c r="AN2066" s="1"/>
      <c r="AO2066" s="1" t="s">
        <v>14660</v>
      </c>
      <c r="AP2066" s="1" t="s">
        <v>1206</v>
      </c>
      <c r="AQ2066" s="1" t="s">
        <v>14661</v>
      </c>
      <c r="AR2066" s="1" t="s">
        <v>14658</v>
      </c>
    </row>
    <row r="2067">
      <c r="A2067" s="2">
        <f ca="1">DATE(2006,08,11)</f>
        <v>0</v>
      </c>
      <c r="B2067" s="2">
        <f ca="1">DATE(2007,04,19)</f>
        <v>0</v>
      </c>
      <c r="C2067" s="1" t="s">
        <v>14662</v>
      </c>
      <c r="D2067" s="3">
        <v>3533</v>
      </c>
      <c r="E2067" s="1" t="s">
        <v>43</v>
      </c>
      <c r="F2067" s="1" t="s">
        <v>14663</v>
      </c>
      <c r="G2067" s="1" t="s">
        <v>5645</v>
      </c>
      <c r="H2067" s="4">
        <v>1.05</v>
      </c>
      <c r="I2067" s="4">
        <v>7</v>
      </c>
      <c r="J2067" s="5">
        <v>152.5</v>
      </c>
      <c r="K2067" s="4">
        <v>15</v>
      </c>
      <c r="L2067" s="1" t="s">
        <v>46</v>
      </c>
      <c r="M2067" s="1" t="s">
        <v>47</v>
      </c>
      <c r="N2067" s="1" t="s">
        <v>14664</v>
      </c>
      <c r="O2067" s="1" t="s">
        <v>48</v>
      </c>
      <c r="P2067" s="1" t="s">
        <v>14665</v>
      </c>
      <c r="Q2067" s="1" t="s">
        <v>145</v>
      </c>
      <c r="R2067" s="1" t="s">
        <v>145</v>
      </c>
      <c r="S2067" s="8">
        <v>4.2000000000000002</v>
      </c>
      <c r="T2067" s="1" t="s">
        <v>50</v>
      </c>
      <c r="U2067" s="1"/>
      <c r="V2067" s="1"/>
      <c r="W2067" s="1"/>
      <c r="X2067" s="5">
        <v>200</v>
      </c>
      <c r="Y2067" s="7">
        <v>8666667</v>
      </c>
      <c r="Z2067" s="7">
        <v>1500000</v>
      </c>
      <c r="AA2067" s="1" t="s">
        <v>14649</v>
      </c>
      <c r="AB2067" s="1" t="s">
        <v>5265</v>
      </c>
      <c r="AC2067" s="1" t="s">
        <v>7759</v>
      </c>
      <c r="AD2067" s="1" t="s">
        <v>5265</v>
      </c>
      <c r="AE2067" s="1" t="s">
        <v>51</v>
      </c>
      <c r="AF2067" s="1" t="s">
        <v>51</v>
      </c>
      <c r="AG2067" s="1" t="s">
        <v>51</v>
      </c>
      <c r="AH2067" s="1"/>
      <c r="AI2067" s="1"/>
      <c r="AJ2067" s="3">
        <v>2</v>
      </c>
      <c r="AK2067" s="1" t="s">
        <v>89</v>
      </c>
      <c r="AL2067" s="3">
        <v>5</v>
      </c>
      <c r="AM2067" s="8">
        <v>17.539999999999999</v>
      </c>
      <c r="AN2067" s="1"/>
      <c r="AO2067" s="1" t="s">
        <v>14666</v>
      </c>
      <c r="AP2067" s="1" t="s">
        <v>3866</v>
      </c>
      <c r="AQ2067" s="1" t="s">
        <v>14667</v>
      </c>
      <c r="AR2067" s="1" t="s">
        <v>14668</v>
      </c>
    </row>
    <row r="2068">
      <c r="A2068" s="2">
        <f ca="1">DATE(2007,02,01)</f>
        <v>0</v>
      </c>
      <c r="B2068" s="2">
        <f ca="1">DATE(2007,04,23)</f>
        <v>0</v>
      </c>
      <c r="C2068" s="1" t="s">
        <v>14669</v>
      </c>
      <c r="D2068" s="3">
        <v>7832</v>
      </c>
      <c r="E2068" s="1" t="s">
        <v>43</v>
      </c>
      <c r="F2068" s="1" t="s">
        <v>14670</v>
      </c>
      <c r="G2068" s="1" t="s">
        <v>14671</v>
      </c>
      <c r="H2068" s="4">
        <v>1.0449999999999999</v>
      </c>
      <c r="I2068" s="8">
        <v>5.5</v>
      </c>
      <c r="J2068" s="5">
        <v>532</v>
      </c>
      <c r="K2068" s="4">
        <v>19</v>
      </c>
      <c r="L2068" s="1" t="s">
        <v>46</v>
      </c>
      <c r="M2068" s="1" t="s">
        <v>47</v>
      </c>
      <c r="N2068" s="1" t="s">
        <v>14672</v>
      </c>
      <c r="O2068" s="1" t="s">
        <v>108</v>
      </c>
      <c r="P2068" s="1" t="s">
        <v>14673</v>
      </c>
      <c r="Q2068" s="4">
        <v>1.163</v>
      </c>
      <c r="R2068" s="4">
        <v>1.1000000000000001</v>
      </c>
      <c r="S2068" s="8">
        <v>3.2999999999999998</v>
      </c>
      <c r="T2068" s="1" t="s">
        <v>50</v>
      </c>
      <c r="U2068" s="1"/>
      <c r="V2068" s="1"/>
      <c r="W2068" s="1"/>
      <c r="X2068" s="5">
        <v>400</v>
      </c>
      <c r="Y2068" s="7">
        <v>28000000</v>
      </c>
      <c r="Z2068" s="1"/>
      <c r="AA2068" s="1" t="s">
        <v>14674</v>
      </c>
      <c r="AB2068" s="1" t="s">
        <v>5265</v>
      </c>
      <c r="AC2068" s="1" t="s">
        <v>7759</v>
      </c>
      <c r="AD2068" s="1" t="s">
        <v>5265</v>
      </c>
      <c r="AE2068" s="1" t="s">
        <v>51</v>
      </c>
      <c r="AF2068" s="1" t="s">
        <v>51</v>
      </c>
      <c r="AG2068" s="1" t="s">
        <v>51</v>
      </c>
      <c r="AH2068" s="1"/>
      <c r="AI2068" s="1"/>
      <c r="AJ2068" s="3">
        <v>4</v>
      </c>
      <c r="AK2068" s="1" t="s">
        <v>1209</v>
      </c>
      <c r="AL2068" s="3">
        <v>9</v>
      </c>
      <c r="AM2068" s="8">
        <v>18.920000000000002</v>
      </c>
      <c r="AN2068" s="1"/>
      <c r="AO2068" s="1" t="s">
        <v>14675</v>
      </c>
      <c r="AP2068" s="1" t="s">
        <v>14676</v>
      </c>
      <c r="AQ2068" s="1" t="s">
        <v>14677</v>
      </c>
      <c r="AR2068" s="1" t="s">
        <v>14678</v>
      </c>
    </row>
    <row r="2069">
      <c r="A2069" s="2">
        <f ca="1">DATE(2007,01,30)</f>
        <v>0</v>
      </c>
      <c r="B2069" s="2">
        <f ca="1">DATE(2007,04,23)</f>
        <v>0</v>
      </c>
      <c r="C2069" s="1" t="s">
        <v>14679</v>
      </c>
      <c r="D2069" s="3">
        <v>6726</v>
      </c>
      <c r="E2069" s="1" t="s">
        <v>43</v>
      </c>
      <c r="F2069" s="1" t="s">
        <v>14680</v>
      </c>
      <c r="G2069" s="1" t="s">
        <v>796</v>
      </c>
      <c r="H2069" s="4">
        <v>0.90000000000000002</v>
      </c>
      <c r="I2069" s="4">
        <v>4.5</v>
      </c>
      <c r="J2069" s="9">
        <v>1275</v>
      </c>
      <c r="K2069" s="4">
        <v>20</v>
      </c>
      <c r="L2069" s="1" t="s">
        <v>46</v>
      </c>
      <c r="M2069" s="1" t="s">
        <v>47</v>
      </c>
      <c r="N2069" s="3">
        <v>617477104</v>
      </c>
      <c r="O2069" s="1" t="s">
        <v>108</v>
      </c>
      <c r="P2069" s="1" t="s">
        <v>14681</v>
      </c>
      <c r="Q2069" s="1" t="s">
        <v>145</v>
      </c>
      <c r="R2069" s="1" t="s">
        <v>145</v>
      </c>
      <c r="S2069" s="8">
        <v>3</v>
      </c>
      <c r="T2069" s="1" t="s">
        <v>50</v>
      </c>
      <c r="U2069" s="1"/>
      <c r="V2069" s="1"/>
      <c r="W2069" s="7">
        <v>50000</v>
      </c>
      <c r="X2069" s="5">
        <v>1</v>
      </c>
      <c r="Y2069" s="7">
        <v>63750000</v>
      </c>
      <c r="Z2069" s="1"/>
      <c r="AA2069" s="2">
        <f ca="1">DATE(2007,10,20)</f>
        <v>0</v>
      </c>
      <c r="AB2069" s="1"/>
      <c r="AC2069" s="3">
        <v>180</v>
      </c>
      <c r="AD2069" s="1"/>
      <c r="AE2069" s="1" t="s">
        <v>51</v>
      </c>
      <c r="AF2069" s="1" t="s">
        <v>51</v>
      </c>
      <c r="AG2069" s="1" t="s">
        <v>51</v>
      </c>
      <c r="AH2069" s="1"/>
      <c r="AI2069" s="1"/>
      <c r="AJ2069" s="3">
        <v>1</v>
      </c>
      <c r="AK2069" s="1" t="s">
        <v>52</v>
      </c>
      <c r="AL2069" s="3">
        <v>4</v>
      </c>
      <c r="AM2069" s="1"/>
      <c r="AN2069" s="1"/>
      <c r="AO2069" s="1" t="s">
        <v>14682</v>
      </c>
      <c r="AP2069" s="1" t="s">
        <v>796</v>
      </c>
      <c r="AQ2069" s="1" t="s">
        <v>14683</v>
      </c>
      <c r="AR2069" s="1" t="s">
        <v>14684</v>
      </c>
    </row>
    <row r="2070">
      <c r="A2070" s="2">
        <f ca="1">DATE(2006,11,13)</f>
        <v>0</v>
      </c>
      <c r="B2070" s="2">
        <f ca="1">DATE(2007,04,24)</f>
        <v>0</v>
      </c>
      <c r="C2070" s="1" t="s">
        <v>14685</v>
      </c>
      <c r="D2070" s="1" t="s">
        <v>9054</v>
      </c>
      <c r="E2070" s="1" t="s">
        <v>43</v>
      </c>
      <c r="F2070" s="1" t="s">
        <v>14686</v>
      </c>
      <c r="G2070" s="1" t="s">
        <v>14687</v>
      </c>
      <c r="H2070" s="4">
        <v>1.3999999999999999</v>
      </c>
      <c r="I2070" s="8">
        <v>7</v>
      </c>
      <c r="J2070" s="5">
        <v>100</v>
      </c>
      <c r="K2070" s="4">
        <v>20</v>
      </c>
      <c r="L2070" s="1" t="s">
        <v>46</v>
      </c>
      <c r="M2070" s="1" t="s">
        <v>47</v>
      </c>
      <c r="N2070" s="3">
        <v>674870209</v>
      </c>
      <c r="O2070" s="1" t="s">
        <v>48</v>
      </c>
      <c r="P2070" s="1" t="s">
        <v>14688</v>
      </c>
      <c r="Q2070" s="1" t="s">
        <v>145</v>
      </c>
      <c r="R2070" s="1" t="s">
        <v>145</v>
      </c>
      <c r="S2070" s="8">
        <v>4.2000000000000002</v>
      </c>
      <c r="T2070" s="1" t="s">
        <v>50</v>
      </c>
      <c r="U2070" s="1"/>
      <c r="V2070" s="1"/>
      <c r="W2070" s="1"/>
      <c r="X2070" s="5">
        <v>100</v>
      </c>
      <c r="Y2070" s="7">
        <v>5000000</v>
      </c>
      <c r="Z2070" s="1"/>
      <c r="AA2070" s="1" t="s">
        <v>14689</v>
      </c>
      <c r="AB2070" s="1" t="s">
        <v>5265</v>
      </c>
      <c r="AC2070" s="1" t="s">
        <v>7759</v>
      </c>
      <c r="AD2070" s="1" t="s">
        <v>5265</v>
      </c>
      <c r="AE2070" s="1" t="s">
        <v>51</v>
      </c>
      <c r="AF2070" s="1" t="s">
        <v>51</v>
      </c>
      <c r="AG2070" s="1" t="s">
        <v>51</v>
      </c>
      <c r="AH2070" s="1"/>
      <c r="AI2070" s="1"/>
      <c r="AJ2070" s="3">
        <v>3</v>
      </c>
      <c r="AK2070" s="1" t="s">
        <v>110</v>
      </c>
      <c r="AL2070" s="3">
        <v>4</v>
      </c>
      <c r="AM2070" s="8">
        <v>24</v>
      </c>
      <c r="AN2070" s="1"/>
      <c r="AO2070" s="1" t="s">
        <v>14690</v>
      </c>
      <c r="AP2070" s="1" t="s">
        <v>14691</v>
      </c>
      <c r="AQ2070" s="1" t="s">
        <v>14692</v>
      </c>
      <c r="AR2070" s="1" t="s">
        <v>14688</v>
      </c>
    </row>
    <row r="2071">
      <c r="A2071" s="2">
        <f ca="1">DATE(2007,04,09)</f>
        <v>0</v>
      </c>
      <c r="B2071" s="2">
        <f ca="1">DATE(2007,04,24)</f>
        <v>0</v>
      </c>
      <c r="C2071" s="1" t="s">
        <v>14693</v>
      </c>
      <c r="D2071" s="3">
        <v>4412</v>
      </c>
      <c r="E2071" s="1" t="s">
        <v>3764</v>
      </c>
      <c r="F2071" s="1" t="s">
        <v>14694</v>
      </c>
      <c r="G2071" s="1" t="s">
        <v>14695</v>
      </c>
      <c r="H2071" s="4">
        <v>1.3300000000000001</v>
      </c>
      <c r="I2071" s="4">
        <v>7</v>
      </c>
      <c r="J2071" s="5">
        <v>204.30000000000001</v>
      </c>
      <c r="K2071" s="4">
        <v>19</v>
      </c>
      <c r="L2071" s="1" t="s">
        <v>46</v>
      </c>
      <c r="M2071" s="1" t="s">
        <v>47</v>
      </c>
      <c r="N2071" s="1"/>
      <c r="O2071" s="1" t="s">
        <v>48</v>
      </c>
      <c r="P2071" s="1" t="s">
        <v>14696</v>
      </c>
      <c r="Q2071" s="1" t="s">
        <v>145</v>
      </c>
      <c r="R2071" s="1" t="s">
        <v>145</v>
      </c>
      <c r="S2071" s="8">
        <v>4.2000000000000002</v>
      </c>
      <c r="T2071" s="1" t="s">
        <v>50</v>
      </c>
      <c r="U2071" s="8">
        <v>21</v>
      </c>
      <c r="V2071" s="8">
        <v>19</v>
      </c>
      <c r="W2071" s="7">
        <v>10750000</v>
      </c>
      <c r="X2071" s="5">
        <v>215</v>
      </c>
      <c r="Y2071" s="7">
        <v>10750000</v>
      </c>
      <c r="Z2071" s="1"/>
      <c r="AA2071" s="1" t="s">
        <v>14689</v>
      </c>
      <c r="AB2071" s="1" t="s">
        <v>5265</v>
      </c>
      <c r="AC2071" s="1" t="s">
        <v>7759</v>
      </c>
      <c r="AD2071" s="1" t="s">
        <v>5265</v>
      </c>
      <c r="AE2071" s="1" t="s">
        <v>51</v>
      </c>
      <c r="AF2071" s="1" t="s">
        <v>51</v>
      </c>
      <c r="AG2071" s="1" t="s">
        <v>51</v>
      </c>
      <c r="AH2071" s="1"/>
      <c r="AI2071" s="1"/>
      <c r="AJ2071" s="3">
        <v>2</v>
      </c>
      <c r="AK2071" s="1" t="s">
        <v>89</v>
      </c>
      <c r="AL2071" s="3">
        <v>5</v>
      </c>
      <c r="AM2071" s="8">
        <v>19.309999999999999</v>
      </c>
      <c r="AN2071" s="3">
        <v>19</v>
      </c>
      <c r="AO2071" s="1" t="s">
        <v>14697</v>
      </c>
      <c r="AP2071" s="1" t="s">
        <v>14698</v>
      </c>
      <c r="AQ2071" s="1" t="s">
        <v>14699</v>
      </c>
      <c r="AR2071" s="1" t="s">
        <v>14700</v>
      </c>
    </row>
    <row r="2072">
      <c r="A2072" s="2">
        <f ca="1">DATE(2007,01,31)</f>
        <v>0</v>
      </c>
      <c r="B2072" s="2">
        <f ca="1">DATE(2007,04,24)</f>
        <v>0</v>
      </c>
      <c r="C2072" s="1" t="s">
        <v>14701</v>
      </c>
      <c r="D2072" s="3">
        <v>6726</v>
      </c>
      <c r="E2072" s="1" t="s">
        <v>43</v>
      </c>
      <c r="F2072" s="1" t="s">
        <v>14702</v>
      </c>
      <c r="G2072" s="1" t="s">
        <v>6201</v>
      </c>
      <c r="H2072" s="4">
        <v>0.69999999999999996</v>
      </c>
      <c r="I2072" s="8">
        <v>7</v>
      </c>
      <c r="J2072" s="5">
        <v>300</v>
      </c>
      <c r="K2072" s="4">
        <v>10</v>
      </c>
      <c r="L2072" s="1" t="s">
        <v>46</v>
      </c>
      <c r="M2072" s="1" t="s">
        <v>47</v>
      </c>
      <c r="N2072" s="1" t="s">
        <v>14703</v>
      </c>
      <c r="O2072" s="1" t="s">
        <v>108</v>
      </c>
      <c r="P2072" s="1" t="s">
        <v>14704</v>
      </c>
      <c r="Q2072" s="1" t="s">
        <v>145</v>
      </c>
      <c r="R2072" s="1" t="s">
        <v>145</v>
      </c>
      <c r="S2072" s="8">
        <v>2.2799999999999998</v>
      </c>
      <c r="T2072" s="1" t="s">
        <v>50</v>
      </c>
      <c r="U2072" s="8">
        <v>10</v>
      </c>
      <c r="V2072" s="8">
        <v>10</v>
      </c>
      <c r="W2072" s="7">
        <v>25000000</v>
      </c>
      <c r="X2072" s="5">
        <v>250</v>
      </c>
      <c r="Y2072" s="7">
        <v>30000000</v>
      </c>
      <c r="Z2072" s="1"/>
      <c r="AA2072" s="1" t="s">
        <v>14705</v>
      </c>
      <c r="AB2072" s="1" t="s">
        <v>5265</v>
      </c>
      <c r="AC2072" s="1" t="s">
        <v>14706</v>
      </c>
      <c r="AD2072" s="1" t="s">
        <v>5265</v>
      </c>
      <c r="AE2072" s="1" t="s">
        <v>51</v>
      </c>
      <c r="AF2072" s="1" t="s">
        <v>51</v>
      </c>
      <c r="AG2072" s="1" t="s">
        <v>51</v>
      </c>
      <c r="AH2072" s="1"/>
      <c r="AI2072" s="1"/>
      <c r="AJ2072" s="3">
        <v>1</v>
      </c>
      <c r="AK2072" s="1" t="s">
        <v>52</v>
      </c>
      <c r="AL2072" s="3">
        <v>3</v>
      </c>
      <c r="AM2072" s="1"/>
      <c r="AN2072" s="1"/>
      <c r="AO2072" s="1" t="s">
        <v>14707</v>
      </c>
      <c r="AP2072" s="1" t="s">
        <v>6201</v>
      </c>
      <c r="AQ2072" s="1" t="s">
        <v>14708</v>
      </c>
      <c r="AR2072" s="1" t="s">
        <v>14709</v>
      </c>
    </row>
    <row r="2073">
      <c r="A2073" s="2">
        <f ca="1">DATE(2007,02,16)</f>
        <v>0</v>
      </c>
      <c r="B2073" s="2">
        <f ca="1">DATE(2007,04,25)</f>
        <v>0</v>
      </c>
      <c r="C2073" s="1" t="s">
        <v>14710</v>
      </c>
      <c r="D2073" s="3">
        <v>6726</v>
      </c>
      <c r="E2073" s="1" t="s">
        <v>43</v>
      </c>
      <c r="F2073" s="1" t="s">
        <v>14711</v>
      </c>
      <c r="G2073" s="1" t="s">
        <v>45</v>
      </c>
      <c r="H2073" s="4">
        <v>0.90000000000000002</v>
      </c>
      <c r="I2073" s="4">
        <v>4.5</v>
      </c>
      <c r="J2073" s="9">
        <v>2000</v>
      </c>
      <c r="K2073" s="4">
        <v>20</v>
      </c>
      <c r="L2073" s="1" t="s">
        <v>46</v>
      </c>
      <c r="M2073" s="1" t="s">
        <v>47</v>
      </c>
      <c r="N2073" s="1" t="s">
        <v>14712</v>
      </c>
      <c r="O2073" s="1" t="s">
        <v>108</v>
      </c>
      <c r="P2073" s="1" t="s">
        <v>14713</v>
      </c>
      <c r="Q2073" s="4">
        <v>1</v>
      </c>
      <c r="R2073" s="4">
        <v>0.5</v>
      </c>
      <c r="S2073" s="8">
        <v>3</v>
      </c>
      <c r="T2073" s="1" t="s">
        <v>50</v>
      </c>
      <c r="U2073" s="8">
        <v>20</v>
      </c>
      <c r="V2073" s="8">
        <v>20</v>
      </c>
      <c r="W2073" s="7">
        <v>50000</v>
      </c>
      <c r="X2073" s="5">
        <v>1</v>
      </c>
      <c r="Y2073" s="7">
        <v>100000000</v>
      </c>
      <c r="Z2073" s="1"/>
      <c r="AA2073" s="2">
        <f ca="1">DATE(2007,10,22)</f>
        <v>0</v>
      </c>
      <c r="AB2073" s="1"/>
      <c r="AC2073" s="3">
        <v>180</v>
      </c>
      <c r="AD2073" s="1"/>
      <c r="AE2073" s="1" t="s">
        <v>51</v>
      </c>
      <c r="AF2073" s="1" t="s">
        <v>51</v>
      </c>
      <c r="AG2073" s="1" t="s">
        <v>51</v>
      </c>
      <c r="AH2073" s="1"/>
      <c r="AI2073" s="1"/>
      <c r="AJ2073" s="3">
        <v>1</v>
      </c>
      <c r="AK2073" s="1" t="s">
        <v>52</v>
      </c>
      <c r="AL2073" s="3">
        <v>18</v>
      </c>
      <c r="AM2073" s="8">
        <v>20.010000000000002</v>
      </c>
      <c r="AN2073" s="1"/>
      <c r="AO2073" s="1" t="s">
        <v>14714</v>
      </c>
      <c r="AP2073" s="1" t="s">
        <v>45</v>
      </c>
      <c r="AQ2073" s="1" t="s">
        <v>14715</v>
      </c>
      <c r="AR2073" s="1" t="s">
        <v>14716</v>
      </c>
    </row>
    <row r="2074">
      <c r="A2074" s="2">
        <f ca="1">DATE(2007,04,04)</f>
        <v>0</v>
      </c>
      <c r="B2074" s="2">
        <f ca="1">DATE(2007,04,25)</f>
        <v>0</v>
      </c>
      <c r="C2074" s="1" t="s">
        <v>14717</v>
      </c>
      <c r="D2074" s="3">
        <v>4911</v>
      </c>
      <c r="E2074" s="1" t="s">
        <v>210</v>
      </c>
      <c r="F2074" s="1" t="s">
        <v>14718</v>
      </c>
      <c r="G2074" s="1" t="s">
        <v>10637</v>
      </c>
      <c r="H2074" s="4">
        <v>0.59499999999999997</v>
      </c>
      <c r="I2074" s="4">
        <v>3.5</v>
      </c>
      <c r="J2074" s="5">
        <v>257.80000000000001</v>
      </c>
      <c r="K2074" s="4">
        <v>17</v>
      </c>
      <c r="L2074" s="1" t="s">
        <v>651</v>
      </c>
      <c r="M2074" s="1" t="s">
        <v>47</v>
      </c>
      <c r="N2074" s="1" t="s">
        <v>14719</v>
      </c>
      <c r="O2074" s="1" t="s">
        <v>108</v>
      </c>
      <c r="P2074" s="1" t="s">
        <v>14720</v>
      </c>
      <c r="Q2074" s="1" t="s">
        <v>145</v>
      </c>
      <c r="R2074" s="1" t="s">
        <v>145</v>
      </c>
      <c r="S2074" s="6">
        <v>2.1764700000000001</v>
      </c>
      <c r="T2074" s="1" t="s">
        <v>50</v>
      </c>
      <c r="U2074" s="1"/>
      <c r="V2074" s="1"/>
      <c r="W2074" s="1"/>
      <c r="X2074" s="5">
        <v>180</v>
      </c>
      <c r="Y2074" s="7">
        <v>3742245</v>
      </c>
      <c r="Z2074" s="7">
        <v>11422550</v>
      </c>
      <c r="AA2074" s="1" t="s">
        <v>14721</v>
      </c>
      <c r="AB2074" s="1" t="s">
        <v>2067</v>
      </c>
      <c r="AC2074" s="1" t="s">
        <v>2068</v>
      </c>
      <c r="AD2074" s="1" t="s">
        <v>2067</v>
      </c>
      <c r="AE2074" s="1" t="s">
        <v>47</v>
      </c>
      <c r="AF2074" s="1" t="s">
        <v>51</v>
      </c>
      <c r="AG2074" s="1" t="s">
        <v>51</v>
      </c>
      <c r="AH2074" s="1"/>
      <c r="AI2074" s="1"/>
      <c r="AJ2074" s="3">
        <v>2</v>
      </c>
      <c r="AK2074" s="1" t="s">
        <v>89</v>
      </c>
      <c r="AL2074" s="3">
        <v>2</v>
      </c>
      <c r="AM2074" s="8">
        <v>20.02</v>
      </c>
      <c r="AN2074" s="1"/>
      <c r="AO2074" s="1" t="s">
        <v>14722</v>
      </c>
      <c r="AP2074" s="1" t="s">
        <v>10641</v>
      </c>
      <c r="AQ2074" s="1" t="s">
        <v>14723</v>
      </c>
      <c r="AR2074" s="1" t="s">
        <v>14724</v>
      </c>
    </row>
    <row r="2075">
      <c r="A2075" s="2">
        <f ca="1">DATE(2007,02,23)</f>
        <v>0</v>
      </c>
      <c r="B2075" s="2">
        <f ca="1">DATE(2007,04,25)</f>
        <v>0</v>
      </c>
      <c r="C2075" s="1" t="s">
        <v>14725</v>
      </c>
      <c r="D2075" s="3">
        <v>6726</v>
      </c>
      <c r="E2075" s="1" t="s">
        <v>43</v>
      </c>
      <c r="F2075" s="1" t="s">
        <v>14726</v>
      </c>
      <c r="G2075" s="1" t="s">
        <v>3332</v>
      </c>
      <c r="H2075" s="4">
        <v>0.90000000000000002</v>
      </c>
      <c r="I2075" s="4">
        <v>4.5</v>
      </c>
      <c r="J2075" s="5">
        <v>800</v>
      </c>
      <c r="K2075" s="4">
        <v>20</v>
      </c>
      <c r="L2075" s="1" t="s">
        <v>46</v>
      </c>
      <c r="M2075" s="1" t="s">
        <v>47</v>
      </c>
      <c r="N2075" s="1" t="s">
        <v>14727</v>
      </c>
      <c r="O2075" s="1" t="s">
        <v>108</v>
      </c>
      <c r="P2075" s="1" t="s">
        <v>14728</v>
      </c>
      <c r="Q2075" s="1" t="s">
        <v>145</v>
      </c>
      <c r="R2075" s="1" t="s">
        <v>145</v>
      </c>
      <c r="S2075" s="8">
        <v>3</v>
      </c>
      <c r="T2075" s="1" t="s">
        <v>50</v>
      </c>
      <c r="U2075" s="8">
        <v>20</v>
      </c>
      <c r="V2075" s="8">
        <v>20</v>
      </c>
      <c r="W2075" s="7">
        <v>1000</v>
      </c>
      <c r="X2075" s="5">
        <v>0</v>
      </c>
      <c r="Y2075" s="7">
        <v>40000000</v>
      </c>
      <c r="Z2075" s="1"/>
      <c r="AA2075" s="2">
        <f ca="1">DATE(2007,10,22)</f>
        <v>0</v>
      </c>
      <c r="AB2075" s="1"/>
      <c r="AC2075" s="3">
        <v>180</v>
      </c>
      <c r="AD2075" s="1"/>
      <c r="AE2075" s="1" t="s">
        <v>51</v>
      </c>
      <c r="AF2075" s="1" t="s">
        <v>51</v>
      </c>
      <c r="AG2075" s="1" t="s">
        <v>51</v>
      </c>
      <c r="AH2075" s="1"/>
      <c r="AI2075" s="1"/>
      <c r="AJ2075" s="3">
        <v>1</v>
      </c>
      <c r="AK2075" s="1" t="s">
        <v>52</v>
      </c>
      <c r="AL2075" s="3">
        <v>16</v>
      </c>
      <c r="AM2075" s="8">
        <v>17.649999999999999</v>
      </c>
      <c r="AN2075" s="1"/>
      <c r="AO2075" s="1" t="s">
        <v>14729</v>
      </c>
      <c r="AP2075" s="1" t="s">
        <v>3332</v>
      </c>
      <c r="AQ2075" s="1" t="s">
        <v>14730</v>
      </c>
      <c r="AR2075" s="1" t="s">
        <v>14731</v>
      </c>
    </row>
    <row r="2076">
      <c r="A2076" s="2">
        <f ca="1">DATE(2006,12,19)</f>
        <v>0</v>
      </c>
      <c r="B2076" s="2">
        <f ca="1">DATE(2007,04,25)</f>
        <v>0</v>
      </c>
      <c r="C2076" s="1" t="s">
        <v>14732</v>
      </c>
      <c r="D2076" s="3">
        <v>2834</v>
      </c>
      <c r="E2076" s="1" t="s">
        <v>43</v>
      </c>
      <c r="F2076" s="1" t="s">
        <v>14733</v>
      </c>
      <c r="G2076" s="1" t="s">
        <v>45</v>
      </c>
      <c r="H2076" s="4">
        <v>0.83999999999999997</v>
      </c>
      <c r="I2076" s="8">
        <v>7</v>
      </c>
      <c r="J2076" s="5">
        <v>84</v>
      </c>
      <c r="K2076" s="4">
        <v>12</v>
      </c>
      <c r="L2076" s="1" t="s">
        <v>46</v>
      </c>
      <c r="M2076" s="1" t="s">
        <v>47</v>
      </c>
      <c r="N2076" s="3">
        <v>686164104</v>
      </c>
      <c r="O2076" s="1" t="s">
        <v>48</v>
      </c>
      <c r="P2076" s="1" t="s">
        <v>14734</v>
      </c>
      <c r="Q2076" s="1" t="s">
        <v>145</v>
      </c>
      <c r="R2076" s="1" t="s">
        <v>145</v>
      </c>
      <c r="S2076" s="6">
        <v>4.1666699999999999</v>
      </c>
      <c r="T2076" s="1" t="s">
        <v>50</v>
      </c>
      <c r="U2076" s="1"/>
      <c r="V2076" s="1"/>
      <c r="W2076" s="1"/>
      <c r="X2076" s="5">
        <v>86.299999999999997</v>
      </c>
      <c r="Y2076" s="7">
        <v>7000000</v>
      </c>
      <c r="Z2076" s="1"/>
      <c r="AA2076" s="1" t="s">
        <v>14735</v>
      </c>
      <c r="AB2076" s="1" t="s">
        <v>5265</v>
      </c>
      <c r="AC2076" s="1" t="s">
        <v>7759</v>
      </c>
      <c r="AD2076" s="1" t="s">
        <v>5265</v>
      </c>
      <c r="AE2076" s="1" t="s">
        <v>51</v>
      </c>
      <c r="AF2076" s="1" t="s">
        <v>51</v>
      </c>
      <c r="AG2076" s="1" t="s">
        <v>47</v>
      </c>
      <c r="AH2076" s="1"/>
      <c r="AI2076" s="1"/>
      <c r="AJ2076" s="3">
        <v>1</v>
      </c>
      <c r="AK2076" s="1" t="s">
        <v>52</v>
      </c>
      <c r="AL2076" s="3">
        <v>4</v>
      </c>
      <c r="AM2076" s="8">
        <v>12.9</v>
      </c>
      <c r="AN2076" s="1"/>
      <c r="AO2076" s="1" t="s">
        <v>14736</v>
      </c>
      <c r="AP2076" s="1" t="s">
        <v>45</v>
      </c>
      <c r="AQ2076" s="1" t="s">
        <v>14737</v>
      </c>
      <c r="AR2076" s="1" t="s">
        <v>14738</v>
      </c>
    </row>
    <row r="2077">
      <c r="A2077" s="2">
        <f ca="1">DATE(2005,08,18)</f>
        <v>0</v>
      </c>
      <c r="B2077" s="2">
        <f ca="1">DATE(2007,04,25)</f>
        <v>0</v>
      </c>
      <c r="C2077" s="1" t="s">
        <v>14739</v>
      </c>
      <c r="D2077" s="3">
        <v>6726</v>
      </c>
      <c r="E2077" s="1" t="s">
        <v>43</v>
      </c>
      <c r="F2077" s="1" t="s">
        <v>14740</v>
      </c>
      <c r="G2077" s="1" t="s">
        <v>11777</v>
      </c>
      <c r="H2077" s="4">
        <v>0.47999999999999998</v>
      </c>
      <c r="I2077" s="4">
        <v>6</v>
      </c>
      <c r="J2077" s="5">
        <v>58.5</v>
      </c>
      <c r="K2077" s="4">
        <v>8</v>
      </c>
      <c r="L2077" s="1" t="s">
        <v>46</v>
      </c>
      <c r="M2077" s="1" t="s">
        <v>47</v>
      </c>
      <c r="N2077" s="1" t="s">
        <v>14741</v>
      </c>
      <c r="O2077" s="1" t="s">
        <v>77</v>
      </c>
      <c r="P2077" s="1" t="s">
        <v>14742</v>
      </c>
      <c r="Q2077" s="1" t="s">
        <v>145</v>
      </c>
      <c r="R2077" s="1" t="s">
        <v>145</v>
      </c>
      <c r="S2077" s="8">
        <v>1</v>
      </c>
      <c r="T2077" s="1" t="s">
        <v>50</v>
      </c>
      <c r="U2077" s="8">
        <v>8</v>
      </c>
      <c r="V2077" s="8">
        <v>8</v>
      </c>
      <c r="W2077" s="7">
        <v>18750000</v>
      </c>
      <c r="X2077" s="5">
        <v>150</v>
      </c>
      <c r="Y2077" s="7">
        <v>7312500</v>
      </c>
      <c r="Z2077" s="1"/>
      <c r="AA2077" s="1"/>
      <c r="AB2077" s="1"/>
      <c r="AC2077" s="1"/>
      <c r="AD2077" s="1"/>
      <c r="AE2077" s="1" t="s">
        <v>51</v>
      </c>
      <c r="AF2077" s="1" t="s">
        <v>51</v>
      </c>
      <c r="AG2077" s="1" t="s">
        <v>51</v>
      </c>
      <c r="AH2077" s="1"/>
      <c r="AI2077" s="1"/>
      <c r="AJ2077" s="3">
        <v>1</v>
      </c>
      <c r="AK2077" s="1" t="s">
        <v>52</v>
      </c>
      <c r="AL2077" s="3">
        <v>1</v>
      </c>
      <c r="AM2077" s="1"/>
      <c r="AN2077" s="1"/>
      <c r="AO2077" s="1" t="s">
        <v>14743</v>
      </c>
      <c r="AP2077" s="1" t="s">
        <v>11777</v>
      </c>
      <c r="AQ2077" s="1" t="s">
        <v>11777</v>
      </c>
      <c r="AR2077" s="1" t="s">
        <v>14744</v>
      </c>
    </row>
    <row r="2078">
      <c r="A2078" s="2">
        <f ca="1">DATE(2006,05,08)</f>
        <v>0</v>
      </c>
      <c r="B2078" s="2">
        <f ca="1">DATE(2007,04,26)</f>
        <v>0</v>
      </c>
      <c r="C2078" s="1" t="s">
        <v>14745</v>
      </c>
      <c r="D2078" s="3">
        <v>2834</v>
      </c>
      <c r="E2078" s="1" t="s">
        <v>43</v>
      </c>
      <c r="F2078" s="1" t="s">
        <v>14746</v>
      </c>
      <c r="G2078" s="1" t="s">
        <v>14747</v>
      </c>
      <c r="H2078" s="4">
        <v>0.63</v>
      </c>
      <c r="I2078" s="4">
        <v>7</v>
      </c>
      <c r="J2078" s="5">
        <v>45</v>
      </c>
      <c r="K2078" s="4">
        <v>9</v>
      </c>
      <c r="L2078" s="1" t="s">
        <v>46</v>
      </c>
      <c r="M2078" s="1" t="s">
        <v>47</v>
      </c>
      <c r="N2078" s="1" t="s">
        <v>14748</v>
      </c>
      <c r="O2078" s="1" t="s">
        <v>48</v>
      </c>
      <c r="P2078" s="1" t="s">
        <v>14749</v>
      </c>
      <c r="Q2078" s="1" t="s">
        <v>145</v>
      </c>
      <c r="R2078" s="1" t="s">
        <v>145</v>
      </c>
      <c r="S2078" s="8">
        <v>4.2000000000000002</v>
      </c>
      <c r="T2078" s="1" t="s">
        <v>50</v>
      </c>
      <c r="U2078" s="1"/>
      <c r="V2078" s="1"/>
      <c r="W2078" s="1"/>
      <c r="X2078" s="5">
        <v>75</v>
      </c>
      <c r="Y2078" s="7">
        <v>5000000</v>
      </c>
      <c r="Z2078" s="1"/>
      <c r="AA2078" s="1" t="s">
        <v>14750</v>
      </c>
      <c r="AB2078" s="1" t="s">
        <v>5265</v>
      </c>
      <c r="AC2078" s="1" t="s">
        <v>7759</v>
      </c>
      <c r="AD2078" s="1" t="s">
        <v>5265</v>
      </c>
      <c r="AE2078" s="1" t="s">
        <v>51</v>
      </c>
      <c r="AF2078" s="1" t="s">
        <v>51</v>
      </c>
      <c r="AG2078" s="1" t="s">
        <v>47</v>
      </c>
      <c r="AH2078" s="1"/>
      <c r="AI2078" s="1"/>
      <c r="AJ2078" s="3">
        <v>2</v>
      </c>
      <c r="AK2078" s="1" t="s">
        <v>89</v>
      </c>
      <c r="AL2078" s="3">
        <v>3</v>
      </c>
      <c r="AM2078" s="8">
        <v>9.0700000000000003</v>
      </c>
      <c r="AN2078" s="1"/>
      <c r="AO2078" s="1" t="s">
        <v>14751</v>
      </c>
      <c r="AP2078" s="1" t="s">
        <v>14752</v>
      </c>
      <c r="AQ2078" s="1" t="s">
        <v>14753</v>
      </c>
      <c r="AR2078" s="1" t="s">
        <v>14749</v>
      </c>
    </row>
    <row r="2079">
      <c r="A2079" s="2">
        <f ca="1">DATE(2007,02,13)</f>
        <v>0</v>
      </c>
      <c r="B2079" s="2">
        <f ca="1">DATE(2007,05,01)</f>
        <v>0</v>
      </c>
      <c r="C2079" s="1" t="s">
        <v>14754</v>
      </c>
      <c r="D2079" s="3">
        <v>3674</v>
      </c>
      <c r="E2079" s="1" t="s">
        <v>43</v>
      </c>
      <c r="F2079" s="1" t="s">
        <v>14755</v>
      </c>
      <c r="G2079" s="1" t="s">
        <v>8285</v>
      </c>
      <c r="H2079" s="4">
        <v>0.94499999999999995</v>
      </c>
      <c r="I2079" s="8">
        <v>7</v>
      </c>
      <c r="J2079" s="5">
        <v>91.099999999999994</v>
      </c>
      <c r="K2079" s="4">
        <v>13.5</v>
      </c>
      <c r="L2079" s="1" t="s">
        <v>46</v>
      </c>
      <c r="M2079" s="1" t="s">
        <v>47</v>
      </c>
      <c r="N2079" s="1" t="s">
        <v>14756</v>
      </c>
      <c r="O2079" s="1" t="s">
        <v>48</v>
      </c>
      <c r="P2079" s="1" t="s">
        <v>14757</v>
      </c>
      <c r="Q2079" s="1" t="s">
        <v>145</v>
      </c>
      <c r="R2079" s="1" t="s">
        <v>145</v>
      </c>
      <c r="S2079" s="8">
        <v>4.2000000000000002</v>
      </c>
      <c r="T2079" s="1" t="s">
        <v>50</v>
      </c>
      <c r="U2079" s="1"/>
      <c r="V2079" s="1"/>
      <c r="W2079" s="1"/>
      <c r="X2079" s="5">
        <v>86.299999999999997</v>
      </c>
      <c r="Y2079" s="7">
        <v>6750000</v>
      </c>
      <c r="Z2079" s="1"/>
      <c r="AA2079" s="1" t="s">
        <v>14758</v>
      </c>
      <c r="AB2079" s="1" t="s">
        <v>5265</v>
      </c>
      <c r="AC2079" s="1" t="s">
        <v>7759</v>
      </c>
      <c r="AD2079" s="1" t="s">
        <v>5265</v>
      </c>
      <c r="AE2079" s="1" t="s">
        <v>51</v>
      </c>
      <c r="AF2079" s="1" t="s">
        <v>51</v>
      </c>
      <c r="AG2079" s="1" t="s">
        <v>47</v>
      </c>
      <c r="AH2079" s="1"/>
      <c r="AI2079" s="1"/>
      <c r="AJ2079" s="3">
        <v>2</v>
      </c>
      <c r="AK2079" s="1" t="s">
        <v>89</v>
      </c>
      <c r="AL2079" s="3">
        <v>5</v>
      </c>
      <c r="AM2079" s="8">
        <v>16.949999999999999</v>
      </c>
      <c r="AN2079" s="1"/>
      <c r="AO2079" s="1" t="s">
        <v>14759</v>
      </c>
      <c r="AP2079" s="1" t="s">
        <v>7208</v>
      </c>
      <c r="AQ2079" s="1" t="s">
        <v>14760</v>
      </c>
      <c r="AR2079" s="1" t="s">
        <v>14757</v>
      </c>
    </row>
    <row r="2080">
      <c r="A2080" s="2">
        <f ca="1">DATE(2007,02,07)</f>
        <v>0</v>
      </c>
      <c r="B2080" s="2">
        <f ca="1">DATE(2007,05,01)</f>
        <v>0</v>
      </c>
      <c r="C2080" s="1" t="s">
        <v>14761</v>
      </c>
      <c r="D2080" s="3">
        <v>2834</v>
      </c>
      <c r="E2080" s="1" t="s">
        <v>43</v>
      </c>
      <c r="F2080" s="1" t="s">
        <v>14762</v>
      </c>
      <c r="G2080" s="1" t="s">
        <v>796</v>
      </c>
      <c r="H2080" s="4">
        <v>0.77000000000000002</v>
      </c>
      <c r="I2080" s="4">
        <v>7</v>
      </c>
      <c r="J2080" s="5">
        <v>44</v>
      </c>
      <c r="K2080" s="4">
        <v>11</v>
      </c>
      <c r="L2080" s="1" t="s">
        <v>46</v>
      </c>
      <c r="M2080" s="1" t="s">
        <v>47</v>
      </c>
      <c r="N2080" s="3">
        <v>641252101</v>
      </c>
      <c r="O2080" s="1" t="s">
        <v>48</v>
      </c>
      <c r="P2080" s="1" t="s">
        <v>14763</v>
      </c>
      <c r="Q2080" s="1" t="s">
        <v>145</v>
      </c>
      <c r="R2080" s="1" t="s">
        <v>145</v>
      </c>
      <c r="S2080" s="8">
        <v>4.2000000000000002</v>
      </c>
      <c r="T2080" s="1" t="s">
        <v>50</v>
      </c>
      <c r="U2080" s="1"/>
      <c r="V2080" s="1"/>
      <c r="W2080" s="1"/>
      <c r="X2080" s="5">
        <v>69</v>
      </c>
      <c r="Y2080" s="7">
        <v>4000000</v>
      </c>
      <c r="Z2080" s="1"/>
      <c r="AA2080" s="1" t="s">
        <v>14758</v>
      </c>
      <c r="AB2080" s="1" t="s">
        <v>5265</v>
      </c>
      <c r="AC2080" s="1" t="s">
        <v>7759</v>
      </c>
      <c r="AD2080" s="1" t="s">
        <v>5265</v>
      </c>
      <c r="AE2080" s="1" t="s">
        <v>51</v>
      </c>
      <c r="AF2080" s="1" t="s">
        <v>51</v>
      </c>
      <c r="AG2080" s="1" t="s">
        <v>47</v>
      </c>
      <c r="AH2080" s="1"/>
      <c r="AI2080" s="1"/>
      <c r="AJ2080" s="3">
        <v>1</v>
      </c>
      <c r="AK2080" s="1" t="s">
        <v>52</v>
      </c>
      <c r="AL2080" s="3">
        <v>4</v>
      </c>
      <c r="AM2080" s="8">
        <v>10.65</v>
      </c>
      <c r="AN2080" s="1"/>
      <c r="AO2080" s="1" t="s">
        <v>14764</v>
      </c>
      <c r="AP2080" s="1" t="s">
        <v>796</v>
      </c>
      <c r="AQ2080" s="1" t="s">
        <v>14765</v>
      </c>
      <c r="AR2080" s="1" t="s">
        <v>14763</v>
      </c>
    </row>
    <row r="2081">
      <c r="A2081" s="2">
        <f ca="1">DATE(2007,04,03)</f>
        <v>0</v>
      </c>
      <c r="B2081" s="2">
        <f ca="1">DATE(2007,05,02)</f>
        <v>0</v>
      </c>
      <c r="C2081" s="1" t="s">
        <v>14766</v>
      </c>
      <c r="D2081" s="3">
        <v>8742</v>
      </c>
      <c r="E2081" s="1" t="s">
        <v>744</v>
      </c>
      <c r="F2081" s="1" t="s">
        <v>14767</v>
      </c>
      <c r="G2081" s="1" t="s">
        <v>14768</v>
      </c>
      <c r="H2081" s="4">
        <v>1.085</v>
      </c>
      <c r="I2081" s="8">
        <v>7</v>
      </c>
      <c r="J2081" s="5">
        <v>119.40000000000001</v>
      </c>
      <c r="K2081" s="4">
        <v>15.5</v>
      </c>
      <c r="L2081" s="1" t="s">
        <v>651</v>
      </c>
      <c r="M2081" s="1" t="s">
        <v>47</v>
      </c>
      <c r="N2081" s="1" t="s">
        <v>14769</v>
      </c>
      <c r="O2081" s="1" t="s">
        <v>108</v>
      </c>
      <c r="P2081" s="1" t="s">
        <v>14770</v>
      </c>
      <c r="Q2081" s="4">
        <v>1.419</v>
      </c>
      <c r="R2081" s="4">
        <v>1.387</v>
      </c>
      <c r="S2081" s="6">
        <v>4.1935500000000001</v>
      </c>
      <c r="T2081" s="1" t="s">
        <v>50</v>
      </c>
      <c r="U2081" s="1"/>
      <c r="V2081" s="1"/>
      <c r="W2081" s="1"/>
      <c r="X2081" s="5">
        <v>128.30000000000001</v>
      </c>
      <c r="Y2081" s="7">
        <v>6700000</v>
      </c>
      <c r="Z2081" s="7">
        <v>1000000</v>
      </c>
      <c r="AA2081" s="1" t="s">
        <v>14771</v>
      </c>
      <c r="AB2081" s="1" t="s">
        <v>5265</v>
      </c>
      <c r="AC2081" s="1" t="s">
        <v>7759</v>
      </c>
      <c r="AD2081" s="1" t="s">
        <v>5265</v>
      </c>
      <c r="AE2081" s="1" t="s">
        <v>47</v>
      </c>
      <c r="AF2081" s="1" t="s">
        <v>51</v>
      </c>
      <c r="AG2081" s="1" t="s">
        <v>47</v>
      </c>
      <c r="AH2081" s="1"/>
      <c r="AI2081" s="1"/>
      <c r="AJ2081" s="3">
        <v>2</v>
      </c>
      <c r="AK2081" s="1" t="s">
        <v>89</v>
      </c>
      <c r="AL2081" s="3">
        <v>3</v>
      </c>
      <c r="AM2081" s="8">
        <v>21.5</v>
      </c>
      <c r="AN2081" s="1"/>
      <c r="AO2081" s="1" t="s">
        <v>14772</v>
      </c>
      <c r="AP2081" s="1" t="s">
        <v>13347</v>
      </c>
      <c r="AQ2081" s="1" t="s">
        <v>14773</v>
      </c>
      <c r="AR2081" s="1" t="s">
        <v>14774</v>
      </c>
    </row>
    <row r="2082">
      <c r="A2082" s="2">
        <f ca="1">DATE(2007,04,16)</f>
        <v>0</v>
      </c>
      <c r="B2082" s="2">
        <f ca="1">DATE(2007,05,02)</f>
        <v>0</v>
      </c>
      <c r="C2082" s="1" t="s">
        <v>14775</v>
      </c>
      <c r="D2082" s="3">
        <v>3661</v>
      </c>
      <c r="E2082" s="1" t="s">
        <v>744</v>
      </c>
      <c r="F2082" s="1" t="s">
        <v>14776</v>
      </c>
      <c r="G2082" s="1" t="s">
        <v>5704</v>
      </c>
      <c r="H2082" s="4">
        <v>0.83999999999999997</v>
      </c>
      <c r="I2082" s="8">
        <v>7</v>
      </c>
      <c r="J2082" s="5">
        <v>160</v>
      </c>
      <c r="K2082" s="4">
        <v>12</v>
      </c>
      <c r="L2082" s="1" t="s">
        <v>1057</v>
      </c>
      <c r="M2082" s="1" t="s">
        <v>47</v>
      </c>
      <c r="N2082" s="1"/>
      <c r="O2082" s="1" t="s">
        <v>108</v>
      </c>
      <c r="P2082" s="1" t="s">
        <v>14777</v>
      </c>
      <c r="Q2082" s="1" t="s">
        <v>145</v>
      </c>
      <c r="R2082" s="1" t="s">
        <v>145</v>
      </c>
      <c r="S2082" s="6">
        <v>4.1666699999999999</v>
      </c>
      <c r="T2082" s="1" t="s">
        <v>50</v>
      </c>
      <c r="U2082" s="8">
        <v>13</v>
      </c>
      <c r="V2082" s="8">
        <v>11</v>
      </c>
      <c r="W2082" s="7">
        <v>16666667</v>
      </c>
      <c r="X2082" s="5">
        <v>200</v>
      </c>
      <c r="Y2082" s="7">
        <v>12500000</v>
      </c>
      <c r="Z2082" s="7">
        <v>833334</v>
      </c>
      <c r="AA2082" s="1" t="s">
        <v>14771</v>
      </c>
      <c r="AB2082" s="1" t="s">
        <v>5265</v>
      </c>
      <c r="AC2082" s="1" t="s">
        <v>7759</v>
      </c>
      <c r="AD2082" s="1" t="s">
        <v>5265</v>
      </c>
      <c r="AE2082" s="1" t="s">
        <v>51</v>
      </c>
      <c r="AF2082" s="1" t="s">
        <v>51</v>
      </c>
      <c r="AG2082" s="1" t="s">
        <v>51</v>
      </c>
      <c r="AH2082" s="1"/>
      <c r="AI2082" s="1"/>
      <c r="AJ2082" s="3">
        <v>1</v>
      </c>
      <c r="AK2082" s="1" t="s">
        <v>52</v>
      </c>
      <c r="AL2082" s="3">
        <v>3</v>
      </c>
      <c r="AM2082" s="8">
        <v>11.310000000000001</v>
      </c>
      <c r="AN2082" s="3">
        <v>12</v>
      </c>
      <c r="AO2082" s="1" t="s">
        <v>14778</v>
      </c>
      <c r="AP2082" s="1" t="s">
        <v>5704</v>
      </c>
      <c r="AQ2082" s="1" t="s">
        <v>14779</v>
      </c>
      <c r="AR2082" s="1" t="s">
        <v>14777</v>
      </c>
    </row>
    <row r="2083">
      <c r="A2083" s="2">
        <f ca="1">DATE(2007,02,12)</f>
        <v>0</v>
      </c>
      <c r="B2083" s="2">
        <f ca="1">DATE(2007,05,08)</f>
        <v>0</v>
      </c>
      <c r="C2083" s="1" t="s">
        <v>14780</v>
      </c>
      <c r="D2083" s="3">
        <v>3845</v>
      </c>
      <c r="E2083" s="1" t="s">
        <v>43</v>
      </c>
      <c r="F2083" s="1" t="s">
        <v>7309</v>
      </c>
      <c r="G2083" s="1" t="s">
        <v>45</v>
      </c>
      <c r="H2083" s="4">
        <v>1.3300000000000001</v>
      </c>
      <c r="I2083" s="4">
        <v>7</v>
      </c>
      <c r="J2083" s="5">
        <v>223.09999999999999</v>
      </c>
      <c r="K2083" s="4">
        <v>19</v>
      </c>
      <c r="L2083" s="1" t="s">
        <v>46</v>
      </c>
      <c r="M2083" s="1" t="s">
        <v>47</v>
      </c>
      <c r="N2083" s="3">
        <v>890088107</v>
      </c>
      <c r="O2083" s="1" t="s">
        <v>48</v>
      </c>
      <c r="P2083" s="1" t="s">
        <v>14781</v>
      </c>
      <c r="Q2083" s="1" t="s">
        <v>145</v>
      </c>
      <c r="R2083" s="1" t="s">
        <v>145</v>
      </c>
      <c r="S2083" s="6">
        <v>4.1578900000000001</v>
      </c>
      <c r="T2083" s="1" t="s">
        <v>50</v>
      </c>
      <c r="U2083" s="1"/>
      <c r="V2083" s="1"/>
      <c r="W2083" s="1"/>
      <c r="X2083" s="5">
        <v>201.30000000000001</v>
      </c>
      <c r="Y2083" s="7">
        <v>10602960</v>
      </c>
      <c r="Z2083" s="7">
        <v>1140460</v>
      </c>
      <c r="AA2083" s="1" t="s">
        <v>14782</v>
      </c>
      <c r="AB2083" s="1" t="s">
        <v>5265</v>
      </c>
      <c r="AC2083" s="1" t="s">
        <v>7759</v>
      </c>
      <c r="AD2083" s="1" t="s">
        <v>5265</v>
      </c>
      <c r="AE2083" s="1" t="s">
        <v>51</v>
      </c>
      <c r="AF2083" s="1" t="s">
        <v>51</v>
      </c>
      <c r="AG2083" s="1" t="s">
        <v>47</v>
      </c>
      <c r="AH2083" s="1"/>
      <c r="AI2083" s="1"/>
      <c r="AJ2083" s="3">
        <v>1</v>
      </c>
      <c r="AK2083" s="1" t="s">
        <v>89</v>
      </c>
      <c r="AL2083" s="3">
        <v>5</v>
      </c>
      <c r="AM2083" s="8">
        <v>22.670000000000002</v>
      </c>
      <c r="AN2083" s="1"/>
      <c r="AO2083" s="1" t="s">
        <v>14783</v>
      </c>
      <c r="AP2083" s="1" t="s">
        <v>14784</v>
      </c>
      <c r="AQ2083" s="1" t="s">
        <v>14785</v>
      </c>
      <c r="AR2083" s="1" t="s">
        <v>14786</v>
      </c>
    </row>
    <row r="2084">
      <c r="A2084" s="2">
        <f ca="1">DATE(2007,03,08)</f>
        <v>0</v>
      </c>
      <c r="B2084" s="2">
        <f ca="1">DATE(2007,05,09)</f>
        <v>0</v>
      </c>
      <c r="C2084" s="1" t="s">
        <v>14787</v>
      </c>
      <c r="D2084" s="3">
        <v>8711</v>
      </c>
      <c r="E2084" s="1" t="s">
        <v>43</v>
      </c>
      <c r="F2084" s="1" t="s">
        <v>14788</v>
      </c>
      <c r="G2084" s="1" t="s">
        <v>14789</v>
      </c>
      <c r="H2084" s="4">
        <v>1.23</v>
      </c>
      <c r="I2084" s="4">
        <v>6.1500000000000004</v>
      </c>
      <c r="J2084" s="5">
        <v>703</v>
      </c>
      <c r="K2084" s="4">
        <v>20</v>
      </c>
      <c r="L2084" s="1" t="s">
        <v>46</v>
      </c>
      <c r="M2084" s="1" t="s">
        <v>47</v>
      </c>
      <c r="N2084" s="1" t="s">
        <v>14790</v>
      </c>
      <c r="O2084" s="1" t="s">
        <v>108</v>
      </c>
      <c r="P2084" s="1" t="s">
        <v>14791</v>
      </c>
      <c r="Q2084" s="4">
        <v>1.23</v>
      </c>
      <c r="R2084" s="4">
        <v>1.23</v>
      </c>
      <c r="S2084" s="8">
        <v>3.6899999999999999</v>
      </c>
      <c r="T2084" s="1" t="s">
        <v>50</v>
      </c>
      <c r="U2084" s="1"/>
      <c r="V2084" s="1"/>
      <c r="W2084" s="1"/>
      <c r="X2084" s="5">
        <v>200</v>
      </c>
      <c r="Y2084" s="7">
        <v>20035500</v>
      </c>
      <c r="Z2084" s="7">
        <v>15114500</v>
      </c>
      <c r="AA2084" s="1" t="s">
        <v>14792</v>
      </c>
      <c r="AB2084" s="1" t="s">
        <v>5265</v>
      </c>
      <c r="AC2084" s="1" t="s">
        <v>14596</v>
      </c>
      <c r="AD2084" s="1" t="s">
        <v>5265</v>
      </c>
      <c r="AE2084" s="1" t="s">
        <v>51</v>
      </c>
      <c r="AF2084" s="1" t="s">
        <v>51</v>
      </c>
      <c r="AG2084" s="1" t="s">
        <v>51</v>
      </c>
      <c r="AH2084" s="1"/>
      <c r="AI2084" s="1"/>
      <c r="AJ2084" s="3">
        <v>3</v>
      </c>
      <c r="AK2084" s="1" t="s">
        <v>110</v>
      </c>
      <c r="AL2084" s="3">
        <v>6</v>
      </c>
      <c r="AM2084" s="8">
        <v>21.100000000000001</v>
      </c>
      <c r="AN2084" s="1"/>
      <c r="AO2084" s="1" t="s">
        <v>14793</v>
      </c>
      <c r="AP2084" s="1" t="s">
        <v>14794</v>
      </c>
      <c r="AQ2084" s="1" t="s">
        <v>14795</v>
      </c>
      <c r="AR2084" s="1" t="s">
        <v>14796</v>
      </c>
    </row>
    <row r="2085">
      <c r="A2085" s="2">
        <f ca="1">DATE(2007,02,07)</f>
        <v>0</v>
      </c>
      <c r="B2085" s="2">
        <f ca="1">DATE(2007,05,10)</f>
        <v>0</v>
      </c>
      <c r="C2085" s="1" t="s">
        <v>14797</v>
      </c>
      <c r="D2085" s="3">
        <v>2834</v>
      </c>
      <c r="E2085" s="1" t="s">
        <v>43</v>
      </c>
      <c r="F2085" s="1" t="s">
        <v>14798</v>
      </c>
      <c r="G2085" s="1" t="s">
        <v>796</v>
      </c>
      <c r="H2085" s="4">
        <v>1.05</v>
      </c>
      <c r="I2085" s="4">
        <v>7</v>
      </c>
      <c r="J2085" s="5">
        <v>75</v>
      </c>
      <c r="K2085" s="4">
        <v>15</v>
      </c>
      <c r="L2085" s="1" t="s">
        <v>46</v>
      </c>
      <c r="M2085" s="1" t="s">
        <v>47</v>
      </c>
      <c r="N2085" s="1" t="s">
        <v>14799</v>
      </c>
      <c r="O2085" s="1" t="s">
        <v>48</v>
      </c>
      <c r="P2085" s="1" t="s">
        <v>14800</v>
      </c>
      <c r="Q2085" s="4">
        <v>1.3999999999999999</v>
      </c>
      <c r="R2085" s="4">
        <v>1.3999999999999999</v>
      </c>
      <c r="S2085" s="8">
        <v>4.2000000000000002</v>
      </c>
      <c r="T2085" s="1" t="s">
        <v>50</v>
      </c>
      <c r="U2085" s="1"/>
      <c r="V2085" s="1"/>
      <c r="W2085" s="1"/>
      <c r="X2085" s="5">
        <v>86.299999999999997</v>
      </c>
      <c r="Y2085" s="7">
        <v>5000000</v>
      </c>
      <c r="Z2085" s="1"/>
      <c r="AA2085" s="1" t="s">
        <v>14801</v>
      </c>
      <c r="AB2085" s="1" t="s">
        <v>5265</v>
      </c>
      <c r="AC2085" s="1" t="s">
        <v>7759</v>
      </c>
      <c r="AD2085" s="1" t="s">
        <v>5265</v>
      </c>
      <c r="AE2085" s="1" t="s">
        <v>51</v>
      </c>
      <c r="AF2085" s="1" t="s">
        <v>51</v>
      </c>
      <c r="AG2085" s="1" t="s">
        <v>47</v>
      </c>
      <c r="AH2085" s="1"/>
      <c r="AI2085" s="1"/>
      <c r="AJ2085" s="3">
        <v>1</v>
      </c>
      <c r="AK2085" s="1" t="s">
        <v>89</v>
      </c>
      <c r="AL2085" s="3">
        <v>4</v>
      </c>
      <c r="AM2085" s="8">
        <v>18</v>
      </c>
      <c r="AN2085" s="1"/>
      <c r="AO2085" s="1" t="s">
        <v>14802</v>
      </c>
      <c r="AP2085" s="1" t="s">
        <v>7633</v>
      </c>
      <c r="AQ2085" s="1" t="s">
        <v>14803</v>
      </c>
      <c r="AR2085" s="1" t="s">
        <v>14800</v>
      </c>
    </row>
    <row r="2086">
      <c r="A2086" s="2">
        <f ca="1">DATE(2007,02,13)</f>
        <v>0</v>
      </c>
      <c r="B2086" s="2">
        <f ca="1">DATE(2007,05,10)</f>
        <v>0</v>
      </c>
      <c r="C2086" s="1" t="s">
        <v>14804</v>
      </c>
      <c r="D2086" s="3">
        <v>6211</v>
      </c>
      <c r="E2086" s="1" t="s">
        <v>43</v>
      </c>
      <c r="F2086" s="1" t="s">
        <v>14805</v>
      </c>
      <c r="G2086" s="1" t="s">
        <v>14806</v>
      </c>
      <c r="H2086" s="4">
        <v>0.77000000000000002</v>
      </c>
      <c r="I2086" s="4">
        <v>7</v>
      </c>
      <c r="J2086" s="5">
        <v>88</v>
      </c>
      <c r="K2086" s="4">
        <v>11</v>
      </c>
      <c r="L2086" s="1" t="s">
        <v>46</v>
      </c>
      <c r="M2086" s="1" t="s">
        <v>47</v>
      </c>
      <c r="N2086" s="1" t="s">
        <v>14807</v>
      </c>
      <c r="O2086" s="1" t="s">
        <v>108</v>
      </c>
      <c r="P2086" s="1" t="s">
        <v>14808</v>
      </c>
      <c r="Q2086" s="4">
        <v>1.4550000000000001</v>
      </c>
      <c r="R2086" s="4">
        <v>1.3640000000000001</v>
      </c>
      <c r="S2086" s="6">
        <v>4.1818200000000001</v>
      </c>
      <c r="T2086" s="1" t="s">
        <v>50</v>
      </c>
      <c r="U2086" s="1"/>
      <c r="V2086" s="1"/>
      <c r="W2086" s="1"/>
      <c r="X2086" s="5">
        <v>100</v>
      </c>
      <c r="Y2086" s="7">
        <v>6000000</v>
      </c>
      <c r="Z2086" s="7">
        <v>1999098</v>
      </c>
      <c r="AA2086" s="1" t="s">
        <v>14801</v>
      </c>
      <c r="AB2086" s="1" t="s">
        <v>5265</v>
      </c>
      <c r="AC2086" s="1" t="s">
        <v>7759</v>
      </c>
      <c r="AD2086" s="1" t="s">
        <v>5265</v>
      </c>
      <c r="AE2086" s="1" t="s">
        <v>51</v>
      </c>
      <c r="AF2086" s="1" t="s">
        <v>51</v>
      </c>
      <c r="AG2086" s="1" t="s">
        <v>51</v>
      </c>
      <c r="AH2086" s="1"/>
      <c r="AI2086" s="1"/>
      <c r="AJ2086" s="3">
        <v>3</v>
      </c>
      <c r="AK2086" s="1" t="s">
        <v>110</v>
      </c>
      <c r="AL2086" s="3">
        <v>6</v>
      </c>
      <c r="AM2086" s="8">
        <v>12.300000000000001</v>
      </c>
      <c r="AN2086" s="1"/>
      <c r="AO2086" s="1" t="s">
        <v>14809</v>
      </c>
      <c r="AP2086" s="1" t="s">
        <v>14810</v>
      </c>
      <c r="AQ2086" s="1" t="s">
        <v>14811</v>
      </c>
      <c r="AR2086" s="1" t="s">
        <v>14812</v>
      </c>
    </row>
    <row r="2087">
      <c r="A2087" s="2">
        <f ca="1">DATE(2007,02,12)</f>
        <v>0</v>
      </c>
      <c r="B2087" s="2">
        <f ca="1">DATE(2007,05,10)</f>
        <v>0</v>
      </c>
      <c r="C2087" s="1" t="s">
        <v>14813</v>
      </c>
      <c r="D2087" s="3">
        <v>7371</v>
      </c>
      <c r="E2087" s="1" t="s">
        <v>43</v>
      </c>
      <c r="F2087" s="1" t="s">
        <v>7944</v>
      </c>
      <c r="G2087" s="1" t="s">
        <v>7893</v>
      </c>
      <c r="H2087" s="4">
        <v>1</v>
      </c>
      <c r="I2087" s="4">
        <v>6.25</v>
      </c>
      <c r="J2087" s="5">
        <v>420</v>
      </c>
      <c r="K2087" s="4">
        <v>16</v>
      </c>
      <c r="L2087" s="1" t="s">
        <v>46</v>
      </c>
      <c r="M2087" s="1" t="s">
        <v>47</v>
      </c>
      <c r="N2087" s="1" t="s">
        <v>14814</v>
      </c>
      <c r="O2087" s="1" t="s">
        <v>108</v>
      </c>
      <c r="P2087" s="1" t="s">
        <v>14815</v>
      </c>
      <c r="Q2087" s="4">
        <v>1.45</v>
      </c>
      <c r="R2087" s="4">
        <v>1.2</v>
      </c>
      <c r="S2087" s="8">
        <v>3.6000000000000001</v>
      </c>
      <c r="T2087" s="1" t="s">
        <v>50</v>
      </c>
      <c r="U2087" s="1"/>
      <c r="V2087" s="1"/>
      <c r="W2087" s="1"/>
      <c r="X2087" s="5">
        <v>460</v>
      </c>
      <c r="Y2087" s="7">
        <v>19200000</v>
      </c>
      <c r="Z2087" s="7">
        <v>7050000</v>
      </c>
      <c r="AA2087" s="1" t="s">
        <v>14735</v>
      </c>
      <c r="AB2087" s="1" t="s">
        <v>5265</v>
      </c>
      <c r="AC2087" s="1" t="s">
        <v>14816</v>
      </c>
      <c r="AD2087" s="1" t="s">
        <v>5265</v>
      </c>
      <c r="AE2087" s="1" t="s">
        <v>51</v>
      </c>
      <c r="AF2087" s="1" t="s">
        <v>51</v>
      </c>
      <c r="AG2087" s="1" t="s">
        <v>51</v>
      </c>
      <c r="AH2087" s="1"/>
      <c r="AI2087" s="1"/>
      <c r="AJ2087" s="3">
        <v>2</v>
      </c>
      <c r="AK2087" s="1" t="s">
        <v>89</v>
      </c>
      <c r="AL2087" s="3">
        <v>5</v>
      </c>
      <c r="AM2087" s="8">
        <v>18.399999999999999</v>
      </c>
      <c r="AN2087" s="1"/>
      <c r="AO2087" s="1" t="s">
        <v>14817</v>
      </c>
      <c r="AP2087" s="1" t="s">
        <v>4528</v>
      </c>
      <c r="AQ2087" s="1" t="s">
        <v>14818</v>
      </c>
      <c r="AR2087" s="1" t="s">
        <v>14819</v>
      </c>
    </row>
    <row r="2088">
      <c r="A2088" s="2">
        <f ca="1">DATE(2007,05,11)</f>
        <v>0</v>
      </c>
      <c r="B2088" s="2">
        <f ca="1">DATE(2007,05,11)</f>
        <v>0</v>
      </c>
      <c r="C2088" s="1" t="s">
        <v>14820</v>
      </c>
      <c r="D2088" s="3">
        <v>5093</v>
      </c>
      <c r="E2088" s="1" t="s">
        <v>43</v>
      </c>
      <c r="F2088" s="1" t="s">
        <v>14821</v>
      </c>
      <c r="G2088" s="1" t="s">
        <v>1542</v>
      </c>
      <c r="H2088" s="1" t="s">
        <v>57</v>
      </c>
      <c r="I2088" s="1" t="s">
        <v>57</v>
      </c>
      <c r="J2088" s="5">
        <v>0</v>
      </c>
      <c r="K2088" s="8">
        <v>0.10000000000000001</v>
      </c>
      <c r="L2088" s="1" t="s">
        <v>46</v>
      </c>
      <c r="M2088" s="1" t="s">
        <v>47</v>
      </c>
      <c r="N2088" s="3">
        <v>867700106</v>
      </c>
      <c r="O2088" s="1" t="s">
        <v>77</v>
      </c>
      <c r="P2088" s="1" t="s">
        <v>1543</v>
      </c>
      <c r="Q2088" s="1"/>
      <c r="R2088" s="1"/>
      <c r="S2088" s="1"/>
      <c r="T2088" s="1" t="s">
        <v>60</v>
      </c>
      <c r="U2088" s="1"/>
      <c r="V2088" s="1"/>
      <c r="W2088" s="7">
        <v>413000</v>
      </c>
      <c r="X2088" s="1"/>
      <c r="Y2088" s="7">
        <v>413000</v>
      </c>
      <c r="Z2088" s="1"/>
      <c r="AA2088" s="1"/>
      <c r="AB2088" s="1"/>
      <c r="AC2088" s="1"/>
      <c r="AD2088" s="1"/>
      <c r="AE2088" s="1" t="s">
        <v>51</v>
      </c>
      <c r="AF2088" s="1" t="s">
        <v>51</v>
      </c>
      <c r="AG2088" s="1" t="s">
        <v>51</v>
      </c>
      <c r="AH2088" s="1"/>
      <c r="AI2088" s="1"/>
      <c r="AJ2088" s="3">
        <v>1</v>
      </c>
      <c r="AK2088" s="1" t="s">
        <v>52</v>
      </c>
      <c r="AL2088" s="3">
        <v>1</v>
      </c>
      <c r="AM2088" s="1"/>
      <c r="AN2088" s="1"/>
      <c r="AO2088" s="1" t="s">
        <v>1542</v>
      </c>
      <c r="AP2088" s="1" t="s">
        <v>1542</v>
      </c>
      <c r="AQ2088" s="1" t="s">
        <v>1542</v>
      </c>
      <c r="AR2088" s="1" t="s">
        <v>1543</v>
      </c>
    </row>
    <row r="2089">
      <c r="A2089" s="2">
        <f ca="1">DATE(2007,05,01)</f>
        <v>0</v>
      </c>
      <c r="B2089" s="2">
        <f ca="1">DATE(2007,05,14)</f>
        <v>0</v>
      </c>
      <c r="C2089" s="1" t="s">
        <v>14822</v>
      </c>
      <c r="D2089" s="3">
        <v>1311</v>
      </c>
      <c r="E2089" s="1" t="s">
        <v>43</v>
      </c>
      <c r="F2089" s="1" t="s">
        <v>14823</v>
      </c>
      <c r="G2089" s="1" t="s">
        <v>8103</v>
      </c>
      <c r="H2089" s="4">
        <v>0.90000000000000002</v>
      </c>
      <c r="I2089" s="4">
        <v>6</v>
      </c>
      <c r="J2089" s="5">
        <v>442.5</v>
      </c>
      <c r="K2089" s="4">
        <v>15</v>
      </c>
      <c r="L2089" s="1" t="s">
        <v>46</v>
      </c>
      <c r="M2089" s="1" t="s">
        <v>47</v>
      </c>
      <c r="N2089" s="3">
        <v>212015101</v>
      </c>
      <c r="O2089" s="1" t="s">
        <v>108</v>
      </c>
      <c r="P2089" s="1" t="s">
        <v>14824</v>
      </c>
      <c r="Q2089" s="4">
        <v>1.2</v>
      </c>
      <c r="R2089" s="4">
        <v>1.2</v>
      </c>
      <c r="S2089" s="8">
        <v>3.6000000000000001</v>
      </c>
      <c r="T2089" s="1" t="s">
        <v>50</v>
      </c>
      <c r="U2089" s="1"/>
      <c r="V2089" s="1"/>
      <c r="W2089" s="1"/>
      <c r="X2089" s="5">
        <v>575</v>
      </c>
      <c r="Y2089" s="7">
        <v>8850000</v>
      </c>
      <c r="Z2089" s="7">
        <v>20650000</v>
      </c>
      <c r="AA2089" s="1" t="s">
        <v>14825</v>
      </c>
      <c r="AB2089" s="1" t="s">
        <v>5265</v>
      </c>
      <c r="AC2089" s="1" t="s">
        <v>7759</v>
      </c>
      <c r="AD2089" s="1" t="s">
        <v>5265</v>
      </c>
      <c r="AE2089" s="1" t="s">
        <v>51</v>
      </c>
      <c r="AF2089" s="1" t="s">
        <v>51</v>
      </c>
      <c r="AG2089" s="1" t="s">
        <v>51</v>
      </c>
      <c r="AH2089" s="1"/>
      <c r="AI2089" s="1"/>
      <c r="AJ2089" s="3">
        <v>2</v>
      </c>
      <c r="AK2089" s="1" t="s">
        <v>89</v>
      </c>
      <c r="AL2089" s="3">
        <v>6</v>
      </c>
      <c r="AM2089" s="8">
        <v>14.279999999999999</v>
      </c>
      <c r="AN2089" s="1"/>
      <c r="AO2089" s="1" t="s">
        <v>14826</v>
      </c>
      <c r="AP2089" s="1" t="s">
        <v>8107</v>
      </c>
      <c r="AQ2089" s="1" t="s">
        <v>14827</v>
      </c>
      <c r="AR2089" s="1" t="s">
        <v>14828</v>
      </c>
    </row>
    <row r="2090">
      <c r="A2090" s="2">
        <f ca="1">DATE(2007,02,14)</f>
        <v>0</v>
      </c>
      <c r="B2090" s="2">
        <f ca="1">DATE(2007,05,14)</f>
        <v>0</v>
      </c>
      <c r="C2090" s="1" t="s">
        <v>14829</v>
      </c>
      <c r="D2090" s="3">
        <v>3841</v>
      </c>
      <c r="E2090" s="1" t="s">
        <v>43</v>
      </c>
      <c r="F2090" s="1" t="s">
        <v>14830</v>
      </c>
      <c r="G2090" s="1" t="s">
        <v>8103</v>
      </c>
      <c r="H2090" s="4">
        <v>1.05</v>
      </c>
      <c r="I2090" s="4">
        <v>7</v>
      </c>
      <c r="J2090" s="5">
        <v>115.5</v>
      </c>
      <c r="K2090" s="4">
        <v>15</v>
      </c>
      <c r="L2090" s="1" t="s">
        <v>46</v>
      </c>
      <c r="M2090" s="1" t="s">
        <v>47</v>
      </c>
      <c r="N2090" s="1" t="s">
        <v>14831</v>
      </c>
      <c r="O2090" s="1" t="s">
        <v>48</v>
      </c>
      <c r="P2090" s="1" t="s">
        <v>14832</v>
      </c>
      <c r="Q2090" s="4">
        <v>1.3999999999999999</v>
      </c>
      <c r="R2090" s="4">
        <v>1.3999999999999999</v>
      </c>
      <c r="S2090" s="8">
        <v>4.2000000000000002</v>
      </c>
      <c r="T2090" s="1" t="s">
        <v>50</v>
      </c>
      <c r="U2090" s="1"/>
      <c r="V2090" s="1"/>
      <c r="W2090" s="1"/>
      <c r="X2090" s="5">
        <v>86.299999999999997</v>
      </c>
      <c r="Y2090" s="7">
        <v>7700000</v>
      </c>
      <c r="Z2090" s="1"/>
      <c r="AA2090" s="1" t="s">
        <v>14825</v>
      </c>
      <c r="AB2090" s="1" t="s">
        <v>5265</v>
      </c>
      <c r="AC2090" s="1" t="s">
        <v>7759</v>
      </c>
      <c r="AD2090" s="1" t="s">
        <v>5265</v>
      </c>
      <c r="AE2090" s="1" t="s">
        <v>51</v>
      </c>
      <c r="AF2090" s="1" t="s">
        <v>51</v>
      </c>
      <c r="AG2090" s="1" t="s">
        <v>47</v>
      </c>
      <c r="AH2090" s="1"/>
      <c r="AI2090" s="1"/>
      <c r="AJ2090" s="3">
        <v>2</v>
      </c>
      <c r="AK2090" s="1" t="s">
        <v>89</v>
      </c>
      <c r="AL2090" s="3">
        <v>4</v>
      </c>
      <c r="AM2090" s="8">
        <v>15.960000000000001</v>
      </c>
      <c r="AN2090" s="1"/>
      <c r="AO2090" s="1" t="s">
        <v>14833</v>
      </c>
      <c r="AP2090" s="1" t="s">
        <v>8107</v>
      </c>
      <c r="AQ2090" s="1" t="s">
        <v>14834</v>
      </c>
      <c r="AR2090" s="1" t="s">
        <v>14835</v>
      </c>
    </row>
    <row r="2091">
      <c r="A2091" s="2">
        <f ca="1">DATE(2006,12,21)</f>
        <v>0</v>
      </c>
      <c r="B2091" s="2">
        <f ca="1">DATE(2007,05,14)</f>
        <v>0</v>
      </c>
      <c r="C2091" s="1" t="s">
        <v>14836</v>
      </c>
      <c r="D2091" s="3">
        <v>1311</v>
      </c>
      <c r="E2091" s="1" t="s">
        <v>43</v>
      </c>
      <c r="F2091" s="1" t="s">
        <v>14837</v>
      </c>
      <c r="G2091" s="1" t="s">
        <v>5983</v>
      </c>
      <c r="H2091" s="4">
        <v>0.63</v>
      </c>
      <c r="I2091" s="4">
        <v>7</v>
      </c>
      <c r="J2091" s="5">
        <v>33.799999999999997</v>
      </c>
      <c r="K2091" s="4">
        <v>9</v>
      </c>
      <c r="L2091" s="1" t="s">
        <v>46</v>
      </c>
      <c r="M2091" s="1" t="s">
        <v>47</v>
      </c>
      <c r="N2091" s="3">
        <v>723464301</v>
      </c>
      <c r="O2091" s="1" t="s">
        <v>48</v>
      </c>
      <c r="P2091" s="1" t="s">
        <v>14838</v>
      </c>
      <c r="Q2091" s="1" t="s">
        <v>145</v>
      </c>
      <c r="R2091" s="1" t="s">
        <v>145</v>
      </c>
      <c r="S2091" s="6">
        <v>4.2222200000000001</v>
      </c>
      <c r="T2091" s="1" t="s">
        <v>50</v>
      </c>
      <c r="U2091" s="1"/>
      <c r="V2091" s="1"/>
      <c r="W2091" s="7">
        <v>3571429</v>
      </c>
      <c r="X2091" s="5">
        <v>61.600000000000001</v>
      </c>
      <c r="Y2091" s="7">
        <v>3750000</v>
      </c>
      <c r="Z2091" s="1"/>
      <c r="AA2091" s="1" t="s">
        <v>14825</v>
      </c>
      <c r="AB2091" s="1" t="s">
        <v>5265</v>
      </c>
      <c r="AC2091" s="1" t="s">
        <v>7759</v>
      </c>
      <c r="AD2091" s="1" t="s">
        <v>5265</v>
      </c>
      <c r="AE2091" s="1" t="s">
        <v>51</v>
      </c>
      <c r="AF2091" s="1" t="s">
        <v>51</v>
      </c>
      <c r="AG2091" s="1" t="s">
        <v>51</v>
      </c>
      <c r="AH2091" s="1"/>
      <c r="AI2091" s="1"/>
      <c r="AJ2091" s="3">
        <v>1</v>
      </c>
      <c r="AK2091" s="1" t="s">
        <v>52</v>
      </c>
      <c r="AL2091" s="3">
        <v>4</v>
      </c>
      <c r="AM2091" s="8">
        <v>8.5899999999999999</v>
      </c>
      <c r="AN2091" s="1"/>
      <c r="AO2091" s="1" t="s">
        <v>14839</v>
      </c>
      <c r="AP2091" s="1" t="s">
        <v>5983</v>
      </c>
      <c r="AQ2091" s="1" t="s">
        <v>14840</v>
      </c>
      <c r="AR2091" s="1" t="s">
        <v>14841</v>
      </c>
    </row>
    <row r="2092">
      <c r="A2092" s="2">
        <f ca="1">DATE(2007,02,16)</f>
        <v>0</v>
      </c>
      <c r="B2092" s="2">
        <f ca="1">DATE(2007,05,14)</f>
        <v>0</v>
      </c>
      <c r="C2092" s="1" t="s">
        <v>14842</v>
      </c>
      <c r="D2092" s="3">
        <v>1531</v>
      </c>
      <c r="E2092" s="1" t="s">
        <v>43</v>
      </c>
      <c r="F2092" s="1" t="s">
        <v>14843</v>
      </c>
      <c r="G2092" s="1" t="s">
        <v>8619</v>
      </c>
      <c r="H2092" s="4">
        <v>0.23999999999999999</v>
      </c>
      <c r="I2092" s="4">
        <v>7.3849999999999998</v>
      </c>
      <c r="J2092" s="5">
        <v>16.300000000000001</v>
      </c>
      <c r="K2092" s="4">
        <v>3.25</v>
      </c>
      <c r="L2092" s="1" t="s">
        <v>46</v>
      </c>
      <c r="M2092" s="1" t="s">
        <v>47</v>
      </c>
      <c r="N2092" s="3">
        <v>972234108</v>
      </c>
      <c r="O2092" s="1" t="s">
        <v>77</v>
      </c>
      <c r="P2092" s="1" t="s">
        <v>14844</v>
      </c>
      <c r="Q2092" s="1" t="s">
        <v>145</v>
      </c>
      <c r="R2092" s="1" t="s">
        <v>145</v>
      </c>
      <c r="S2092" s="6">
        <v>3.74769</v>
      </c>
      <c r="T2092" s="1" t="s">
        <v>50</v>
      </c>
      <c r="U2092" s="8">
        <v>4.5</v>
      </c>
      <c r="V2092" s="8">
        <v>4</v>
      </c>
      <c r="W2092" s="7">
        <v>5000000</v>
      </c>
      <c r="X2092" s="5">
        <v>21.300000000000001</v>
      </c>
      <c r="Y2092" s="7">
        <v>5000000</v>
      </c>
      <c r="Z2092" s="1"/>
      <c r="AA2092" s="1" t="s">
        <v>14845</v>
      </c>
      <c r="AB2092" s="1" t="s">
        <v>2067</v>
      </c>
      <c r="AC2092" s="1" t="s">
        <v>3966</v>
      </c>
      <c r="AD2092" s="1" t="s">
        <v>2067</v>
      </c>
      <c r="AE2092" s="1" t="s">
        <v>51</v>
      </c>
      <c r="AF2092" s="1" t="s">
        <v>51</v>
      </c>
      <c r="AG2092" s="1" t="s">
        <v>51</v>
      </c>
      <c r="AH2092" s="1"/>
      <c r="AI2092" s="1"/>
      <c r="AJ2092" s="3">
        <v>1</v>
      </c>
      <c r="AK2092" s="1" t="s">
        <v>52</v>
      </c>
      <c r="AL2092" s="3">
        <v>1</v>
      </c>
      <c r="AM2092" s="8">
        <v>3.1899999999999999</v>
      </c>
      <c r="AN2092" s="1"/>
      <c r="AO2092" s="1" t="s">
        <v>8619</v>
      </c>
      <c r="AP2092" s="1" t="s">
        <v>8619</v>
      </c>
      <c r="AQ2092" s="1" t="s">
        <v>8619</v>
      </c>
      <c r="AR2092" s="1" t="s">
        <v>14844</v>
      </c>
    </row>
    <row r="2093">
      <c r="A2093" s="2">
        <f ca="1">DATE(2006,10,10)</f>
        <v>0</v>
      </c>
      <c r="B2093" s="2">
        <f ca="1">DATE(2007,05,15)</f>
        <v>0</v>
      </c>
      <c r="C2093" s="1" t="s">
        <v>14846</v>
      </c>
      <c r="D2093" s="3">
        <v>8051</v>
      </c>
      <c r="E2093" s="1" t="s">
        <v>43</v>
      </c>
      <c r="F2093" s="1" t="s">
        <v>14847</v>
      </c>
      <c r="G2093" s="1" t="s">
        <v>14848</v>
      </c>
      <c r="H2093" s="4">
        <v>1.04</v>
      </c>
      <c r="I2093" s="8">
        <v>6.71</v>
      </c>
      <c r="J2093" s="5">
        <v>258.30000000000001</v>
      </c>
      <c r="K2093" s="4">
        <v>15.5</v>
      </c>
      <c r="L2093" s="1" t="s">
        <v>5129</v>
      </c>
      <c r="M2093" s="1" t="s">
        <v>47</v>
      </c>
      <c r="N2093" s="1" t="s">
        <v>14849</v>
      </c>
      <c r="O2093" s="1" t="s">
        <v>108</v>
      </c>
      <c r="P2093" s="1" t="s">
        <v>14850</v>
      </c>
      <c r="Q2093" s="1" t="s">
        <v>145</v>
      </c>
      <c r="R2093" s="1" t="s">
        <v>145</v>
      </c>
      <c r="S2093" s="6">
        <v>4.0503200000000001</v>
      </c>
      <c r="T2093" s="1" t="s">
        <v>50</v>
      </c>
      <c r="U2093" s="1"/>
      <c r="V2093" s="1"/>
      <c r="W2093" s="1"/>
      <c r="X2093" s="5">
        <v>175</v>
      </c>
      <c r="Y2093" s="7">
        <v>8333333</v>
      </c>
      <c r="Z2093" s="7">
        <v>8333333</v>
      </c>
      <c r="AA2093" s="1" t="s">
        <v>14851</v>
      </c>
      <c r="AB2093" s="1" t="s">
        <v>5265</v>
      </c>
      <c r="AC2093" s="1" t="s">
        <v>7759</v>
      </c>
      <c r="AD2093" s="1" t="s">
        <v>5265</v>
      </c>
      <c r="AE2093" s="1" t="s">
        <v>51</v>
      </c>
      <c r="AF2093" s="1" t="s">
        <v>51</v>
      </c>
      <c r="AG2093" s="1" t="s">
        <v>51</v>
      </c>
      <c r="AH2093" s="1"/>
      <c r="AI2093" s="1"/>
      <c r="AJ2093" s="3">
        <v>3</v>
      </c>
      <c r="AK2093" s="1" t="s">
        <v>110</v>
      </c>
      <c r="AL2093" s="3">
        <v>9</v>
      </c>
      <c r="AM2093" s="8">
        <v>15.9</v>
      </c>
      <c r="AN2093" s="1"/>
      <c r="AO2093" s="1" t="s">
        <v>14852</v>
      </c>
      <c r="AP2093" s="1" t="s">
        <v>14853</v>
      </c>
      <c r="AQ2093" s="1" t="s">
        <v>14854</v>
      </c>
      <c r="AR2093" s="1" t="s">
        <v>14855</v>
      </c>
    </row>
    <row r="2094">
      <c r="A2094" s="2">
        <f ca="1">DATE(2007,02,07)</f>
        <v>0</v>
      </c>
      <c r="B2094" s="2">
        <f ca="1">DATE(2007,05,16)</f>
        <v>0</v>
      </c>
      <c r="C2094" s="1" t="s">
        <v>14856</v>
      </c>
      <c r="D2094" s="3">
        <v>7359</v>
      </c>
      <c r="E2094" s="1" t="s">
        <v>43</v>
      </c>
      <c r="F2094" s="1" t="s">
        <v>14857</v>
      </c>
      <c r="G2094" s="1" t="s">
        <v>7471</v>
      </c>
      <c r="H2094" s="4">
        <v>1.05</v>
      </c>
      <c r="I2094" s="4">
        <v>7</v>
      </c>
      <c r="J2094" s="5">
        <v>87</v>
      </c>
      <c r="K2094" s="4">
        <v>15</v>
      </c>
      <c r="L2094" s="1" t="s">
        <v>46</v>
      </c>
      <c r="M2094" s="1" t="s">
        <v>47</v>
      </c>
      <c r="N2094" s="1" t="s">
        <v>14858</v>
      </c>
      <c r="O2094" s="1" t="s">
        <v>108</v>
      </c>
      <c r="P2094" s="1" t="s">
        <v>14859</v>
      </c>
      <c r="Q2094" s="1" t="s">
        <v>145</v>
      </c>
      <c r="R2094" s="1" t="s">
        <v>145</v>
      </c>
      <c r="S2094" s="8">
        <v>4.2000000000000002</v>
      </c>
      <c r="T2094" s="1" t="s">
        <v>50</v>
      </c>
      <c r="U2094" s="1"/>
      <c r="V2094" s="1"/>
      <c r="W2094" s="1"/>
      <c r="X2094" s="5">
        <v>100</v>
      </c>
      <c r="Y2094" s="7">
        <v>5800000</v>
      </c>
      <c r="Z2094" s="1"/>
      <c r="AA2094" s="1" t="s">
        <v>14860</v>
      </c>
      <c r="AB2094" s="1" t="s">
        <v>5265</v>
      </c>
      <c r="AC2094" s="1" t="s">
        <v>7759</v>
      </c>
      <c r="AD2094" s="1" t="s">
        <v>5265</v>
      </c>
      <c r="AE2094" s="1" t="s">
        <v>51</v>
      </c>
      <c r="AF2094" s="1" t="s">
        <v>51</v>
      </c>
      <c r="AG2094" s="1" t="s">
        <v>51</v>
      </c>
      <c r="AH2094" s="1"/>
      <c r="AI2094" s="1"/>
      <c r="AJ2094" s="3">
        <v>1</v>
      </c>
      <c r="AK2094" s="1" t="s">
        <v>52</v>
      </c>
      <c r="AL2094" s="3">
        <v>3</v>
      </c>
      <c r="AM2094" s="8">
        <v>15</v>
      </c>
      <c r="AN2094" s="1"/>
      <c r="AO2094" s="1" t="s">
        <v>14861</v>
      </c>
      <c r="AP2094" s="1" t="s">
        <v>7471</v>
      </c>
      <c r="AQ2094" s="1" t="s">
        <v>14862</v>
      </c>
      <c r="AR2094" s="1" t="s">
        <v>14859</v>
      </c>
    </row>
    <row r="2095">
      <c r="A2095" s="2">
        <f ca="1">DATE(2007,02,07)</f>
        <v>0</v>
      </c>
      <c r="B2095" s="2">
        <f ca="1">DATE(2007,05,16)</f>
        <v>0</v>
      </c>
      <c r="C2095" s="1" t="s">
        <v>14863</v>
      </c>
      <c r="D2095" s="3">
        <v>7389</v>
      </c>
      <c r="E2095" s="1" t="s">
        <v>43</v>
      </c>
      <c r="F2095" s="1" t="s">
        <v>14864</v>
      </c>
      <c r="G2095" s="1" t="s">
        <v>8285</v>
      </c>
      <c r="H2095" s="4">
        <v>0.91000000000000003</v>
      </c>
      <c r="I2095" s="4">
        <v>7</v>
      </c>
      <c r="J2095" s="5">
        <v>100.09999999999999</v>
      </c>
      <c r="K2095" s="4">
        <v>13</v>
      </c>
      <c r="L2095" s="1" t="s">
        <v>46</v>
      </c>
      <c r="M2095" s="1" t="s">
        <v>47</v>
      </c>
      <c r="N2095" s="1" t="s">
        <v>14865</v>
      </c>
      <c r="O2095" s="1" t="s">
        <v>48</v>
      </c>
      <c r="P2095" s="1" t="s">
        <v>14866</v>
      </c>
      <c r="Q2095" s="1" t="s">
        <v>145</v>
      </c>
      <c r="R2095" s="1" t="s">
        <v>145</v>
      </c>
      <c r="S2095" s="1"/>
      <c r="T2095" s="1" t="s">
        <v>50</v>
      </c>
      <c r="U2095" s="1"/>
      <c r="V2095" s="1"/>
      <c r="W2095" s="1"/>
      <c r="X2095" s="5">
        <v>75</v>
      </c>
      <c r="Y2095" s="7">
        <v>6427152</v>
      </c>
      <c r="Z2095" s="7">
        <v>1272848</v>
      </c>
      <c r="AA2095" s="1" t="s">
        <v>14860</v>
      </c>
      <c r="AB2095" s="1" t="s">
        <v>5265</v>
      </c>
      <c r="AC2095" s="1" t="s">
        <v>7759</v>
      </c>
      <c r="AD2095" s="1" t="s">
        <v>5265</v>
      </c>
      <c r="AE2095" s="1" t="s">
        <v>51</v>
      </c>
      <c r="AF2095" s="1" t="s">
        <v>51</v>
      </c>
      <c r="AG2095" s="1" t="s">
        <v>47</v>
      </c>
      <c r="AH2095" s="1"/>
      <c r="AI2095" s="1"/>
      <c r="AJ2095" s="3">
        <v>2</v>
      </c>
      <c r="AK2095" s="1" t="s">
        <v>89</v>
      </c>
      <c r="AL2095" s="3">
        <v>4</v>
      </c>
      <c r="AM2095" s="8">
        <v>14.789999999999999</v>
      </c>
      <c r="AN2095" s="1"/>
      <c r="AO2095" s="1" t="s">
        <v>14867</v>
      </c>
      <c r="AP2095" s="1" t="s">
        <v>7208</v>
      </c>
      <c r="AQ2095" s="1" t="s">
        <v>14868</v>
      </c>
      <c r="AR2095" s="1" t="s">
        <v>14869</v>
      </c>
    </row>
    <row r="2096">
      <c r="A2096" s="2">
        <f ca="1">DATE(2007,05,01)</f>
        <v>0</v>
      </c>
      <c r="B2096" s="2">
        <f ca="1">DATE(2007,05,16)</f>
        <v>0</v>
      </c>
      <c r="C2096" s="1" t="s">
        <v>14870</v>
      </c>
      <c r="D2096" s="3">
        <v>2834</v>
      </c>
      <c r="E2096" s="1" t="s">
        <v>510</v>
      </c>
      <c r="F2096" s="1" t="s">
        <v>14871</v>
      </c>
      <c r="G2096" s="1" t="s">
        <v>14872</v>
      </c>
      <c r="H2096" s="4">
        <v>1.0800000000000001</v>
      </c>
      <c r="I2096" s="4">
        <v>6.75</v>
      </c>
      <c r="J2096" s="5">
        <v>112</v>
      </c>
      <c r="K2096" s="4">
        <v>16</v>
      </c>
      <c r="L2096" s="1" t="s">
        <v>1057</v>
      </c>
      <c r="M2096" s="1" t="s">
        <v>47</v>
      </c>
      <c r="N2096" s="1" t="s">
        <v>14873</v>
      </c>
      <c r="O2096" s="1" t="s">
        <v>48</v>
      </c>
      <c r="P2096" s="1" t="s">
        <v>14874</v>
      </c>
      <c r="Q2096" s="4">
        <v>1.375</v>
      </c>
      <c r="R2096" s="4">
        <v>1.3129999999999999</v>
      </c>
      <c r="S2096" s="10">
        <v>4.0625</v>
      </c>
      <c r="T2096" s="1" t="s">
        <v>50</v>
      </c>
      <c r="U2096" s="8">
        <v>19</v>
      </c>
      <c r="V2096" s="8">
        <v>17</v>
      </c>
      <c r="W2096" s="7">
        <v>7000000</v>
      </c>
      <c r="X2096" s="5">
        <v>126</v>
      </c>
      <c r="Y2096" s="7">
        <v>7000000</v>
      </c>
      <c r="Z2096" s="1"/>
      <c r="AA2096" s="1" t="s">
        <v>14875</v>
      </c>
      <c r="AB2096" s="1" t="s">
        <v>5265</v>
      </c>
      <c r="AC2096" s="1" t="s">
        <v>14596</v>
      </c>
      <c r="AD2096" s="1" t="s">
        <v>5265</v>
      </c>
      <c r="AE2096" s="1" t="s">
        <v>51</v>
      </c>
      <c r="AF2096" s="1" t="s">
        <v>51</v>
      </c>
      <c r="AG2096" s="1" t="s">
        <v>47</v>
      </c>
      <c r="AH2096" s="1"/>
      <c r="AI2096" s="1"/>
      <c r="AJ2096" s="3">
        <v>2</v>
      </c>
      <c r="AK2096" s="1" t="s">
        <v>89</v>
      </c>
      <c r="AL2096" s="3">
        <v>5</v>
      </c>
      <c r="AM2096" s="8">
        <v>15.58</v>
      </c>
      <c r="AN2096" s="1"/>
      <c r="AO2096" s="1" t="s">
        <v>14876</v>
      </c>
      <c r="AP2096" s="1" t="s">
        <v>14877</v>
      </c>
      <c r="AQ2096" s="1" t="s">
        <v>14878</v>
      </c>
      <c r="AR2096" s="1" t="s">
        <v>14879</v>
      </c>
    </row>
    <row r="2097">
      <c r="A2097" s="2">
        <f ca="1">DATE(2007,04,25)</f>
        <v>0</v>
      </c>
      <c r="B2097" s="2">
        <f ca="1">DATE(2007,05,17)</f>
        <v>0</v>
      </c>
      <c r="C2097" s="1" t="s">
        <v>14880</v>
      </c>
      <c r="D2097" s="3">
        <v>3674</v>
      </c>
      <c r="E2097" s="1" t="s">
        <v>744</v>
      </c>
      <c r="F2097" s="1" t="s">
        <v>14881</v>
      </c>
      <c r="G2097" s="1" t="s">
        <v>45</v>
      </c>
      <c r="H2097" s="4">
        <v>0.77000000000000002</v>
      </c>
      <c r="I2097" s="4">
        <v>7</v>
      </c>
      <c r="J2097" s="5">
        <v>93.5</v>
      </c>
      <c r="K2097" s="4">
        <v>11</v>
      </c>
      <c r="L2097" s="1" t="s">
        <v>651</v>
      </c>
      <c r="M2097" s="1" t="s">
        <v>47</v>
      </c>
      <c r="N2097" s="1" t="s">
        <v>14882</v>
      </c>
      <c r="O2097" s="1" t="s">
        <v>48</v>
      </c>
      <c r="P2097" s="1" t="s">
        <v>14883</v>
      </c>
      <c r="Q2097" s="4">
        <v>1.4550000000000001</v>
      </c>
      <c r="R2097" s="4">
        <v>1.3640000000000001</v>
      </c>
      <c r="S2097" s="6">
        <v>4.1818200000000001</v>
      </c>
      <c r="T2097" s="1" t="s">
        <v>50</v>
      </c>
      <c r="U2097" s="1"/>
      <c r="V2097" s="1"/>
      <c r="W2097" s="1"/>
      <c r="X2097" s="5">
        <v>100</v>
      </c>
      <c r="Y2097" s="7">
        <v>8500000</v>
      </c>
      <c r="Z2097" s="1"/>
      <c r="AA2097" s="1" t="s">
        <v>14884</v>
      </c>
      <c r="AB2097" s="1" t="s">
        <v>5265</v>
      </c>
      <c r="AC2097" s="1" t="s">
        <v>7759</v>
      </c>
      <c r="AD2097" s="1" t="s">
        <v>5265</v>
      </c>
      <c r="AE2097" s="1" t="s">
        <v>47</v>
      </c>
      <c r="AF2097" s="1" t="s">
        <v>51</v>
      </c>
      <c r="AG2097" s="1" t="s">
        <v>51</v>
      </c>
      <c r="AH2097" s="1"/>
      <c r="AI2097" s="1"/>
      <c r="AJ2097" s="3">
        <v>1</v>
      </c>
      <c r="AK2097" s="1" t="s">
        <v>52</v>
      </c>
      <c r="AL2097" s="3">
        <v>3</v>
      </c>
      <c r="AM2097" s="8">
        <v>16.559999999999999</v>
      </c>
      <c r="AN2097" s="1"/>
      <c r="AO2097" s="1" t="s">
        <v>14885</v>
      </c>
      <c r="AP2097" s="1" t="s">
        <v>45</v>
      </c>
      <c r="AQ2097" s="1" t="s">
        <v>14886</v>
      </c>
      <c r="AR2097" s="1" t="s">
        <v>14887</v>
      </c>
    </row>
    <row r="2098">
      <c r="A2098" s="2">
        <f ca="1">DATE(2007,02,12)</f>
        <v>0</v>
      </c>
      <c r="B2098" s="2">
        <f ca="1">DATE(2007,05,17)</f>
        <v>0</v>
      </c>
      <c r="C2098" s="1" t="s">
        <v>14888</v>
      </c>
      <c r="D2098" s="3">
        <v>3825</v>
      </c>
      <c r="E2098" s="1" t="s">
        <v>43</v>
      </c>
      <c r="F2098" s="1" t="s">
        <v>14889</v>
      </c>
      <c r="G2098" s="1" t="s">
        <v>13593</v>
      </c>
      <c r="H2098" s="4">
        <v>1.8200000000000001</v>
      </c>
      <c r="I2098" s="4">
        <v>7</v>
      </c>
      <c r="J2098" s="5">
        <v>97.5</v>
      </c>
      <c r="K2098" s="4">
        <v>26</v>
      </c>
      <c r="L2098" s="1" t="s">
        <v>46</v>
      </c>
      <c r="M2098" s="1" t="s">
        <v>47</v>
      </c>
      <c r="N2098" s="3">
        <v>292764107</v>
      </c>
      <c r="O2098" s="1" t="s">
        <v>48</v>
      </c>
      <c r="P2098" s="1" t="s">
        <v>14890</v>
      </c>
      <c r="Q2098" s="1" t="s">
        <v>145</v>
      </c>
      <c r="R2098" s="1" t="s">
        <v>145</v>
      </c>
      <c r="S2098" s="8">
        <v>4.2000000000000002</v>
      </c>
      <c r="T2098" s="1" t="s">
        <v>50</v>
      </c>
      <c r="U2098" s="1"/>
      <c r="V2098" s="1"/>
      <c r="W2098" s="1"/>
      <c r="X2098" s="5">
        <v>100</v>
      </c>
      <c r="Y2098" s="7">
        <v>3525000</v>
      </c>
      <c r="Z2098" s="7">
        <v>225000</v>
      </c>
      <c r="AA2098" s="1" t="s">
        <v>14884</v>
      </c>
      <c r="AB2098" s="1" t="s">
        <v>5265</v>
      </c>
      <c r="AC2098" s="1" t="s">
        <v>7759</v>
      </c>
      <c r="AD2098" s="1" t="s">
        <v>5265</v>
      </c>
      <c r="AE2098" s="1" t="s">
        <v>51</v>
      </c>
      <c r="AF2098" s="1" t="s">
        <v>51</v>
      </c>
      <c r="AG2098" s="1" t="s">
        <v>47</v>
      </c>
      <c r="AH2098" s="1"/>
      <c r="AI2098" s="1"/>
      <c r="AJ2098" s="3">
        <v>2</v>
      </c>
      <c r="AK2098" s="1" t="s">
        <v>89</v>
      </c>
      <c r="AL2098" s="3">
        <v>4</v>
      </c>
      <c r="AM2098" s="8">
        <v>31.129999999999999</v>
      </c>
      <c r="AN2098" s="1"/>
      <c r="AO2098" s="1" t="s">
        <v>14891</v>
      </c>
      <c r="AP2098" s="1" t="s">
        <v>13599</v>
      </c>
      <c r="AQ2098" s="1" t="s">
        <v>14892</v>
      </c>
      <c r="AR2098" s="1" t="s">
        <v>14890</v>
      </c>
    </row>
    <row r="2099">
      <c r="A2099" s="2">
        <f ca="1">DATE(2006,08,02)</f>
        <v>0</v>
      </c>
      <c r="B2099" s="2">
        <f ca="1">DATE(2007,05,17)</f>
        <v>0</v>
      </c>
      <c r="C2099" s="1" t="s">
        <v>14893</v>
      </c>
      <c r="D2099" s="3">
        <v>3452</v>
      </c>
      <c r="E2099" s="1" t="s">
        <v>43</v>
      </c>
      <c r="F2099" s="1" t="s">
        <v>14894</v>
      </c>
      <c r="G2099" s="1" t="s">
        <v>6056</v>
      </c>
      <c r="H2099" s="4">
        <v>0.77000000000000002</v>
      </c>
      <c r="I2099" s="4">
        <v>7</v>
      </c>
      <c r="J2099" s="5">
        <v>121</v>
      </c>
      <c r="K2099" s="4">
        <v>11</v>
      </c>
      <c r="L2099" s="1" t="s">
        <v>46</v>
      </c>
      <c r="M2099" s="1" t="s">
        <v>47</v>
      </c>
      <c r="N2099" s="3">
        <v>896215209</v>
      </c>
      <c r="O2099" s="1" t="s">
        <v>108</v>
      </c>
      <c r="P2099" s="1" t="s">
        <v>14895</v>
      </c>
      <c r="Q2099" s="4">
        <v>1.3999999999999999</v>
      </c>
      <c r="R2099" s="4">
        <v>1.3999999999999999</v>
      </c>
      <c r="S2099" s="8">
        <v>4.2000000000000002</v>
      </c>
      <c r="T2099" s="1" t="s">
        <v>50</v>
      </c>
      <c r="U2099" s="1"/>
      <c r="V2099" s="1"/>
      <c r="W2099" s="1"/>
      <c r="X2099" s="5">
        <v>201.30000000000001</v>
      </c>
      <c r="Y2099" s="7">
        <v>11000000</v>
      </c>
      <c r="Z2099" s="1"/>
      <c r="AA2099" s="1" t="s">
        <v>14884</v>
      </c>
      <c r="AB2099" s="1" t="s">
        <v>5265</v>
      </c>
      <c r="AC2099" s="1" t="s">
        <v>7759</v>
      </c>
      <c r="AD2099" s="1" t="s">
        <v>5265</v>
      </c>
      <c r="AE2099" s="1" t="s">
        <v>51</v>
      </c>
      <c r="AF2099" s="1" t="s">
        <v>51</v>
      </c>
      <c r="AG2099" s="1" t="s">
        <v>51</v>
      </c>
      <c r="AH2099" s="1"/>
      <c r="AI2099" s="1"/>
      <c r="AJ2099" s="3">
        <v>2</v>
      </c>
      <c r="AK2099" s="1" t="s">
        <v>89</v>
      </c>
      <c r="AL2099" s="3">
        <v>7</v>
      </c>
      <c r="AM2099" s="8">
        <v>11.75</v>
      </c>
      <c r="AN2099" s="1"/>
      <c r="AO2099" s="1" t="s">
        <v>14896</v>
      </c>
      <c r="AP2099" s="1" t="s">
        <v>4884</v>
      </c>
      <c r="AQ2099" s="1" t="s">
        <v>14897</v>
      </c>
      <c r="AR2099" s="1" t="s">
        <v>14898</v>
      </c>
    </row>
    <row r="2100">
      <c r="A2100" s="2">
        <f ca="1">DATE(2006,11,22)</f>
        <v>0</v>
      </c>
      <c r="B2100" s="2">
        <f ca="1">DATE(2007,05,18)</f>
        <v>0</v>
      </c>
      <c r="C2100" s="1" t="s">
        <v>14899</v>
      </c>
      <c r="D2100" s="3">
        <v>6726</v>
      </c>
      <c r="E2100" s="1" t="s">
        <v>43</v>
      </c>
      <c r="F2100" s="1" t="s">
        <v>14900</v>
      </c>
      <c r="G2100" s="1" t="s">
        <v>14419</v>
      </c>
      <c r="H2100" s="4">
        <v>0.56000000000000005</v>
      </c>
      <c r="I2100" s="4">
        <v>7</v>
      </c>
      <c r="J2100" s="5">
        <v>100</v>
      </c>
      <c r="K2100" s="4">
        <v>8</v>
      </c>
      <c r="L2100" s="1" t="s">
        <v>46</v>
      </c>
      <c r="M2100" s="1" t="s">
        <v>47</v>
      </c>
      <c r="N2100" s="3">
        <v>198851206</v>
      </c>
      <c r="O2100" s="1" t="s">
        <v>108</v>
      </c>
      <c r="P2100" s="1" t="s">
        <v>14901</v>
      </c>
      <c r="Q2100" s="1" t="s">
        <v>145</v>
      </c>
      <c r="R2100" s="1" t="s">
        <v>145</v>
      </c>
      <c r="S2100" s="4">
        <v>2.375</v>
      </c>
      <c r="T2100" s="1" t="s">
        <v>50</v>
      </c>
      <c r="U2100" s="8">
        <v>8</v>
      </c>
      <c r="V2100" s="8">
        <v>8</v>
      </c>
      <c r="W2100" s="7">
        <v>12500000</v>
      </c>
      <c r="X2100" s="5">
        <v>100</v>
      </c>
      <c r="Y2100" s="7">
        <v>12500000</v>
      </c>
      <c r="Z2100" s="1"/>
      <c r="AA2100" s="1"/>
      <c r="AB2100" s="1"/>
      <c r="AC2100" s="1"/>
      <c r="AD2100" s="1"/>
      <c r="AE2100" s="1" t="s">
        <v>51</v>
      </c>
      <c r="AF2100" s="1" t="s">
        <v>51</v>
      </c>
      <c r="AG2100" s="1" t="s">
        <v>51</v>
      </c>
      <c r="AH2100" s="1"/>
      <c r="AI2100" s="1"/>
      <c r="AJ2100" s="3">
        <v>2</v>
      </c>
      <c r="AK2100" s="1" t="s">
        <v>89</v>
      </c>
      <c r="AL2100" s="3">
        <v>2</v>
      </c>
      <c r="AM2100" s="8">
        <v>8.0999999999999996</v>
      </c>
      <c r="AN2100" s="1"/>
      <c r="AO2100" s="1" t="s">
        <v>14902</v>
      </c>
      <c r="AP2100" s="1" t="s">
        <v>14423</v>
      </c>
      <c r="AQ2100" s="1" t="s">
        <v>14903</v>
      </c>
      <c r="AR2100" s="1" t="s">
        <v>14901</v>
      </c>
    </row>
    <row r="2101">
      <c r="A2101" s="2">
        <f ca="1">DATE(2007,02,21)</f>
        <v>0</v>
      </c>
      <c r="B2101" s="2">
        <f ca="1">DATE(2007,05,21)</f>
        <v>0</v>
      </c>
      <c r="C2101" s="1" t="s">
        <v>14904</v>
      </c>
      <c r="D2101" s="3">
        <v>6726</v>
      </c>
      <c r="E2101" s="1" t="s">
        <v>43</v>
      </c>
      <c r="F2101" s="1" t="s">
        <v>14905</v>
      </c>
      <c r="G2101" s="1" t="s">
        <v>9810</v>
      </c>
      <c r="H2101" s="4">
        <v>0.56000000000000005</v>
      </c>
      <c r="I2101" s="4">
        <v>7</v>
      </c>
      <c r="J2101" s="5">
        <v>60</v>
      </c>
      <c r="K2101" s="4">
        <v>8</v>
      </c>
      <c r="L2101" s="1" t="s">
        <v>46</v>
      </c>
      <c r="M2101" s="1" t="s">
        <v>47</v>
      </c>
      <c r="N2101" s="1" t="s">
        <v>14906</v>
      </c>
      <c r="O2101" s="1" t="s">
        <v>77</v>
      </c>
      <c r="P2101" s="1" t="s">
        <v>14907</v>
      </c>
      <c r="Q2101" s="1" t="s">
        <v>145</v>
      </c>
      <c r="R2101" s="1" t="s">
        <v>145</v>
      </c>
      <c r="S2101" s="8">
        <v>2</v>
      </c>
      <c r="T2101" s="1" t="s">
        <v>50</v>
      </c>
      <c r="U2101" s="8">
        <v>8</v>
      </c>
      <c r="V2101" s="8">
        <v>8</v>
      </c>
      <c r="W2101" s="7">
        <v>6250000</v>
      </c>
      <c r="X2101" s="5">
        <v>50</v>
      </c>
      <c r="Y2101" s="7">
        <v>7500000</v>
      </c>
      <c r="Z2101" s="1"/>
      <c r="AA2101" s="1"/>
      <c r="AB2101" s="1"/>
      <c r="AC2101" s="1"/>
      <c r="AD2101" s="1"/>
      <c r="AE2101" s="1" t="s">
        <v>51</v>
      </c>
      <c r="AF2101" s="1" t="s">
        <v>51</v>
      </c>
      <c r="AG2101" s="1" t="s">
        <v>51</v>
      </c>
      <c r="AH2101" s="1"/>
      <c r="AI2101" s="1"/>
      <c r="AJ2101" s="3">
        <v>1</v>
      </c>
      <c r="AK2101" s="1" t="s">
        <v>52</v>
      </c>
      <c r="AL2101" s="3">
        <v>4</v>
      </c>
      <c r="AM2101" s="8">
        <v>8.1199999999999992</v>
      </c>
      <c r="AN2101" s="1"/>
      <c r="AO2101" s="1" t="s">
        <v>14908</v>
      </c>
      <c r="AP2101" s="1" t="s">
        <v>9810</v>
      </c>
      <c r="AQ2101" s="1" t="s">
        <v>14909</v>
      </c>
      <c r="AR2101" s="1" t="s">
        <v>14910</v>
      </c>
    </row>
    <row r="2102">
      <c r="A2102" s="2">
        <f ca="1">DATE(2007,02,14)</f>
        <v>0</v>
      </c>
      <c r="B2102" s="2">
        <f ca="1">DATE(2007,05,21)</f>
        <v>0</v>
      </c>
      <c r="C2102" s="1" t="s">
        <v>14911</v>
      </c>
      <c r="D2102" s="3">
        <v>6726</v>
      </c>
      <c r="E2102" s="1" t="s">
        <v>43</v>
      </c>
      <c r="F2102" s="1" t="s">
        <v>14912</v>
      </c>
      <c r="G2102" s="1" t="s">
        <v>9810</v>
      </c>
      <c r="H2102" s="4">
        <v>0.40000000000000002</v>
      </c>
      <c r="I2102" s="4">
        <v>5</v>
      </c>
      <c r="J2102" s="5">
        <v>60</v>
      </c>
      <c r="K2102" s="4">
        <v>8</v>
      </c>
      <c r="L2102" s="1" t="s">
        <v>46</v>
      </c>
      <c r="M2102" s="1" t="s">
        <v>47</v>
      </c>
      <c r="N2102" s="1" t="s">
        <v>14913</v>
      </c>
      <c r="O2102" s="1" t="s">
        <v>87</v>
      </c>
      <c r="P2102" s="1" t="s">
        <v>14914</v>
      </c>
      <c r="Q2102" s="1" t="s">
        <v>145</v>
      </c>
      <c r="R2102" s="1" t="s">
        <v>145</v>
      </c>
      <c r="S2102" s="8">
        <v>1.8</v>
      </c>
      <c r="T2102" s="1" t="s">
        <v>50</v>
      </c>
      <c r="U2102" s="8">
        <v>8</v>
      </c>
      <c r="V2102" s="8">
        <v>8</v>
      </c>
      <c r="W2102" s="7">
        <v>7500000</v>
      </c>
      <c r="X2102" s="5">
        <v>60</v>
      </c>
      <c r="Y2102" s="7">
        <v>7500000</v>
      </c>
      <c r="Z2102" s="1"/>
      <c r="AA2102" s="1" t="s">
        <v>14915</v>
      </c>
      <c r="AB2102" s="1" t="s">
        <v>2067</v>
      </c>
      <c r="AC2102" s="1" t="s">
        <v>2068</v>
      </c>
      <c r="AD2102" s="1" t="s">
        <v>2067</v>
      </c>
      <c r="AE2102" s="1" t="s">
        <v>51</v>
      </c>
      <c r="AF2102" s="1" t="s">
        <v>51</v>
      </c>
      <c r="AG2102" s="1" t="s">
        <v>51</v>
      </c>
      <c r="AH2102" s="1"/>
      <c r="AI2102" s="1"/>
      <c r="AJ2102" s="3">
        <v>1</v>
      </c>
      <c r="AK2102" s="1" t="s">
        <v>52</v>
      </c>
      <c r="AL2102" s="3">
        <v>4</v>
      </c>
      <c r="AM2102" s="1"/>
      <c r="AN2102" s="1"/>
      <c r="AO2102" s="1" t="s">
        <v>14916</v>
      </c>
      <c r="AP2102" s="1" t="s">
        <v>9810</v>
      </c>
      <c r="AQ2102" s="1" t="s">
        <v>14917</v>
      </c>
      <c r="AR2102" s="1" t="s">
        <v>14918</v>
      </c>
    </row>
    <row r="2103">
      <c r="A2103" s="2">
        <f ca="1">DATE(2007,02,12)</f>
        <v>0</v>
      </c>
      <c r="B2103" s="2">
        <f ca="1">DATE(2007,05,22)</f>
        <v>0</v>
      </c>
      <c r="C2103" s="1" t="s">
        <v>14919</v>
      </c>
      <c r="D2103" s="3">
        <v>7359</v>
      </c>
      <c r="E2103" s="1" t="s">
        <v>43</v>
      </c>
      <c r="F2103" s="1" t="s">
        <v>14920</v>
      </c>
      <c r="G2103" s="1" t="s">
        <v>14921</v>
      </c>
      <c r="H2103" s="4">
        <v>1.21</v>
      </c>
      <c r="I2103" s="4">
        <v>5.5</v>
      </c>
      <c r="J2103" s="5">
        <v>458.30000000000001</v>
      </c>
      <c r="K2103" s="4">
        <v>22</v>
      </c>
      <c r="L2103" s="1" t="s">
        <v>46</v>
      </c>
      <c r="M2103" s="1" t="s">
        <v>47</v>
      </c>
      <c r="N2103" s="1" t="s">
        <v>14922</v>
      </c>
      <c r="O2103" s="1" t="s">
        <v>108</v>
      </c>
      <c r="P2103" s="1" t="s">
        <v>14923</v>
      </c>
      <c r="Q2103" s="1" t="s">
        <v>145</v>
      </c>
      <c r="R2103" s="1" t="s">
        <v>145</v>
      </c>
      <c r="S2103" s="6">
        <v>3.4545499999999998</v>
      </c>
      <c r="T2103" s="1" t="s">
        <v>50</v>
      </c>
      <c r="U2103" s="1"/>
      <c r="V2103" s="1"/>
      <c r="W2103" s="1"/>
      <c r="X2103" s="5">
        <v>300</v>
      </c>
      <c r="Y2103" s="7">
        <v>12500000</v>
      </c>
      <c r="Z2103" s="7">
        <v>8333333</v>
      </c>
      <c r="AA2103" s="1" t="s">
        <v>14924</v>
      </c>
      <c r="AB2103" s="1" t="s">
        <v>5265</v>
      </c>
      <c r="AC2103" s="1" t="s">
        <v>7759</v>
      </c>
      <c r="AD2103" s="1" t="s">
        <v>5265</v>
      </c>
      <c r="AE2103" s="1" t="s">
        <v>51</v>
      </c>
      <c r="AF2103" s="1" t="s">
        <v>51</v>
      </c>
      <c r="AG2103" s="1" t="s">
        <v>51</v>
      </c>
      <c r="AH2103" s="1"/>
      <c r="AI2103" s="1"/>
      <c r="AJ2103" s="3">
        <v>3</v>
      </c>
      <c r="AK2103" s="1" t="s">
        <v>110</v>
      </c>
      <c r="AL2103" s="3">
        <v>8</v>
      </c>
      <c r="AM2103" s="8">
        <v>19</v>
      </c>
      <c r="AN2103" s="1"/>
      <c r="AO2103" s="1" t="s">
        <v>14925</v>
      </c>
      <c r="AP2103" s="1" t="s">
        <v>14926</v>
      </c>
      <c r="AQ2103" s="1" t="s">
        <v>14927</v>
      </c>
      <c r="AR2103" s="1" t="s">
        <v>14928</v>
      </c>
    </row>
    <row r="2104">
      <c r="A2104" s="2">
        <f ca="1">DATE(2007,03,01)</f>
        <v>0</v>
      </c>
      <c r="B2104" s="2">
        <f ca="1">DATE(2007,05,22)</f>
        <v>0</v>
      </c>
      <c r="C2104" s="1" t="s">
        <v>14929</v>
      </c>
      <c r="D2104" s="3">
        <v>2834</v>
      </c>
      <c r="E2104" s="1" t="s">
        <v>43</v>
      </c>
      <c r="F2104" s="1" t="s">
        <v>14930</v>
      </c>
      <c r="G2104" s="1" t="s">
        <v>400</v>
      </c>
      <c r="H2104" s="4">
        <v>0.69999999999999996</v>
      </c>
      <c r="I2104" s="8">
        <v>7</v>
      </c>
      <c r="J2104" s="5">
        <v>60</v>
      </c>
      <c r="K2104" s="4">
        <v>10</v>
      </c>
      <c r="L2104" s="1" t="s">
        <v>46</v>
      </c>
      <c r="M2104" s="1" t="s">
        <v>47</v>
      </c>
      <c r="N2104" s="1" t="s">
        <v>14931</v>
      </c>
      <c r="O2104" s="1" t="s">
        <v>48</v>
      </c>
      <c r="P2104" s="1" t="s">
        <v>14932</v>
      </c>
      <c r="Q2104" s="1" t="s">
        <v>145</v>
      </c>
      <c r="R2104" s="1" t="s">
        <v>145</v>
      </c>
      <c r="S2104" s="8">
        <v>4.2000000000000002</v>
      </c>
      <c r="T2104" s="1" t="s">
        <v>50</v>
      </c>
      <c r="U2104" s="1"/>
      <c r="V2104" s="1"/>
      <c r="W2104" s="1"/>
      <c r="X2104" s="5">
        <v>60</v>
      </c>
      <c r="Y2104" s="7">
        <v>6000000</v>
      </c>
      <c r="Z2104" s="1"/>
      <c r="AA2104" s="1" t="s">
        <v>14933</v>
      </c>
      <c r="AB2104" s="1" t="s">
        <v>2067</v>
      </c>
      <c r="AC2104" s="1" t="s">
        <v>2068</v>
      </c>
      <c r="AD2104" s="1" t="s">
        <v>2067</v>
      </c>
      <c r="AE2104" s="1" t="s">
        <v>51</v>
      </c>
      <c r="AF2104" s="1" t="s">
        <v>51</v>
      </c>
      <c r="AG2104" s="1" t="s">
        <v>47</v>
      </c>
      <c r="AH2104" s="1"/>
      <c r="AI2104" s="1"/>
      <c r="AJ2104" s="3">
        <v>1</v>
      </c>
      <c r="AK2104" s="1" t="s">
        <v>52</v>
      </c>
      <c r="AL2104" s="3">
        <v>5</v>
      </c>
      <c r="AM2104" s="8">
        <v>10.76</v>
      </c>
      <c r="AN2104" s="1"/>
      <c r="AO2104" s="1" t="s">
        <v>14934</v>
      </c>
      <c r="AP2104" s="1" t="s">
        <v>400</v>
      </c>
      <c r="AQ2104" s="1" t="s">
        <v>14935</v>
      </c>
      <c r="AR2104" s="1" t="s">
        <v>14936</v>
      </c>
    </row>
    <row r="2105">
      <c r="A2105" s="2">
        <f ca="1">DATE(2007,02,28)</f>
        <v>0</v>
      </c>
      <c r="B2105" s="2">
        <f ca="1">DATE(2007,05,23)</f>
        <v>0</v>
      </c>
      <c r="C2105" s="1" t="s">
        <v>14937</v>
      </c>
      <c r="D2105" s="3">
        <v>2834</v>
      </c>
      <c r="E2105" s="1" t="s">
        <v>43</v>
      </c>
      <c r="F2105" s="1" t="s">
        <v>14938</v>
      </c>
      <c r="G2105" s="1" t="s">
        <v>5704</v>
      </c>
      <c r="H2105" s="1" t="s">
        <v>57</v>
      </c>
      <c r="I2105" s="1" t="s">
        <v>57</v>
      </c>
      <c r="J2105" s="5">
        <v>48.600000000000001</v>
      </c>
      <c r="K2105" s="4">
        <v>9</v>
      </c>
      <c r="L2105" s="1" t="s">
        <v>46</v>
      </c>
      <c r="M2105" s="1" t="s">
        <v>47</v>
      </c>
      <c r="N2105" s="1" t="s">
        <v>14939</v>
      </c>
      <c r="O2105" s="1" t="s">
        <v>48</v>
      </c>
      <c r="P2105" s="1" t="s">
        <v>14940</v>
      </c>
      <c r="Q2105" s="1"/>
      <c r="R2105" s="1"/>
      <c r="S2105" s="1"/>
      <c r="T2105" s="1" t="s">
        <v>50</v>
      </c>
      <c r="U2105" s="1"/>
      <c r="V2105" s="1"/>
      <c r="W2105" s="1"/>
      <c r="X2105" s="5">
        <v>100</v>
      </c>
      <c r="Y2105" s="7">
        <v>5400000</v>
      </c>
      <c r="Z2105" s="1"/>
      <c r="AA2105" s="1" t="s">
        <v>14941</v>
      </c>
      <c r="AB2105" s="1" t="s">
        <v>5265</v>
      </c>
      <c r="AC2105" s="1" t="s">
        <v>7759</v>
      </c>
      <c r="AD2105" s="1" t="s">
        <v>5265</v>
      </c>
      <c r="AE2105" s="1" t="s">
        <v>51</v>
      </c>
      <c r="AF2105" s="1" t="s">
        <v>51</v>
      </c>
      <c r="AG2105" s="1" t="s">
        <v>47</v>
      </c>
      <c r="AH2105" s="1"/>
      <c r="AI2105" s="1"/>
      <c r="AJ2105" s="3">
        <v>1</v>
      </c>
      <c r="AK2105" s="1" t="s">
        <v>52</v>
      </c>
      <c r="AL2105" s="3">
        <v>4</v>
      </c>
      <c r="AM2105" s="8">
        <v>8.4700000000000006</v>
      </c>
      <c r="AN2105" s="1"/>
      <c r="AO2105" s="1" t="s">
        <v>14942</v>
      </c>
      <c r="AP2105" s="1" t="s">
        <v>5704</v>
      </c>
      <c r="AQ2105" s="1" t="s">
        <v>14943</v>
      </c>
      <c r="AR2105" s="1" t="s">
        <v>14944</v>
      </c>
    </row>
    <row r="2106">
      <c r="A2106" s="2">
        <f ca="1">DATE(2007,05,04)</f>
        <v>0</v>
      </c>
      <c r="B2106" s="2">
        <f ca="1">DATE(2007,05,23)</f>
        <v>0</v>
      </c>
      <c r="C2106" s="1" t="s">
        <v>14945</v>
      </c>
      <c r="D2106" s="3">
        <v>7372</v>
      </c>
      <c r="E2106" s="1" t="s">
        <v>934</v>
      </c>
      <c r="F2106" s="1" t="s">
        <v>14946</v>
      </c>
      <c r="G2106" s="1" t="s">
        <v>10908</v>
      </c>
      <c r="H2106" s="4">
        <v>0.94499999999999995</v>
      </c>
      <c r="I2106" s="8">
        <v>7</v>
      </c>
      <c r="J2106" s="5">
        <v>28.399999999999999</v>
      </c>
      <c r="K2106" s="4">
        <v>13.5</v>
      </c>
      <c r="L2106" s="1" t="s">
        <v>1057</v>
      </c>
      <c r="M2106" s="1" t="s">
        <v>47</v>
      </c>
      <c r="N2106" s="1"/>
      <c r="O2106" s="1" t="s">
        <v>48</v>
      </c>
      <c r="P2106" s="1" t="s">
        <v>14947</v>
      </c>
      <c r="Q2106" s="1" t="s">
        <v>145</v>
      </c>
      <c r="R2106" s="1" t="s">
        <v>145</v>
      </c>
      <c r="S2106" s="1"/>
      <c r="T2106" s="1" t="s">
        <v>50</v>
      </c>
      <c r="U2106" s="8">
        <v>15.5</v>
      </c>
      <c r="V2106" s="8">
        <v>13.5</v>
      </c>
      <c r="W2106" s="7">
        <v>2100000</v>
      </c>
      <c r="X2106" s="5">
        <v>30.5</v>
      </c>
      <c r="Y2106" s="7">
        <v>2100000</v>
      </c>
      <c r="Z2106" s="1"/>
      <c r="AA2106" s="1" t="s">
        <v>14948</v>
      </c>
      <c r="AB2106" s="1" t="s">
        <v>2067</v>
      </c>
      <c r="AC2106" s="1" t="s">
        <v>2068</v>
      </c>
      <c r="AD2106" s="1" t="s">
        <v>2067</v>
      </c>
      <c r="AE2106" s="1" t="s">
        <v>51</v>
      </c>
      <c r="AF2106" s="1" t="s">
        <v>51</v>
      </c>
      <c r="AG2106" s="1" t="s">
        <v>51</v>
      </c>
      <c r="AH2106" s="1"/>
      <c r="AI2106" s="1"/>
      <c r="AJ2106" s="3">
        <v>1</v>
      </c>
      <c r="AK2106" s="1" t="s">
        <v>52</v>
      </c>
      <c r="AL2106" s="3">
        <v>2</v>
      </c>
      <c r="AM2106" s="1"/>
      <c r="AN2106" s="1"/>
      <c r="AO2106" s="1" t="s">
        <v>14949</v>
      </c>
      <c r="AP2106" s="1" t="s">
        <v>10908</v>
      </c>
      <c r="AQ2106" s="1" t="s">
        <v>14950</v>
      </c>
      <c r="AR2106" s="1" t="s">
        <v>14947</v>
      </c>
    </row>
    <row r="2107">
      <c r="A2107" s="2">
        <f ca="1">DATE(2006,10,19)</f>
        <v>0</v>
      </c>
      <c r="B2107" s="2">
        <f ca="1">DATE(2007,05,23)</f>
        <v>0</v>
      </c>
      <c r="C2107" s="1" t="s">
        <v>14951</v>
      </c>
      <c r="D2107" s="3">
        <v>6726</v>
      </c>
      <c r="E2107" s="1" t="s">
        <v>43</v>
      </c>
      <c r="F2107" s="1" t="s">
        <v>14952</v>
      </c>
      <c r="G2107" s="1" t="s">
        <v>14953</v>
      </c>
      <c r="H2107" s="4">
        <v>0.56000000000000005</v>
      </c>
      <c r="I2107" s="4">
        <v>7</v>
      </c>
      <c r="J2107" s="5">
        <v>36</v>
      </c>
      <c r="K2107" s="4">
        <v>8</v>
      </c>
      <c r="L2107" s="1" t="s">
        <v>46</v>
      </c>
      <c r="M2107" s="1" t="s">
        <v>47</v>
      </c>
      <c r="N2107" s="1" t="s">
        <v>14954</v>
      </c>
      <c r="O2107" s="1" t="s">
        <v>77</v>
      </c>
      <c r="P2107" s="1" t="s">
        <v>14955</v>
      </c>
      <c r="Q2107" s="1" t="s">
        <v>145</v>
      </c>
      <c r="R2107" s="1" t="s">
        <v>145</v>
      </c>
      <c r="S2107" s="8">
        <v>2.25</v>
      </c>
      <c r="T2107" s="1" t="s">
        <v>50</v>
      </c>
      <c r="U2107" s="8">
        <v>6</v>
      </c>
      <c r="V2107" s="8">
        <v>6</v>
      </c>
      <c r="W2107" s="7">
        <v>6000000</v>
      </c>
      <c r="X2107" s="5">
        <v>36</v>
      </c>
      <c r="Y2107" s="7">
        <v>4500000</v>
      </c>
      <c r="Z2107" s="1"/>
      <c r="AA2107" s="1" t="s">
        <v>14941</v>
      </c>
      <c r="AB2107" s="1" t="s">
        <v>5265</v>
      </c>
      <c r="AC2107" s="1" t="s">
        <v>7759</v>
      </c>
      <c r="AD2107" s="1" t="s">
        <v>5265</v>
      </c>
      <c r="AE2107" s="1" t="s">
        <v>51</v>
      </c>
      <c r="AF2107" s="1" t="s">
        <v>51</v>
      </c>
      <c r="AG2107" s="1" t="s">
        <v>51</v>
      </c>
      <c r="AH2107" s="1"/>
      <c r="AI2107" s="1"/>
      <c r="AJ2107" s="3">
        <v>2</v>
      </c>
      <c r="AK2107" s="1" t="s">
        <v>89</v>
      </c>
      <c r="AL2107" s="3">
        <v>2</v>
      </c>
      <c r="AM2107" s="1"/>
      <c r="AN2107" s="1"/>
      <c r="AO2107" s="1" t="s">
        <v>14956</v>
      </c>
      <c r="AP2107" s="1" t="s">
        <v>14957</v>
      </c>
      <c r="AQ2107" s="1" t="s">
        <v>14958</v>
      </c>
      <c r="AR2107" s="1" t="s">
        <v>14959</v>
      </c>
    </row>
    <row r="2108">
      <c r="A2108" s="2">
        <f ca="1">DATE(2007,02,28)</f>
        <v>0</v>
      </c>
      <c r="B2108" s="2">
        <f ca="1">DATE(2007,05,24)</f>
        <v>0</v>
      </c>
      <c r="C2108" s="1" t="s">
        <v>14960</v>
      </c>
      <c r="D2108" s="3">
        <v>6726</v>
      </c>
      <c r="E2108" s="1" t="s">
        <v>43</v>
      </c>
      <c r="F2108" s="1" t="s">
        <v>14961</v>
      </c>
      <c r="G2108" s="1" t="s">
        <v>45</v>
      </c>
      <c r="H2108" s="4">
        <v>0.69999999999999996</v>
      </c>
      <c r="I2108" s="4">
        <v>3.5</v>
      </c>
      <c r="J2108" s="5">
        <v>575</v>
      </c>
      <c r="K2108" s="4">
        <v>20</v>
      </c>
      <c r="L2108" s="1" t="s">
        <v>46</v>
      </c>
      <c r="M2108" s="1" t="s">
        <v>47</v>
      </c>
      <c r="N2108" s="1" t="s">
        <v>14962</v>
      </c>
      <c r="O2108" s="1" t="s">
        <v>108</v>
      </c>
      <c r="P2108" s="1" t="s">
        <v>14963</v>
      </c>
      <c r="Q2108" s="1" t="s">
        <v>145</v>
      </c>
      <c r="R2108" s="1" t="s">
        <v>145</v>
      </c>
      <c r="S2108" s="8">
        <v>3</v>
      </c>
      <c r="T2108" s="1" t="s">
        <v>50</v>
      </c>
      <c r="U2108" s="8">
        <v>20</v>
      </c>
      <c r="V2108" s="8">
        <v>20</v>
      </c>
      <c r="W2108" s="7">
        <v>50000</v>
      </c>
      <c r="X2108" s="5">
        <v>1</v>
      </c>
      <c r="Y2108" s="7">
        <v>28750000</v>
      </c>
      <c r="Z2108" s="1"/>
      <c r="AA2108" s="2">
        <f ca="1">DATE(2007,11,20)</f>
        <v>0</v>
      </c>
      <c r="AB2108" s="1"/>
      <c r="AC2108" s="3">
        <v>180</v>
      </c>
      <c r="AD2108" s="1"/>
      <c r="AE2108" s="1" t="s">
        <v>51</v>
      </c>
      <c r="AF2108" s="1" t="s">
        <v>51</v>
      </c>
      <c r="AG2108" s="1" t="s">
        <v>51</v>
      </c>
      <c r="AH2108" s="1"/>
      <c r="AI2108" s="1"/>
      <c r="AJ2108" s="3">
        <v>1</v>
      </c>
      <c r="AK2108" s="1" t="s">
        <v>52</v>
      </c>
      <c r="AL2108" s="3">
        <v>15</v>
      </c>
      <c r="AM2108" s="8">
        <v>20</v>
      </c>
      <c r="AN2108" s="1"/>
      <c r="AO2108" s="1" t="s">
        <v>14964</v>
      </c>
      <c r="AP2108" s="1" t="s">
        <v>45</v>
      </c>
      <c r="AQ2108" s="1" t="s">
        <v>14965</v>
      </c>
      <c r="AR2108" s="1" t="s">
        <v>14966</v>
      </c>
    </row>
    <row r="2109">
      <c r="A2109" s="2">
        <f ca="1">DATE(2007,03,16)</f>
        <v>0</v>
      </c>
      <c r="B2109" s="2">
        <f ca="1">DATE(2007,05,24)</f>
        <v>0</v>
      </c>
      <c r="C2109" s="1" t="s">
        <v>14967</v>
      </c>
      <c r="D2109" s="3">
        <v>6726</v>
      </c>
      <c r="E2109" s="1" t="s">
        <v>43</v>
      </c>
      <c r="F2109" s="1" t="s">
        <v>14968</v>
      </c>
      <c r="G2109" s="1" t="s">
        <v>3332</v>
      </c>
      <c r="H2109" s="4">
        <v>0.90000000000000002</v>
      </c>
      <c r="I2109" s="4">
        <v>4.5</v>
      </c>
      <c r="J2109" s="9">
        <v>1970</v>
      </c>
      <c r="K2109" s="4">
        <v>20</v>
      </c>
      <c r="L2109" s="1" t="s">
        <v>46</v>
      </c>
      <c r="M2109" s="1" t="s">
        <v>47</v>
      </c>
      <c r="N2109" s="1" t="s">
        <v>14969</v>
      </c>
      <c r="O2109" s="1" t="s">
        <v>108</v>
      </c>
      <c r="P2109" s="1" t="s">
        <v>14970</v>
      </c>
      <c r="Q2109" s="1" t="s">
        <v>145</v>
      </c>
      <c r="R2109" s="1" t="s">
        <v>145</v>
      </c>
      <c r="S2109" s="8">
        <v>3</v>
      </c>
      <c r="T2109" s="1" t="s">
        <v>50</v>
      </c>
      <c r="U2109" s="8">
        <v>20</v>
      </c>
      <c r="V2109" s="8">
        <v>20</v>
      </c>
      <c r="W2109" s="7">
        <v>50000</v>
      </c>
      <c r="X2109" s="5">
        <v>1</v>
      </c>
      <c r="Y2109" s="7">
        <v>98500000</v>
      </c>
      <c r="Z2109" s="1"/>
      <c r="AA2109" s="2">
        <f ca="1">DATE(2007,11,20)</f>
        <v>0</v>
      </c>
      <c r="AB2109" s="1"/>
      <c r="AC2109" s="3">
        <v>180</v>
      </c>
      <c r="AD2109" s="1"/>
      <c r="AE2109" s="1" t="s">
        <v>51</v>
      </c>
      <c r="AF2109" s="1" t="s">
        <v>51</v>
      </c>
      <c r="AG2109" s="1" t="s">
        <v>51</v>
      </c>
      <c r="AH2109" s="1"/>
      <c r="AI2109" s="1"/>
      <c r="AJ2109" s="3">
        <v>1</v>
      </c>
      <c r="AK2109" s="1" t="s">
        <v>52</v>
      </c>
      <c r="AL2109" s="3">
        <v>23</v>
      </c>
      <c r="AM2109" s="8">
        <v>20</v>
      </c>
      <c r="AN2109" s="1"/>
      <c r="AO2109" s="1" t="s">
        <v>14971</v>
      </c>
      <c r="AP2109" s="1" t="s">
        <v>3332</v>
      </c>
      <c r="AQ2109" s="1" t="s">
        <v>14972</v>
      </c>
      <c r="AR2109" s="1" t="s">
        <v>14973</v>
      </c>
    </row>
    <row r="2110">
      <c r="A2110" s="2">
        <f ca="1">DATE(2007,03,09)</f>
        <v>0</v>
      </c>
      <c r="B2110" s="2">
        <f ca="1">DATE(2007,05,24)</f>
        <v>0</v>
      </c>
      <c r="C2110" s="1" t="s">
        <v>14974</v>
      </c>
      <c r="D2110" s="3">
        <v>6726</v>
      </c>
      <c r="E2110" s="1" t="s">
        <v>43</v>
      </c>
      <c r="F2110" s="1" t="s">
        <v>14975</v>
      </c>
      <c r="G2110" s="1" t="s">
        <v>45</v>
      </c>
      <c r="H2110" s="4">
        <v>0.90000000000000002</v>
      </c>
      <c r="I2110" s="4">
        <v>4.5</v>
      </c>
      <c r="J2110" s="5">
        <v>500</v>
      </c>
      <c r="K2110" s="4">
        <v>20</v>
      </c>
      <c r="L2110" s="1" t="s">
        <v>46</v>
      </c>
      <c r="M2110" s="1" t="s">
        <v>47</v>
      </c>
      <c r="N2110" s="3">
        <v>260537105</v>
      </c>
      <c r="O2110" s="1" t="s">
        <v>108</v>
      </c>
      <c r="P2110" s="1" t="s">
        <v>14976</v>
      </c>
      <c r="Q2110" s="4">
        <v>1</v>
      </c>
      <c r="R2110" s="4">
        <v>0.5</v>
      </c>
      <c r="S2110" s="8">
        <v>3</v>
      </c>
      <c r="T2110" s="1" t="s">
        <v>50</v>
      </c>
      <c r="U2110" s="8">
        <v>20</v>
      </c>
      <c r="V2110" s="8">
        <v>20</v>
      </c>
      <c r="W2110" s="7">
        <v>50000</v>
      </c>
      <c r="X2110" s="5">
        <v>1</v>
      </c>
      <c r="Y2110" s="7">
        <v>25000000</v>
      </c>
      <c r="Z2110" s="1"/>
      <c r="AA2110" s="1"/>
      <c r="AB2110" s="1"/>
      <c r="AC2110" s="1"/>
      <c r="AD2110" s="1"/>
      <c r="AE2110" s="1" t="s">
        <v>51</v>
      </c>
      <c r="AF2110" s="1" t="s">
        <v>51</v>
      </c>
      <c r="AG2110" s="1" t="s">
        <v>51</v>
      </c>
      <c r="AH2110" s="1"/>
      <c r="AI2110" s="1"/>
      <c r="AJ2110" s="3">
        <v>1</v>
      </c>
      <c r="AK2110" s="1" t="s">
        <v>52</v>
      </c>
      <c r="AL2110" s="3">
        <v>12</v>
      </c>
      <c r="AM2110" s="8">
        <v>20.010000000000002</v>
      </c>
      <c r="AN2110" s="1"/>
      <c r="AO2110" s="1" t="s">
        <v>14977</v>
      </c>
      <c r="AP2110" s="1" t="s">
        <v>45</v>
      </c>
      <c r="AQ2110" s="1" t="s">
        <v>14978</v>
      </c>
      <c r="AR2110" s="1" t="s">
        <v>14979</v>
      </c>
    </row>
    <row r="2111">
      <c r="A2111" s="2">
        <f ca="1">DATE(2007,01,16)</f>
        <v>0</v>
      </c>
      <c r="B2111" s="2">
        <f ca="1">DATE(2007,05,24)</f>
        <v>0</v>
      </c>
      <c r="C2111" s="1" t="s">
        <v>14980</v>
      </c>
      <c r="D2111" s="3">
        <v>6331</v>
      </c>
      <c r="E2111" s="1" t="s">
        <v>2887</v>
      </c>
      <c r="F2111" s="1" t="s">
        <v>14981</v>
      </c>
      <c r="G2111" s="1" t="s">
        <v>13710</v>
      </c>
      <c r="H2111" s="4">
        <v>1.3300000000000001</v>
      </c>
      <c r="I2111" s="4">
        <v>7</v>
      </c>
      <c r="J2111" s="5">
        <v>194.80000000000001</v>
      </c>
      <c r="K2111" s="4">
        <v>19</v>
      </c>
      <c r="L2111" s="1" t="s">
        <v>5129</v>
      </c>
      <c r="M2111" s="1" t="s">
        <v>47</v>
      </c>
      <c r="N2111" s="1" t="s">
        <v>14982</v>
      </c>
      <c r="O2111" s="1" t="s">
        <v>48</v>
      </c>
      <c r="P2111" s="1" t="s">
        <v>14983</v>
      </c>
      <c r="Q2111" s="1" t="s">
        <v>145</v>
      </c>
      <c r="R2111" s="1" t="s">
        <v>145</v>
      </c>
      <c r="S2111" s="6">
        <v>4.2105300000000003</v>
      </c>
      <c r="T2111" s="1" t="s">
        <v>50</v>
      </c>
      <c r="U2111" s="1"/>
      <c r="V2111" s="1"/>
      <c r="W2111" s="1"/>
      <c r="X2111" s="5">
        <v>175</v>
      </c>
      <c r="Y2111" s="7">
        <v>10250000</v>
      </c>
      <c r="Z2111" s="1"/>
      <c r="AA2111" s="1" t="s">
        <v>14984</v>
      </c>
      <c r="AB2111" s="1" t="s">
        <v>5265</v>
      </c>
      <c r="AC2111" s="1" t="s">
        <v>7759</v>
      </c>
      <c r="AD2111" s="1" t="s">
        <v>5265</v>
      </c>
      <c r="AE2111" s="1" t="s">
        <v>51</v>
      </c>
      <c r="AF2111" s="1" t="s">
        <v>51</v>
      </c>
      <c r="AG2111" s="1" t="s">
        <v>51</v>
      </c>
      <c r="AH2111" s="1"/>
      <c r="AI2111" s="1"/>
      <c r="AJ2111" s="3">
        <v>2</v>
      </c>
      <c r="AK2111" s="1" t="s">
        <v>89</v>
      </c>
      <c r="AL2111" s="3">
        <v>5</v>
      </c>
      <c r="AM2111" s="8">
        <v>24.030000000000001</v>
      </c>
      <c r="AN2111" s="3">
        <v>23</v>
      </c>
      <c r="AO2111" s="1" t="s">
        <v>14985</v>
      </c>
      <c r="AP2111" s="1" t="s">
        <v>7028</v>
      </c>
      <c r="AQ2111" s="1" t="s">
        <v>14986</v>
      </c>
      <c r="AR2111" s="1" t="s">
        <v>14987</v>
      </c>
    </row>
    <row r="2112">
      <c r="A2112" s="2">
        <f ca="1">DATE(2007,01,31)</f>
        <v>0</v>
      </c>
      <c r="B2112" s="2">
        <f ca="1">DATE(2007,05,24)</f>
        <v>0</v>
      </c>
      <c r="C2112" s="1" t="s">
        <v>14988</v>
      </c>
      <c r="D2112" s="3">
        <v>6726</v>
      </c>
      <c r="E2112" s="1" t="s">
        <v>43</v>
      </c>
      <c r="F2112" s="1" t="s">
        <v>14989</v>
      </c>
      <c r="G2112" s="1" t="s">
        <v>5704</v>
      </c>
      <c r="H2112" s="4">
        <v>1.125</v>
      </c>
      <c r="I2112" s="4">
        <v>4.5</v>
      </c>
      <c r="J2112" s="5">
        <v>182.5</v>
      </c>
      <c r="K2112" s="4">
        <v>25</v>
      </c>
      <c r="L2112" s="1" t="s">
        <v>46</v>
      </c>
      <c r="M2112" s="1" t="s">
        <v>47</v>
      </c>
      <c r="N2112" s="3">
        <v>723653101</v>
      </c>
      <c r="O2112" s="1" t="s">
        <v>87</v>
      </c>
      <c r="P2112" s="1" t="s">
        <v>14990</v>
      </c>
      <c r="Q2112" s="1" t="s">
        <v>145</v>
      </c>
      <c r="R2112" s="1" t="s">
        <v>145</v>
      </c>
      <c r="S2112" s="8">
        <v>3</v>
      </c>
      <c r="T2112" s="1" t="s">
        <v>50</v>
      </c>
      <c r="U2112" s="8">
        <v>25</v>
      </c>
      <c r="V2112" s="8">
        <v>25</v>
      </c>
      <c r="W2112" s="7">
        <v>40000</v>
      </c>
      <c r="X2112" s="5">
        <v>1</v>
      </c>
      <c r="Y2112" s="7">
        <v>7300000</v>
      </c>
      <c r="Z2112" s="1"/>
      <c r="AA2112" s="2">
        <f ca="1">DATE(2007,11,20)</f>
        <v>0</v>
      </c>
      <c r="AB2112" s="1"/>
      <c r="AC2112" s="3">
        <v>180</v>
      </c>
      <c r="AD2112" s="1"/>
      <c r="AE2112" s="1" t="s">
        <v>51</v>
      </c>
      <c r="AF2112" s="1" t="s">
        <v>51</v>
      </c>
      <c r="AG2112" s="1" t="s">
        <v>51</v>
      </c>
      <c r="AH2112" s="1"/>
      <c r="AI2112" s="1"/>
      <c r="AJ2112" s="3">
        <v>1</v>
      </c>
      <c r="AK2112" s="1" t="s">
        <v>52</v>
      </c>
      <c r="AL2112" s="3">
        <v>7</v>
      </c>
      <c r="AM2112" s="1"/>
      <c r="AN2112" s="1"/>
      <c r="AO2112" s="1" t="s">
        <v>14991</v>
      </c>
      <c r="AP2112" s="1" t="s">
        <v>5704</v>
      </c>
      <c r="AQ2112" s="1" t="s">
        <v>14992</v>
      </c>
      <c r="AR2112" s="1" t="s">
        <v>14993</v>
      </c>
    </row>
    <row r="2113">
      <c r="A2113" s="2">
        <f ca="1">DATE(2007,03,13)</f>
        <v>0</v>
      </c>
      <c r="B2113" s="2">
        <f ca="1">DATE(2007,05,24)</f>
        <v>0</v>
      </c>
      <c r="C2113" s="1" t="s">
        <v>14994</v>
      </c>
      <c r="D2113" s="3">
        <v>6726</v>
      </c>
      <c r="E2113" s="1" t="s">
        <v>43</v>
      </c>
      <c r="F2113" s="1" t="s">
        <v>14995</v>
      </c>
      <c r="G2113" s="1" t="s">
        <v>6201</v>
      </c>
      <c r="H2113" s="4">
        <v>1.125</v>
      </c>
      <c r="I2113" s="4">
        <v>4.5</v>
      </c>
      <c r="J2113" s="5">
        <v>222.5</v>
      </c>
      <c r="K2113" s="4">
        <v>25</v>
      </c>
      <c r="L2113" s="1" t="s">
        <v>46</v>
      </c>
      <c r="M2113" s="1" t="s">
        <v>47</v>
      </c>
      <c r="N2113" s="1" t="s">
        <v>14996</v>
      </c>
      <c r="O2113" s="1" t="s">
        <v>108</v>
      </c>
      <c r="P2113" s="1" t="s">
        <v>14997</v>
      </c>
      <c r="Q2113" s="1" t="s">
        <v>145</v>
      </c>
      <c r="R2113" s="1" t="s">
        <v>145</v>
      </c>
      <c r="S2113" s="8">
        <v>3</v>
      </c>
      <c r="T2113" s="1" t="s">
        <v>50</v>
      </c>
      <c r="U2113" s="8">
        <v>25</v>
      </c>
      <c r="V2113" s="8">
        <v>25</v>
      </c>
      <c r="W2113" s="7">
        <v>40000</v>
      </c>
      <c r="X2113" s="5">
        <v>1</v>
      </c>
      <c r="Y2113" s="7">
        <v>8900000</v>
      </c>
      <c r="Z2113" s="1"/>
      <c r="AA2113" s="1" t="s">
        <v>14998</v>
      </c>
      <c r="AB2113" s="1" t="s">
        <v>2067</v>
      </c>
      <c r="AC2113" s="1" t="s">
        <v>2068</v>
      </c>
      <c r="AD2113" s="1" t="s">
        <v>2067</v>
      </c>
      <c r="AE2113" s="1" t="s">
        <v>51</v>
      </c>
      <c r="AF2113" s="1" t="s">
        <v>51</v>
      </c>
      <c r="AG2113" s="1" t="s">
        <v>51</v>
      </c>
      <c r="AH2113" s="1"/>
      <c r="AI2113" s="1"/>
      <c r="AJ2113" s="3">
        <v>1</v>
      </c>
      <c r="AK2113" s="1" t="s">
        <v>52</v>
      </c>
      <c r="AL2113" s="3">
        <v>6</v>
      </c>
      <c r="AM2113" s="8">
        <v>25</v>
      </c>
      <c r="AN2113" s="1"/>
      <c r="AO2113" s="1" t="s">
        <v>14999</v>
      </c>
      <c r="AP2113" s="1" t="s">
        <v>6201</v>
      </c>
      <c r="AQ2113" s="1" t="s">
        <v>15000</v>
      </c>
      <c r="AR2113" s="1" t="s">
        <v>15001</v>
      </c>
    </row>
    <row r="2114">
      <c r="A2114" s="2">
        <f ca="1">DATE(2006,05,05)</f>
        <v>0</v>
      </c>
      <c r="B2114" s="2">
        <f ca="1">DATE(2007,05,24)</f>
        <v>0</v>
      </c>
      <c r="C2114" s="1" t="s">
        <v>15002</v>
      </c>
      <c r="D2114" s="3">
        <v>6726</v>
      </c>
      <c r="E2114" s="1" t="s">
        <v>43</v>
      </c>
      <c r="F2114" s="1" t="s">
        <v>15003</v>
      </c>
      <c r="G2114" s="1" t="s">
        <v>15004</v>
      </c>
      <c r="H2114" s="4">
        <v>0.17999999999999999</v>
      </c>
      <c r="I2114" s="4">
        <v>3</v>
      </c>
      <c r="J2114" s="5">
        <v>120</v>
      </c>
      <c r="K2114" s="4">
        <v>6</v>
      </c>
      <c r="L2114" s="1" t="s">
        <v>46</v>
      </c>
      <c r="M2114" s="1" t="s">
        <v>47</v>
      </c>
      <c r="N2114" s="3">
        <v>824197206</v>
      </c>
      <c r="O2114" s="1" t="s">
        <v>77</v>
      </c>
      <c r="P2114" s="1" t="s">
        <v>15005</v>
      </c>
      <c r="Q2114" s="1" t="s">
        <v>145</v>
      </c>
      <c r="R2114" s="1" t="s">
        <v>145</v>
      </c>
      <c r="S2114" s="8">
        <v>1.8</v>
      </c>
      <c r="T2114" s="1" t="s">
        <v>50</v>
      </c>
      <c r="U2114" s="8">
        <v>6</v>
      </c>
      <c r="V2114" s="8">
        <v>6</v>
      </c>
      <c r="W2114" s="7">
        <v>20000000</v>
      </c>
      <c r="X2114" s="5">
        <v>120</v>
      </c>
      <c r="Y2114" s="7">
        <v>20000000</v>
      </c>
      <c r="Z2114" s="1"/>
      <c r="AA2114" s="2">
        <f ca="1">DATE(2007,11,20)</f>
        <v>0</v>
      </c>
      <c r="AB2114" s="1"/>
      <c r="AC2114" s="3">
        <v>180</v>
      </c>
      <c r="AD2114" s="1"/>
      <c r="AE2114" s="1" t="s">
        <v>51</v>
      </c>
      <c r="AF2114" s="1" t="s">
        <v>51</v>
      </c>
      <c r="AG2114" s="1" t="s">
        <v>51</v>
      </c>
      <c r="AH2114" s="1"/>
      <c r="AI2114" s="1"/>
      <c r="AJ2114" s="3">
        <v>2</v>
      </c>
      <c r="AK2114" s="1" t="s">
        <v>89</v>
      </c>
      <c r="AL2114" s="3">
        <v>3</v>
      </c>
      <c r="AM2114" s="1"/>
      <c r="AN2114" s="1"/>
      <c r="AO2114" s="1" t="s">
        <v>15006</v>
      </c>
      <c r="AP2114" s="1" t="s">
        <v>15007</v>
      </c>
      <c r="AQ2114" s="1" t="s">
        <v>15008</v>
      </c>
      <c r="AR2114" s="1" t="s">
        <v>15005</v>
      </c>
    </row>
    <row r="2115">
      <c r="A2115" s="2">
        <f ca="1">DATE(2006,11,09)</f>
        <v>0</v>
      </c>
      <c r="B2115" s="2">
        <f ca="1">DATE(2007,05,24)</f>
        <v>0</v>
      </c>
      <c r="C2115" s="1" t="s">
        <v>15009</v>
      </c>
      <c r="D2115" s="3">
        <v>6726</v>
      </c>
      <c r="E2115" s="1" t="s">
        <v>43</v>
      </c>
      <c r="F2115" s="1" t="s">
        <v>15010</v>
      </c>
      <c r="G2115" s="1" t="s">
        <v>5110</v>
      </c>
      <c r="H2115" s="4">
        <v>0.56000000000000005</v>
      </c>
      <c r="I2115" s="4">
        <v>7</v>
      </c>
      <c r="J2115" s="5">
        <v>240</v>
      </c>
      <c r="K2115" s="4">
        <v>8</v>
      </c>
      <c r="L2115" s="1" t="s">
        <v>46</v>
      </c>
      <c r="M2115" s="1" t="s">
        <v>47</v>
      </c>
      <c r="N2115" s="1" t="s">
        <v>15011</v>
      </c>
      <c r="O2115" s="1" t="s">
        <v>87</v>
      </c>
      <c r="P2115" s="1" t="s">
        <v>15012</v>
      </c>
      <c r="Q2115" s="1" t="s">
        <v>145</v>
      </c>
      <c r="R2115" s="1" t="s">
        <v>145</v>
      </c>
      <c r="S2115" s="8">
        <v>2.25</v>
      </c>
      <c r="T2115" s="1" t="s">
        <v>50</v>
      </c>
      <c r="U2115" s="8">
        <v>8</v>
      </c>
      <c r="V2115" s="8">
        <v>8</v>
      </c>
      <c r="W2115" s="7">
        <v>12500000</v>
      </c>
      <c r="X2115" s="5">
        <v>100</v>
      </c>
      <c r="Y2115" s="7">
        <v>30000000</v>
      </c>
      <c r="Z2115" s="1"/>
      <c r="AA2115" s="1"/>
      <c r="AB2115" s="1"/>
      <c r="AC2115" s="1"/>
      <c r="AD2115" s="1"/>
      <c r="AE2115" s="1" t="s">
        <v>51</v>
      </c>
      <c r="AF2115" s="1" t="s">
        <v>51</v>
      </c>
      <c r="AG2115" s="1" t="s">
        <v>51</v>
      </c>
      <c r="AH2115" s="1"/>
      <c r="AI2115" s="1"/>
      <c r="AJ2115" s="3">
        <v>1</v>
      </c>
      <c r="AK2115" s="1" t="s">
        <v>52</v>
      </c>
      <c r="AL2115" s="3">
        <v>2</v>
      </c>
      <c r="AM2115" s="1"/>
      <c r="AN2115" s="1"/>
      <c r="AO2115" s="1" t="s">
        <v>15013</v>
      </c>
      <c r="AP2115" s="1" t="s">
        <v>5110</v>
      </c>
      <c r="AQ2115" s="1" t="s">
        <v>14613</v>
      </c>
      <c r="AR2115" s="1" t="s">
        <v>14614</v>
      </c>
    </row>
    <row r="2116">
      <c r="A2116" s="2">
        <f ca="1">DATE(2006,09,06)</f>
        <v>0</v>
      </c>
      <c r="B2116" s="2">
        <f ca="1">DATE(2007,05,25)</f>
        <v>0</v>
      </c>
      <c r="C2116" s="1" t="s">
        <v>15014</v>
      </c>
      <c r="D2116" s="3">
        <v>4932</v>
      </c>
      <c r="E2116" s="1" t="s">
        <v>43</v>
      </c>
      <c r="F2116" s="1" t="s">
        <v>15015</v>
      </c>
      <c r="G2116" s="1" t="s">
        <v>1624</v>
      </c>
      <c r="H2116" s="4">
        <v>0.69999999999999996</v>
      </c>
      <c r="I2116" s="4">
        <v>5.8330000000000002</v>
      </c>
      <c r="J2116" s="5">
        <v>120</v>
      </c>
      <c r="K2116" s="4">
        <v>12</v>
      </c>
      <c r="L2116" s="1" t="s">
        <v>46</v>
      </c>
      <c r="M2116" s="1" t="s">
        <v>47</v>
      </c>
      <c r="N2116" s="3">
        <v>184499101</v>
      </c>
      <c r="O2116" s="1" t="s">
        <v>48</v>
      </c>
      <c r="P2116" s="1" t="s">
        <v>15016</v>
      </c>
      <c r="Q2116" s="1" t="s">
        <v>145</v>
      </c>
      <c r="R2116" s="1" t="s">
        <v>145</v>
      </c>
      <c r="S2116" s="8">
        <v>2.3399999999999999</v>
      </c>
      <c r="T2116" s="1" t="s">
        <v>50</v>
      </c>
      <c r="U2116" s="1"/>
      <c r="V2116" s="1"/>
      <c r="W2116" s="1"/>
      <c r="X2116" s="5">
        <v>287.5</v>
      </c>
      <c r="Y2116" s="7">
        <v>10000000</v>
      </c>
      <c r="Z2116" s="1"/>
      <c r="AA2116" s="1" t="s">
        <v>15017</v>
      </c>
      <c r="AB2116" s="1" t="s">
        <v>5265</v>
      </c>
      <c r="AC2116" s="1" t="s">
        <v>7759</v>
      </c>
      <c r="AD2116" s="1" t="s">
        <v>5265</v>
      </c>
      <c r="AE2116" s="1" t="s">
        <v>51</v>
      </c>
      <c r="AF2116" s="1" t="s">
        <v>51</v>
      </c>
      <c r="AG2116" s="1" t="s">
        <v>51</v>
      </c>
      <c r="AH2116" s="1"/>
      <c r="AI2116" s="1"/>
      <c r="AJ2116" s="3">
        <v>1</v>
      </c>
      <c r="AK2116" s="1" t="s">
        <v>52</v>
      </c>
      <c r="AL2116" s="3">
        <v>4</v>
      </c>
      <c r="AM2116" s="8">
        <v>12.039999999999999</v>
      </c>
      <c r="AN2116" s="1"/>
      <c r="AO2116" s="1" t="s">
        <v>15018</v>
      </c>
      <c r="AP2116" s="1" t="s">
        <v>1624</v>
      </c>
      <c r="AQ2116" s="1" t="s">
        <v>15019</v>
      </c>
      <c r="AR2116" s="1" t="s">
        <v>15016</v>
      </c>
    </row>
    <row r="2117">
      <c r="A2117" s="2">
        <f ca="1">DATE(2007,03,21)</f>
        <v>0</v>
      </c>
      <c r="B2117" s="2">
        <f ca="1">DATE(2007,05,25)</f>
        <v>0</v>
      </c>
      <c r="C2117" s="1" t="s">
        <v>15020</v>
      </c>
      <c r="D2117" s="3">
        <v>6726</v>
      </c>
      <c r="E2117" s="1" t="s">
        <v>43</v>
      </c>
      <c r="F2117" s="1" t="s">
        <v>15021</v>
      </c>
      <c r="G2117" s="1" t="s">
        <v>4145</v>
      </c>
      <c r="H2117" s="4">
        <v>0.90000000000000002</v>
      </c>
      <c r="I2117" s="4">
        <v>4.5</v>
      </c>
      <c r="J2117" s="5">
        <v>246</v>
      </c>
      <c r="K2117" s="4">
        <v>20</v>
      </c>
      <c r="L2117" s="1" t="s">
        <v>46</v>
      </c>
      <c r="M2117" s="1" t="s">
        <v>47</v>
      </c>
      <c r="N2117" s="1" t="s">
        <v>15022</v>
      </c>
      <c r="O2117" s="1" t="s">
        <v>108</v>
      </c>
      <c r="P2117" s="1" t="s">
        <v>15023</v>
      </c>
      <c r="Q2117" s="1" t="s">
        <v>145</v>
      </c>
      <c r="R2117" s="1" t="s">
        <v>145</v>
      </c>
      <c r="S2117" s="8">
        <v>3</v>
      </c>
      <c r="T2117" s="1" t="s">
        <v>50</v>
      </c>
      <c r="U2117" s="8">
        <v>20</v>
      </c>
      <c r="V2117" s="8">
        <v>20</v>
      </c>
      <c r="W2117" s="7">
        <v>1000</v>
      </c>
      <c r="X2117" s="5">
        <v>0</v>
      </c>
      <c r="Y2117" s="7">
        <v>12300000</v>
      </c>
      <c r="Z2117" s="1"/>
      <c r="AA2117" s="2">
        <f ca="1">DATE(2007,11,21)</f>
        <v>0</v>
      </c>
      <c r="AB2117" s="1"/>
      <c r="AC2117" s="3">
        <v>180</v>
      </c>
      <c r="AD2117" s="1"/>
      <c r="AE2117" s="1" t="s">
        <v>51</v>
      </c>
      <c r="AF2117" s="1" t="s">
        <v>51</v>
      </c>
      <c r="AG2117" s="1" t="s">
        <v>51</v>
      </c>
      <c r="AH2117" s="1"/>
      <c r="AI2117" s="1"/>
      <c r="AJ2117" s="3">
        <v>1</v>
      </c>
      <c r="AK2117" s="1" t="s">
        <v>52</v>
      </c>
      <c r="AL2117" s="3">
        <v>12</v>
      </c>
      <c r="AM2117" s="3">
        <v>20</v>
      </c>
      <c r="AN2117" s="8">
        <v>20.010000000000002</v>
      </c>
      <c r="AO2117" s="1" t="s">
        <v>15024</v>
      </c>
      <c r="AP2117" s="1" t="s">
        <v>4145</v>
      </c>
      <c r="AQ2117" s="1" t="s">
        <v>15025</v>
      </c>
      <c r="AR2117" s="1" t="s">
        <v>15026</v>
      </c>
    </row>
    <row r="2118">
      <c r="A2118" s="2">
        <f ca="1">DATE(2007,01,18)</f>
        <v>0</v>
      </c>
      <c r="B2118" s="2">
        <f ca="1">DATE(2007,05,25)</f>
        <v>0</v>
      </c>
      <c r="C2118" s="1" t="s">
        <v>15027</v>
      </c>
      <c r="D2118" s="3">
        <v>6726</v>
      </c>
      <c r="E2118" s="1" t="s">
        <v>43</v>
      </c>
      <c r="F2118" s="1" t="s">
        <v>15028</v>
      </c>
      <c r="G2118" s="1" t="s">
        <v>5747</v>
      </c>
      <c r="H2118" s="4">
        <v>0.90000000000000002</v>
      </c>
      <c r="I2118" s="4">
        <v>4.5</v>
      </c>
      <c r="J2118" s="5">
        <v>95</v>
      </c>
      <c r="K2118" s="4">
        <v>20</v>
      </c>
      <c r="L2118" s="1" t="s">
        <v>4851</v>
      </c>
      <c r="M2118" s="1" t="s">
        <v>47</v>
      </c>
      <c r="N2118" s="1" t="s">
        <v>15029</v>
      </c>
      <c r="O2118" s="1" t="s">
        <v>87</v>
      </c>
      <c r="P2118" s="1" t="s">
        <v>15030</v>
      </c>
      <c r="Q2118" s="1" t="s">
        <v>145</v>
      </c>
      <c r="R2118" s="1" t="s">
        <v>145</v>
      </c>
      <c r="S2118" s="8">
        <v>3</v>
      </c>
      <c r="T2118" s="1" t="s">
        <v>50</v>
      </c>
      <c r="U2118" s="8">
        <v>20</v>
      </c>
      <c r="V2118" s="8">
        <v>20</v>
      </c>
      <c r="W2118" s="7">
        <v>500000</v>
      </c>
      <c r="X2118" s="5">
        <v>10</v>
      </c>
      <c r="Y2118" s="7">
        <v>4750000</v>
      </c>
      <c r="Z2118" s="1"/>
      <c r="AA2118" s="2">
        <f ca="1">DATE(2007,11,21)</f>
        <v>0</v>
      </c>
      <c r="AB2118" s="1"/>
      <c r="AC2118" s="3">
        <v>180</v>
      </c>
      <c r="AD2118" s="1"/>
      <c r="AE2118" s="1" t="s">
        <v>51</v>
      </c>
      <c r="AF2118" s="1" t="s">
        <v>51</v>
      </c>
      <c r="AG2118" s="1" t="s">
        <v>51</v>
      </c>
      <c r="AH2118" s="1"/>
      <c r="AI2118" s="1"/>
      <c r="AJ2118" s="3">
        <v>1</v>
      </c>
      <c r="AK2118" s="1" t="s">
        <v>89</v>
      </c>
      <c r="AL2118" s="3">
        <v>18</v>
      </c>
      <c r="AM2118" s="8">
        <v>20.030000000000001</v>
      </c>
      <c r="AN2118" s="1"/>
      <c r="AO2118" s="1" t="s">
        <v>15031</v>
      </c>
      <c r="AP2118" s="1" t="s">
        <v>15032</v>
      </c>
      <c r="AQ2118" s="1" t="s">
        <v>15033</v>
      </c>
      <c r="AR2118" s="1" t="s">
        <v>15034</v>
      </c>
    </row>
    <row r="2119">
      <c r="A2119" s="2">
        <f ca="1">DATE(2006,02,17)</f>
        <v>0</v>
      </c>
      <c r="B2119" s="2">
        <f ca="1">DATE(2007,05,25)</f>
        <v>0</v>
      </c>
      <c r="C2119" s="1" t="s">
        <v>15035</v>
      </c>
      <c r="D2119" s="3">
        <v>6726</v>
      </c>
      <c r="E2119" s="1" t="s">
        <v>43</v>
      </c>
      <c r="F2119" s="1" t="s">
        <v>15036</v>
      </c>
      <c r="G2119" s="1" t="s">
        <v>5747</v>
      </c>
      <c r="H2119" s="4">
        <v>0.90000000000000002</v>
      </c>
      <c r="I2119" s="4">
        <v>4.5</v>
      </c>
      <c r="J2119" s="5">
        <v>35</v>
      </c>
      <c r="K2119" s="4">
        <v>20</v>
      </c>
      <c r="L2119" s="1" t="s">
        <v>46</v>
      </c>
      <c r="M2119" s="1" t="s">
        <v>47</v>
      </c>
      <c r="N2119" s="1" t="s">
        <v>15037</v>
      </c>
      <c r="O2119" s="1" t="s">
        <v>3689</v>
      </c>
      <c r="P2119" s="1" t="s">
        <v>15038</v>
      </c>
      <c r="Q2119" s="1" t="s">
        <v>145</v>
      </c>
      <c r="R2119" s="1" t="s">
        <v>145</v>
      </c>
      <c r="S2119" s="1"/>
      <c r="T2119" s="1" t="s">
        <v>50</v>
      </c>
      <c r="U2119" s="8">
        <v>20</v>
      </c>
      <c r="V2119" s="8">
        <v>20</v>
      </c>
      <c r="W2119" s="7">
        <v>500000</v>
      </c>
      <c r="X2119" s="5">
        <v>10</v>
      </c>
      <c r="Y2119" s="7">
        <v>1750000</v>
      </c>
      <c r="Z2119" s="1"/>
      <c r="AA2119" s="1"/>
      <c r="AB2119" s="1"/>
      <c r="AC2119" s="1"/>
      <c r="AD2119" s="1"/>
      <c r="AE2119" s="1" t="s">
        <v>51</v>
      </c>
      <c r="AF2119" s="1" t="s">
        <v>51</v>
      </c>
      <c r="AG2119" s="1" t="s">
        <v>51</v>
      </c>
      <c r="AH2119" s="1"/>
      <c r="AI2119" s="1"/>
      <c r="AJ2119" s="3">
        <v>1</v>
      </c>
      <c r="AK2119" s="1" t="s">
        <v>52</v>
      </c>
      <c r="AL2119" s="3">
        <v>29</v>
      </c>
      <c r="AM2119" s="8">
        <v>25.84</v>
      </c>
      <c r="AN2119" s="1"/>
      <c r="AO2119" s="1" t="s">
        <v>15039</v>
      </c>
      <c r="AP2119" s="1" t="s">
        <v>5747</v>
      </c>
      <c r="AQ2119" s="1" t="s">
        <v>15040</v>
      </c>
      <c r="AR2119" s="1" t="s">
        <v>15041</v>
      </c>
    </row>
    <row r="2120">
      <c r="A2120" s="2">
        <f ca="1">DATE(2007,03,30)</f>
        <v>0</v>
      </c>
      <c r="B2120" s="2">
        <f ca="1">DATE(2007,05,30)</f>
        <v>0</v>
      </c>
      <c r="C2120" s="1" t="s">
        <v>15042</v>
      </c>
      <c r="D2120" s="3">
        <v>2834</v>
      </c>
      <c r="E2120" s="1" t="s">
        <v>43</v>
      </c>
      <c r="F2120" s="1" t="s">
        <v>15043</v>
      </c>
      <c r="G2120" s="1" t="s">
        <v>9071</v>
      </c>
      <c r="H2120" s="4">
        <v>1.05</v>
      </c>
      <c r="I2120" s="4">
        <v>7</v>
      </c>
      <c r="J2120" s="5">
        <v>75</v>
      </c>
      <c r="K2120" s="4">
        <v>15</v>
      </c>
      <c r="L2120" s="1" t="s">
        <v>46</v>
      </c>
      <c r="M2120" s="1" t="s">
        <v>47</v>
      </c>
      <c r="N2120" s="1" t="s">
        <v>15044</v>
      </c>
      <c r="O2120" s="1" t="s">
        <v>48</v>
      </c>
      <c r="P2120" s="1" t="s">
        <v>15045</v>
      </c>
      <c r="Q2120" s="4">
        <v>1.3999999999999999</v>
      </c>
      <c r="R2120" s="4">
        <v>1.3999999999999999</v>
      </c>
      <c r="S2120" s="8">
        <v>4.2000000000000002</v>
      </c>
      <c r="T2120" s="1" t="s">
        <v>50</v>
      </c>
      <c r="U2120" s="1"/>
      <c r="V2120" s="1"/>
      <c r="W2120" s="1"/>
      <c r="X2120" s="5">
        <v>86.299999999999997</v>
      </c>
      <c r="Y2120" s="7">
        <v>5000000</v>
      </c>
      <c r="Z2120" s="1"/>
      <c r="AA2120" s="1" t="s">
        <v>15046</v>
      </c>
      <c r="AB2120" s="1" t="s">
        <v>5265</v>
      </c>
      <c r="AC2120" s="1" t="s">
        <v>7759</v>
      </c>
      <c r="AD2120" s="1" t="s">
        <v>5265</v>
      </c>
      <c r="AE2120" s="1" t="s">
        <v>51</v>
      </c>
      <c r="AF2120" s="1" t="s">
        <v>51</v>
      </c>
      <c r="AG2120" s="1" t="s">
        <v>47</v>
      </c>
      <c r="AH2120" s="1"/>
      <c r="AI2120" s="1"/>
      <c r="AJ2120" s="3">
        <v>2</v>
      </c>
      <c r="AK2120" s="1" t="s">
        <v>89</v>
      </c>
      <c r="AL2120" s="3">
        <v>5</v>
      </c>
      <c r="AM2120" s="8">
        <v>14.43</v>
      </c>
      <c r="AN2120" s="1"/>
      <c r="AO2120" s="1" t="s">
        <v>15047</v>
      </c>
      <c r="AP2120" s="1" t="s">
        <v>4103</v>
      </c>
      <c r="AQ2120" s="1" t="s">
        <v>15048</v>
      </c>
      <c r="AR2120" s="1" t="s">
        <v>15049</v>
      </c>
    </row>
    <row r="2121">
      <c r="A2121" s="2">
        <f ca="1">DATE(2007,03,08)</f>
        <v>0</v>
      </c>
      <c r="B2121" s="2">
        <f ca="1">DATE(2007,05,31)</f>
        <v>0</v>
      </c>
      <c r="C2121" s="1" t="s">
        <v>15050</v>
      </c>
      <c r="D2121" s="3">
        <v>2834</v>
      </c>
      <c r="E2121" s="1" t="s">
        <v>43</v>
      </c>
      <c r="F2121" s="1" t="s">
        <v>15051</v>
      </c>
      <c r="G2121" s="1" t="s">
        <v>8285</v>
      </c>
      <c r="H2121" s="4">
        <v>1.26</v>
      </c>
      <c r="I2121" s="4">
        <v>7</v>
      </c>
      <c r="J2121" s="5">
        <v>108</v>
      </c>
      <c r="K2121" s="4">
        <v>18</v>
      </c>
      <c r="L2121" s="1" t="s">
        <v>46</v>
      </c>
      <c r="M2121" s="1" t="s">
        <v>47</v>
      </c>
      <c r="N2121" s="3">
        <v>472147107</v>
      </c>
      <c r="O2121" s="1" t="s">
        <v>48</v>
      </c>
      <c r="P2121" s="1" t="s">
        <v>15052</v>
      </c>
      <c r="Q2121" s="1" t="s">
        <v>145</v>
      </c>
      <c r="R2121" s="1" t="s">
        <v>145</v>
      </c>
      <c r="S2121" s="8">
        <v>4.2000000000000002</v>
      </c>
      <c r="T2121" s="1" t="s">
        <v>50</v>
      </c>
      <c r="U2121" s="1"/>
      <c r="V2121" s="1"/>
      <c r="W2121" s="1"/>
      <c r="X2121" s="5">
        <v>172.5</v>
      </c>
      <c r="Y2121" s="7">
        <v>6000000</v>
      </c>
      <c r="Z2121" s="1"/>
      <c r="AA2121" s="1" t="s">
        <v>15053</v>
      </c>
      <c r="AB2121" s="1" t="s">
        <v>5265</v>
      </c>
      <c r="AC2121" s="1" t="s">
        <v>7759</v>
      </c>
      <c r="AD2121" s="1" t="s">
        <v>5265</v>
      </c>
      <c r="AE2121" s="1" t="s">
        <v>51</v>
      </c>
      <c r="AF2121" s="1" t="s">
        <v>51</v>
      </c>
      <c r="AG2121" s="1" t="s">
        <v>47</v>
      </c>
      <c r="AH2121" s="1"/>
      <c r="AI2121" s="1"/>
      <c r="AJ2121" s="3">
        <v>2</v>
      </c>
      <c r="AK2121" s="1" t="s">
        <v>89</v>
      </c>
      <c r="AL2121" s="3">
        <v>4</v>
      </c>
      <c r="AM2121" s="8">
        <v>17.73</v>
      </c>
      <c r="AN2121" s="1"/>
      <c r="AO2121" s="1" t="s">
        <v>15054</v>
      </c>
      <c r="AP2121" s="1" t="s">
        <v>7208</v>
      </c>
      <c r="AQ2121" s="1" t="s">
        <v>15055</v>
      </c>
      <c r="AR2121" s="1" t="s">
        <v>15052</v>
      </c>
    </row>
    <row r="2122">
      <c r="A2122" s="2">
        <f ca="1">DATE(2007,05,11)</f>
        <v>0</v>
      </c>
      <c r="B2122" s="2">
        <f ca="1">DATE(2007,05,31)</f>
        <v>0</v>
      </c>
      <c r="C2122" s="1" t="s">
        <v>15056</v>
      </c>
      <c r="D2122" s="3">
        <v>3674</v>
      </c>
      <c r="E2122" s="1" t="s">
        <v>744</v>
      </c>
      <c r="F2122" s="1" t="s">
        <v>15057</v>
      </c>
      <c r="G2122" s="1" t="s">
        <v>15058</v>
      </c>
      <c r="H2122" s="4">
        <v>1.6200000000000001</v>
      </c>
      <c r="I2122" s="4">
        <v>6</v>
      </c>
      <c r="J2122" s="5">
        <v>469.39999999999998</v>
      </c>
      <c r="K2122" s="4">
        <v>27</v>
      </c>
      <c r="L2122" s="1" t="s">
        <v>651</v>
      </c>
      <c r="M2122" s="1" t="s">
        <v>47</v>
      </c>
      <c r="N2122" s="1" t="s">
        <v>15059</v>
      </c>
      <c r="O2122" s="1" t="s">
        <v>108</v>
      </c>
      <c r="P2122" s="1" t="s">
        <v>15060</v>
      </c>
      <c r="Q2122" s="1" t="s">
        <v>145</v>
      </c>
      <c r="R2122" s="1" t="s">
        <v>145</v>
      </c>
      <c r="S2122" s="8">
        <v>3.6000000000000001</v>
      </c>
      <c r="T2122" s="1" t="s">
        <v>50</v>
      </c>
      <c r="U2122" s="1"/>
      <c r="V2122" s="1"/>
      <c r="W2122" s="1"/>
      <c r="X2122" s="5">
        <v>400</v>
      </c>
      <c r="Y2122" s="7">
        <v>13392100</v>
      </c>
      <c r="Z2122" s="7">
        <v>3991900</v>
      </c>
      <c r="AA2122" s="1" t="s">
        <v>15053</v>
      </c>
      <c r="AB2122" s="1" t="s">
        <v>5265</v>
      </c>
      <c r="AC2122" s="1" t="s">
        <v>7759</v>
      </c>
      <c r="AD2122" s="1" t="s">
        <v>5265</v>
      </c>
      <c r="AE2122" s="1" t="s">
        <v>47</v>
      </c>
      <c r="AF2122" s="1" t="s">
        <v>51</v>
      </c>
      <c r="AG2122" s="1" t="s">
        <v>47</v>
      </c>
      <c r="AH2122" s="1"/>
      <c r="AI2122" s="1"/>
      <c r="AJ2122" s="3">
        <v>2</v>
      </c>
      <c r="AK2122" s="1" t="s">
        <v>89</v>
      </c>
      <c r="AL2122" s="3">
        <v>5</v>
      </c>
      <c r="AM2122" s="8">
        <v>27.199999999999999</v>
      </c>
      <c r="AN2122" s="1"/>
      <c r="AO2122" s="1" t="s">
        <v>15061</v>
      </c>
      <c r="AP2122" s="1" t="s">
        <v>15062</v>
      </c>
      <c r="AQ2122" s="1" t="s">
        <v>15063</v>
      </c>
      <c r="AR2122" s="1" t="s">
        <v>15064</v>
      </c>
    </row>
    <row r="2123">
      <c r="A2123" s="2">
        <f ca="1">DATE(2006,04,12)</f>
        <v>0</v>
      </c>
      <c r="B2123" s="2">
        <f ca="1">DATE(2007,05,31)</f>
        <v>0</v>
      </c>
      <c r="C2123" s="1" t="s">
        <v>15065</v>
      </c>
      <c r="D2123" s="3">
        <v>6726</v>
      </c>
      <c r="E2123" s="1" t="s">
        <v>43</v>
      </c>
      <c r="F2123" s="1" t="s">
        <v>15066</v>
      </c>
      <c r="G2123" s="1" t="s">
        <v>8742</v>
      </c>
      <c r="H2123" s="4">
        <v>0.26000000000000001</v>
      </c>
      <c r="I2123" s="4">
        <v>3.25</v>
      </c>
      <c r="J2123" s="5">
        <v>200</v>
      </c>
      <c r="K2123" s="4">
        <v>8</v>
      </c>
      <c r="L2123" s="1" t="s">
        <v>46</v>
      </c>
      <c r="M2123" s="1" t="s">
        <v>47</v>
      </c>
      <c r="N2123" s="3">
        <v>861923209</v>
      </c>
      <c r="O2123" s="1" t="s">
        <v>8498</v>
      </c>
      <c r="P2123" s="1" t="s">
        <v>15067</v>
      </c>
      <c r="Q2123" s="1" t="s">
        <v>145</v>
      </c>
      <c r="R2123" s="1" t="s">
        <v>145</v>
      </c>
      <c r="S2123" s="8">
        <v>1.95</v>
      </c>
      <c r="T2123" s="1" t="s">
        <v>50</v>
      </c>
      <c r="U2123" s="8">
        <v>4.25</v>
      </c>
      <c r="V2123" s="8">
        <v>4.25</v>
      </c>
      <c r="W2123" s="7">
        <v>1700000</v>
      </c>
      <c r="X2123" s="5">
        <v>7.2000000000000002</v>
      </c>
      <c r="Y2123" s="7">
        <v>25000000</v>
      </c>
      <c r="Z2123" s="1"/>
      <c r="AA2123" s="1"/>
      <c r="AB2123" s="1"/>
      <c r="AC2123" s="1"/>
      <c r="AD2123" s="1"/>
      <c r="AE2123" s="1" t="s">
        <v>51</v>
      </c>
      <c r="AF2123" s="1" t="s">
        <v>51</v>
      </c>
      <c r="AG2123" s="1" t="s">
        <v>51</v>
      </c>
      <c r="AH2123" s="1"/>
      <c r="AI2123" s="1"/>
      <c r="AJ2123" s="3">
        <v>1</v>
      </c>
      <c r="AK2123" s="1" t="s">
        <v>52</v>
      </c>
      <c r="AL2123" s="3">
        <v>2</v>
      </c>
      <c r="AM2123" s="1"/>
      <c r="AN2123" s="1"/>
      <c r="AO2123" s="1" t="s">
        <v>15068</v>
      </c>
      <c r="AP2123" s="1" t="s">
        <v>8742</v>
      </c>
      <c r="AQ2123" s="1" t="s">
        <v>15069</v>
      </c>
      <c r="AR2123" s="1" t="s">
        <v>15070</v>
      </c>
    </row>
    <row r="2124">
      <c r="A2124" s="2">
        <f ca="1">DATE(2006,12,20)</f>
        <v>0</v>
      </c>
      <c r="B2124" s="2">
        <f ca="1">DATE(2007,06,04)</f>
        <v>0</v>
      </c>
      <c r="C2124" s="1" t="s">
        <v>15071</v>
      </c>
      <c r="D2124" s="3">
        <v>2835</v>
      </c>
      <c r="E2124" s="1" t="s">
        <v>43</v>
      </c>
      <c r="F2124" s="1" t="s">
        <v>15072</v>
      </c>
      <c r="G2124" s="1" t="s">
        <v>10277</v>
      </c>
      <c r="H2124" s="4">
        <v>0.56000000000000005</v>
      </c>
      <c r="I2124" s="4">
        <v>8</v>
      </c>
      <c r="J2124" s="5">
        <v>21</v>
      </c>
      <c r="K2124" s="4">
        <v>7</v>
      </c>
      <c r="L2124" s="1" t="s">
        <v>46</v>
      </c>
      <c r="M2124" s="1" t="s">
        <v>47</v>
      </c>
      <c r="N2124" s="1" t="s">
        <v>15073</v>
      </c>
      <c r="O2124" s="1" t="s">
        <v>48</v>
      </c>
      <c r="P2124" s="1" t="s">
        <v>15074</v>
      </c>
      <c r="Q2124" s="1" t="s">
        <v>145</v>
      </c>
      <c r="R2124" s="1" t="s">
        <v>145</v>
      </c>
      <c r="S2124" s="8">
        <v>5</v>
      </c>
      <c r="T2124" s="1" t="s">
        <v>50</v>
      </c>
      <c r="U2124" s="1"/>
      <c r="V2124" s="1"/>
      <c r="W2124" s="1"/>
      <c r="X2124" s="5">
        <v>28.199999999999999</v>
      </c>
      <c r="Y2124" s="7">
        <v>3000000</v>
      </c>
      <c r="Z2124" s="1"/>
      <c r="AA2124" s="1" t="s">
        <v>15075</v>
      </c>
      <c r="AB2124" s="1" t="s">
        <v>5265</v>
      </c>
      <c r="AC2124" s="1" t="s">
        <v>12391</v>
      </c>
      <c r="AD2124" s="1" t="s">
        <v>5265</v>
      </c>
      <c r="AE2124" s="1" t="s">
        <v>51</v>
      </c>
      <c r="AF2124" s="1" t="s">
        <v>51</v>
      </c>
      <c r="AG2124" s="1" t="s">
        <v>51</v>
      </c>
      <c r="AH2124" s="1"/>
      <c r="AI2124" s="1"/>
      <c r="AJ2124" s="3">
        <v>1</v>
      </c>
      <c r="AK2124" s="1" t="s">
        <v>52</v>
      </c>
      <c r="AL2124" s="3">
        <v>2</v>
      </c>
      <c r="AM2124" s="8">
        <v>7</v>
      </c>
      <c r="AN2124" s="1"/>
      <c r="AO2124" s="1" t="s">
        <v>15076</v>
      </c>
      <c r="AP2124" s="1" t="s">
        <v>10277</v>
      </c>
      <c r="AQ2124" s="1" t="s">
        <v>15077</v>
      </c>
      <c r="AR2124" s="1" t="s">
        <v>15074</v>
      </c>
    </row>
    <row r="2125">
      <c r="A2125" s="2">
        <f ca="1">DATE(2007,03,06)</f>
        <v>0</v>
      </c>
      <c r="B2125" s="2">
        <f ca="1">DATE(2007,06,05)</f>
        <v>0</v>
      </c>
      <c r="C2125" s="1" t="s">
        <v>15078</v>
      </c>
      <c r="D2125" s="3">
        <v>3663</v>
      </c>
      <c r="E2125" s="1" t="s">
        <v>43</v>
      </c>
      <c r="F2125" s="1" t="s">
        <v>15079</v>
      </c>
      <c r="G2125" s="1" t="s">
        <v>5387</v>
      </c>
      <c r="H2125" s="4">
        <v>0.83999999999999997</v>
      </c>
      <c r="I2125" s="8">
        <v>7</v>
      </c>
      <c r="J2125" s="5">
        <v>126.40000000000001</v>
      </c>
      <c r="K2125" s="4">
        <v>12</v>
      </c>
      <c r="L2125" s="1" t="s">
        <v>46</v>
      </c>
      <c r="M2125" s="1" t="s">
        <v>47</v>
      </c>
      <c r="N2125" s="1" t="s">
        <v>15080</v>
      </c>
      <c r="O2125" s="1" t="s">
        <v>48</v>
      </c>
      <c r="P2125" s="1" t="s">
        <v>15081</v>
      </c>
      <c r="Q2125" s="1" t="s">
        <v>145</v>
      </c>
      <c r="R2125" s="1" t="s">
        <v>145</v>
      </c>
      <c r="S2125" s="8">
        <v>4.2000000000000002</v>
      </c>
      <c r="T2125" s="1" t="s">
        <v>50</v>
      </c>
      <c r="U2125" s="1"/>
      <c r="V2125" s="1"/>
      <c r="W2125" s="1"/>
      <c r="X2125" s="5">
        <v>115</v>
      </c>
      <c r="Y2125" s="7">
        <v>9000000</v>
      </c>
      <c r="Z2125" s="7">
        <v>1534841</v>
      </c>
      <c r="AA2125" s="1" t="s">
        <v>15082</v>
      </c>
      <c r="AB2125" s="1" t="s">
        <v>5265</v>
      </c>
      <c r="AC2125" s="1" t="s">
        <v>7759</v>
      </c>
      <c r="AD2125" s="1" t="s">
        <v>5265</v>
      </c>
      <c r="AE2125" s="1" t="s">
        <v>51</v>
      </c>
      <c r="AF2125" s="1" t="s">
        <v>51</v>
      </c>
      <c r="AG2125" s="1" t="s">
        <v>47</v>
      </c>
      <c r="AH2125" s="1"/>
      <c r="AI2125" s="1"/>
      <c r="AJ2125" s="3">
        <v>2</v>
      </c>
      <c r="AK2125" s="1" t="s">
        <v>89</v>
      </c>
      <c r="AL2125" s="3">
        <v>4</v>
      </c>
      <c r="AM2125" s="8">
        <v>13.960000000000001</v>
      </c>
      <c r="AN2125" s="1"/>
      <c r="AO2125" s="1" t="s">
        <v>15083</v>
      </c>
      <c r="AP2125" s="1" t="s">
        <v>5392</v>
      </c>
      <c r="AQ2125" s="1" t="s">
        <v>15084</v>
      </c>
      <c r="AR2125" s="1" t="s">
        <v>15085</v>
      </c>
    </row>
    <row r="2126">
      <c r="A2126" s="2">
        <f ca="1">DATE(2007,02,26)</f>
        <v>0</v>
      </c>
      <c r="B2126" s="2">
        <f ca="1">DATE(2007,06,06)</f>
        <v>0</v>
      </c>
      <c r="C2126" s="1" t="s">
        <v>15086</v>
      </c>
      <c r="D2126" s="3">
        <v>3661</v>
      </c>
      <c r="E2126" s="1" t="s">
        <v>43</v>
      </c>
      <c r="F2126" s="1" t="s">
        <v>15087</v>
      </c>
      <c r="G2126" s="1" t="s">
        <v>160</v>
      </c>
      <c r="H2126" s="4">
        <v>0.91000000000000003</v>
      </c>
      <c r="I2126" s="4">
        <v>7</v>
      </c>
      <c r="J2126" s="5">
        <v>182</v>
      </c>
      <c r="K2126" s="4">
        <v>13</v>
      </c>
      <c r="L2126" s="1" t="s">
        <v>46</v>
      </c>
      <c r="M2126" s="1" t="s">
        <v>47</v>
      </c>
      <c r="N2126" s="1" t="s">
        <v>15088</v>
      </c>
      <c r="O2126" s="1" t="s">
        <v>48</v>
      </c>
      <c r="P2126" s="1" t="s">
        <v>15089</v>
      </c>
      <c r="Q2126" s="4">
        <v>1.385</v>
      </c>
      <c r="R2126" s="4">
        <v>1.385</v>
      </c>
      <c r="S2126" s="6">
        <v>4.2307699999999997</v>
      </c>
      <c r="T2126" s="1" t="s">
        <v>50</v>
      </c>
      <c r="U2126" s="1"/>
      <c r="V2126" s="1"/>
      <c r="W2126" s="1"/>
      <c r="X2126" s="5">
        <v>150</v>
      </c>
      <c r="Y2126" s="7">
        <v>14000000</v>
      </c>
      <c r="Z2126" s="1"/>
      <c r="AA2126" s="1" t="s">
        <v>15090</v>
      </c>
      <c r="AB2126" s="1" t="s">
        <v>5265</v>
      </c>
      <c r="AC2126" s="1" t="s">
        <v>7759</v>
      </c>
      <c r="AD2126" s="1" t="s">
        <v>5265</v>
      </c>
      <c r="AE2126" s="1" t="s">
        <v>51</v>
      </c>
      <c r="AF2126" s="1" t="s">
        <v>51</v>
      </c>
      <c r="AG2126" s="1" t="s">
        <v>47</v>
      </c>
      <c r="AH2126" s="1"/>
      <c r="AI2126" s="1"/>
      <c r="AJ2126" s="3">
        <v>1</v>
      </c>
      <c r="AK2126" s="1" t="s">
        <v>52</v>
      </c>
      <c r="AL2126" s="3">
        <v>5</v>
      </c>
      <c r="AM2126" s="8">
        <v>19.710000000000001</v>
      </c>
      <c r="AN2126" s="1"/>
      <c r="AO2126" s="1" t="s">
        <v>15091</v>
      </c>
      <c r="AP2126" s="1" t="s">
        <v>160</v>
      </c>
      <c r="AQ2126" s="1" t="s">
        <v>15092</v>
      </c>
      <c r="AR2126" s="1" t="s">
        <v>15093</v>
      </c>
    </row>
    <row r="2127">
      <c r="A2127" s="2">
        <f ca="1">DATE(2006,07,13)</f>
        <v>0</v>
      </c>
      <c r="B2127" s="2">
        <f ca="1">DATE(2007,06,07)</f>
        <v>0</v>
      </c>
      <c r="C2127" s="1" t="s">
        <v>15094</v>
      </c>
      <c r="D2127" s="3">
        <v>6726</v>
      </c>
      <c r="E2127" s="1" t="s">
        <v>43</v>
      </c>
      <c r="F2127" s="1" t="s">
        <v>15095</v>
      </c>
      <c r="G2127" s="1" t="s">
        <v>14294</v>
      </c>
      <c r="H2127" s="4">
        <v>0.56000000000000005</v>
      </c>
      <c r="I2127" s="4">
        <v>7</v>
      </c>
      <c r="J2127" s="5">
        <v>60</v>
      </c>
      <c r="K2127" s="4">
        <v>8</v>
      </c>
      <c r="L2127" s="1" t="s">
        <v>46</v>
      </c>
      <c r="M2127" s="1" t="s">
        <v>47</v>
      </c>
      <c r="N2127" s="1" t="s">
        <v>15096</v>
      </c>
      <c r="O2127" s="1" t="s">
        <v>87</v>
      </c>
      <c r="P2127" s="1" t="s">
        <v>14901</v>
      </c>
      <c r="Q2127" s="1" t="s">
        <v>145</v>
      </c>
      <c r="R2127" s="1" t="s">
        <v>145</v>
      </c>
      <c r="S2127" s="4">
        <v>2.375</v>
      </c>
      <c r="T2127" s="1" t="s">
        <v>50</v>
      </c>
      <c r="U2127" s="8">
        <v>8</v>
      </c>
      <c r="V2127" s="8">
        <v>8</v>
      </c>
      <c r="W2127" s="7">
        <v>9375000</v>
      </c>
      <c r="X2127" s="5">
        <v>75</v>
      </c>
      <c r="Y2127" s="7">
        <v>7500000</v>
      </c>
      <c r="Z2127" s="1"/>
      <c r="AA2127" s="2">
        <f ca="1">DATE(2007,12,04)</f>
        <v>0</v>
      </c>
      <c r="AB2127" s="4">
        <v>23</v>
      </c>
      <c r="AC2127" s="3">
        <v>180</v>
      </c>
      <c r="AD2127" s="8">
        <v>2156250</v>
      </c>
      <c r="AE2127" s="1" t="s">
        <v>51</v>
      </c>
      <c r="AF2127" s="1" t="s">
        <v>51</v>
      </c>
      <c r="AG2127" s="1" t="s">
        <v>51</v>
      </c>
      <c r="AH2127" s="1"/>
      <c r="AI2127" s="1"/>
      <c r="AJ2127" s="3">
        <v>1</v>
      </c>
      <c r="AK2127" s="1" t="s">
        <v>52</v>
      </c>
      <c r="AL2127" s="3">
        <v>2</v>
      </c>
      <c r="AM2127" s="1"/>
      <c r="AN2127" s="1"/>
      <c r="AO2127" s="1" t="s">
        <v>15097</v>
      </c>
      <c r="AP2127" s="1" t="s">
        <v>14294</v>
      </c>
      <c r="AQ2127" s="1" t="s">
        <v>15098</v>
      </c>
      <c r="AR2127" s="1" t="s">
        <v>14901</v>
      </c>
    </row>
    <row r="2128">
      <c r="A2128" s="2">
        <f ca="1">DATE(2007,04,10)</f>
        <v>0</v>
      </c>
      <c r="B2128" s="2">
        <f ca="1">DATE(2007,06,07)</f>
        <v>0</v>
      </c>
      <c r="C2128" s="1" t="s">
        <v>15099</v>
      </c>
      <c r="D2128" s="3">
        <v>6211</v>
      </c>
      <c r="E2128" s="1" t="s">
        <v>43</v>
      </c>
      <c r="F2128" s="1" t="s">
        <v>15100</v>
      </c>
      <c r="G2128" s="1" t="s">
        <v>15101</v>
      </c>
      <c r="H2128" s="4">
        <v>1.19</v>
      </c>
      <c r="I2128" s="8">
        <v>7</v>
      </c>
      <c r="J2128" s="5">
        <v>204.59999999999999</v>
      </c>
      <c r="K2128" s="4">
        <v>17</v>
      </c>
      <c r="L2128" s="1" t="s">
        <v>46</v>
      </c>
      <c r="M2128" s="1" t="s">
        <v>47</v>
      </c>
      <c r="N2128" s="1" t="s">
        <v>15102</v>
      </c>
      <c r="O2128" s="1" t="s">
        <v>48</v>
      </c>
      <c r="P2128" s="1" t="s">
        <v>15103</v>
      </c>
      <c r="Q2128" s="1" t="s">
        <v>145</v>
      </c>
      <c r="R2128" s="1" t="s">
        <v>145</v>
      </c>
      <c r="S2128" s="8">
        <v>4.2000000000000002</v>
      </c>
      <c r="T2128" s="1" t="s">
        <v>50</v>
      </c>
      <c r="U2128" s="8">
        <v>18</v>
      </c>
      <c r="V2128" s="8">
        <v>16</v>
      </c>
      <c r="W2128" s="7">
        <v>11750000</v>
      </c>
      <c r="X2128" s="5">
        <v>199.80000000000001</v>
      </c>
      <c r="Y2128" s="1"/>
      <c r="Z2128" s="7">
        <v>12035000</v>
      </c>
      <c r="AA2128" s="1" t="s">
        <v>15104</v>
      </c>
      <c r="AB2128" s="1" t="s">
        <v>5265</v>
      </c>
      <c r="AC2128" s="1" t="s">
        <v>7759</v>
      </c>
      <c r="AD2128" s="1" t="s">
        <v>5265</v>
      </c>
      <c r="AE2128" s="1" t="s">
        <v>51</v>
      </c>
      <c r="AF2128" s="1" t="s">
        <v>51</v>
      </c>
      <c r="AG2128" s="1" t="s">
        <v>51</v>
      </c>
      <c r="AH2128" s="1"/>
      <c r="AI2128" s="1"/>
      <c r="AJ2128" s="3">
        <v>2</v>
      </c>
      <c r="AK2128" s="1" t="s">
        <v>89</v>
      </c>
      <c r="AL2128" s="3">
        <v>8</v>
      </c>
      <c r="AM2128" s="8">
        <v>18</v>
      </c>
      <c r="AN2128" s="1"/>
      <c r="AO2128" s="1" t="s">
        <v>15105</v>
      </c>
      <c r="AP2128" s="1" t="s">
        <v>15106</v>
      </c>
      <c r="AQ2128" s="1" t="s">
        <v>15107</v>
      </c>
      <c r="AR2128" s="1" t="s">
        <v>15108</v>
      </c>
    </row>
    <row r="2129">
      <c r="A2129" s="2">
        <f ca="1">DATE(2007,03,22)</f>
        <v>0</v>
      </c>
      <c r="B2129" s="2">
        <f ca="1">DATE(2007,06,07)</f>
        <v>0</v>
      </c>
      <c r="C2129" s="1" t="s">
        <v>15109</v>
      </c>
      <c r="D2129" s="3">
        <v>7389</v>
      </c>
      <c r="E2129" s="1" t="s">
        <v>43</v>
      </c>
      <c r="F2129" s="1" t="s">
        <v>15110</v>
      </c>
      <c r="G2129" s="1" t="s">
        <v>160</v>
      </c>
      <c r="H2129" s="4">
        <v>1.05</v>
      </c>
      <c r="I2129" s="4">
        <v>7</v>
      </c>
      <c r="J2129" s="5">
        <v>240</v>
      </c>
      <c r="K2129" s="4">
        <v>15</v>
      </c>
      <c r="L2129" s="1" t="s">
        <v>46</v>
      </c>
      <c r="M2129" s="1" t="s">
        <v>47</v>
      </c>
      <c r="N2129" s="1" t="s">
        <v>15111</v>
      </c>
      <c r="O2129" s="1" t="s">
        <v>48</v>
      </c>
      <c r="P2129" s="1" t="s">
        <v>15112</v>
      </c>
      <c r="Q2129" s="4">
        <v>1.3999999999999999</v>
      </c>
      <c r="R2129" s="4">
        <v>1.3999999999999999</v>
      </c>
      <c r="S2129" s="8">
        <v>4.2000000000000002</v>
      </c>
      <c r="T2129" s="1" t="s">
        <v>50</v>
      </c>
      <c r="U2129" s="1"/>
      <c r="V2129" s="1"/>
      <c r="W2129" s="1"/>
      <c r="X2129" s="5">
        <v>201.30000000000001</v>
      </c>
      <c r="Y2129" s="7">
        <v>12500000</v>
      </c>
      <c r="Z2129" s="7">
        <v>3500000</v>
      </c>
      <c r="AA2129" s="1" t="s">
        <v>15104</v>
      </c>
      <c r="AB2129" s="1" t="s">
        <v>5265</v>
      </c>
      <c r="AC2129" s="1" t="s">
        <v>7759</v>
      </c>
      <c r="AD2129" s="1" t="s">
        <v>5265</v>
      </c>
      <c r="AE2129" s="1" t="s">
        <v>51</v>
      </c>
      <c r="AF2129" s="1" t="s">
        <v>51</v>
      </c>
      <c r="AG2129" s="1" t="s">
        <v>47</v>
      </c>
      <c r="AH2129" s="1"/>
      <c r="AI2129" s="1"/>
      <c r="AJ2129" s="3">
        <v>1</v>
      </c>
      <c r="AK2129" s="1" t="s">
        <v>89</v>
      </c>
      <c r="AL2129" s="3">
        <v>5</v>
      </c>
      <c r="AM2129" s="8">
        <v>22.18</v>
      </c>
      <c r="AN2129" s="1"/>
      <c r="AO2129" s="1" t="s">
        <v>15113</v>
      </c>
      <c r="AP2129" s="1" t="s">
        <v>4164</v>
      </c>
      <c r="AQ2129" s="1" t="s">
        <v>15114</v>
      </c>
      <c r="AR2129" s="1" t="s">
        <v>15115</v>
      </c>
    </row>
    <row r="2130">
      <c r="A2130" s="2">
        <f ca="1">DATE(2007,05,11)</f>
        <v>0</v>
      </c>
      <c r="B2130" s="2">
        <f ca="1">DATE(2007,06,07)</f>
        <v>0</v>
      </c>
      <c r="C2130" s="1" t="s">
        <v>15116</v>
      </c>
      <c r="D2130" s="3">
        <v>3674</v>
      </c>
      <c r="E2130" s="1" t="s">
        <v>744</v>
      </c>
      <c r="F2130" s="1" t="s">
        <v>15117</v>
      </c>
      <c r="G2130" s="1" t="s">
        <v>15118</v>
      </c>
      <c r="H2130" s="4">
        <v>0.66000000000000003</v>
      </c>
      <c r="I2130" s="4">
        <v>6</v>
      </c>
      <c r="J2130" s="5">
        <v>319</v>
      </c>
      <c r="K2130" s="4">
        <v>11</v>
      </c>
      <c r="L2130" s="1" t="s">
        <v>651</v>
      </c>
      <c r="M2130" s="1" t="s">
        <v>47</v>
      </c>
      <c r="N2130" s="1" t="s">
        <v>15119</v>
      </c>
      <c r="O2130" s="1" t="s">
        <v>108</v>
      </c>
      <c r="P2130" s="1" t="s">
        <v>15120</v>
      </c>
      <c r="Q2130" s="1" t="s">
        <v>145</v>
      </c>
      <c r="R2130" s="1" t="s">
        <v>145</v>
      </c>
      <c r="S2130" s="8">
        <v>3.6000000000000001</v>
      </c>
      <c r="T2130" s="1" t="s">
        <v>50</v>
      </c>
      <c r="U2130" s="1"/>
      <c r="V2130" s="1"/>
      <c r="W2130" s="1"/>
      <c r="X2130" s="5">
        <v>350</v>
      </c>
      <c r="Y2130" s="7">
        <v>26550000</v>
      </c>
      <c r="Z2130" s="7">
        <v>2450000</v>
      </c>
      <c r="AA2130" s="1" t="s">
        <v>15104</v>
      </c>
      <c r="AB2130" s="1" t="s">
        <v>5265</v>
      </c>
      <c r="AC2130" s="1" t="s">
        <v>7759</v>
      </c>
      <c r="AD2130" s="1" t="s">
        <v>5265</v>
      </c>
      <c r="AE2130" s="1" t="s">
        <v>47</v>
      </c>
      <c r="AF2130" s="1" t="s">
        <v>51</v>
      </c>
      <c r="AG2130" s="1" t="s">
        <v>47</v>
      </c>
      <c r="AH2130" s="1"/>
      <c r="AI2130" s="1"/>
      <c r="AJ2130" s="3">
        <v>2</v>
      </c>
      <c r="AK2130" s="1" t="s">
        <v>89</v>
      </c>
      <c r="AL2130" s="3">
        <v>4</v>
      </c>
      <c r="AM2130" s="8">
        <v>10.5</v>
      </c>
      <c r="AN2130" s="1"/>
      <c r="AO2130" s="1" t="s">
        <v>15121</v>
      </c>
      <c r="AP2130" s="1" t="s">
        <v>15122</v>
      </c>
      <c r="AQ2130" s="1" t="s">
        <v>15123</v>
      </c>
      <c r="AR2130" s="1" t="s">
        <v>15124</v>
      </c>
    </row>
    <row r="2131">
      <c r="A2131" s="2">
        <f ca="1">DATE(2007,03,09)</f>
        <v>0</v>
      </c>
      <c r="B2131" s="2">
        <f ca="1">DATE(2007,06,12)</f>
        <v>0</v>
      </c>
      <c r="C2131" s="1" t="s">
        <v>15125</v>
      </c>
      <c r="D2131" s="3">
        <v>3411</v>
      </c>
      <c r="E2131" s="1" t="s">
        <v>43</v>
      </c>
      <c r="F2131" s="1" t="s">
        <v>15126</v>
      </c>
      <c r="G2131" s="1" t="s">
        <v>15127</v>
      </c>
      <c r="H2131" s="4">
        <v>1.0129999999999999</v>
      </c>
      <c r="I2131" s="8">
        <v>6.75</v>
      </c>
      <c r="J2131" s="5">
        <v>150.59999999999999</v>
      </c>
      <c r="K2131" s="4">
        <v>15</v>
      </c>
      <c r="L2131" s="1" t="s">
        <v>46</v>
      </c>
      <c r="M2131" s="1" t="s">
        <v>47</v>
      </c>
      <c r="N2131" s="1" t="s">
        <v>15128</v>
      </c>
      <c r="O2131" s="1" t="s">
        <v>108</v>
      </c>
      <c r="P2131" s="1" t="s">
        <v>15129</v>
      </c>
      <c r="Q2131" s="1" t="s">
        <v>145</v>
      </c>
      <c r="R2131" s="1" t="s">
        <v>145</v>
      </c>
      <c r="S2131" s="8">
        <v>4.0499999999999998</v>
      </c>
      <c r="T2131" s="1" t="s">
        <v>50</v>
      </c>
      <c r="U2131" s="1"/>
      <c r="V2131" s="1"/>
      <c r="W2131" s="7">
        <v>11764706</v>
      </c>
      <c r="X2131" s="5">
        <v>230</v>
      </c>
      <c r="Y2131" s="1"/>
      <c r="Z2131" s="7">
        <v>10039216</v>
      </c>
      <c r="AA2131" s="1" t="s">
        <v>15130</v>
      </c>
      <c r="AB2131" s="1" t="s">
        <v>5265</v>
      </c>
      <c r="AC2131" s="1" t="s">
        <v>7759</v>
      </c>
      <c r="AD2131" s="1" t="s">
        <v>5265</v>
      </c>
      <c r="AE2131" s="1" t="s">
        <v>51</v>
      </c>
      <c r="AF2131" s="1" t="s">
        <v>51</v>
      </c>
      <c r="AG2131" s="1" t="s">
        <v>51</v>
      </c>
      <c r="AH2131" s="1"/>
      <c r="AI2131" s="1"/>
      <c r="AJ2131" s="3">
        <v>2</v>
      </c>
      <c r="AK2131" s="1" t="s">
        <v>89</v>
      </c>
      <c r="AL2131" s="3">
        <v>4</v>
      </c>
      <c r="AM2131" s="8">
        <v>14.6</v>
      </c>
      <c r="AN2131" s="1"/>
      <c r="AO2131" s="1" t="s">
        <v>15131</v>
      </c>
      <c r="AP2131" s="1" t="s">
        <v>15132</v>
      </c>
      <c r="AQ2131" s="1" t="s">
        <v>15133</v>
      </c>
      <c r="AR2131" s="1" t="s">
        <v>15134</v>
      </c>
    </row>
    <row r="2132">
      <c r="A2132" s="2">
        <f ca="1">DATE(2006,12,08)</f>
        <v>0</v>
      </c>
      <c r="B2132" s="2">
        <f ca="1">DATE(2007,06,14)</f>
        <v>0</v>
      </c>
      <c r="C2132" s="1" t="s">
        <v>15135</v>
      </c>
      <c r="D2132" s="3">
        <v>2869</v>
      </c>
      <c r="E2132" s="1" t="s">
        <v>43</v>
      </c>
      <c r="F2132" s="1" t="s">
        <v>15136</v>
      </c>
      <c r="G2132" s="1" t="s">
        <v>15137</v>
      </c>
      <c r="H2132" s="4">
        <v>0.73499999999999999</v>
      </c>
      <c r="I2132" s="8">
        <v>7</v>
      </c>
      <c r="J2132" s="5">
        <v>55.100000000000001</v>
      </c>
      <c r="K2132" s="4">
        <v>10.5</v>
      </c>
      <c r="L2132" s="1" t="s">
        <v>46</v>
      </c>
      <c r="M2132" s="1" t="s">
        <v>47</v>
      </c>
      <c r="N2132" s="1" t="s">
        <v>15138</v>
      </c>
      <c r="O2132" s="1" t="s">
        <v>48</v>
      </c>
      <c r="P2132" s="1" t="s">
        <v>15139</v>
      </c>
      <c r="Q2132" s="1" t="s">
        <v>145</v>
      </c>
      <c r="R2132" s="1" t="s">
        <v>145</v>
      </c>
      <c r="S2132" s="8">
        <v>4.2000000000000002</v>
      </c>
      <c r="T2132" s="1" t="s">
        <v>50</v>
      </c>
      <c r="U2132" s="1"/>
      <c r="V2132" s="1"/>
      <c r="W2132" s="1"/>
      <c r="X2132" s="5">
        <v>300</v>
      </c>
      <c r="Y2132" s="7">
        <v>5250000</v>
      </c>
      <c r="Z2132" s="1"/>
      <c r="AA2132" s="1" t="s">
        <v>15140</v>
      </c>
      <c r="AB2132" s="1" t="s">
        <v>5265</v>
      </c>
      <c r="AC2132" s="1" t="s">
        <v>7759</v>
      </c>
      <c r="AD2132" s="1" t="s">
        <v>5265</v>
      </c>
      <c r="AE2132" s="1" t="s">
        <v>51</v>
      </c>
      <c r="AF2132" s="1" t="s">
        <v>51</v>
      </c>
      <c r="AG2132" s="1" t="s">
        <v>47</v>
      </c>
      <c r="AH2132" s="1"/>
      <c r="AI2132" s="1"/>
      <c r="AJ2132" s="3">
        <v>3</v>
      </c>
      <c r="AK2132" s="1" t="s">
        <v>110</v>
      </c>
      <c r="AL2132" s="3">
        <v>5</v>
      </c>
      <c r="AM2132" s="8">
        <v>10.199999999999999</v>
      </c>
      <c r="AN2132" s="1"/>
      <c r="AO2132" s="1" t="s">
        <v>15141</v>
      </c>
      <c r="AP2132" s="1" t="s">
        <v>15142</v>
      </c>
      <c r="AQ2132" s="1" t="s">
        <v>15143</v>
      </c>
      <c r="AR2132" s="1" t="s">
        <v>15144</v>
      </c>
    </row>
    <row r="2133">
      <c r="A2133" s="2">
        <f ca="1">DATE(2007,03,15)</f>
        <v>0</v>
      </c>
      <c r="B2133" s="2">
        <f ca="1">DATE(2007,06,14)</f>
        <v>0</v>
      </c>
      <c r="C2133" s="1" t="s">
        <v>15145</v>
      </c>
      <c r="D2133" s="3">
        <v>6029</v>
      </c>
      <c r="E2133" s="1" t="s">
        <v>43</v>
      </c>
      <c r="F2133" s="1" t="s">
        <v>15146</v>
      </c>
      <c r="G2133" s="1" t="s">
        <v>15147</v>
      </c>
      <c r="H2133" s="4">
        <v>0.94499999999999995</v>
      </c>
      <c r="I2133" s="4">
        <v>6</v>
      </c>
      <c r="J2133" s="5">
        <v>16.100000000000001</v>
      </c>
      <c r="K2133" s="4">
        <v>15.75</v>
      </c>
      <c r="L2133" s="1" t="s">
        <v>46</v>
      </c>
      <c r="M2133" s="1" t="s">
        <v>47</v>
      </c>
      <c r="N2133" s="3">
        <v>319438107</v>
      </c>
      <c r="O2133" s="1" t="s">
        <v>48</v>
      </c>
      <c r="P2133" s="1" t="s">
        <v>15148</v>
      </c>
      <c r="Q2133" s="1" t="s">
        <v>145</v>
      </c>
      <c r="R2133" s="1" t="s">
        <v>145</v>
      </c>
      <c r="S2133" s="6">
        <v>3.6190500000000001</v>
      </c>
      <c r="T2133" s="1" t="s">
        <v>50</v>
      </c>
      <c r="U2133" s="1"/>
      <c r="V2133" s="1"/>
      <c r="W2133" s="7">
        <v>850000</v>
      </c>
      <c r="X2133" s="5">
        <v>16.600000000000001</v>
      </c>
      <c r="Y2133" s="7">
        <v>1020000</v>
      </c>
      <c r="Z2133" s="1"/>
      <c r="AA2133" s="1" t="s">
        <v>15149</v>
      </c>
      <c r="AB2133" s="1" t="s">
        <v>2067</v>
      </c>
      <c r="AC2133" s="1" t="s">
        <v>9674</v>
      </c>
      <c r="AD2133" s="1" t="s">
        <v>2067</v>
      </c>
      <c r="AE2133" s="1" t="s">
        <v>51</v>
      </c>
      <c r="AF2133" s="1" t="s">
        <v>51</v>
      </c>
      <c r="AG2133" s="1" t="s">
        <v>51</v>
      </c>
      <c r="AH2133" s="1"/>
      <c r="AI2133" s="1"/>
      <c r="AJ2133" s="3">
        <v>1</v>
      </c>
      <c r="AK2133" s="1" t="s">
        <v>52</v>
      </c>
      <c r="AL2133" s="3">
        <v>3</v>
      </c>
      <c r="AM2133" s="8">
        <v>16</v>
      </c>
      <c r="AN2133" s="1"/>
      <c r="AO2133" s="1" t="s">
        <v>15150</v>
      </c>
      <c r="AP2133" s="1" t="s">
        <v>15147</v>
      </c>
      <c r="AQ2133" s="1" t="s">
        <v>15151</v>
      </c>
      <c r="AR2133" s="1" t="s">
        <v>15148</v>
      </c>
    </row>
    <row r="2134">
      <c r="A2134" s="2">
        <f ca="1">DATE(2006,10,27)</f>
        <v>0</v>
      </c>
      <c r="B2134" s="2">
        <f ca="1">DATE(2007,06,15)</f>
        <v>0</v>
      </c>
      <c r="C2134" s="1" t="s">
        <v>15152</v>
      </c>
      <c r="D2134" s="3">
        <v>3825</v>
      </c>
      <c r="E2134" s="1" t="s">
        <v>43</v>
      </c>
      <c r="F2134" s="1" t="s">
        <v>15153</v>
      </c>
      <c r="G2134" s="1" t="s">
        <v>15154</v>
      </c>
      <c r="H2134" s="4">
        <v>0.35999999999999999</v>
      </c>
      <c r="I2134" s="4">
        <v>6</v>
      </c>
      <c r="J2134" s="5">
        <v>20</v>
      </c>
      <c r="K2134" s="4">
        <v>6</v>
      </c>
      <c r="L2134" s="1" t="s">
        <v>46</v>
      </c>
      <c r="M2134" s="1" t="s">
        <v>47</v>
      </c>
      <c r="N2134" s="1" t="s">
        <v>15155</v>
      </c>
      <c r="O2134" s="1" t="s">
        <v>87</v>
      </c>
      <c r="P2134" s="1" t="s">
        <v>15156</v>
      </c>
      <c r="Q2134" s="1" t="s">
        <v>145</v>
      </c>
      <c r="R2134" s="1" t="s">
        <v>145</v>
      </c>
      <c r="S2134" s="8">
        <v>3.6000000000000001</v>
      </c>
      <c r="T2134" s="1" t="s">
        <v>50</v>
      </c>
      <c r="U2134" s="8">
        <v>2</v>
      </c>
      <c r="V2134" s="8">
        <v>2</v>
      </c>
      <c r="W2134" s="7">
        <v>7500000</v>
      </c>
      <c r="X2134" s="5">
        <v>15</v>
      </c>
      <c r="Y2134" s="7">
        <v>3333333</v>
      </c>
      <c r="Z2134" s="1"/>
      <c r="AA2134" s="2">
        <f ca="1">DATE(2007,12,12)</f>
        <v>0</v>
      </c>
      <c r="AB2134" s="1"/>
      <c r="AC2134" s="3">
        <v>180</v>
      </c>
      <c r="AD2134" s="1"/>
      <c r="AE2134" s="1" t="s">
        <v>51</v>
      </c>
      <c r="AF2134" s="1" t="s">
        <v>51</v>
      </c>
      <c r="AG2134" s="1" t="s">
        <v>51</v>
      </c>
      <c r="AH2134" s="1"/>
      <c r="AI2134" s="1"/>
      <c r="AJ2134" s="3">
        <v>1</v>
      </c>
      <c r="AK2134" s="1" t="s">
        <v>52</v>
      </c>
      <c r="AL2134" s="3">
        <v>3</v>
      </c>
      <c r="AM2134" s="8">
        <v>5.7999999999999998</v>
      </c>
      <c r="AN2134" s="1"/>
      <c r="AO2134" s="1" t="s">
        <v>15157</v>
      </c>
      <c r="AP2134" s="1" t="s">
        <v>15154</v>
      </c>
      <c r="AQ2134" s="1" t="s">
        <v>15158</v>
      </c>
      <c r="AR2134" s="1" t="s">
        <v>15159</v>
      </c>
    </row>
    <row r="2135">
      <c r="A2135" s="2">
        <f ca="1">DATE(2006,10,06)</f>
        <v>0</v>
      </c>
      <c r="B2135" s="2">
        <f ca="1">DATE(2007,06,18)</f>
        <v>0</v>
      </c>
      <c r="C2135" s="1" t="s">
        <v>15160</v>
      </c>
      <c r="D2135" s="3">
        <v>6726</v>
      </c>
      <c r="E2135" s="1" t="s">
        <v>934</v>
      </c>
      <c r="F2135" s="1" t="s">
        <v>15161</v>
      </c>
      <c r="G2135" s="1" t="s">
        <v>11203</v>
      </c>
      <c r="H2135" s="4">
        <v>0.56000000000000005</v>
      </c>
      <c r="I2135" s="4">
        <v>7</v>
      </c>
      <c r="J2135" s="5">
        <v>150</v>
      </c>
      <c r="K2135" s="4">
        <v>8</v>
      </c>
      <c r="L2135" s="1" t="s">
        <v>46</v>
      </c>
      <c r="M2135" s="1" t="s">
        <v>47</v>
      </c>
      <c r="N2135" s="1" t="s">
        <v>15162</v>
      </c>
      <c r="O2135" s="1" t="s">
        <v>87</v>
      </c>
      <c r="P2135" s="1" t="s">
        <v>15163</v>
      </c>
      <c r="Q2135" s="1" t="s">
        <v>145</v>
      </c>
      <c r="R2135" s="1" t="s">
        <v>145</v>
      </c>
      <c r="S2135" s="8">
        <v>1.95</v>
      </c>
      <c r="T2135" s="1" t="s">
        <v>50</v>
      </c>
      <c r="U2135" s="8">
        <v>8</v>
      </c>
      <c r="V2135" s="8">
        <v>8</v>
      </c>
      <c r="W2135" s="7">
        <v>25000000</v>
      </c>
      <c r="X2135" s="5">
        <v>200</v>
      </c>
      <c r="Y2135" s="7">
        <v>18750000</v>
      </c>
      <c r="Z2135" s="1"/>
      <c r="AA2135" s="1"/>
      <c r="AB2135" s="1"/>
      <c r="AC2135" s="1"/>
      <c r="AD2135" s="1"/>
      <c r="AE2135" s="1" t="s">
        <v>51</v>
      </c>
      <c r="AF2135" s="1" t="s">
        <v>51</v>
      </c>
      <c r="AG2135" s="1" t="s">
        <v>51</v>
      </c>
      <c r="AH2135" s="1"/>
      <c r="AI2135" s="1"/>
      <c r="AJ2135" s="3">
        <v>1</v>
      </c>
      <c r="AK2135" s="1" t="s">
        <v>52</v>
      </c>
      <c r="AL2135" s="3">
        <v>3</v>
      </c>
      <c r="AM2135" s="8">
        <v>8.0399999999999991</v>
      </c>
      <c r="AN2135" s="1"/>
      <c r="AO2135" s="1" t="s">
        <v>15164</v>
      </c>
      <c r="AP2135" s="1" t="s">
        <v>11203</v>
      </c>
      <c r="AQ2135" s="1" t="s">
        <v>15165</v>
      </c>
      <c r="AR2135" s="1" t="s">
        <v>15166</v>
      </c>
    </row>
    <row r="2136">
      <c r="A2136" s="2">
        <f ca="1">DATE(2007,02,08)</f>
        <v>0</v>
      </c>
      <c r="B2136" s="2">
        <f ca="1">DATE(2007,06,18)</f>
        <v>0</v>
      </c>
      <c r="C2136" s="1" t="s">
        <v>15167</v>
      </c>
      <c r="D2136" s="3">
        <v>6726</v>
      </c>
      <c r="E2136" s="1" t="s">
        <v>43</v>
      </c>
      <c r="F2136" s="1" t="s">
        <v>15168</v>
      </c>
      <c r="G2136" s="1" t="s">
        <v>7222</v>
      </c>
      <c r="H2136" s="4">
        <v>0.35999999999999999</v>
      </c>
      <c r="I2136" s="4">
        <v>6</v>
      </c>
      <c r="J2136" s="5">
        <v>30</v>
      </c>
      <c r="K2136" s="4">
        <v>6</v>
      </c>
      <c r="L2136" s="1" t="s">
        <v>46</v>
      </c>
      <c r="M2136" s="1" t="s">
        <v>47</v>
      </c>
      <c r="N2136" s="1" t="s">
        <v>15169</v>
      </c>
      <c r="O2136" s="1" t="s">
        <v>67</v>
      </c>
      <c r="P2136" s="1" t="s">
        <v>13896</v>
      </c>
      <c r="Q2136" s="1" t="s">
        <v>145</v>
      </c>
      <c r="R2136" s="1" t="s">
        <v>145</v>
      </c>
      <c r="S2136" s="6">
        <v>1.6666700000000001</v>
      </c>
      <c r="T2136" s="1" t="s">
        <v>50</v>
      </c>
      <c r="U2136" s="8">
        <v>6</v>
      </c>
      <c r="V2136" s="8">
        <v>6</v>
      </c>
      <c r="W2136" s="7">
        <v>5000000</v>
      </c>
      <c r="X2136" s="5">
        <v>30</v>
      </c>
      <c r="Y2136" s="7">
        <v>5000000</v>
      </c>
      <c r="Z2136" s="1"/>
      <c r="AA2136" s="2">
        <f ca="1">DATE(2007,12,15)</f>
        <v>0</v>
      </c>
      <c r="AB2136" s="1"/>
      <c r="AC2136" s="3">
        <v>180</v>
      </c>
      <c r="AD2136" s="1"/>
      <c r="AE2136" s="1" t="s">
        <v>51</v>
      </c>
      <c r="AF2136" s="1" t="s">
        <v>51</v>
      </c>
      <c r="AG2136" s="1" t="s">
        <v>51</v>
      </c>
      <c r="AH2136" s="1"/>
      <c r="AI2136" s="1"/>
      <c r="AJ2136" s="3">
        <v>1</v>
      </c>
      <c r="AK2136" s="1" t="s">
        <v>52</v>
      </c>
      <c r="AL2136" s="3">
        <v>2</v>
      </c>
      <c r="AM2136" s="1"/>
      <c r="AN2136" s="1"/>
      <c r="AO2136" s="1" t="s">
        <v>13897</v>
      </c>
      <c r="AP2136" s="1" t="s">
        <v>7222</v>
      </c>
      <c r="AQ2136" s="1" t="s">
        <v>13898</v>
      </c>
      <c r="AR2136" s="1" t="s">
        <v>13896</v>
      </c>
    </row>
    <row r="2137">
      <c r="A2137" s="2">
        <f ca="1">DATE(2006,09,29)</f>
        <v>0</v>
      </c>
      <c r="B2137" s="2">
        <f ca="1">DATE(2007,06,18)</f>
        <v>0</v>
      </c>
      <c r="C2137" s="1" t="s">
        <v>15170</v>
      </c>
      <c r="D2137" s="3">
        <v>2834</v>
      </c>
      <c r="E2137" s="1" t="s">
        <v>744</v>
      </c>
      <c r="F2137" s="1" t="s">
        <v>15171</v>
      </c>
      <c r="G2137" s="1" t="s">
        <v>15172</v>
      </c>
      <c r="H2137" s="4">
        <v>0.34999999999999998</v>
      </c>
      <c r="I2137" s="4">
        <v>10</v>
      </c>
      <c r="J2137" s="5">
        <v>1.3999999999999999</v>
      </c>
      <c r="K2137" s="4">
        <v>3.5</v>
      </c>
      <c r="L2137" s="1" t="s">
        <v>46</v>
      </c>
      <c r="M2137" s="1" t="s">
        <v>47</v>
      </c>
      <c r="N2137" s="1" t="s">
        <v>15173</v>
      </c>
      <c r="O2137" s="1" t="s">
        <v>87</v>
      </c>
      <c r="P2137" s="1" t="s">
        <v>15174</v>
      </c>
      <c r="Q2137" s="1" t="s">
        <v>145</v>
      </c>
      <c r="R2137" s="1" t="s">
        <v>145</v>
      </c>
      <c r="S2137" s="8">
        <v>6</v>
      </c>
      <c r="T2137" s="1" t="s">
        <v>50</v>
      </c>
      <c r="U2137" s="1"/>
      <c r="V2137" s="1"/>
      <c r="W2137" s="1"/>
      <c r="X2137" s="5">
        <v>1.3999999999999999</v>
      </c>
      <c r="Y2137" s="7">
        <v>400000</v>
      </c>
      <c r="Z2137" s="1"/>
      <c r="AA2137" s="2">
        <f ca="1">DATE(2007,07,18)</f>
        <v>0</v>
      </c>
      <c r="AB2137" s="1"/>
      <c r="AC2137" s="3">
        <v>30</v>
      </c>
      <c r="AD2137" s="1"/>
      <c r="AE2137" s="1" t="s">
        <v>51</v>
      </c>
      <c r="AF2137" s="1" t="s">
        <v>51</v>
      </c>
      <c r="AG2137" s="1" t="s">
        <v>51</v>
      </c>
      <c r="AH2137" s="1"/>
      <c r="AI2137" s="1"/>
      <c r="AJ2137" s="3">
        <v>1</v>
      </c>
      <c r="AK2137" s="1" t="s">
        <v>52</v>
      </c>
      <c r="AL2137" s="3">
        <v>1</v>
      </c>
      <c r="AM2137" s="5">
        <v>6.5</v>
      </c>
      <c r="AN2137" s="8">
        <v>7.75</v>
      </c>
      <c r="AO2137" s="1" t="s">
        <v>15172</v>
      </c>
      <c r="AP2137" s="1" t="s">
        <v>15172</v>
      </c>
      <c r="AQ2137" s="1" t="s">
        <v>15172</v>
      </c>
      <c r="AR2137" s="1" t="s">
        <v>15174</v>
      </c>
    </row>
    <row r="2138">
      <c r="A2138" s="2">
        <f ca="1">DATE(2007,06,06)</f>
        <v>0</v>
      </c>
      <c r="B2138" s="2">
        <f ca="1">DATE(2007,06,18)</f>
        <v>0</v>
      </c>
      <c r="C2138" s="1" t="s">
        <v>15175</v>
      </c>
      <c r="D2138" s="3">
        <v>3331</v>
      </c>
      <c r="E2138" s="1" t="s">
        <v>1806</v>
      </c>
      <c r="F2138" s="3">
        <v>500900</v>
      </c>
      <c r="G2138" s="1" t="s">
        <v>15176</v>
      </c>
      <c r="H2138" s="4">
        <v>0.247</v>
      </c>
      <c r="I2138" s="4">
        <v>1.8380000000000001</v>
      </c>
      <c r="J2138" s="9">
        <v>1753.0999999999999</v>
      </c>
      <c r="K2138" s="8">
        <v>13.44</v>
      </c>
      <c r="L2138" s="1" t="s">
        <v>651</v>
      </c>
      <c r="M2138" s="1" t="s">
        <v>47</v>
      </c>
      <c r="N2138" s="3">
        <v>859737207</v>
      </c>
      <c r="O2138" s="1" t="s">
        <v>11552</v>
      </c>
      <c r="P2138" s="1" t="s">
        <v>15177</v>
      </c>
      <c r="Q2138" s="4">
        <v>0.36799999999999999</v>
      </c>
      <c r="R2138" s="4">
        <v>0.36799999999999999</v>
      </c>
      <c r="S2138" s="6">
        <v>1.1026800000000001</v>
      </c>
      <c r="T2138" s="1" t="s">
        <v>60</v>
      </c>
      <c r="U2138" s="1"/>
      <c r="V2138" s="1"/>
      <c r="W2138" s="7">
        <v>125000000</v>
      </c>
      <c r="X2138" s="9">
        <v>2000</v>
      </c>
      <c r="Y2138" s="7">
        <v>130440000</v>
      </c>
      <c r="Z2138" s="1"/>
      <c r="AA2138" s="1"/>
      <c r="AB2138" s="1"/>
      <c r="AC2138" s="3">
        <v>180</v>
      </c>
      <c r="AD2138" s="1"/>
      <c r="AE2138" s="1" t="s">
        <v>47</v>
      </c>
      <c r="AF2138" s="1" t="s">
        <v>51</v>
      </c>
      <c r="AG2138" s="1" t="s">
        <v>51</v>
      </c>
      <c r="AH2138" s="1"/>
      <c r="AI2138" s="1"/>
      <c r="AJ2138" s="3">
        <v>3</v>
      </c>
      <c r="AK2138" s="1" t="s">
        <v>110</v>
      </c>
      <c r="AL2138" s="3">
        <v>3</v>
      </c>
      <c r="AM2138" s="1"/>
      <c r="AN2138" s="1"/>
      <c r="AO2138" s="1" t="s">
        <v>15178</v>
      </c>
      <c r="AP2138" s="1" t="s">
        <v>15179</v>
      </c>
      <c r="AQ2138" s="1" t="s">
        <v>15180</v>
      </c>
      <c r="AR2138" s="1" t="s">
        <v>15181</v>
      </c>
    </row>
    <row r="2139">
      <c r="A2139" s="2">
        <f ca="1">DATE(2007,03,19)</f>
        <v>0</v>
      </c>
      <c r="B2139" s="2">
        <f ca="1">DATE(2007,06,19)</f>
        <v>0</v>
      </c>
      <c r="C2139" s="1" t="s">
        <v>15182</v>
      </c>
      <c r="D2139" s="3">
        <v>6726</v>
      </c>
      <c r="E2139" s="1" t="s">
        <v>43</v>
      </c>
      <c r="F2139" s="1" t="s">
        <v>15183</v>
      </c>
      <c r="G2139" s="1" t="s">
        <v>14294</v>
      </c>
      <c r="H2139" s="4">
        <v>0.69999999999999996</v>
      </c>
      <c r="I2139" s="8">
        <v>7</v>
      </c>
      <c r="J2139" s="5">
        <v>360</v>
      </c>
      <c r="K2139" s="4">
        <v>10</v>
      </c>
      <c r="L2139" s="1" t="s">
        <v>46</v>
      </c>
      <c r="M2139" s="1" t="s">
        <v>47</v>
      </c>
      <c r="N2139" s="1" t="s">
        <v>15184</v>
      </c>
      <c r="O2139" s="1" t="s">
        <v>87</v>
      </c>
      <c r="P2139" s="1" t="s">
        <v>15185</v>
      </c>
      <c r="Q2139" s="1" t="s">
        <v>145</v>
      </c>
      <c r="R2139" s="1" t="s">
        <v>145</v>
      </c>
      <c r="S2139" s="8">
        <v>2.3999999999999999</v>
      </c>
      <c r="T2139" s="1" t="s">
        <v>50</v>
      </c>
      <c r="U2139" s="8">
        <v>10</v>
      </c>
      <c r="V2139" s="8">
        <v>10</v>
      </c>
      <c r="W2139" s="7">
        <v>20000000</v>
      </c>
      <c r="X2139" s="5">
        <v>200</v>
      </c>
      <c r="Y2139" s="7">
        <v>36000000</v>
      </c>
      <c r="Z2139" s="1"/>
      <c r="AA2139" s="1"/>
      <c r="AB2139" s="1"/>
      <c r="AC2139" s="1"/>
      <c r="AD2139" s="1"/>
      <c r="AE2139" s="1" t="s">
        <v>51</v>
      </c>
      <c r="AF2139" s="1" t="s">
        <v>51</v>
      </c>
      <c r="AG2139" s="1" t="s">
        <v>51</v>
      </c>
      <c r="AH2139" s="1"/>
      <c r="AI2139" s="1"/>
      <c r="AJ2139" s="3">
        <v>1</v>
      </c>
      <c r="AK2139" s="1" t="s">
        <v>52</v>
      </c>
      <c r="AL2139" s="3">
        <v>4</v>
      </c>
      <c r="AM2139" s="8">
        <v>10.220000000000001</v>
      </c>
      <c r="AN2139" s="1"/>
      <c r="AO2139" s="1" t="s">
        <v>15186</v>
      </c>
      <c r="AP2139" s="1" t="s">
        <v>14294</v>
      </c>
      <c r="AQ2139" s="1" t="s">
        <v>15187</v>
      </c>
      <c r="AR2139" s="1" t="s">
        <v>15185</v>
      </c>
    </row>
    <row r="2140">
      <c r="A2140" s="2">
        <f ca="1">DATE(2007,06,20)</f>
        <v>0</v>
      </c>
      <c r="B2140" s="2">
        <f ca="1">DATE(2007,06,20)</f>
        <v>0</v>
      </c>
      <c r="C2140" s="1" t="s">
        <v>7668</v>
      </c>
      <c r="D2140" s="3">
        <v>6000</v>
      </c>
      <c r="E2140" s="1" t="s">
        <v>15188</v>
      </c>
      <c r="F2140" s="1" t="s">
        <v>15189</v>
      </c>
      <c r="G2140" s="1" t="s">
        <v>15190</v>
      </c>
      <c r="H2140" s="4">
        <v>0.52000000000000002</v>
      </c>
      <c r="I2140" s="4">
        <v>3.714</v>
      </c>
      <c r="J2140" s="5">
        <v>269.19999999999999</v>
      </c>
      <c r="K2140" s="4">
        <v>14</v>
      </c>
      <c r="L2140" s="1" t="s">
        <v>46</v>
      </c>
      <c r="M2140" s="1" t="s">
        <v>47</v>
      </c>
      <c r="N2140" s="1" t="s">
        <v>15191</v>
      </c>
      <c r="O2140" s="1" t="s">
        <v>15192</v>
      </c>
      <c r="P2140" s="1" t="s">
        <v>15193</v>
      </c>
      <c r="Q2140" s="4">
        <v>0.75</v>
      </c>
      <c r="R2140" s="4">
        <v>0.75</v>
      </c>
      <c r="S2140" s="8">
        <v>2.25</v>
      </c>
      <c r="T2140" s="1" t="s">
        <v>4605</v>
      </c>
      <c r="U2140" s="1"/>
      <c r="V2140" s="1"/>
      <c r="W2140" s="1"/>
      <c r="X2140" s="1"/>
      <c r="Y2140" s="1"/>
      <c r="Z2140" s="1"/>
      <c r="AA2140" s="1"/>
      <c r="AB2140" s="1"/>
      <c r="AC2140" s="1"/>
      <c r="AD2140" s="1"/>
      <c r="AE2140" s="1" t="s">
        <v>51</v>
      </c>
      <c r="AF2140" s="1" t="s">
        <v>51</v>
      </c>
      <c r="AG2140" s="1"/>
      <c r="AH2140" s="1"/>
      <c r="AI2140" s="1"/>
      <c r="AJ2140" s="3">
        <v>2</v>
      </c>
      <c r="AK2140" s="1" t="s">
        <v>89</v>
      </c>
      <c r="AL2140" s="3">
        <v>2</v>
      </c>
      <c r="AM2140" s="5">
        <v>15.6</v>
      </c>
      <c r="AN2140" s="1"/>
      <c r="AO2140" s="1" t="s">
        <v>15194</v>
      </c>
      <c r="AP2140" s="1" t="s">
        <v>15195</v>
      </c>
      <c r="AQ2140" s="1" t="s">
        <v>15196</v>
      </c>
      <c r="AR2140" s="1" t="s">
        <v>15193</v>
      </c>
    </row>
    <row r="2141">
      <c r="A2141" s="2">
        <f ca="1">DATE(2007,03,22)</f>
        <v>0</v>
      </c>
      <c r="B2141" s="2">
        <f ca="1">DATE(2007,06,21)</f>
        <v>0</v>
      </c>
      <c r="C2141" s="1" t="s">
        <v>15197</v>
      </c>
      <c r="D2141" s="3">
        <v>6799</v>
      </c>
      <c r="E2141" s="1" t="s">
        <v>43</v>
      </c>
      <c r="F2141" s="1" t="s">
        <v>15198</v>
      </c>
      <c r="G2141" s="1" t="s">
        <v>15199</v>
      </c>
      <c r="H2141" s="4">
        <v>1.3180000000000001</v>
      </c>
      <c r="I2141" s="4">
        <v>4.2519999999999998</v>
      </c>
      <c r="J2141" s="9">
        <v>4133.3000000000002</v>
      </c>
      <c r="K2141" s="4">
        <v>31</v>
      </c>
      <c r="L2141" s="1" t="s">
        <v>85</v>
      </c>
      <c r="M2141" s="1" t="s">
        <v>47</v>
      </c>
      <c r="N2141" s="1" t="s">
        <v>15200</v>
      </c>
      <c r="O2141" s="1" t="s">
        <v>108</v>
      </c>
      <c r="P2141" s="1" t="s">
        <v>15201</v>
      </c>
      <c r="Q2141" s="1" t="s">
        <v>145</v>
      </c>
      <c r="R2141" s="1" t="s">
        <v>145</v>
      </c>
      <c r="S2141" s="6">
        <v>2.4387099999999999</v>
      </c>
      <c r="T2141" s="1" t="s">
        <v>50</v>
      </c>
      <c r="U2141" s="1"/>
      <c r="V2141" s="1"/>
      <c r="W2141" s="1"/>
      <c r="X2141" s="9">
        <v>4000</v>
      </c>
      <c r="Y2141" s="7">
        <v>133333334</v>
      </c>
      <c r="Z2141" s="1"/>
      <c r="AA2141" s="1" t="s">
        <v>15202</v>
      </c>
      <c r="AB2141" s="1" t="s">
        <v>2067</v>
      </c>
      <c r="AC2141" s="1" t="s">
        <v>15203</v>
      </c>
      <c r="AD2141" s="1" t="s">
        <v>2067</v>
      </c>
      <c r="AE2141" s="1" t="s">
        <v>51</v>
      </c>
      <c r="AF2141" s="1" t="s">
        <v>51</v>
      </c>
      <c r="AG2141" s="1" t="s">
        <v>51</v>
      </c>
      <c r="AH2141" s="1"/>
      <c r="AI2141" s="1"/>
      <c r="AJ2141" s="3">
        <v>6</v>
      </c>
      <c r="AK2141" s="1" t="s">
        <v>10120</v>
      </c>
      <c r="AL2141" s="3">
        <v>17</v>
      </c>
      <c r="AM2141" s="8">
        <v>35.670000000000002</v>
      </c>
      <c r="AN2141" s="1"/>
      <c r="AO2141" s="1" t="s">
        <v>15204</v>
      </c>
      <c r="AP2141" s="1" t="s">
        <v>15205</v>
      </c>
      <c r="AQ2141" s="1" t="s">
        <v>15206</v>
      </c>
      <c r="AR2141" s="1" t="s">
        <v>15207</v>
      </c>
    </row>
    <row r="2142">
      <c r="A2142" s="2">
        <f ca="1">DATE(2007,03,29)</f>
        <v>0</v>
      </c>
      <c r="B2142" s="2">
        <f ca="1">DATE(2007,06,22)</f>
        <v>0</v>
      </c>
      <c r="C2142" s="1" t="s">
        <v>15208</v>
      </c>
      <c r="D2142" s="3">
        <v>6798</v>
      </c>
      <c r="E2142" s="1" t="s">
        <v>43</v>
      </c>
      <c r="F2142" s="1" t="s">
        <v>15209</v>
      </c>
      <c r="G2142" s="1" t="s">
        <v>15210</v>
      </c>
      <c r="H2142" s="4">
        <v>1.0129999999999999</v>
      </c>
      <c r="I2142" s="8">
        <v>6.75</v>
      </c>
      <c r="J2142" s="5">
        <v>225</v>
      </c>
      <c r="K2142" s="4">
        <v>15</v>
      </c>
      <c r="L2142" s="1" t="s">
        <v>46</v>
      </c>
      <c r="M2142" s="1" t="s">
        <v>47</v>
      </c>
      <c r="N2142" s="3">
        <v>141657106</v>
      </c>
      <c r="O2142" s="1" t="s">
        <v>108</v>
      </c>
      <c r="P2142" s="1" t="s">
        <v>15211</v>
      </c>
      <c r="Q2142" s="1" t="s">
        <v>145</v>
      </c>
      <c r="R2142" s="1" t="s">
        <v>145</v>
      </c>
      <c r="S2142" s="8">
        <v>4.0499999999999998</v>
      </c>
      <c r="T2142" s="1" t="s">
        <v>50</v>
      </c>
      <c r="U2142" s="1"/>
      <c r="V2142" s="1"/>
      <c r="W2142" s="1"/>
      <c r="X2142" s="5">
        <v>275</v>
      </c>
      <c r="Y2142" s="7">
        <v>15000000</v>
      </c>
      <c r="Z2142" s="1"/>
      <c r="AA2142" s="1" t="s">
        <v>15212</v>
      </c>
      <c r="AB2142" s="1" t="s">
        <v>5265</v>
      </c>
      <c r="AC2142" s="1" t="s">
        <v>7759</v>
      </c>
      <c r="AD2142" s="1" t="s">
        <v>5265</v>
      </c>
      <c r="AE2142" s="1" t="s">
        <v>51</v>
      </c>
      <c r="AF2142" s="1" t="s">
        <v>51</v>
      </c>
      <c r="AG2142" s="1" t="s">
        <v>51</v>
      </c>
      <c r="AH2142" s="1"/>
      <c r="AI2142" s="1"/>
      <c r="AJ2142" s="3">
        <v>2</v>
      </c>
      <c r="AK2142" s="1" t="s">
        <v>89</v>
      </c>
      <c r="AL2142" s="3">
        <v>9</v>
      </c>
      <c r="AM2142" s="8">
        <v>13.699999999999999</v>
      </c>
      <c r="AN2142" s="1"/>
      <c r="AO2142" s="1" t="s">
        <v>15213</v>
      </c>
      <c r="AP2142" s="1" t="s">
        <v>15214</v>
      </c>
      <c r="AQ2142" s="1" t="s">
        <v>15215</v>
      </c>
      <c r="AR2142" s="1" t="s">
        <v>15216</v>
      </c>
    </row>
    <row r="2143">
      <c r="A2143" s="2">
        <f ca="1">DATE(2007,06,06)</f>
        <v>0</v>
      </c>
      <c r="B2143" s="2">
        <f ca="1">DATE(2007,06,22)</f>
        <v>0</v>
      </c>
      <c r="C2143" s="1" t="s">
        <v>4727</v>
      </c>
      <c r="D2143" s="3">
        <v>2836</v>
      </c>
      <c r="E2143" s="1" t="s">
        <v>43</v>
      </c>
      <c r="F2143" s="1" t="s">
        <v>4728</v>
      </c>
      <c r="G2143" s="1" t="s">
        <v>15217</v>
      </c>
      <c r="H2143" s="1" t="s">
        <v>57</v>
      </c>
      <c r="I2143" s="1" t="s">
        <v>57</v>
      </c>
      <c r="J2143" s="5">
        <v>30</v>
      </c>
      <c r="K2143" s="8">
        <v>0.94999999999999996</v>
      </c>
      <c r="L2143" s="1" t="s">
        <v>58</v>
      </c>
      <c r="M2143" s="1" t="s">
        <v>47</v>
      </c>
      <c r="N2143" s="1" t="s">
        <v>15218</v>
      </c>
      <c r="O2143" s="1" t="s">
        <v>77</v>
      </c>
      <c r="P2143" s="1" t="s">
        <v>15219</v>
      </c>
      <c r="Q2143" s="1"/>
      <c r="R2143" s="1"/>
      <c r="S2143" s="1"/>
      <c r="T2143" s="1" t="s">
        <v>60</v>
      </c>
      <c r="U2143" s="1"/>
      <c r="V2143" s="1"/>
      <c r="W2143" s="7">
        <v>4349419</v>
      </c>
      <c r="X2143" s="5">
        <v>29.899999999999999</v>
      </c>
      <c r="Y2143" s="7">
        <v>15789473</v>
      </c>
      <c r="Z2143" s="1"/>
      <c r="AA2143" s="1"/>
      <c r="AB2143" s="1"/>
      <c r="AC2143" s="3">
        <v>360</v>
      </c>
      <c r="AD2143" s="1"/>
      <c r="AE2143" s="1" t="s">
        <v>51</v>
      </c>
      <c r="AF2143" s="1" t="s">
        <v>51</v>
      </c>
      <c r="AG2143" s="1" t="s">
        <v>51</v>
      </c>
      <c r="AH2143" s="1"/>
      <c r="AI2143" s="1"/>
      <c r="AJ2143" s="3">
        <v>1</v>
      </c>
      <c r="AK2143" s="1" t="s">
        <v>52</v>
      </c>
      <c r="AL2143" s="3">
        <v>1</v>
      </c>
      <c r="AM2143" s="1"/>
      <c r="AN2143" s="1"/>
      <c r="AO2143" s="1" t="s">
        <v>15217</v>
      </c>
      <c r="AP2143" s="1" t="s">
        <v>15217</v>
      </c>
      <c r="AQ2143" s="1" t="s">
        <v>15217</v>
      </c>
      <c r="AR2143" s="1" t="s">
        <v>15219</v>
      </c>
    </row>
    <row r="2144">
      <c r="A2144" s="2">
        <f ca="1">DATE(2006,11,20)</f>
        <v>0</v>
      </c>
      <c r="B2144" s="2">
        <f ca="1">DATE(2007,06,25)</f>
        <v>0</v>
      </c>
      <c r="C2144" s="1" t="s">
        <v>15220</v>
      </c>
      <c r="D2144" s="3">
        <v>6726</v>
      </c>
      <c r="E2144" s="1" t="s">
        <v>43</v>
      </c>
      <c r="F2144" s="1" t="s">
        <v>15221</v>
      </c>
      <c r="G2144" s="1" t="s">
        <v>15222</v>
      </c>
      <c r="H2144" s="4">
        <v>0.69999999999999996</v>
      </c>
      <c r="I2144" s="8">
        <v>7</v>
      </c>
      <c r="J2144" s="5">
        <v>180</v>
      </c>
      <c r="K2144" s="4">
        <v>10</v>
      </c>
      <c r="L2144" s="1" t="s">
        <v>46</v>
      </c>
      <c r="M2144" s="1" t="s">
        <v>47</v>
      </c>
      <c r="N2144" s="1" t="s">
        <v>15223</v>
      </c>
      <c r="O2144" s="1" t="s">
        <v>87</v>
      </c>
      <c r="P2144" s="1" t="s">
        <v>15224</v>
      </c>
      <c r="Q2144" s="1" t="s">
        <v>145</v>
      </c>
      <c r="R2144" s="1" t="s">
        <v>145</v>
      </c>
      <c r="S2144" s="8">
        <v>2.3999999999999999</v>
      </c>
      <c r="T2144" s="1" t="s">
        <v>50</v>
      </c>
      <c r="U2144" s="8">
        <v>8</v>
      </c>
      <c r="V2144" s="8">
        <v>8</v>
      </c>
      <c r="W2144" s="7">
        <v>21875000</v>
      </c>
      <c r="X2144" s="5">
        <v>175</v>
      </c>
      <c r="Y2144" s="7">
        <v>18000000</v>
      </c>
      <c r="Z2144" s="1"/>
      <c r="AA2144" s="1" t="s">
        <v>15225</v>
      </c>
      <c r="AB2144" s="1" t="s">
        <v>2067</v>
      </c>
      <c r="AC2144" s="1" t="s">
        <v>2068</v>
      </c>
      <c r="AD2144" s="1" t="s">
        <v>2067</v>
      </c>
      <c r="AE2144" s="1" t="s">
        <v>51</v>
      </c>
      <c r="AF2144" s="1" t="s">
        <v>51</v>
      </c>
      <c r="AG2144" s="1" t="s">
        <v>51</v>
      </c>
      <c r="AH2144" s="1"/>
      <c r="AI2144" s="1"/>
      <c r="AJ2144" s="3">
        <v>1</v>
      </c>
      <c r="AK2144" s="1" t="s">
        <v>52</v>
      </c>
      <c r="AL2144" s="3">
        <v>3</v>
      </c>
      <c r="AM2144" s="1"/>
      <c r="AN2144" s="1"/>
      <c r="AO2144" s="1" t="s">
        <v>15226</v>
      </c>
      <c r="AP2144" s="1" t="s">
        <v>15222</v>
      </c>
      <c r="AQ2144" s="1" t="s">
        <v>15227</v>
      </c>
      <c r="AR2144" s="1" t="s">
        <v>15224</v>
      </c>
    </row>
    <row r="2145">
      <c r="A2145" s="2">
        <f ca="1">DATE(2007,03,16)</f>
        <v>0</v>
      </c>
      <c r="B2145" s="2">
        <f ca="1">DATE(2007,06,26)</f>
        <v>0</v>
      </c>
      <c r="C2145" s="1" t="s">
        <v>15228</v>
      </c>
      <c r="D2145" s="3">
        <v>3674</v>
      </c>
      <c r="E2145" s="1" t="s">
        <v>43</v>
      </c>
      <c r="F2145" s="1" t="s">
        <v>15229</v>
      </c>
      <c r="G2145" s="1" t="s">
        <v>813</v>
      </c>
      <c r="H2145" s="4">
        <v>0.77000000000000002</v>
      </c>
      <c r="I2145" s="4">
        <v>7</v>
      </c>
      <c r="J2145" s="5">
        <v>82.5</v>
      </c>
      <c r="K2145" s="4">
        <v>11</v>
      </c>
      <c r="L2145" s="1" t="s">
        <v>46</v>
      </c>
      <c r="M2145" s="1" t="s">
        <v>47</v>
      </c>
      <c r="N2145" s="1" t="s">
        <v>15230</v>
      </c>
      <c r="O2145" s="1" t="s">
        <v>48</v>
      </c>
      <c r="P2145" s="1" t="s">
        <v>15231</v>
      </c>
      <c r="Q2145" s="1" t="s">
        <v>145</v>
      </c>
      <c r="R2145" s="1" t="s">
        <v>145</v>
      </c>
      <c r="S2145" s="6">
        <v>4.1818200000000001</v>
      </c>
      <c r="T2145" s="1" t="s">
        <v>50</v>
      </c>
      <c r="U2145" s="1"/>
      <c r="V2145" s="1"/>
      <c r="W2145" s="1"/>
      <c r="X2145" s="5">
        <v>86.299999999999997</v>
      </c>
      <c r="Y2145" s="7">
        <v>5625000</v>
      </c>
      <c r="Z2145" s="7">
        <v>1875000</v>
      </c>
      <c r="AA2145" s="1" t="s">
        <v>15232</v>
      </c>
      <c r="AB2145" s="1" t="s">
        <v>2067</v>
      </c>
      <c r="AC2145" s="1" t="s">
        <v>2068</v>
      </c>
      <c r="AD2145" s="1" t="s">
        <v>2067</v>
      </c>
      <c r="AE2145" s="1" t="s">
        <v>51</v>
      </c>
      <c r="AF2145" s="1" t="s">
        <v>51</v>
      </c>
      <c r="AG2145" s="1" t="s">
        <v>47</v>
      </c>
      <c r="AH2145" s="1"/>
      <c r="AI2145" s="1"/>
      <c r="AJ2145" s="3">
        <v>1</v>
      </c>
      <c r="AK2145" s="1" t="s">
        <v>52</v>
      </c>
      <c r="AL2145" s="3">
        <v>5</v>
      </c>
      <c r="AM2145" s="8">
        <v>10</v>
      </c>
      <c r="AN2145" s="1"/>
      <c r="AO2145" s="1" t="s">
        <v>15233</v>
      </c>
      <c r="AP2145" s="1" t="s">
        <v>813</v>
      </c>
      <c r="AQ2145" s="1" t="s">
        <v>15234</v>
      </c>
      <c r="AR2145" s="1" t="s">
        <v>15235</v>
      </c>
    </row>
    <row r="2146">
      <c r="A2146" s="2">
        <f ca="1">DATE(2007,03,06)</f>
        <v>0</v>
      </c>
      <c r="B2146" s="2">
        <f ca="1">DATE(2007,06,26)</f>
        <v>0</v>
      </c>
      <c r="C2146" s="1" t="s">
        <v>15236</v>
      </c>
      <c r="D2146" s="3">
        <v>6799</v>
      </c>
      <c r="E2146" s="1" t="s">
        <v>43</v>
      </c>
      <c r="F2146" s="1" t="s">
        <v>15237</v>
      </c>
      <c r="G2146" s="1" t="s">
        <v>15238</v>
      </c>
      <c r="H2146" s="4">
        <v>0.83999999999999997</v>
      </c>
      <c r="I2146" s="4">
        <v>5.25</v>
      </c>
      <c r="J2146" s="5">
        <v>160</v>
      </c>
      <c r="K2146" s="4">
        <v>16</v>
      </c>
      <c r="L2146" s="1" t="s">
        <v>46</v>
      </c>
      <c r="M2146" s="1" t="s">
        <v>47</v>
      </c>
      <c r="N2146" s="1" t="s">
        <v>15239</v>
      </c>
      <c r="O2146" s="1" t="s">
        <v>48</v>
      </c>
      <c r="P2146" s="1" t="s">
        <v>15240</v>
      </c>
      <c r="Q2146" s="1" t="s">
        <v>145</v>
      </c>
      <c r="R2146" s="1" t="s">
        <v>145</v>
      </c>
      <c r="S2146" s="4">
        <v>3.125</v>
      </c>
      <c r="T2146" s="1" t="s">
        <v>50</v>
      </c>
      <c r="U2146" s="1"/>
      <c r="V2146" s="1"/>
      <c r="W2146" s="1"/>
      <c r="X2146" s="5">
        <v>1.5</v>
      </c>
      <c r="Y2146" s="7">
        <v>10000000</v>
      </c>
      <c r="Z2146" s="1"/>
      <c r="AA2146" s="2">
        <f ca="1">DATE(2007,12,23)</f>
        <v>0</v>
      </c>
      <c r="AB2146" s="1"/>
      <c r="AC2146" s="3">
        <v>180</v>
      </c>
      <c r="AD2146" s="1"/>
      <c r="AE2146" s="1" t="s">
        <v>51</v>
      </c>
      <c r="AF2146" s="1" t="s">
        <v>51</v>
      </c>
      <c r="AG2146" s="1" t="s">
        <v>51</v>
      </c>
      <c r="AH2146" s="1"/>
      <c r="AI2146" s="1"/>
      <c r="AJ2146" s="3">
        <v>4</v>
      </c>
      <c r="AK2146" s="1" t="s">
        <v>1209</v>
      </c>
      <c r="AL2146" s="3">
        <v>6</v>
      </c>
      <c r="AM2146" s="8">
        <v>14.9</v>
      </c>
      <c r="AN2146" s="1"/>
      <c r="AO2146" s="1" t="s">
        <v>15241</v>
      </c>
      <c r="AP2146" s="1" t="s">
        <v>15242</v>
      </c>
      <c r="AQ2146" s="1" t="s">
        <v>15243</v>
      </c>
      <c r="AR2146" s="1" t="s">
        <v>15244</v>
      </c>
    </row>
    <row r="2147">
      <c r="A2147" s="2">
        <f ca="1">DATE(2007,04,12)</f>
        <v>0</v>
      </c>
      <c r="B2147" s="2">
        <f ca="1">DATE(2007,06,26)</f>
        <v>0</v>
      </c>
      <c r="C2147" s="1" t="s">
        <v>15245</v>
      </c>
      <c r="D2147" s="3">
        <v>6726</v>
      </c>
      <c r="E2147" s="1" t="s">
        <v>43</v>
      </c>
      <c r="F2147" s="1" t="s">
        <v>15246</v>
      </c>
      <c r="G2147" s="1" t="s">
        <v>15247</v>
      </c>
      <c r="H2147" s="4">
        <v>0.67500000000000004</v>
      </c>
      <c r="I2147" s="4">
        <v>4.5</v>
      </c>
      <c r="J2147" s="5">
        <v>840</v>
      </c>
      <c r="K2147" s="4">
        <v>15</v>
      </c>
      <c r="L2147" s="1" t="s">
        <v>4851</v>
      </c>
      <c r="M2147" s="1" t="s">
        <v>47</v>
      </c>
      <c r="N2147" s="1" t="s">
        <v>15248</v>
      </c>
      <c r="O2147" s="1" t="s">
        <v>108</v>
      </c>
      <c r="P2147" s="1" t="s">
        <v>15249</v>
      </c>
      <c r="Q2147" s="1" t="s">
        <v>145</v>
      </c>
      <c r="R2147" s="1" t="s">
        <v>145</v>
      </c>
      <c r="S2147" s="8">
        <v>3</v>
      </c>
      <c r="T2147" s="1" t="s">
        <v>50</v>
      </c>
      <c r="U2147" s="1"/>
      <c r="V2147" s="1"/>
      <c r="W2147" s="7">
        <v>66666667</v>
      </c>
      <c r="X2147" s="1"/>
      <c r="Y2147" s="7">
        <v>56000000</v>
      </c>
      <c r="Z2147" s="1"/>
      <c r="AA2147" s="2">
        <f ca="1">DATE(2007,12,23)</f>
        <v>0</v>
      </c>
      <c r="AB2147" s="1"/>
      <c r="AC2147" s="3">
        <v>180</v>
      </c>
      <c r="AD2147" s="1"/>
      <c r="AE2147" s="1" t="s">
        <v>51</v>
      </c>
      <c r="AF2147" s="1" t="s">
        <v>51</v>
      </c>
      <c r="AG2147" s="1" t="s">
        <v>51</v>
      </c>
      <c r="AH2147" s="1"/>
      <c r="AI2147" s="1"/>
      <c r="AJ2147" s="3">
        <v>2</v>
      </c>
      <c r="AK2147" s="1" t="s">
        <v>89</v>
      </c>
      <c r="AL2147" s="3">
        <v>16</v>
      </c>
      <c r="AM2147" s="1"/>
      <c r="AN2147" s="1"/>
      <c r="AO2147" s="1" t="s">
        <v>15250</v>
      </c>
      <c r="AP2147" s="1" t="s">
        <v>15251</v>
      </c>
      <c r="AQ2147" s="1" t="s">
        <v>15252</v>
      </c>
      <c r="AR2147" s="1" t="s">
        <v>15253</v>
      </c>
    </row>
    <row r="2148">
      <c r="A2148" s="2">
        <f ca="1">DATE(2007,04,02)</f>
        <v>0</v>
      </c>
      <c r="B2148" s="2">
        <f ca="1">DATE(2007,06,26)</f>
        <v>0</v>
      </c>
      <c r="C2148" s="1" t="s">
        <v>15254</v>
      </c>
      <c r="D2148" s="3">
        <v>7389</v>
      </c>
      <c r="E2148" s="1" t="s">
        <v>43</v>
      </c>
      <c r="F2148" s="1" t="s">
        <v>15255</v>
      </c>
      <c r="G2148" s="1" t="s">
        <v>12096</v>
      </c>
      <c r="H2148" s="4">
        <v>1.155</v>
      </c>
      <c r="I2148" s="4">
        <v>7</v>
      </c>
      <c r="J2148" s="5">
        <v>87.5</v>
      </c>
      <c r="K2148" s="4">
        <v>16.5</v>
      </c>
      <c r="L2148" s="1" t="s">
        <v>46</v>
      </c>
      <c r="M2148" s="1" t="s">
        <v>47</v>
      </c>
      <c r="N2148" s="1" t="s">
        <v>15256</v>
      </c>
      <c r="O2148" s="1" t="s">
        <v>48</v>
      </c>
      <c r="P2148" s="1" t="s">
        <v>15257</v>
      </c>
      <c r="Q2148" s="1" t="s">
        <v>145</v>
      </c>
      <c r="R2148" s="1" t="s">
        <v>145</v>
      </c>
      <c r="S2148" s="8">
        <v>4.2000000000000002</v>
      </c>
      <c r="T2148" s="1" t="s">
        <v>50</v>
      </c>
      <c r="U2148" s="1"/>
      <c r="V2148" s="1"/>
      <c r="W2148" s="1"/>
      <c r="X2148" s="5">
        <v>86.299999999999997</v>
      </c>
      <c r="Y2148" s="7">
        <v>5000000</v>
      </c>
      <c r="Z2148" s="7">
        <v>300000</v>
      </c>
      <c r="AA2148" s="1" t="s">
        <v>15258</v>
      </c>
      <c r="AB2148" s="1" t="s">
        <v>5265</v>
      </c>
      <c r="AC2148" s="1" t="s">
        <v>7759</v>
      </c>
      <c r="AD2148" s="1" t="s">
        <v>5265</v>
      </c>
      <c r="AE2148" s="1" t="s">
        <v>51</v>
      </c>
      <c r="AF2148" s="1" t="s">
        <v>51</v>
      </c>
      <c r="AG2148" s="1" t="s">
        <v>47</v>
      </c>
      <c r="AH2148" s="1"/>
      <c r="AI2148" s="1"/>
      <c r="AJ2148" s="3">
        <v>1</v>
      </c>
      <c r="AK2148" s="1" t="s">
        <v>52</v>
      </c>
      <c r="AL2148" s="3">
        <v>5</v>
      </c>
      <c r="AM2148" s="8">
        <v>23.469999999999999</v>
      </c>
      <c r="AN2148" s="1"/>
      <c r="AO2148" s="1" t="s">
        <v>15259</v>
      </c>
      <c r="AP2148" s="1" t="s">
        <v>12096</v>
      </c>
      <c r="AQ2148" s="1" t="s">
        <v>15260</v>
      </c>
      <c r="AR2148" s="1" t="s">
        <v>15261</v>
      </c>
    </row>
    <row r="2149">
      <c r="A2149" s="2">
        <f ca="1">DATE(2007,04,11)</f>
        <v>0</v>
      </c>
      <c r="B2149" s="2">
        <f ca="1">DATE(2007,06,26)</f>
        <v>0</v>
      </c>
      <c r="C2149" s="1" t="s">
        <v>15262</v>
      </c>
      <c r="D2149" s="3">
        <v>6726</v>
      </c>
      <c r="E2149" s="1" t="s">
        <v>43</v>
      </c>
      <c r="F2149" s="1" t="s">
        <v>15263</v>
      </c>
      <c r="G2149" s="1" t="s">
        <v>45</v>
      </c>
      <c r="H2149" s="4">
        <v>0.90000000000000002</v>
      </c>
      <c r="I2149" s="4">
        <v>4.5</v>
      </c>
      <c r="J2149" s="5">
        <v>222.5</v>
      </c>
      <c r="K2149" s="4">
        <v>20</v>
      </c>
      <c r="L2149" s="1" t="s">
        <v>46</v>
      </c>
      <c r="M2149" s="1" t="s">
        <v>47</v>
      </c>
      <c r="N2149" s="1" t="s">
        <v>15264</v>
      </c>
      <c r="O2149" s="1" t="s">
        <v>108</v>
      </c>
      <c r="P2149" s="1" t="s">
        <v>15265</v>
      </c>
      <c r="Q2149" s="1" t="s">
        <v>145</v>
      </c>
      <c r="R2149" s="1" t="s">
        <v>145</v>
      </c>
      <c r="S2149" s="8">
        <v>3</v>
      </c>
      <c r="T2149" s="1" t="s">
        <v>50</v>
      </c>
      <c r="U2149" s="8">
        <v>20</v>
      </c>
      <c r="V2149" s="8">
        <v>20</v>
      </c>
      <c r="W2149" s="7">
        <v>50000</v>
      </c>
      <c r="X2149" s="5">
        <v>1</v>
      </c>
      <c r="Y2149" s="7">
        <v>11125000</v>
      </c>
      <c r="Z2149" s="1"/>
      <c r="AA2149" s="1"/>
      <c r="AB2149" s="1"/>
      <c r="AC2149" s="1"/>
      <c r="AD2149" s="1"/>
      <c r="AE2149" s="1" t="s">
        <v>51</v>
      </c>
      <c r="AF2149" s="1" t="s">
        <v>51</v>
      </c>
      <c r="AG2149" s="1" t="s">
        <v>51</v>
      </c>
      <c r="AH2149" s="1"/>
      <c r="AI2149" s="1"/>
      <c r="AJ2149" s="3">
        <v>1</v>
      </c>
      <c r="AK2149" s="1" t="s">
        <v>52</v>
      </c>
      <c r="AL2149" s="3">
        <v>11</v>
      </c>
      <c r="AM2149" s="1"/>
      <c r="AN2149" s="1"/>
      <c r="AO2149" s="1" t="s">
        <v>15266</v>
      </c>
      <c r="AP2149" s="1" t="s">
        <v>45</v>
      </c>
      <c r="AQ2149" s="1" t="s">
        <v>15267</v>
      </c>
      <c r="AR2149" s="1" t="s">
        <v>15268</v>
      </c>
    </row>
    <row r="2150">
      <c r="A2150" s="2">
        <f ca="1">DATE(2007,03,30)</f>
        <v>0</v>
      </c>
      <c r="B2150" s="2">
        <f ca="1">DATE(2007,06,26)</f>
        <v>0</v>
      </c>
      <c r="C2150" s="1" t="s">
        <v>15269</v>
      </c>
      <c r="D2150" s="3">
        <v>3572</v>
      </c>
      <c r="E2150" s="1" t="s">
        <v>43</v>
      </c>
      <c r="F2150" s="1" t="s">
        <v>15270</v>
      </c>
      <c r="G2150" s="1" t="s">
        <v>4160</v>
      </c>
      <c r="H2150" s="4">
        <v>1.05</v>
      </c>
      <c r="I2150" s="4">
        <v>7</v>
      </c>
      <c r="J2150" s="5">
        <v>110.90000000000001</v>
      </c>
      <c r="K2150" s="4">
        <v>15</v>
      </c>
      <c r="L2150" s="1" t="s">
        <v>46</v>
      </c>
      <c r="M2150" s="1" t="s">
        <v>47</v>
      </c>
      <c r="N2150" s="1" t="s">
        <v>15271</v>
      </c>
      <c r="O2150" s="1" t="s">
        <v>48</v>
      </c>
      <c r="P2150" s="1" t="s">
        <v>15272</v>
      </c>
      <c r="Q2150" s="1" t="s">
        <v>145</v>
      </c>
      <c r="R2150" s="1" t="s">
        <v>145</v>
      </c>
      <c r="S2150" s="8">
        <v>4.2000000000000002</v>
      </c>
      <c r="T2150" s="1" t="s">
        <v>50</v>
      </c>
      <c r="U2150" s="1"/>
      <c r="V2150" s="1"/>
      <c r="W2150" s="1"/>
      <c r="X2150" s="5">
        <v>100</v>
      </c>
      <c r="Y2150" s="7">
        <v>7000000</v>
      </c>
      <c r="Z2150" s="7">
        <v>390000</v>
      </c>
      <c r="AA2150" s="1" t="s">
        <v>15258</v>
      </c>
      <c r="AB2150" s="1" t="s">
        <v>5265</v>
      </c>
      <c r="AC2150" s="1" t="s">
        <v>7759</v>
      </c>
      <c r="AD2150" s="1" t="s">
        <v>5265</v>
      </c>
      <c r="AE2150" s="1" t="s">
        <v>51</v>
      </c>
      <c r="AF2150" s="1" t="s">
        <v>51</v>
      </c>
      <c r="AG2150" s="1" t="s">
        <v>47</v>
      </c>
      <c r="AH2150" s="1"/>
      <c r="AI2150" s="1"/>
      <c r="AJ2150" s="3">
        <v>2</v>
      </c>
      <c r="AK2150" s="1" t="s">
        <v>89</v>
      </c>
      <c r="AL2150" s="3">
        <v>4</v>
      </c>
      <c r="AM2150" s="8">
        <v>24.949999999999999</v>
      </c>
      <c r="AN2150" s="1"/>
      <c r="AO2150" s="1" t="s">
        <v>15273</v>
      </c>
      <c r="AP2150" s="1" t="s">
        <v>4164</v>
      </c>
      <c r="AQ2150" s="1" t="s">
        <v>15274</v>
      </c>
      <c r="AR2150" s="1" t="s">
        <v>15272</v>
      </c>
    </row>
    <row r="2151">
      <c r="A2151" s="2">
        <f ca="1">DATE(2007,04,13)</f>
        <v>0</v>
      </c>
      <c r="B2151" s="2">
        <f ca="1">DATE(2007,06,26)</f>
        <v>0</v>
      </c>
      <c r="C2151" s="1" t="s">
        <v>15275</v>
      </c>
      <c r="D2151" s="3">
        <v>6726</v>
      </c>
      <c r="E2151" s="1" t="s">
        <v>43</v>
      </c>
      <c r="F2151" s="1" t="s">
        <v>8162</v>
      </c>
      <c r="G2151" s="1" t="s">
        <v>45</v>
      </c>
      <c r="H2151" s="4">
        <v>0.90000000000000002</v>
      </c>
      <c r="I2151" s="4">
        <v>4.5</v>
      </c>
      <c r="J2151" s="5">
        <v>235</v>
      </c>
      <c r="K2151" s="4">
        <v>20</v>
      </c>
      <c r="L2151" s="1" t="s">
        <v>46</v>
      </c>
      <c r="M2151" s="1" t="s">
        <v>47</v>
      </c>
      <c r="N2151" s="3">
        <v>246060107</v>
      </c>
      <c r="O2151" s="1" t="s">
        <v>108</v>
      </c>
      <c r="P2151" s="1" t="s">
        <v>15276</v>
      </c>
      <c r="Q2151" s="1" t="s">
        <v>145</v>
      </c>
      <c r="R2151" s="1" t="s">
        <v>145</v>
      </c>
      <c r="S2151" s="8">
        <v>3</v>
      </c>
      <c r="T2151" s="1" t="s">
        <v>50</v>
      </c>
      <c r="U2151" s="8">
        <v>20</v>
      </c>
      <c r="V2151" s="8">
        <v>20</v>
      </c>
      <c r="W2151" s="7">
        <v>100000</v>
      </c>
      <c r="X2151" s="5">
        <v>2</v>
      </c>
      <c r="Y2151" s="7">
        <v>11750000</v>
      </c>
      <c r="Z2151" s="1"/>
      <c r="AA2151" s="2">
        <f ca="1">DATE(2007,12,23)</f>
        <v>0</v>
      </c>
      <c r="AB2151" s="1"/>
      <c r="AC2151" s="3">
        <v>180</v>
      </c>
      <c r="AD2151" s="1"/>
      <c r="AE2151" s="1" t="s">
        <v>51</v>
      </c>
      <c r="AF2151" s="1" t="s">
        <v>51</v>
      </c>
      <c r="AG2151" s="1" t="s">
        <v>51</v>
      </c>
      <c r="AH2151" s="1"/>
      <c r="AI2151" s="1"/>
      <c r="AJ2151" s="3">
        <v>1</v>
      </c>
      <c r="AK2151" s="1" t="s">
        <v>52</v>
      </c>
      <c r="AL2151" s="3">
        <v>9</v>
      </c>
      <c r="AM2151" s="1"/>
      <c r="AN2151" s="1"/>
      <c r="AO2151" s="1" t="s">
        <v>15277</v>
      </c>
      <c r="AP2151" s="1" t="s">
        <v>45</v>
      </c>
      <c r="AQ2151" s="1" t="s">
        <v>15278</v>
      </c>
      <c r="AR2151" s="1" t="s">
        <v>15279</v>
      </c>
    </row>
    <row r="2152">
      <c r="A2152" s="2">
        <f ca="1">DATE(2007,03,23)</f>
        <v>0</v>
      </c>
      <c r="B2152" s="2">
        <f ca="1">DATE(2007,06,26)</f>
        <v>0</v>
      </c>
      <c r="C2152" s="1" t="s">
        <v>15280</v>
      </c>
      <c r="D2152" s="3">
        <v>6726</v>
      </c>
      <c r="E2152" s="1" t="s">
        <v>43</v>
      </c>
      <c r="F2152" s="1" t="s">
        <v>15281</v>
      </c>
      <c r="G2152" s="1" t="s">
        <v>45</v>
      </c>
      <c r="H2152" s="4">
        <v>0.90000000000000002</v>
      </c>
      <c r="I2152" s="4">
        <v>4.5</v>
      </c>
      <c r="J2152" s="5">
        <v>265</v>
      </c>
      <c r="K2152" s="4">
        <v>20</v>
      </c>
      <c r="L2152" s="1" t="s">
        <v>46</v>
      </c>
      <c r="M2152" s="1" t="s">
        <v>47</v>
      </c>
      <c r="N2152" s="1" t="s">
        <v>15282</v>
      </c>
      <c r="O2152" s="1" t="s">
        <v>108</v>
      </c>
      <c r="P2152" s="1" t="s">
        <v>15283</v>
      </c>
      <c r="Q2152" s="1" t="s">
        <v>145</v>
      </c>
      <c r="R2152" s="1" t="s">
        <v>145</v>
      </c>
      <c r="S2152" s="8">
        <v>3</v>
      </c>
      <c r="T2152" s="1" t="s">
        <v>50</v>
      </c>
      <c r="U2152" s="8">
        <v>20</v>
      </c>
      <c r="V2152" s="8">
        <v>20</v>
      </c>
      <c r="W2152" s="7">
        <v>50000</v>
      </c>
      <c r="X2152" s="5">
        <v>1</v>
      </c>
      <c r="Y2152" s="7">
        <v>13250000</v>
      </c>
      <c r="Z2152" s="1"/>
      <c r="AA2152" s="1"/>
      <c r="AB2152" s="1"/>
      <c r="AC2152" s="1"/>
      <c r="AD2152" s="1"/>
      <c r="AE2152" s="1" t="s">
        <v>51</v>
      </c>
      <c r="AF2152" s="1" t="s">
        <v>51</v>
      </c>
      <c r="AG2152" s="1" t="s">
        <v>51</v>
      </c>
      <c r="AH2152" s="1"/>
      <c r="AI2152" s="1"/>
      <c r="AJ2152" s="3">
        <v>1</v>
      </c>
      <c r="AK2152" s="1" t="s">
        <v>52</v>
      </c>
      <c r="AL2152" s="3">
        <v>8</v>
      </c>
      <c r="AM2152" s="1"/>
      <c r="AN2152" s="1"/>
      <c r="AO2152" s="1" t="s">
        <v>15284</v>
      </c>
      <c r="AP2152" s="1" t="s">
        <v>45</v>
      </c>
      <c r="AQ2152" s="1" t="s">
        <v>15285</v>
      </c>
      <c r="AR2152" s="1" t="s">
        <v>15286</v>
      </c>
    </row>
    <row r="2153">
      <c r="A2153" s="2">
        <f ca="1">DATE(2007,03,30)</f>
        <v>0</v>
      </c>
      <c r="B2153" s="2">
        <f ca="1">DATE(2007,06,26)</f>
        <v>0</v>
      </c>
      <c r="C2153" s="1" t="s">
        <v>15287</v>
      </c>
      <c r="D2153" s="3">
        <v>4922</v>
      </c>
      <c r="E2153" s="1" t="s">
        <v>43</v>
      </c>
      <c r="F2153" s="1" t="s">
        <v>15288</v>
      </c>
      <c r="G2153" s="1" t="s">
        <v>15289</v>
      </c>
      <c r="H2153" s="4">
        <v>1.375</v>
      </c>
      <c r="I2153" s="4">
        <v>6.25</v>
      </c>
      <c r="J2153" s="5">
        <v>220</v>
      </c>
      <c r="K2153" s="4">
        <v>22</v>
      </c>
      <c r="L2153" s="1" t="s">
        <v>85</v>
      </c>
      <c r="M2153" s="1" t="s">
        <v>47</v>
      </c>
      <c r="N2153" s="1" t="s">
        <v>15290</v>
      </c>
      <c r="O2153" s="1" t="s">
        <v>108</v>
      </c>
      <c r="P2153" s="1" t="s">
        <v>15291</v>
      </c>
      <c r="Q2153" s="1" t="s">
        <v>145</v>
      </c>
      <c r="R2153" s="1" t="s">
        <v>145</v>
      </c>
      <c r="S2153" s="8">
        <v>3.75</v>
      </c>
      <c r="T2153" s="1" t="s">
        <v>50</v>
      </c>
      <c r="U2153" s="1"/>
      <c r="V2153" s="1"/>
      <c r="W2153" s="7">
        <v>11500000</v>
      </c>
      <c r="X2153" s="5">
        <v>277.69999999999999</v>
      </c>
      <c r="Y2153" s="7">
        <v>10000000</v>
      </c>
      <c r="Z2153" s="1"/>
      <c r="AA2153" s="1" t="s">
        <v>15232</v>
      </c>
      <c r="AB2153" s="1" t="s">
        <v>2067</v>
      </c>
      <c r="AC2153" s="1" t="s">
        <v>2068</v>
      </c>
      <c r="AD2153" s="1" t="s">
        <v>2067</v>
      </c>
      <c r="AE2153" s="1" t="s">
        <v>51</v>
      </c>
      <c r="AF2153" s="1" t="s">
        <v>51</v>
      </c>
      <c r="AG2153" s="1" t="s">
        <v>51</v>
      </c>
      <c r="AH2153" s="1"/>
      <c r="AI2153" s="1"/>
      <c r="AJ2153" s="3">
        <v>2</v>
      </c>
      <c r="AK2153" s="1" t="s">
        <v>89</v>
      </c>
      <c r="AL2153" s="3">
        <v>7</v>
      </c>
      <c r="AM2153" s="8">
        <v>28.649999999999999</v>
      </c>
      <c r="AN2153" s="1"/>
      <c r="AO2153" s="1" t="s">
        <v>15292</v>
      </c>
      <c r="AP2153" s="1" t="s">
        <v>15293</v>
      </c>
      <c r="AQ2153" s="1" t="s">
        <v>15294</v>
      </c>
      <c r="AR2153" s="1" t="s">
        <v>15295</v>
      </c>
    </row>
    <row r="2154">
      <c r="A2154" s="2">
        <f ca="1">DATE(2007,06,06)</f>
        <v>0</v>
      </c>
      <c r="B2154" s="2">
        <f ca="1">DATE(2007,06,26)</f>
        <v>0</v>
      </c>
      <c r="C2154" s="1" t="s">
        <v>15296</v>
      </c>
      <c r="D2154" s="3">
        <v>3674</v>
      </c>
      <c r="E2154" s="1" t="s">
        <v>744</v>
      </c>
      <c r="F2154" s="1" t="s">
        <v>15297</v>
      </c>
      <c r="G2154" s="1" t="s">
        <v>15298</v>
      </c>
      <c r="H2154" s="4">
        <v>0.97999999999999998</v>
      </c>
      <c r="I2154" s="8">
        <v>7</v>
      </c>
      <c r="J2154" s="5">
        <v>125.90000000000001</v>
      </c>
      <c r="K2154" s="4">
        <v>14</v>
      </c>
      <c r="L2154" s="1" t="s">
        <v>651</v>
      </c>
      <c r="M2154" s="1" t="s">
        <v>47</v>
      </c>
      <c r="N2154" s="3">
        <v>849415203</v>
      </c>
      <c r="O2154" s="1" t="s">
        <v>48</v>
      </c>
      <c r="P2154" s="1" t="s">
        <v>15299</v>
      </c>
      <c r="Q2154" s="4">
        <v>1.3999999999999999</v>
      </c>
      <c r="R2154" s="4">
        <v>1.3999999999999999</v>
      </c>
      <c r="S2154" s="8">
        <v>4.2000000000000002</v>
      </c>
      <c r="T2154" s="1" t="s">
        <v>50</v>
      </c>
      <c r="U2154" s="1"/>
      <c r="V2154" s="1"/>
      <c r="W2154" s="1"/>
      <c r="X2154" s="5">
        <v>100</v>
      </c>
      <c r="Y2154" s="7">
        <v>8000000</v>
      </c>
      <c r="Z2154" s="7">
        <v>992700</v>
      </c>
      <c r="AA2154" s="1" t="s">
        <v>15258</v>
      </c>
      <c r="AB2154" s="1" t="s">
        <v>5265</v>
      </c>
      <c r="AC2154" s="1" t="s">
        <v>7759</v>
      </c>
      <c r="AD2154" s="1" t="s">
        <v>5265</v>
      </c>
      <c r="AE2154" s="1" t="s">
        <v>47</v>
      </c>
      <c r="AF2154" s="1" t="s">
        <v>51</v>
      </c>
      <c r="AG2154" s="1" t="s">
        <v>47</v>
      </c>
      <c r="AH2154" s="1"/>
      <c r="AI2154" s="1"/>
      <c r="AJ2154" s="3">
        <v>2</v>
      </c>
      <c r="AK2154" s="1" t="s">
        <v>89</v>
      </c>
      <c r="AL2154" s="3">
        <v>4</v>
      </c>
      <c r="AM2154" s="8">
        <v>15.949999999999999</v>
      </c>
      <c r="AN2154" s="1"/>
      <c r="AO2154" s="1" t="s">
        <v>15300</v>
      </c>
      <c r="AP2154" s="1" t="s">
        <v>15301</v>
      </c>
      <c r="AQ2154" s="1" t="s">
        <v>15302</v>
      </c>
      <c r="AR2154" s="1" t="s">
        <v>15299</v>
      </c>
    </row>
    <row r="2155">
      <c r="A2155" s="2">
        <f ca="1">DATE(2007,04,02)</f>
        <v>0</v>
      </c>
      <c r="B2155" s="2">
        <f ca="1">DATE(2007,06,26)</f>
        <v>0</v>
      </c>
      <c r="C2155" s="1" t="s">
        <v>15303</v>
      </c>
      <c r="D2155" s="3">
        <v>6726</v>
      </c>
      <c r="E2155" s="1" t="s">
        <v>43</v>
      </c>
      <c r="F2155" s="1" t="s">
        <v>15304</v>
      </c>
      <c r="G2155" s="1" t="s">
        <v>15305</v>
      </c>
      <c r="H2155" s="4">
        <v>0.90000000000000002</v>
      </c>
      <c r="I2155" s="4">
        <v>4.5</v>
      </c>
      <c r="J2155" s="9">
        <v>1420</v>
      </c>
      <c r="K2155" s="4">
        <v>20</v>
      </c>
      <c r="L2155" s="1" t="s">
        <v>46</v>
      </c>
      <c r="M2155" s="1" t="s">
        <v>47</v>
      </c>
      <c r="N2155" s="3">
        <v>921166104</v>
      </c>
      <c r="O2155" s="1" t="s">
        <v>108</v>
      </c>
      <c r="P2155" s="1" t="s">
        <v>15306</v>
      </c>
      <c r="Q2155" s="1" t="s">
        <v>145</v>
      </c>
      <c r="R2155" s="1" t="s">
        <v>145</v>
      </c>
      <c r="S2155" s="8">
        <v>3</v>
      </c>
      <c r="T2155" s="1" t="s">
        <v>50</v>
      </c>
      <c r="U2155" s="8">
        <v>20</v>
      </c>
      <c r="V2155" s="8">
        <v>20</v>
      </c>
      <c r="W2155" s="7">
        <v>50000</v>
      </c>
      <c r="X2155" s="5">
        <v>1</v>
      </c>
      <c r="Y2155" s="7">
        <v>71000000</v>
      </c>
      <c r="Z2155" s="1"/>
      <c r="AA2155" s="2">
        <f ca="1">DATE(2007,12,23)</f>
        <v>0</v>
      </c>
      <c r="AB2155" s="1"/>
      <c r="AC2155" s="3">
        <v>180</v>
      </c>
      <c r="AD2155" s="1"/>
      <c r="AE2155" s="1" t="s">
        <v>51</v>
      </c>
      <c r="AF2155" s="1" t="s">
        <v>51</v>
      </c>
      <c r="AG2155" s="1" t="s">
        <v>51</v>
      </c>
      <c r="AH2155" s="1"/>
      <c r="AI2155" s="1"/>
      <c r="AJ2155" s="3">
        <v>2</v>
      </c>
      <c r="AK2155" s="1" t="s">
        <v>89</v>
      </c>
      <c r="AL2155" s="3">
        <v>11</v>
      </c>
      <c r="AM2155" s="1"/>
      <c r="AN2155" s="1"/>
      <c r="AO2155" s="1" t="s">
        <v>15307</v>
      </c>
      <c r="AP2155" s="1" t="s">
        <v>13448</v>
      </c>
      <c r="AQ2155" s="1" t="s">
        <v>15308</v>
      </c>
      <c r="AR2155" s="1" t="s">
        <v>15309</v>
      </c>
    </row>
    <row r="2156">
      <c r="A2156" s="2">
        <f ca="1">DATE(2005,12,30)</f>
        <v>0</v>
      </c>
      <c r="B2156" s="2">
        <f ca="1">DATE(2007,06,27)</f>
        <v>0</v>
      </c>
      <c r="C2156" s="1" t="s">
        <v>15310</v>
      </c>
      <c r="D2156" s="3">
        <v>6726</v>
      </c>
      <c r="E2156" s="1" t="s">
        <v>43</v>
      </c>
      <c r="F2156" s="1" t="s">
        <v>15311</v>
      </c>
      <c r="G2156" s="1" t="s">
        <v>15312</v>
      </c>
      <c r="H2156" s="4">
        <v>0.90000000000000002</v>
      </c>
      <c r="I2156" s="4">
        <v>4.5</v>
      </c>
      <c r="J2156" s="5">
        <v>150</v>
      </c>
      <c r="K2156" s="4">
        <v>20</v>
      </c>
      <c r="L2156" s="1" t="s">
        <v>46</v>
      </c>
      <c r="M2156" s="1" t="s">
        <v>47</v>
      </c>
      <c r="N2156" s="1" t="s">
        <v>15313</v>
      </c>
      <c r="O2156" s="1" t="s">
        <v>108</v>
      </c>
      <c r="P2156" s="1" t="s">
        <v>15314</v>
      </c>
      <c r="Q2156" s="1" t="s">
        <v>145</v>
      </c>
      <c r="R2156" s="1" t="s">
        <v>145</v>
      </c>
      <c r="S2156" s="8">
        <v>3</v>
      </c>
      <c r="T2156" s="1" t="s">
        <v>50</v>
      </c>
      <c r="U2156" s="8">
        <v>15</v>
      </c>
      <c r="V2156" s="8">
        <v>15</v>
      </c>
      <c r="W2156" s="7">
        <v>100000</v>
      </c>
      <c r="X2156" s="5">
        <v>1.5</v>
      </c>
      <c r="Y2156" s="7">
        <v>7500000</v>
      </c>
      <c r="Z2156" s="1"/>
      <c r="AA2156" s="2">
        <f ca="1">DATE(2007,12,24)</f>
        <v>0</v>
      </c>
      <c r="AB2156" s="1"/>
      <c r="AC2156" s="3">
        <v>180</v>
      </c>
      <c r="AD2156" s="1"/>
      <c r="AE2156" s="1" t="s">
        <v>51</v>
      </c>
      <c r="AF2156" s="1" t="s">
        <v>51</v>
      </c>
      <c r="AG2156" s="1" t="s">
        <v>51</v>
      </c>
      <c r="AH2156" s="1"/>
      <c r="AI2156" s="1"/>
      <c r="AJ2156" s="3">
        <v>2</v>
      </c>
      <c r="AK2156" s="1" t="s">
        <v>89</v>
      </c>
      <c r="AL2156" s="3">
        <v>9</v>
      </c>
      <c r="AM2156" s="1"/>
      <c r="AN2156" s="1"/>
      <c r="AO2156" s="1" t="s">
        <v>15315</v>
      </c>
      <c r="AP2156" s="1" t="s">
        <v>15316</v>
      </c>
      <c r="AQ2156" s="1" t="s">
        <v>15317</v>
      </c>
      <c r="AR2156" s="1" t="s">
        <v>15318</v>
      </c>
    </row>
    <row r="2157">
      <c r="A2157" s="2">
        <f ca="1">DATE(2007,03,14)</f>
        <v>0</v>
      </c>
      <c r="B2157" s="2">
        <f ca="1">DATE(2007,06,27)</f>
        <v>0</v>
      </c>
      <c r="C2157" s="1" t="s">
        <v>15319</v>
      </c>
      <c r="D2157" s="3">
        <v>3069</v>
      </c>
      <c r="E2157" s="1" t="s">
        <v>43</v>
      </c>
      <c r="F2157" s="1" t="s">
        <v>15320</v>
      </c>
      <c r="G2157" s="1" t="s">
        <v>400</v>
      </c>
      <c r="H2157" s="4">
        <v>1.1399999999999999</v>
      </c>
      <c r="I2157" s="4">
        <v>6</v>
      </c>
      <c r="J2157" s="5">
        <v>285</v>
      </c>
      <c r="K2157" s="4">
        <v>19</v>
      </c>
      <c r="L2157" s="1" t="s">
        <v>46</v>
      </c>
      <c r="M2157" s="1" t="s">
        <v>47</v>
      </c>
      <c r="N2157" s="1" t="s">
        <v>15321</v>
      </c>
      <c r="O2157" s="1" t="s">
        <v>108</v>
      </c>
      <c r="P2157" s="1" t="s">
        <v>15322</v>
      </c>
      <c r="Q2157" s="1" t="s">
        <v>145</v>
      </c>
      <c r="R2157" s="1" t="s">
        <v>145</v>
      </c>
      <c r="S2157" s="8">
        <v>3.6000000000000001</v>
      </c>
      <c r="T2157" s="1" t="s">
        <v>50</v>
      </c>
      <c r="U2157" s="1"/>
      <c r="V2157" s="1"/>
      <c r="W2157" s="1"/>
      <c r="X2157" s="5">
        <v>362.30000000000001</v>
      </c>
      <c r="Y2157" s="7">
        <v>15000000</v>
      </c>
      <c r="Z2157" s="1"/>
      <c r="AA2157" s="1" t="s">
        <v>15323</v>
      </c>
      <c r="AB2157" s="1" t="s">
        <v>15324</v>
      </c>
      <c r="AC2157" s="1" t="s">
        <v>2068</v>
      </c>
      <c r="AD2157" s="1" t="s">
        <v>15325</v>
      </c>
      <c r="AE2157" s="1" t="s">
        <v>51</v>
      </c>
      <c r="AF2157" s="1" t="s">
        <v>51</v>
      </c>
      <c r="AG2157" s="1" t="s">
        <v>51</v>
      </c>
      <c r="AH2157" s="1"/>
      <c r="AI2157" s="1"/>
      <c r="AJ2157" s="3">
        <v>1</v>
      </c>
      <c r="AK2157" s="1" t="s">
        <v>52</v>
      </c>
      <c r="AL2157" s="3">
        <v>5</v>
      </c>
      <c r="AM2157" s="8">
        <v>18.030000000000001</v>
      </c>
      <c r="AN2157" s="1"/>
      <c r="AO2157" s="1" t="s">
        <v>15326</v>
      </c>
      <c r="AP2157" s="1" t="s">
        <v>400</v>
      </c>
      <c r="AQ2157" s="1" t="s">
        <v>15327</v>
      </c>
      <c r="AR2157" s="1" t="s">
        <v>15328</v>
      </c>
    </row>
    <row r="2158">
      <c r="A2158" s="2">
        <f ca="1">DATE(2007,04,04)</f>
        <v>0</v>
      </c>
      <c r="B2158" s="2">
        <f ca="1">DATE(2007,06,27)</f>
        <v>0</v>
      </c>
      <c r="C2158" s="1" t="s">
        <v>15329</v>
      </c>
      <c r="D2158" s="3">
        <v>7372</v>
      </c>
      <c r="E2158" s="1" t="s">
        <v>43</v>
      </c>
      <c r="F2158" s="1" t="s">
        <v>15330</v>
      </c>
      <c r="G2158" s="1" t="s">
        <v>15331</v>
      </c>
      <c r="H2158" s="4">
        <v>0.77000000000000002</v>
      </c>
      <c r="I2158" s="4">
        <v>7</v>
      </c>
      <c r="J2158" s="5">
        <v>75.099999999999994</v>
      </c>
      <c r="K2158" s="4">
        <v>11</v>
      </c>
      <c r="L2158" s="1" t="s">
        <v>46</v>
      </c>
      <c r="M2158" s="1" t="s">
        <v>47</v>
      </c>
      <c r="N2158" s="1" t="s">
        <v>15332</v>
      </c>
      <c r="O2158" s="1" t="s">
        <v>108</v>
      </c>
      <c r="P2158" s="1" t="s">
        <v>15333</v>
      </c>
      <c r="Q2158" s="1" t="s">
        <v>145</v>
      </c>
      <c r="R2158" s="1" t="s">
        <v>145</v>
      </c>
      <c r="S2158" s="8">
        <v>4.2000000000000002</v>
      </c>
      <c r="T2158" s="1" t="s">
        <v>50</v>
      </c>
      <c r="U2158" s="1"/>
      <c r="V2158" s="1"/>
      <c r="W2158" s="1"/>
      <c r="X2158" s="5">
        <v>90</v>
      </c>
      <c r="Y2158" s="7">
        <v>5118750</v>
      </c>
      <c r="Z2158" s="7">
        <v>1706250</v>
      </c>
      <c r="AA2158" s="1" t="s">
        <v>15323</v>
      </c>
      <c r="AB2158" s="1" t="s">
        <v>2067</v>
      </c>
      <c r="AC2158" s="1" t="s">
        <v>2068</v>
      </c>
      <c r="AD2158" s="1" t="s">
        <v>2067</v>
      </c>
      <c r="AE2158" s="1" t="s">
        <v>51</v>
      </c>
      <c r="AF2158" s="1" t="s">
        <v>51</v>
      </c>
      <c r="AG2158" s="1" t="s">
        <v>51</v>
      </c>
      <c r="AH2158" s="1"/>
      <c r="AI2158" s="1"/>
      <c r="AJ2158" s="3">
        <v>2</v>
      </c>
      <c r="AK2158" s="1" t="s">
        <v>89</v>
      </c>
      <c r="AL2158" s="3">
        <v>4</v>
      </c>
      <c r="AM2158" s="8">
        <v>12.85</v>
      </c>
      <c r="AN2158" s="1"/>
      <c r="AO2158" s="1" t="s">
        <v>15334</v>
      </c>
      <c r="AP2158" s="1" t="s">
        <v>15335</v>
      </c>
      <c r="AQ2158" s="1" t="s">
        <v>15336</v>
      </c>
      <c r="AR2158" s="1" t="s">
        <v>15337</v>
      </c>
    </row>
    <row r="2159">
      <c r="A2159" s="2">
        <f ca="1">DATE(2006,10,06)</f>
        <v>0</v>
      </c>
      <c r="B2159" s="2">
        <f ca="1">DATE(2007,06,27)</f>
        <v>0</v>
      </c>
      <c r="C2159" s="1" t="s">
        <v>15338</v>
      </c>
      <c r="D2159" s="3">
        <v>2099</v>
      </c>
      <c r="E2159" s="1" t="s">
        <v>43</v>
      </c>
      <c r="F2159" s="1" t="s">
        <v>15339</v>
      </c>
      <c r="G2159" s="1" t="s">
        <v>1223</v>
      </c>
      <c r="H2159" s="4">
        <v>0.48999999999999999</v>
      </c>
      <c r="I2159" s="4">
        <v>7.5380000000000003</v>
      </c>
      <c r="J2159" s="5">
        <v>14</v>
      </c>
      <c r="K2159" s="4">
        <v>6.5</v>
      </c>
      <c r="L2159" s="1" t="s">
        <v>46</v>
      </c>
      <c r="M2159" s="1" t="s">
        <v>47</v>
      </c>
      <c r="N2159" s="1" t="s">
        <v>15340</v>
      </c>
      <c r="O2159" s="1" t="s">
        <v>48</v>
      </c>
      <c r="P2159" s="1" t="s">
        <v>15341</v>
      </c>
      <c r="Q2159" s="1" t="s">
        <v>145</v>
      </c>
      <c r="R2159" s="1" t="s">
        <v>145</v>
      </c>
      <c r="S2159" s="8">
        <v>4</v>
      </c>
      <c r="T2159" s="1" t="s">
        <v>50</v>
      </c>
      <c r="U2159" s="8">
        <v>5.5</v>
      </c>
      <c r="V2159" s="8">
        <v>4.5</v>
      </c>
      <c r="W2159" s="7">
        <v>5000000</v>
      </c>
      <c r="X2159" s="5">
        <v>25</v>
      </c>
      <c r="Y2159" s="7">
        <v>2150000</v>
      </c>
      <c r="Z2159" s="1"/>
      <c r="AA2159" s="1" t="s">
        <v>15342</v>
      </c>
      <c r="AB2159" s="1" t="s">
        <v>2067</v>
      </c>
      <c r="AC2159" s="1" t="s">
        <v>6689</v>
      </c>
      <c r="AD2159" s="1" t="s">
        <v>2067</v>
      </c>
      <c r="AE2159" s="1" t="s">
        <v>51</v>
      </c>
      <c r="AF2159" s="1" t="s">
        <v>51</v>
      </c>
      <c r="AG2159" s="1" t="s">
        <v>51</v>
      </c>
      <c r="AH2159" s="1"/>
      <c r="AI2159" s="1"/>
      <c r="AJ2159" s="3">
        <v>1</v>
      </c>
      <c r="AK2159" s="1" t="s">
        <v>52</v>
      </c>
      <c r="AL2159" s="3">
        <v>4</v>
      </c>
      <c r="AM2159" s="8">
        <v>6.4500000000000002</v>
      </c>
      <c r="AN2159" s="1"/>
      <c r="AO2159" s="1" t="s">
        <v>15343</v>
      </c>
      <c r="AP2159" s="1" t="s">
        <v>1223</v>
      </c>
      <c r="AQ2159" s="1" t="s">
        <v>15344</v>
      </c>
      <c r="AR2159" s="1" t="s">
        <v>15341</v>
      </c>
    </row>
    <row r="2160">
      <c r="A2160" s="2">
        <f ca="1">DATE(2006,12,13)</f>
        <v>0</v>
      </c>
      <c r="B2160" s="2">
        <f ca="1">DATE(2007,06,28)</f>
        <v>0</v>
      </c>
      <c r="C2160" s="1" t="s">
        <v>15345</v>
      </c>
      <c r="D2160" s="3">
        <v>7372</v>
      </c>
      <c r="E2160" s="1" t="s">
        <v>43</v>
      </c>
      <c r="F2160" s="1" t="s">
        <v>15346</v>
      </c>
      <c r="G2160" s="1" t="s">
        <v>546</v>
      </c>
      <c r="H2160" s="4">
        <v>0.40000000000000002</v>
      </c>
      <c r="I2160" s="4">
        <v>8</v>
      </c>
      <c r="J2160" s="5">
        <v>15</v>
      </c>
      <c r="K2160" s="4">
        <v>5</v>
      </c>
      <c r="L2160" s="1" t="s">
        <v>46</v>
      </c>
      <c r="M2160" s="1" t="s">
        <v>47</v>
      </c>
      <c r="N2160" s="1" t="s">
        <v>15347</v>
      </c>
      <c r="O2160" s="1" t="s">
        <v>48</v>
      </c>
      <c r="P2160" s="1" t="s">
        <v>15348</v>
      </c>
      <c r="Q2160" s="1" t="s">
        <v>145</v>
      </c>
      <c r="R2160" s="1" t="s">
        <v>145</v>
      </c>
      <c r="S2160" s="8">
        <v>5</v>
      </c>
      <c r="T2160" s="1" t="s">
        <v>50</v>
      </c>
      <c r="U2160" s="8">
        <v>6</v>
      </c>
      <c r="V2160" s="8">
        <v>5</v>
      </c>
      <c r="W2160" s="7">
        <v>3000000</v>
      </c>
      <c r="X2160" s="5">
        <v>16.5</v>
      </c>
      <c r="Y2160" s="7">
        <v>3000000</v>
      </c>
      <c r="Z2160" s="1"/>
      <c r="AA2160" s="1" t="s">
        <v>15349</v>
      </c>
      <c r="AB2160" s="1" t="s">
        <v>5265</v>
      </c>
      <c r="AC2160" s="1" t="s">
        <v>12391</v>
      </c>
      <c r="AD2160" s="1" t="s">
        <v>5265</v>
      </c>
      <c r="AE2160" s="1" t="s">
        <v>51</v>
      </c>
      <c r="AF2160" s="1" t="s">
        <v>51</v>
      </c>
      <c r="AG2160" s="1" t="s">
        <v>51</v>
      </c>
      <c r="AH2160" s="1"/>
      <c r="AI2160" s="1"/>
      <c r="AJ2160" s="3">
        <v>1</v>
      </c>
      <c r="AK2160" s="1" t="s">
        <v>52</v>
      </c>
      <c r="AL2160" s="3">
        <v>2</v>
      </c>
      <c r="AM2160" s="1"/>
      <c r="AN2160" s="1"/>
      <c r="AO2160" s="1" t="s">
        <v>15350</v>
      </c>
      <c r="AP2160" s="1" t="s">
        <v>546</v>
      </c>
      <c r="AQ2160" s="1" t="s">
        <v>15351</v>
      </c>
      <c r="AR2160" s="1" t="s">
        <v>15352</v>
      </c>
    </row>
    <row r="2161">
      <c r="A2161" s="2">
        <f ca="1">DATE(2006,11,14)</f>
        <v>0</v>
      </c>
      <c r="B2161" s="2">
        <f ca="1">DATE(2007,06,29)</f>
        <v>0</v>
      </c>
      <c r="C2161" s="1" t="s">
        <v>15353</v>
      </c>
      <c r="D2161" s="3">
        <v>6726</v>
      </c>
      <c r="E2161" s="1" t="s">
        <v>43</v>
      </c>
      <c r="F2161" s="1" t="s">
        <v>15354</v>
      </c>
      <c r="G2161" s="1" t="s">
        <v>15355</v>
      </c>
      <c r="H2161" s="4">
        <v>0.64000000000000001</v>
      </c>
      <c r="I2161" s="4">
        <v>8</v>
      </c>
      <c r="J2161" s="5">
        <v>56</v>
      </c>
      <c r="K2161" s="4">
        <v>8</v>
      </c>
      <c r="L2161" s="1" t="s">
        <v>46</v>
      </c>
      <c r="M2161" s="1" t="s">
        <v>47</v>
      </c>
      <c r="N2161" s="1" t="s">
        <v>15356</v>
      </c>
      <c r="O2161" s="1" t="s">
        <v>87</v>
      </c>
      <c r="P2161" s="1" t="s">
        <v>15357</v>
      </c>
      <c r="Q2161" s="1" t="s">
        <v>145</v>
      </c>
      <c r="R2161" s="1" t="s">
        <v>145</v>
      </c>
      <c r="S2161" s="4">
        <v>2.375</v>
      </c>
      <c r="T2161" s="1" t="s">
        <v>50</v>
      </c>
      <c r="U2161" s="8">
        <v>8</v>
      </c>
      <c r="V2161" s="8">
        <v>8</v>
      </c>
      <c r="W2161" s="7">
        <v>7000000</v>
      </c>
      <c r="X2161" s="5">
        <v>56</v>
      </c>
      <c r="Y2161" s="7">
        <v>7000000</v>
      </c>
      <c r="Z2161" s="1"/>
      <c r="AA2161" s="1"/>
      <c r="AB2161" s="1"/>
      <c r="AC2161" s="1"/>
      <c r="AD2161" s="1"/>
      <c r="AE2161" s="1" t="s">
        <v>51</v>
      </c>
      <c r="AF2161" s="1" t="s">
        <v>51</v>
      </c>
      <c r="AG2161" s="1" t="s">
        <v>51</v>
      </c>
      <c r="AH2161" s="1"/>
      <c r="AI2161" s="1"/>
      <c r="AJ2161" s="3">
        <v>2</v>
      </c>
      <c r="AK2161" s="1" t="s">
        <v>89</v>
      </c>
      <c r="AL2161" s="3">
        <v>4</v>
      </c>
      <c r="AM2161" s="8">
        <v>8.0299999999999994</v>
      </c>
      <c r="AN2161" s="1"/>
      <c r="AO2161" s="1" t="s">
        <v>15358</v>
      </c>
      <c r="AP2161" s="1" t="s">
        <v>15359</v>
      </c>
      <c r="AQ2161" s="1" t="s">
        <v>15360</v>
      </c>
      <c r="AR2161" s="1" t="s">
        <v>15361</v>
      </c>
    </row>
    <row r="2162">
      <c r="A2162" s="2">
        <f ca="1">DATE(2007,02,12)</f>
        <v>0</v>
      </c>
      <c r="B2162" s="2">
        <f ca="1">DATE(2007,07,02)</f>
        <v>0</v>
      </c>
      <c r="C2162" s="1" t="s">
        <v>15362</v>
      </c>
      <c r="D2162" s="3">
        <v>3661</v>
      </c>
      <c r="E2162" s="1" t="s">
        <v>43</v>
      </c>
      <c r="F2162" s="1" t="s">
        <v>15363</v>
      </c>
      <c r="G2162" s="1" t="s">
        <v>11490</v>
      </c>
      <c r="H2162" s="4">
        <v>0.66500000000000004</v>
      </c>
      <c r="I2162" s="4">
        <v>7</v>
      </c>
      <c r="J2162" s="5">
        <v>75.099999999999994</v>
      </c>
      <c r="K2162" s="4">
        <v>9.5</v>
      </c>
      <c r="L2162" s="1" t="s">
        <v>46</v>
      </c>
      <c r="M2162" s="1" t="s">
        <v>47</v>
      </c>
      <c r="N2162" s="3">
        <v>825211105</v>
      </c>
      <c r="O2162" s="1" t="s">
        <v>48</v>
      </c>
      <c r="P2162" s="1" t="s">
        <v>15364</v>
      </c>
      <c r="Q2162" s="1" t="s">
        <v>145</v>
      </c>
      <c r="R2162" s="1" t="s">
        <v>145</v>
      </c>
      <c r="S2162" s="8">
        <v>4.2000000000000002</v>
      </c>
      <c r="T2162" s="1" t="s">
        <v>50</v>
      </c>
      <c r="U2162" s="1"/>
      <c r="V2162" s="1"/>
      <c r="W2162" s="1"/>
      <c r="X2162" s="5">
        <v>85</v>
      </c>
      <c r="Y2162" s="7">
        <v>7900000</v>
      </c>
      <c r="Z2162" s="1"/>
      <c r="AA2162" s="1" t="s">
        <v>15365</v>
      </c>
      <c r="AB2162" s="1" t="s">
        <v>5265</v>
      </c>
      <c r="AC2162" s="1" t="s">
        <v>7759</v>
      </c>
      <c r="AD2162" s="1" t="s">
        <v>5265</v>
      </c>
      <c r="AE2162" s="1" t="s">
        <v>51</v>
      </c>
      <c r="AF2162" s="1" t="s">
        <v>51</v>
      </c>
      <c r="AG2162" s="1" t="s">
        <v>51</v>
      </c>
      <c r="AH2162" s="1"/>
      <c r="AI2162" s="1"/>
      <c r="AJ2162" s="3">
        <v>2</v>
      </c>
      <c r="AK2162" s="1" t="s">
        <v>89</v>
      </c>
      <c r="AL2162" s="3">
        <v>5</v>
      </c>
      <c r="AM2162" s="8">
        <v>12.15</v>
      </c>
      <c r="AN2162" s="1"/>
      <c r="AO2162" s="1" t="s">
        <v>15366</v>
      </c>
      <c r="AP2162" s="1" t="s">
        <v>4629</v>
      </c>
      <c r="AQ2162" s="1" t="s">
        <v>15367</v>
      </c>
      <c r="AR2162" s="1" t="s">
        <v>15368</v>
      </c>
    </row>
    <row r="2163">
      <c r="A2163" s="2">
        <f ca="1">DATE(2007,06,18)</f>
        <v>0</v>
      </c>
      <c r="B2163" s="2">
        <f ca="1">DATE(2007,07,11)</f>
        <v>0</v>
      </c>
      <c r="C2163" s="1" t="s">
        <v>15369</v>
      </c>
      <c r="D2163" s="3">
        <v>6000</v>
      </c>
      <c r="E2163" s="1" t="s">
        <v>15370</v>
      </c>
      <c r="F2163" s="1" t="s">
        <v>15371</v>
      </c>
      <c r="G2163" s="1" t="s">
        <v>13399</v>
      </c>
      <c r="H2163" s="1" t="s">
        <v>57</v>
      </c>
      <c r="I2163" s="1" t="s">
        <v>57</v>
      </c>
      <c r="J2163" s="5">
        <v>108</v>
      </c>
      <c r="K2163" s="8">
        <v>575</v>
      </c>
      <c r="L2163" s="1" t="s">
        <v>58</v>
      </c>
      <c r="M2163" s="1" t="s">
        <v>47</v>
      </c>
      <c r="N2163" s="1"/>
      <c r="O2163" s="1" t="s">
        <v>15372</v>
      </c>
      <c r="P2163" s="1" t="s">
        <v>13401</v>
      </c>
      <c r="Q2163" s="1"/>
      <c r="R2163" s="1"/>
      <c r="S2163" s="1"/>
      <c r="T2163" s="1" t="s">
        <v>60</v>
      </c>
      <c r="U2163" s="10">
        <v>106.3083</v>
      </c>
      <c r="V2163" s="10">
        <v>106.3083</v>
      </c>
      <c r="W2163" s="7">
        <v>1016160</v>
      </c>
      <c r="X2163" s="5">
        <v>108</v>
      </c>
      <c r="Y2163" s="7">
        <v>1016160</v>
      </c>
      <c r="Z2163" s="1"/>
      <c r="AA2163" s="1"/>
      <c r="AB2163" s="1"/>
      <c r="AC2163" s="1"/>
      <c r="AD2163" s="1"/>
      <c r="AE2163" s="1" t="s">
        <v>51</v>
      </c>
      <c r="AF2163" s="1" t="s">
        <v>51</v>
      </c>
      <c r="AG2163" s="1" t="s">
        <v>51</v>
      </c>
      <c r="AH2163" s="1"/>
      <c r="AI2163" s="1"/>
      <c r="AJ2163" s="3">
        <v>1</v>
      </c>
      <c r="AK2163" s="1" t="s">
        <v>52</v>
      </c>
      <c r="AL2163" s="3">
        <v>1</v>
      </c>
      <c r="AM2163" s="4">
        <v>134.965</v>
      </c>
      <c r="AN2163" s="1"/>
      <c r="AO2163" s="1" t="s">
        <v>13399</v>
      </c>
      <c r="AP2163" s="1" t="s">
        <v>13399</v>
      </c>
      <c r="AQ2163" s="1" t="s">
        <v>13399</v>
      </c>
      <c r="AR2163" s="1" t="s">
        <v>13401</v>
      </c>
    </row>
    <row r="2164">
      <c r="A2164" s="2">
        <f ca="1">DATE(2007,04,04)</f>
        <v>0</v>
      </c>
      <c r="B2164" s="2">
        <f ca="1">DATE(2007,07,17)</f>
        <v>0</v>
      </c>
      <c r="C2164" s="1" t="s">
        <v>15373</v>
      </c>
      <c r="D2164" s="3">
        <v>7389</v>
      </c>
      <c r="E2164" s="1" t="s">
        <v>43</v>
      </c>
      <c r="F2164" s="1" t="s">
        <v>15374</v>
      </c>
      <c r="G2164" s="1" t="s">
        <v>13593</v>
      </c>
      <c r="H2164" s="4">
        <v>0.91000000000000003</v>
      </c>
      <c r="I2164" s="4">
        <v>7</v>
      </c>
      <c r="J2164" s="5">
        <v>217.09999999999999</v>
      </c>
      <c r="K2164" s="4">
        <v>13</v>
      </c>
      <c r="L2164" s="1" t="s">
        <v>46</v>
      </c>
      <c r="M2164" s="1" t="s">
        <v>47</v>
      </c>
      <c r="N2164" s="3">
        <v>253017107</v>
      </c>
      <c r="O2164" s="1" t="s">
        <v>108</v>
      </c>
      <c r="P2164" s="1" t="s">
        <v>15375</v>
      </c>
      <c r="Q2164" s="1" t="s">
        <v>145</v>
      </c>
      <c r="R2164" s="1" t="s">
        <v>145</v>
      </c>
      <c r="S2164" s="6">
        <v>3.9230800000000001</v>
      </c>
      <c r="T2164" s="1" t="s">
        <v>50</v>
      </c>
      <c r="U2164" s="1"/>
      <c r="V2164" s="1"/>
      <c r="W2164" s="1"/>
      <c r="X2164" s="5">
        <v>100</v>
      </c>
      <c r="Y2164" s="7">
        <v>6700000</v>
      </c>
      <c r="Z2164" s="7">
        <v>10000000</v>
      </c>
      <c r="AA2164" s="1" t="s">
        <v>15376</v>
      </c>
      <c r="AB2164" s="1" t="s">
        <v>5265</v>
      </c>
      <c r="AC2164" s="1" t="s">
        <v>7759</v>
      </c>
      <c r="AD2164" s="1" t="s">
        <v>5265</v>
      </c>
      <c r="AE2164" s="1" t="s">
        <v>51</v>
      </c>
      <c r="AF2164" s="1" t="s">
        <v>51</v>
      </c>
      <c r="AG2164" s="1" t="s">
        <v>51</v>
      </c>
      <c r="AH2164" s="1"/>
      <c r="AI2164" s="1"/>
      <c r="AJ2164" s="3">
        <v>2</v>
      </c>
      <c r="AK2164" s="1" t="s">
        <v>89</v>
      </c>
      <c r="AL2164" s="3">
        <v>5</v>
      </c>
      <c r="AM2164" s="1"/>
      <c r="AN2164" s="1"/>
      <c r="AO2164" s="1" t="s">
        <v>15377</v>
      </c>
      <c r="AP2164" s="1" t="s">
        <v>13599</v>
      </c>
      <c r="AQ2164" s="1" t="s">
        <v>15378</v>
      </c>
      <c r="AR2164" s="1" t="s">
        <v>15379</v>
      </c>
    </row>
    <row r="2165">
      <c r="A2165" s="2">
        <f ca="1">DATE(2007,05,08)</f>
        <v>0</v>
      </c>
      <c r="B2165" s="2">
        <f ca="1">DATE(2007,07,17)</f>
        <v>0</v>
      </c>
      <c r="C2165" s="1" t="s">
        <v>15380</v>
      </c>
      <c r="D2165" s="3">
        <v>6021</v>
      </c>
      <c r="E2165" s="1" t="s">
        <v>43</v>
      </c>
      <c r="F2165" s="1" t="s">
        <v>15381</v>
      </c>
      <c r="G2165" s="1" t="s">
        <v>4996</v>
      </c>
      <c r="H2165" s="4">
        <v>1.47</v>
      </c>
      <c r="I2165" s="8">
        <v>7</v>
      </c>
      <c r="J2165" s="5">
        <v>41.600000000000001</v>
      </c>
      <c r="K2165" s="4">
        <v>21</v>
      </c>
      <c r="L2165" s="1" t="s">
        <v>46</v>
      </c>
      <c r="M2165" s="1" t="s">
        <v>47</v>
      </c>
      <c r="N2165" s="1" t="s">
        <v>15382</v>
      </c>
      <c r="O2165" s="1" t="s">
        <v>48</v>
      </c>
      <c r="P2165" s="1" t="s">
        <v>15383</v>
      </c>
      <c r="Q2165" s="1" t="s">
        <v>145</v>
      </c>
      <c r="R2165" s="1" t="s">
        <v>145</v>
      </c>
      <c r="S2165" s="8">
        <v>4.2000000000000002</v>
      </c>
      <c r="T2165" s="1" t="s">
        <v>50</v>
      </c>
      <c r="U2165" s="1"/>
      <c r="V2165" s="1"/>
      <c r="W2165" s="1"/>
      <c r="X2165" s="5">
        <v>46</v>
      </c>
      <c r="Y2165" s="7">
        <v>1904761</v>
      </c>
      <c r="Z2165" s="7">
        <v>75000</v>
      </c>
      <c r="AA2165" s="1" t="s">
        <v>15376</v>
      </c>
      <c r="AB2165" s="1" t="s">
        <v>5265</v>
      </c>
      <c r="AC2165" s="1" t="s">
        <v>7759</v>
      </c>
      <c r="AD2165" s="1" t="s">
        <v>5265</v>
      </c>
      <c r="AE2165" s="1" t="s">
        <v>51</v>
      </c>
      <c r="AF2165" s="1" t="s">
        <v>51</v>
      </c>
      <c r="AG2165" s="1" t="s">
        <v>51</v>
      </c>
      <c r="AH2165" s="1"/>
      <c r="AI2165" s="1"/>
      <c r="AJ2165" s="3">
        <v>1</v>
      </c>
      <c r="AK2165" s="1" t="s">
        <v>52</v>
      </c>
      <c r="AL2165" s="3">
        <v>3</v>
      </c>
      <c r="AM2165" s="8">
        <v>22.600000000000001</v>
      </c>
      <c r="AN2165" s="1"/>
      <c r="AO2165" s="1" t="s">
        <v>15384</v>
      </c>
      <c r="AP2165" s="1" t="s">
        <v>4996</v>
      </c>
      <c r="AQ2165" s="1" t="s">
        <v>15385</v>
      </c>
      <c r="AR2165" s="1" t="s">
        <v>15386</v>
      </c>
    </row>
    <row r="2166">
      <c r="A2166" s="2">
        <f ca="1">DATE(2007,03,09)</f>
        <v>0</v>
      </c>
      <c r="B2166" s="2">
        <f ca="1">DATE(2007,07,17)</f>
        <v>0</v>
      </c>
      <c r="C2166" s="1" t="s">
        <v>15387</v>
      </c>
      <c r="D2166" s="3">
        <v>4612</v>
      </c>
      <c r="E2166" s="1" t="s">
        <v>43</v>
      </c>
      <c r="F2166" s="1" t="s">
        <v>15388</v>
      </c>
      <c r="G2166" s="1" t="s">
        <v>15389</v>
      </c>
      <c r="H2166" s="4">
        <v>1.3480000000000001</v>
      </c>
      <c r="I2166" s="4">
        <v>6.125</v>
      </c>
      <c r="J2166" s="5">
        <v>275</v>
      </c>
      <c r="K2166" s="4">
        <v>22</v>
      </c>
      <c r="L2166" s="1" t="s">
        <v>85</v>
      </c>
      <c r="M2166" s="1" t="s">
        <v>47</v>
      </c>
      <c r="N2166" s="1" t="s">
        <v>15390</v>
      </c>
      <c r="O2166" s="1" t="s">
        <v>48</v>
      </c>
      <c r="P2166" s="1" t="s">
        <v>15391</v>
      </c>
      <c r="Q2166" s="4">
        <v>1.1819999999999999</v>
      </c>
      <c r="R2166" s="4">
        <v>1.2250000000000001</v>
      </c>
      <c r="S2166" s="6">
        <v>3.6726800000000002</v>
      </c>
      <c r="T2166" s="1" t="s">
        <v>50</v>
      </c>
      <c r="U2166" s="1"/>
      <c r="V2166" s="1"/>
      <c r="W2166" s="7">
        <v>12500000</v>
      </c>
      <c r="X2166" s="5">
        <v>301.89999999999998</v>
      </c>
      <c r="Y2166" s="1"/>
      <c r="Z2166" s="7">
        <v>12500000</v>
      </c>
      <c r="AA2166" s="1" t="s">
        <v>15376</v>
      </c>
      <c r="AB2166" s="1" t="s">
        <v>5265</v>
      </c>
      <c r="AC2166" s="1" t="s">
        <v>7759</v>
      </c>
      <c r="AD2166" s="1" t="s">
        <v>5265</v>
      </c>
      <c r="AE2166" s="1" t="s">
        <v>51</v>
      </c>
      <c r="AF2166" s="1" t="s">
        <v>51</v>
      </c>
      <c r="AG2166" s="1" t="s">
        <v>51</v>
      </c>
      <c r="AH2166" s="1"/>
      <c r="AI2166" s="1"/>
      <c r="AJ2166" s="3">
        <v>2</v>
      </c>
      <c r="AK2166" s="1" t="s">
        <v>3985</v>
      </c>
      <c r="AL2166" s="3">
        <v>9</v>
      </c>
      <c r="AM2166" s="8">
        <v>29.32</v>
      </c>
      <c r="AN2166" s="1"/>
      <c r="AO2166" s="1" t="s">
        <v>15392</v>
      </c>
      <c r="AP2166" s="1" t="s">
        <v>15393</v>
      </c>
      <c r="AQ2166" s="1" t="s">
        <v>15394</v>
      </c>
      <c r="AR2166" s="1" t="s">
        <v>15395</v>
      </c>
    </row>
    <row r="2167">
      <c r="A2167" s="2">
        <f ca="1">DATE(2007,04,13)</f>
        <v>0</v>
      </c>
      <c r="B2167" s="2">
        <f ca="1">DATE(2007,07,17)</f>
        <v>0</v>
      </c>
      <c r="C2167" s="1" t="s">
        <v>15396</v>
      </c>
      <c r="D2167" s="3">
        <v>6022</v>
      </c>
      <c r="E2167" s="1" t="s">
        <v>43</v>
      </c>
      <c r="F2167" s="1" t="s">
        <v>15397</v>
      </c>
      <c r="G2167" s="1" t="s">
        <v>2371</v>
      </c>
      <c r="H2167" s="4">
        <v>1.3</v>
      </c>
      <c r="I2167" s="4">
        <v>6.5</v>
      </c>
      <c r="J2167" s="5">
        <v>30</v>
      </c>
      <c r="K2167" s="4">
        <v>20</v>
      </c>
      <c r="L2167" s="1" t="s">
        <v>46</v>
      </c>
      <c r="M2167" s="1" t="s">
        <v>47</v>
      </c>
      <c r="N2167" s="3">
        <v>828251108</v>
      </c>
      <c r="O2167" s="1" t="s">
        <v>77</v>
      </c>
      <c r="P2167" s="1" t="s">
        <v>15398</v>
      </c>
      <c r="Q2167" s="1" t="s">
        <v>145</v>
      </c>
      <c r="R2167" s="1" t="s">
        <v>145</v>
      </c>
      <c r="S2167" s="8">
        <v>2.75</v>
      </c>
      <c r="T2167" s="1" t="s">
        <v>50</v>
      </c>
      <c r="U2167" s="1"/>
      <c r="V2167" s="1"/>
      <c r="W2167" s="1"/>
      <c r="X2167" s="5">
        <v>90</v>
      </c>
      <c r="Y2167" s="7">
        <v>1500000</v>
      </c>
      <c r="Z2167" s="1"/>
      <c r="AA2167" s="1" t="s">
        <v>15399</v>
      </c>
      <c r="AB2167" s="1" t="s">
        <v>2067</v>
      </c>
      <c r="AC2167" s="1" t="s">
        <v>15203</v>
      </c>
      <c r="AD2167" s="1" t="s">
        <v>2067</v>
      </c>
      <c r="AE2167" s="1" t="s">
        <v>51</v>
      </c>
      <c r="AF2167" s="1" t="s">
        <v>51</v>
      </c>
      <c r="AG2167" s="1" t="s">
        <v>51</v>
      </c>
      <c r="AH2167" s="1"/>
      <c r="AI2167" s="1"/>
      <c r="AJ2167" s="3">
        <v>1</v>
      </c>
      <c r="AK2167" s="1" t="s">
        <v>52</v>
      </c>
      <c r="AL2167" s="3">
        <v>2</v>
      </c>
      <c r="AM2167" s="8">
        <v>19.300000000000001</v>
      </c>
      <c r="AN2167" s="1"/>
      <c r="AO2167" s="1" t="s">
        <v>15400</v>
      </c>
      <c r="AP2167" s="1" t="s">
        <v>2371</v>
      </c>
      <c r="AQ2167" s="1" t="s">
        <v>15401</v>
      </c>
      <c r="AR2167" s="1" t="s">
        <v>15402</v>
      </c>
    </row>
    <row r="2168">
      <c r="A2168" s="2">
        <f ca="1">DATE(2006,10,04)</f>
        <v>0</v>
      </c>
      <c r="B2168" s="2">
        <f ca="1">DATE(2007,07,17)</f>
        <v>0</v>
      </c>
      <c r="C2168" s="1" t="s">
        <v>15403</v>
      </c>
      <c r="D2168" s="3">
        <v>6726</v>
      </c>
      <c r="E2168" s="1" t="s">
        <v>744</v>
      </c>
      <c r="F2168" s="1" t="s">
        <v>15404</v>
      </c>
      <c r="G2168" s="1" t="s">
        <v>7222</v>
      </c>
      <c r="H2168" s="4">
        <v>0.47999999999999998</v>
      </c>
      <c r="I2168" s="4">
        <v>6</v>
      </c>
      <c r="J2168" s="5">
        <v>75</v>
      </c>
      <c r="K2168" s="8">
        <v>8</v>
      </c>
      <c r="L2168" s="1" t="s">
        <v>1057</v>
      </c>
      <c r="M2168" s="1" t="s">
        <v>47</v>
      </c>
      <c r="N2168" s="1"/>
      <c r="O2168" s="1" t="s">
        <v>77</v>
      </c>
      <c r="P2168" s="1" t="s">
        <v>7339</v>
      </c>
      <c r="Q2168" s="1" t="s">
        <v>145</v>
      </c>
      <c r="R2168" s="1" t="s">
        <v>145</v>
      </c>
      <c r="S2168" s="1"/>
      <c r="T2168" s="1" t="s">
        <v>60</v>
      </c>
      <c r="U2168" s="8">
        <v>8</v>
      </c>
      <c r="V2168" s="8">
        <v>8</v>
      </c>
      <c r="W2168" s="7">
        <v>8000000</v>
      </c>
      <c r="X2168" s="5">
        <v>64</v>
      </c>
      <c r="Y2168" s="7">
        <v>9375000</v>
      </c>
      <c r="Z2168" s="1"/>
      <c r="AA2168" s="1"/>
      <c r="AB2168" s="1"/>
      <c r="AC2168" s="1"/>
      <c r="AD2168" s="1"/>
      <c r="AE2168" s="1" t="s">
        <v>51</v>
      </c>
      <c r="AF2168" s="1" t="s">
        <v>51</v>
      </c>
      <c r="AG2168" s="1" t="s">
        <v>51</v>
      </c>
      <c r="AH2168" s="1"/>
      <c r="AI2168" s="1"/>
      <c r="AJ2168" s="3">
        <v>1</v>
      </c>
      <c r="AK2168" s="1" t="s">
        <v>52</v>
      </c>
      <c r="AL2168" s="3">
        <v>1</v>
      </c>
      <c r="AM2168" s="1"/>
      <c r="AN2168" s="1"/>
      <c r="AO2168" s="1" t="s">
        <v>7222</v>
      </c>
      <c r="AP2168" s="1" t="s">
        <v>7222</v>
      </c>
      <c r="AQ2168" s="1" t="s">
        <v>7222</v>
      </c>
      <c r="AR2168" s="1" t="s">
        <v>7339</v>
      </c>
    </row>
    <row r="2169">
      <c r="A2169" s="2">
        <f ca="1">DATE(2007,04,16)</f>
        <v>0</v>
      </c>
      <c r="B2169" s="2">
        <f ca="1">DATE(2007,07,18)</f>
        <v>0</v>
      </c>
      <c r="C2169" s="1" t="s">
        <v>15405</v>
      </c>
      <c r="D2169" s="3">
        <v>4581</v>
      </c>
      <c r="E2169" s="1" t="s">
        <v>43</v>
      </c>
      <c r="F2169" s="1" t="s">
        <v>15406</v>
      </c>
      <c r="G2169" s="1" t="s">
        <v>10908</v>
      </c>
      <c r="H2169" s="4">
        <v>0.77000000000000002</v>
      </c>
      <c r="I2169" s="4">
        <v>7</v>
      </c>
      <c r="J2169" s="5">
        <v>48.399999999999999</v>
      </c>
      <c r="K2169" s="4">
        <v>11</v>
      </c>
      <c r="L2169" s="1" t="s">
        <v>46</v>
      </c>
      <c r="M2169" s="1" t="s">
        <v>47</v>
      </c>
      <c r="N2169" s="1" t="s">
        <v>15407</v>
      </c>
      <c r="O2169" s="1" t="s">
        <v>48</v>
      </c>
      <c r="P2169" s="1" t="s">
        <v>15408</v>
      </c>
      <c r="Q2169" s="1" t="s">
        <v>145</v>
      </c>
      <c r="R2169" s="1" t="s">
        <v>145</v>
      </c>
      <c r="S2169" s="6">
        <v>3.9818199999999999</v>
      </c>
      <c r="T2169" s="1" t="s">
        <v>50</v>
      </c>
      <c r="U2169" s="1"/>
      <c r="V2169" s="1"/>
      <c r="W2169" s="1"/>
      <c r="X2169" s="5">
        <v>45</v>
      </c>
      <c r="Y2169" s="7">
        <v>3765000</v>
      </c>
      <c r="Z2169" s="7">
        <v>635000</v>
      </c>
      <c r="AA2169" s="1" t="s">
        <v>15409</v>
      </c>
      <c r="AB2169" s="1" t="s">
        <v>5265</v>
      </c>
      <c r="AC2169" s="1" t="s">
        <v>12391</v>
      </c>
      <c r="AD2169" s="1" t="s">
        <v>5265</v>
      </c>
      <c r="AE2169" s="1" t="s">
        <v>51</v>
      </c>
      <c r="AF2169" s="1" t="s">
        <v>51</v>
      </c>
      <c r="AG2169" s="1" t="s">
        <v>51</v>
      </c>
      <c r="AH2169" s="1"/>
      <c r="AI2169" s="1"/>
      <c r="AJ2169" s="3">
        <v>1</v>
      </c>
      <c r="AK2169" s="1" t="s">
        <v>52</v>
      </c>
      <c r="AL2169" s="3">
        <v>2</v>
      </c>
      <c r="AM2169" s="8">
        <v>13</v>
      </c>
      <c r="AN2169" s="1"/>
      <c r="AO2169" s="1" t="s">
        <v>15410</v>
      </c>
      <c r="AP2169" s="1" t="s">
        <v>10908</v>
      </c>
      <c r="AQ2169" s="1" t="s">
        <v>15411</v>
      </c>
      <c r="AR2169" s="1" t="s">
        <v>15408</v>
      </c>
    </row>
    <row r="2170">
      <c r="A2170" s="2">
        <f ca="1">DATE(2007,03,22)</f>
        <v>0</v>
      </c>
      <c r="B2170" s="2">
        <f ca="1">DATE(2007,07,18)</f>
        <v>0</v>
      </c>
      <c r="C2170" s="1" t="s">
        <v>15412</v>
      </c>
      <c r="D2170" s="3">
        <v>3571</v>
      </c>
      <c r="E2170" s="1" t="s">
        <v>43</v>
      </c>
      <c r="F2170" s="1" t="s">
        <v>15413</v>
      </c>
      <c r="G2170" s="1" t="s">
        <v>13593</v>
      </c>
      <c r="H2170" s="4">
        <v>0.83999999999999997</v>
      </c>
      <c r="I2170" s="8">
        <v>7</v>
      </c>
      <c r="J2170" s="5">
        <v>108</v>
      </c>
      <c r="K2170" s="4">
        <v>12</v>
      </c>
      <c r="L2170" s="1" t="s">
        <v>46</v>
      </c>
      <c r="M2170" s="1" t="s">
        <v>47</v>
      </c>
      <c r="N2170" s="1" t="s">
        <v>15414</v>
      </c>
      <c r="O2170" s="1" t="s">
        <v>108</v>
      </c>
      <c r="P2170" s="1" t="s">
        <v>15415</v>
      </c>
      <c r="Q2170" s="1" t="s">
        <v>145</v>
      </c>
      <c r="R2170" s="1" t="s">
        <v>145</v>
      </c>
      <c r="S2170" s="8">
        <v>4.2000000000000002</v>
      </c>
      <c r="T2170" s="1" t="s">
        <v>50</v>
      </c>
      <c r="U2170" s="1"/>
      <c r="V2170" s="1"/>
      <c r="W2170" s="1"/>
      <c r="X2170" s="5">
        <v>100</v>
      </c>
      <c r="Y2170" s="7">
        <v>9000000</v>
      </c>
      <c r="Z2170" s="1"/>
      <c r="AA2170" s="1" t="s">
        <v>15416</v>
      </c>
      <c r="AB2170" s="1" t="s">
        <v>5265</v>
      </c>
      <c r="AC2170" s="1" t="s">
        <v>7759</v>
      </c>
      <c r="AD2170" s="1" t="s">
        <v>5265</v>
      </c>
      <c r="AE2170" s="1" t="s">
        <v>51</v>
      </c>
      <c r="AF2170" s="1" t="s">
        <v>51</v>
      </c>
      <c r="AG2170" s="1" t="s">
        <v>47</v>
      </c>
      <c r="AH2170" s="1"/>
      <c r="AI2170" s="1"/>
      <c r="AJ2170" s="3">
        <v>2</v>
      </c>
      <c r="AK2170" s="1" t="s">
        <v>89</v>
      </c>
      <c r="AL2170" s="3">
        <v>4</v>
      </c>
      <c r="AM2170" s="8">
        <v>17.390000000000001</v>
      </c>
      <c r="AN2170" s="1"/>
      <c r="AO2170" s="1" t="s">
        <v>15417</v>
      </c>
      <c r="AP2170" s="1" t="s">
        <v>13599</v>
      </c>
      <c r="AQ2170" s="1" t="s">
        <v>15418</v>
      </c>
      <c r="AR2170" s="1" t="s">
        <v>15415</v>
      </c>
    </row>
    <row r="2171">
      <c r="A2171" s="2">
        <f ca="1">DATE(2007,05,31)</f>
        <v>0</v>
      </c>
      <c r="B2171" s="2">
        <f ca="1">DATE(2007,07,18)</f>
        <v>0</v>
      </c>
      <c r="C2171" s="1" t="s">
        <v>15419</v>
      </c>
      <c r="D2171" s="3">
        <v>6211</v>
      </c>
      <c r="E2171" s="1" t="s">
        <v>517</v>
      </c>
      <c r="F2171" s="1" t="s">
        <v>15420</v>
      </c>
      <c r="G2171" s="1" t="s">
        <v>15421</v>
      </c>
      <c r="H2171" s="4">
        <v>0.90000000000000002</v>
      </c>
      <c r="I2171" s="4">
        <v>3</v>
      </c>
      <c r="J2171" s="9">
        <v>2921.4000000000001</v>
      </c>
      <c r="K2171" s="4">
        <v>30</v>
      </c>
      <c r="L2171" s="1" t="s">
        <v>46</v>
      </c>
      <c r="M2171" s="1" t="s">
        <v>47</v>
      </c>
      <c r="N2171" s="1" t="s">
        <v>15422</v>
      </c>
      <c r="O2171" s="1" t="s">
        <v>108</v>
      </c>
      <c r="P2171" s="1" t="s">
        <v>15423</v>
      </c>
      <c r="Q2171" s="1" t="s">
        <v>145</v>
      </c>
      <c r="R2171" s="1" t="s">
        <v>145</v>
      </c>
      <c r="S2171" s="8">
        <v>1.8</v>
      </c>
      <c r="T2171" s="1" t="s">
        <v>50</v>
      </c>
      <c r="U2171" s="1"/>
      <c r="V2171" s="1"/>
      <c r="W2171" s="1"/>
      <c r="X2171" s="9">
        <v>1000</v>
      </c>
      <c r="Y2171" s="1"/>
      <c r="Z2171" s="7">
        <v>97379765</v>
      </c>
      <c r="AA2171" s="1" t="s">
        <v>15416</v>
      </c>
      <c r="AB2171" s="1" t="s">
        <v>5265</v>
      </c>
      <c r="AC2171" s="1" t="s">
        <v>7759</v>
      </c>
      <c r="AD2171" s="1" t="s">
        <v>5265</v>
      </c>
      <c r="AE2171" s="1" t="s">
        <v>51</v>
      </c>
      <c r="AF2171" s="1" t="s">
        <v>51</v>
      </c>
      <c r="AG2171" s="1" t="s">
        <v>51</v>
      </c>
      <c r="AH2171" s="1" t="s">
        <v>15424</v>
      </c>
      <c r="AI2171" s="1" t="s">
        <v>15425</v>
      </c>
      <c r="AJ2171" s="3">
        <v>5</v>
      </c>
      <c r="AK2171" s="1" t="s">
        <v>3985</v>
      </c>
      <c r="AL2171" s="3">
        <v>17</v>
      </c>
      <c r="AM2171" s="8">
        <v>27.550000000000001</v>
      </c>
      <c r="AN2171" s="1"/>
      <c r="AO2171" s="1" t="s">
        <v>15426</v>
      </c>
      <c r="AP2171" s="1" t="s">
        <v>15427</v>
      </c>
      <c r="AQ2171" s="1" t="s">
        <v>15428</v>
      </c>
      <c r="AR2171" s="1" t="s">
        <v>15429</v>
      </c>
    </row>
    <row r="2172">
      <c r="A2172" s="2">
        <f ca="1">DATE(2007,04,19)</f>
        <v>0</v>
      </c>
      <c r="B2172" s="2">
        <f ca="1">DATE(2007,07,19)</f>
        <v>0</v>
      </c>
      <c r="C2172" s="1" t="s">
        <v>15430</v>
      </c>
      <c r="D2172" s="3">
        <v>3661</v>
      </c>
      <c r="E2172" s="1" t="s">
        <v>43</v>
      </c>
      <c r="F2172" s="1" t="s">
        <v>15431</v>
      </c>
      <c r="G2172" s="1" t="s">
        <v>796</v>
      </c>
      <c r="H2172" s="4">
        <v>0.48999999999999999</v>
      </c>
      <c r="I2172" s="8">
        <v>7</v>
      </c>
      <c r="J2172" s="5">
        <v>58.100000000000001</v>
      </c>
      <c r="K2172" s="4">
        <v>7</v>
      </c>
      <c r="L2172" s="1" t="s">
        <v>46</v>
      </c>
      <c r="M2172" s="1" t="s">
        <v>47</v>
      </c>
      <c r="N2172" s="1" t="s">
        <v>15432</v>
      </c>
      <c r="O2172" s="1" t="s">
        <v>48</v>
      </c>
      <c r="P2172" s="1" t="s">
        <v>15433</v>
      </c>
      <c r="Q2172" s="1" t="s">
        <v>145</v>
      </c>
      <c r="R2172" s="1" t="s">
        <v>145</v>
      </c>
      <c r="S2172" s="8">
        <v>4.2000000000000002</v>
      </c>
      <c r="T2172" s="1" t="s">
        <v>50</v>
      </c>
      <c r="U2172" s="1"/>
      <c r="V2172" s="1"/>
      <c r="W2172" s="1"/>
      <c r="X2172" s="5">
        <v>75</v>
      </c>
      <c r="Y2172" s="7">
        <v>8300000</v>
      </c>
      <c r="Z2172" s="1"/>
      <c r="AA2172" s="1" t="s">
        <v>15434</v>
      </c>
      <c r="AB2172" s="1" t="s">
        <v>5265</v>
      </c>
      <c r="AC2172" s="1" t="s">
        <v>7759</v>
      </c>
      <c r="AD2172" s="1" t="s">
        <v>5265</v>
      </c>
      <c r="AE2172" s="1" t="s">
        <v>51</v>
      </c>
      <c r="AF2172" s="1" t="s">
        <v>51</v>
      </c>
      <c r="AG2172" s="1" t="s">
        <v>47</v>
      </c>
      <c r="AH2172" s="1"/>
      <c r="AI2172" s="1"/>
      <c r="AJ2172" s="3">
        <v>1</v>
      </c>
      <c r="AK2172" s="1" t="s">
        <v>52</v>
      </c>
      <c r="AL2172" s="3">
        <v>4</v>
      </c>
      <c r="AM2172" s="8">
        <v>7.1699999999999999</v>
      </c>
      <c r="AN2172" s="1"/>
      <c r="AO2172" s="1" t="s">
        <v>15435</v>
      </c>
      <c r="AP2172" s="1" t="s">
        <v>796</v>
      </c>
      <c r="AQ2172" s="1" t="s">
        <v>15436</v>
      </c>
      <c r="AR2172" s="1" t="s">
        <v>15437</v>
      </c>
    </row>
    <row r="2173">
      <c r="A2173" s="2">
        <f ca="1">DATE(2007,04,17)</f>
        <v>0</v>
      </c>
      <c r="B2173" s="2">
        <f ca="1">DATE(2007,07,19)</f>
        <v>0</v>
      </c>
      <c r="C2173" s="1" t="s">
        <v>15438</v>
      </c>
      <c r="D2173" s="3">
        <v>5731</v>
      </c>
      <c r="E2173" s="1" t="s">
        <v>43</v>
      </c>
      <c r="F2173" s="1" t="s">
        <v>15439</v>
      </c>
      <c r="G2173" s="1" t="s">
        <v>12154</v>
      </c>
      <c r="H2173" s="4">
        <v>0.91000000000000003</v>
      </c>
      <c r="I2173" s="4">
        <v>7</v>
      </c>
      <c r="J2173" s="5">
        <v>121.90000000000001</v>
      </c>
      <c r="K2173" s="4">
        <v>13</v>
      </c>
      <c r="L2173" s="1" t="s">
        <v>46</v>
      </c>
      <c r="M2173" s="1" t="s">
        <v>47</v>
      </c>
      <c r="N2173" s="1" t="s">
        <v>15440</v>
      </c>
      <c r="O2173" s="1" t="s">
        <v>108</v>
      </c>
      <c r="P2173" s="1" t="s">
        <v>15441</v>
      </c>
      <c r="Q2173" s="4">
        <v>1.3999999999999999</v>
      </c>
      <c r="R2173" s="4">
        <v>1.3999999999999999</v>
      </c>
      <c r="S2173" s="6">
        <v>4.1537699999999997</v>
      </c>
      <c r="T2173" s="1" t="s">
        <v>50</v>
      </c>
      <c r="U2173" s="1"/>
      <c r="V2173" s="1"/>
      <c r="W2173" s="1"/>
      <c r="X2173" s="5">
        <v>172.5</v>
      </c>
      <c r="Y2173" s="7">
        <v>3750000</v>
      </c>
      <c r="Z2173" s="7">
        <v>5625000</v>
      </c>
      <c r="AA2173" s="1" t="s">
        <v>15434</v>
      </c>
      <c r="AB2173" s="1" t="s">
        <v>5265</v>
      </c>
      <c r="AC2173" s="1" t="s">
        <v>7759</v>
      </c>
      <c r="AD2173" s="1" t="s">
        <v>5265</v>
      </c>
      <c r="AE2173" s="1" t="s">
        <v>51</v>
      </c>
      <c r="AF2173" s="1" t="s">
        <v>51</v>
      </c>
      <c r="AG2173" s="1" t="s">
        <v>51</v>
      </c>
      <c r="AH2173" s="1"/>
      <c r="AI2173" s="1"/>
      <c r="AJ2173" s="3">
        <v>2</v>
      </c>
      <c r="AK2173" s="1" t="s">
        <v>89</v>
      </c>
      <c r="AL2173" s="3">
        <v>6</v>
      </c>
      <c r="AM2173" s="8">
        <v>14.550000000000001</v>
      </c>
      <c r="AN2173" s="1"/>
      <c r="AO2173" s="1" t="s">
        <v>15442</v>
      </c>
      <c r="AP2173" s="1" t="s">
        <v>12160</v>
      </c>
      <c r="AQ2173" s="1" t="s">
        <v>15443</v>
      </c>
      <c r="AR2173" s="1" t="s">
        <v>15441</v>
      </c>
    </row>
    <row r="2174">
      <c r="A2174" s="2">
        <f ca="1">DATE(2007,03,16)</f>
        <v>0</v>
      </c>
      <c r="B2174" s="2">
        <f ca="1">DATE(2007,07,19)</f>
        <v>0</v>
      </c>
      <c r="C2174" s="1" t="s">
        <v>15444</v>
      </c>
      <c r="D2174" s="3">
        <v>6726</v>
      </c>
      <c r="E2174" s="1" t="s">
        <v>43</v>
      </c>
      <c r="F2174" s="1" t="s">
        <v>15445</v>
      </c>
      <c r="G2174" s="1" t="s">
        <v>15222</v>
      </c>
      <c r="H2174" s="4">
        <v>0.56000000000000005</v>
      </c>
      <c r="I2174" s="4">
        <v>7</v>
      </c>
      <c r="J2174" s="5">
        <v>120</v>
      </c>
      <c r="K2174" s="4">
        <v>8</v>
      </c>
      <c r="L2174" s="1" t="s">
        <v>46</v>
      </c>
      <c r="M2174" s="1" t="s">
        <v>47</v>
      </c>
      <c r="N2174" s="1" t="s">
        <v>15446</v>
      </c>
      <c r="O2174" s="1" t="s">
        <v>87</v>
      </c>
      <c r="P2174" s="1" t="s">
        <v>15447</v>
      </c>
      <c r="Q2174" s="1" t="s">
        <v>145</v>
      </c>
      <c r="R2174" s="1" t="s">
        <v>145</v>
      </c>
      <c r="S2174" s="8">
        <v>2.3999999999999999</v>
      </c>
      <c r="T2174" s="1" t="s">
        <v>50</v>
      </c>
      <c r="U2174" s="8">
        <v>8</v>
      </c>
      <c r="V2174" s="8">
        <v>8</v>
      </c>
      <c r="W2174" s="7">
        <v>12500000</v>
      </c>
      <c r="X2174" s="5">
        <v>100</v>
      </c>
      <c r="Y2174" s="7">
        <v>15000000</v>
      </c>
      <c r="Z2174" s="1"/>
      <c r="AA2174" s="1" t="s">
        <v>15448</v>
      </c>
      <c r="AB2174" s="1" t="s">
        <v>2067</v>
      </c>
      <c r="AC2174" s="1" t="s">
        <v>2068</v>
      </c>
      <c r="AD2174" s="1" t="s">
        <v>2067</v>
      </c>
      <c r="AE2174" s="1" t="s">
        <v>51</v>
      </c>
      <c r="AF2174" s="1" t="s">
        <v>51</v>
      </c>
      <c r="AG2174" s="1" t="s">
        <v>51</v>
      </c>
      <c r="AH2174" s="1"/>
      <c r="AI2174" s="1"/>
      <c r="AJ2174" s="3">
        <v>1</v>
      </c>
      <c r="AK2174" s="1" t="s">
        <v>52</v>
      </c>
      <c r="AL2174" s="3">
        <v>3</v>
      </c>
      <c r="AM2174" s="1"/>
      <c r="AN2174" s="1"/>
      <c r="AO2174" s="1" t="s">
        <v>15449</v>
      </c>
      <c r="AP2174" s="1" t="s">
        <v>15222</v>
      </c>
      <c r="AQ2174" s="1" t="s">
        <v>15450</v>
      </c>
      <c r="AR2174" s="1" t="s">
        <v>15447</v>
      </c>
    </row>
    <row r="2175">
      <c r="A2175" s="2">
        <f ca="1">DATE(2007,05,10)</f>
        <v>0</v>
      </c>
      <c r="B2175" s="2">
        <f ca="1">DATE(2007,07,19)</f>
        <v>0</v>
      </c>
      <c r="C2175" s="1" t="s">
        <v>15451</v>
      </c>
      <c r="D2175" s="3">
        <v>4724</v>
      </c>
      <c r="E2175" s="1" t="s">
        <v>43</v>
      </c>
      <c r="F2175" s="1" t="s">
        <v>15452</v>
      </c>
      <c r="G2175" s="1" t="s">
        <v>15453</v>
      </c>
      <c r="H2175" s="4">
        <v>0.82499999999999996</v>
      </c>
      <c r="I2175" s="4">
        <v>5.5</v>
      </c>
      <c r="J2175" s="5">
        <v>510</v>
      </c>
      <c r="K2175" s="4">
        <v>15</v>
      </c>
      <c r="L2175" s="1" t="s">
        <v>46</v>
      </c>
      <c r="M2175" s="1" t="s">
        <v>47</v>
      </c>
      <c r="N2175" s="1" t="s">
        <v>15454</v>
      </c>
      <c r="O2175" s="1" t="s">
        <v>108</v>
      </c>
      <c r="P2175" s="1" t="s">
        <v>15455</v>
      </c>
      <c r="Q2175" s="1" t="s">
        <v>145</v>
      </c>
      <c r="R2175" s="1" t="s">
        <v>145</v>
      </c>
      <c r="S2175" s="1"/>
      <c r="T2175" s="1" t="s">
        <v>50</v>
      </c>
      <c r="U2175" s="1"/>
      <c r="V2175" s="1"/>
      <c r="W2175" s="1"/>
      <c r="X2175" s="5">
        <v>750</v>
      </c>
      <c r="Y2175" s="7">
        <v>34000000</v>
      </c>
      <c r="Z2175" s="1"/>
      <c r="AA2175" s="1" t="s">
        <v>15434</v>
      </c>
      <c r="AB2175" s="1" t="s">
        <v>5265</v>
      </c>
      <c r="AC2175" s="1" t="s">
        <v>7759</v>
      </c>
      <c r="AD2175" s="1" t="s">
        <v>5265</v>
      </c>
      <c r="AE2175" s="1" t="s">
        <v>51</v>
      </c>
      <c r="AF2175" s="1" t="s">
        <v>51</v>
      </c>
      <c r="AG2175" s="1" t="s">
        <v>51</v>
      </c>
      <c r="AH2175" s="1"/>
      <c r="AI2175" s="1"/>
      <c r="AJ2175" s="3">
        <v>4</v>
      </c>
      <c r="AK2175" s="1" t="s">
        <v>1209</v>
      </c>
      <c r="AL2175" s="3">
        <v>10</v>
      </c>
      <c r="AM2175" s="8">
        <v>14.5</v>
      </c>
      <c r="AN2175" s="1"/>
      <c r="AO2175" s="1" t="s">
        <v>15456</v>
      </c>
      <c r="AP2175" s="1" t="s">
        <v>15457</v>
      </c>
      <c r="AQ2175" s="1" t="s">
        <v>15458</v>
      </c>
      <c r="AR2175" s="1" t="s">
        <v>15459</v>
      </c>
    </row>
    <row r="2176">
      <c r="A2176" s="2">
        <f ca="1">DATE(2007,04,05)</f>
        <v>0</v>
      </c>
      <c r="B2176" s="2">
        <f ca="1">DATE(2007,07,24)</f>
        <v>0</v>
      </c>
      <c r="C2176" s="1" t="s">
        <v>15460</v>
      </c>
      <c r="D2176" s="3">
        <v>7372</v>
      </c>
      <c r="E2176" s="1" t="s">
        <v>43</v>
      </c>
      <c r="F2176" s="1" t="s">
        <v>15461</v>
      </c>
      <c r="G2176" s="1" t="s">
        <v>9071</v>
      </c>
      <c r="H2176" s="4">
        <v>1.19</v>
      </c>
      <c r="I2176" s="8">
        <v>7</v>
      </c>
      <c r="J2176" s="5">
        <v>85</v>
      </c>
      <c r="K2176" s="4">
        <v>17</v>
      </c>
      <c r="L2176" s="1" t="s">
        <v>46</v>
      </c>
      <c r="M2176" s="1" t="s">
        <v>47</v>
      </c>
      <c r="N2176" s="1" t="s">
        <v>15462</v>
      </c>
      <c r="O2176" s="1" t="s">
        <v>48</v>
      </c>
      <c r="P2176" s="1" t="s">
        <v>15463</v>
      </c>
      <c r="Q2176" s="1" t="s">
        <v>145</v>
      </c>
      <c r="R2176" s="1" t="s">
        <v>145</v>
      </c>
      <c r="S2176" s="8">
        <v>4.2000000000000002</v>
      </c>
      <c r="T2176" s="1" t="s">
        <v>50</v>
      </c>
      <c r="U2176" s="1"/>
      <c r="V2176" s="1"/>
      <c r="W2176" s="1"/>
      <c r="X2176" s="5">
        <v>75</v>
      </c>
      <c r="Y2176" s="7">
        <v>3940000</v>
      </c>
      <c r="Z2176" s="7">
        <v>1060000</v>
      </c>
      <c r="AA2176" s="1" t="s">
        <v>15464</v>
      </c>
      <c r="AB2176" s="1" t="s">
        <v>5265</v>
      </c>
      <c r="AC2176" s="1" t="s">
        <v>7759</v>
      </c>
      <c r="AD2176" s="1" t="s">
        <v>5265</v>
      </c>
      <c r="AE2176" s="1" t="s">
        <v>51</v>
      </c>
      <c r="AF2176" s="1" t="s">
        <v>51</v>
      </c>
      <c r="AG2176" s="1" t="s">
        <v>47</v>
      </c>
      <c r="AH2176" s="1"/>
      <c r="AI2176" s="1"/>
      <c r="AJ2176" s="3">
        <v>2</v>
      </c>
      <c r="AK2176" s="1" t="s">
        <v>89</v>
      </c>
      <c r="AL2176" s="3">
        <v>5</v>
      </c>
      <c r="AM2176" s="8">
        <v>25.07</v>
      </c>
      <c r="AN2176" s="1"/>
      <c r="AO2176" s="1" t="s">
        <v>15465</v>
      </c>
      <c r="AP2176" s="1" t="s">
        <v>4103</v>
      </c>
      <c r="AQ2176" s="1" t="s">
        <v>15466</v>
      </c>
      <c r="AR2176" s="1" t="s">
        <v>15467</v>
      </c>
    </row>
    <row r="2177">
      <c r="A2177" s="2">
        <f ca="1">DATE(2007,01,26)</f>
        <v>0</v>
      </c>
      <c r="B2177" s="2">
        <f ca="1">DATE(2007,07,24)</f>
        <v>0</v>
      </c>
      <c r="C2177" s="1" t="s">
        <v>15468</v>
      </c>
      <c r="D2177" s="3">
        <v>7371</v>
      </c>
      <c r="E2177" s="1" t="s">
        <v>43</v>
      </c>
      <c r="F2177" s="1" t="s">
        <v>15469</v>
      </c>
      <c r="G2177" s="1" t="s">
        <v>1297</v>
      </c>
      <c r="H2177" s="4">
        <v>0.83999999999999997</v>
      </c>
      <c r="I2177" s="8">
        <v>7</v>
      </c>
      <c r="J2177" s="5">
        <v>132</v>
      </c>
      <c r="K2177" s="4">
        <v>12</v>
      </c>
      <c r="L2177" s="1" t="s">
        <v>46</v>
      </c>
      <c r="M2177" s="1" t="s">
        <v>47</v>
      </c>
      <c r="N2177" s="1" t="s">
        <v>15470</v>
      </c>
      <c r="O2177" s="1" t="s">
        <v>48</v>
      </c>
      <c r="P2177" s="1" t="s">
        <v>15471</v>
      </c>
      <c r="Q2177" s="1" t="s">
        <v>145</v>
      </c>
      <c r="R2177" s="1" t="s">
        <v>145</v>
      </c>
      <c r="S2177" s="8">
        <v>4.2000000000000002</v>
      </c>
      <c r="T2177" s="1" t="s">
        <v>50</v>
      </c>
      <c r="U2177" s="1"/>
      <c r="V2177" s="1"/>
      <c r="W2177" s="1"/>
      <c r="X2177" s="5">
        <v>135</v>
      </c>
      <c r="Y2177" s="7">
        <v>6500000</v>
      </c>
      <c r="Z2177" s="7">
        <v>4500000</v>
      </c>
      <c r="AA2177" s="1" t="s">
        <v>15464</v>
      </c>
      <c r="AB2177" s="1" t="s">
        <v>5265</v>
      </c>
      <c r="AC2177" s="1" t="s">
        <v>7759</v>
      </c>
      <c r="AD2177" s="1" t="s">
        <v>5265</v>
      </c>
      <c r="AE2177" s="1" t="s">
        <v>51</v>
      </c>
      <c r="AF2177" s="1" t="s">
        <v>51</v>
      </c>
      <c r="AG2177" s="1" t="s">
        <v>51</v>
      </c>
      <c r="AH2177" s="1"/>
      <c r="AI2177" s="1"/>
      <c r="AJ2177" s="3">
        <v>1</v>
      </c>
      <c r="AK2177" s="1" t="s">
        <v>52</v>
      </c>
      <c r="AL2177" s="3">
        <v>5</v>
      </c>
      <c r="AM2177" s="8">
        <v>12.050000000000001</v>
      </c>
      <c r="AN2177" s="1"/>
      <c r="AO2177" s="1" t="s">
        <v>15472</v>
      </c>
      <c r="AP2177" s="1" t="s">
        <v>1297</v>
      </c>
      <c r="AQ2177" s="1" t="s">
        <v>15473</v>
      </c>
      <c r="AR2177" s="1" t="s">
        <v>15471</v>
      </c>
    </row>
    <row r="2178">
      <c r="A2178" s="2">
        <f ca="1">DATE(2007,04,27)</f>
        <v>0</v>
      </c>
      <c r="B2178" s="2">
        <f ca="1">DATE(2007,07,24)</f>
        <v>0</v>
      </c>
      <c r="C2178" s="1" t="s">
        <v>15474</v>
      </c>
      <c r="D2178" s="3">
        <v>1311</v>
      </c>
      <c r="E2178" s="1" t="s">
        <v>43</v>
      </c>
      <c r="F2178" s="1" t="s">
        <v>15475</v>
      </c>
      <c r="G2178" s="1" t="s">
        <v>10681</v>
      </c>
      <c r="H2178" s="4">
        <v>0.66000000000000003</v>
      </c>
      <c r="I2178" s="4">
        <v>6</v>
      </c>
      <c r="J2178" s="5">
        <v>105.59999999999999</v>
      </c>
      <c r="K2178" s="4">
        <v>11</v>
      </c>
      <c r="L2178" s="1" t="s">
        <v>46</v>
      </c>
      <c r="M2178" s="1" t="s">
        <v>47</v>
      </c>
      <c r="N2178" s="3">
        <v>761565100</v>
      </c>
      <c r="O2178" s="1" t="s">
        <v>48</v>
      </c>
      <c r="P2178" s="1" t="s">
        <v>15476</v>
      </c>
      <c r="Q2178" s="1" t="s">
        <v>145</v>
      </c>
      <c r="R2178" s="1" t="s">
        <v>145</v>
      </c>
      <c r="S2178" s="6">
        <v>3.6363599999999998</v>
      </c>
      <c r="T2178" s="1" t="s">
        <v>50</v>
      </c>
      <c r="U2178" s="1"/>
      <c r="V2178" s="1"/>
      <c r="W2178" s="1"/>
      <c r="X2178" s="5">
        <v>210</v>
      </c>
      <c r="Y2178" s="7">
        <v>8800000</v>
      </c>
      <c r="Z2178" s="7">
        <v>800000</v>
      </c>
      <c r="AA2178" s="1" t="s">
        <v>15464</v>
      </c>
      <c r="AB2178" s="1" t="s">
        <v>5265</v>
      </c>
      <c r="AC2178" s="1" t="s">
        <v>7759</v>
      </c>
      <c r="AD2178" s="1" t="s">
        <v>5265</v>
      </c>
      <c r="AE2178" s="1" t="s">
        <v>51</v>
      </c>
      <c r="AF2178" s="1" t="s">
        <v>51</v>
      </c>
      <c r="AG2178" s="1" t="s">
        <v>51</v>
      </c>
      <c r="AH2178" s="1"/>
      <c r="AI2178" s="1"/>
      <c r="AJ2178" s="3">
        <v>1</v>
      </c>
      <c r="AK2178" s="1" t="s">
        <v>52</v>
      </c>
      <c r="AL2178" s="3">
        <v>7</v>
      </c>
      <c r="AM2178" s="8">
        <v>10.130000000000001</v>
      </c>
      <c r="AN2178" s="1"/>
      <c r="AO2178" s="1" t="s">
        <v>15477</v>
      </c>
      <c r="AP2178" s="1" t="s">
        <v>10681</v>
      </c>
      <c r="AQ2178" s="1" t="s">
        <v>15478</v>
      </c>
      <c r="AR2178" s="1" t="s">
        <v>15476</v>
      </c>
    </row>
    <row r="2179">
      <c r="A2179" s="2">
        <f ca="1">DATE(2007,01,16)</f>
        <v>0</v>
      </c>
      <c r="B2179" s="2">
        <f ca="1">DATE(2007,07,24)</f>
        <v>0</v>
      </c>
      <c r="C2179" s="1" t="s">
        <v>15479</v>
      </c>
      <c r="D2179" s="3">
        <v>6331</v>
      </c>
      <c r="E2179" s="1" t="s">
        <v>517</v>
      </c>
      <c r="F2179" s="1" t="s">
        <v>15480</v>
      </c>
      <c r="G2179" s="1" t="s">
        <v>6056</v>
      </c>
      <c r="H2179" s="4">
        <v>1.403</v>
      </c>
      <c r="I2179" s="4">
        <v>6.375</v>
      </c>
      <c r="J2179" s="5">
        <v>335.39999999999998</v>
      </c>
      <c r="K2179" s="4">
        <v>22</v>
      </c>
      <c r="L2179" s="1" t="s">
        <v>46</v>
      </c>
      <c r="M2179" s="1" t="s">
        <v>47</v>
      </c>
      <c r="N2179" s="1" t="s">
        <v>15481</v>
      </c>
      <c r="O2179" s="1" t="s">
        <v>108</v>
      </c>
      <c r="P2179" s="1" t="s">
        <v>15482</v>
      </c>
      <c r="Q2179" s="4">
        <v>1.2749999999999999</v>
      </c>
      <c r="R2179" s="4">
        <v>1.2749999999999999</v>
      </c>
      <c r="S2179" s="6">
        <v>3.8181799999999999</v>
      </c>
      <c r="T2179" s="1" t="s">
        <v>50</v>
      </c>
      <c r="U2179" s="1"/>
      <c r="V2179" s="1"/>
      <c r="W2179" s="1"/>
      <c r="X2179" s="5">
        <v>200</v>
      </c>
      <c r="Y2179" s="7">
        <v>15244888</v>
      </c>
      <c r="Z2179" s="1"/>
      <c r="AA2179" s="1" t="s">
        <v>15483</v>
      </c>
      <c r="AB2179" s="1" t="s">
        <v>2067</v>
      </c>
      <c r="AC2179" s="1" t="s">
        <v>2068</v>
      </c>
      <c r="AD2179" s="1" t="s">
        <v>2067</v>
      </c>
      <c r="AE2179" s="1" t="s">
        <v>51</v>
      </c>
      <c r="AF2179" s="1" t="s">
        <v>51</v>
      </c>
      <c r="AG2179" s="1" t="s">
        <v>51</v>
      </c>
      <c r="AH2179" s="1"/>
      <c r="AI2179" s="1"/>
      <c r="AJ2179" s="3">
        <v>2</v>
      </c>
      <c r="AK2179" s="1" t="s">
        <v>89</v>
      </c>
      <c r="AL2179" s="3">
        <v>16</v>
      </c>
      <c r="AM2179" s="8">
        <v>22.25</v>
      </c>
      <c r="AN2179" s="3">
        <v>22</v>
      </c>
      <c r="AO2179" s="1" t="s">
        <v>15484</v>
      </c>
      <c r="AP2179" s="1" t="s">
        <v>4884</v>
      </c>
      <c r="AQ2179" s="1" t="s">
        <v>15485</v>
      </c>
      <c r="AR2179" s="1" t="s">
        <v>15486</v>
      </c>
    </row>
    <row r="2180">
      <c r="A2180" s="2">
        <f ca="1">DATE(2007,05,04)</f>
        <v>0</v>
      </c>
      <c r="B2180" s="2">
        <f ca="1">DATE(2007,07,25)</f>
        <v>0</v>
      </c>
      <c r="C2180" s="1" t="s">
        <v>15487</v>
      </c>
      <c r="D2180" s="3">
        <v>2834</v>
      </c>
      <c r="E2180" s="1" t="s">
        <v>43</v>
      </c>
      <c r="F2180" s="1" t="s">
        <v>15488</v>
      </c>
      <c r="G2180" s="1" t="s">
        <v>10277</v>
      </c>
      <c r="H2180" s="4">
        <v>0.34999999999999998</v>
      </c>
      <c r="I2180" s="8">
        <v>7</v>
      </c>
      <c r="J2180" s="5">
        <v>15</v>
      </c>
      <c r="K2180" s="4">
        <v>5</v>
      </c>
      <c r="L2180" s="1" t="s">
        <v>46</v>
      </c>
      <c r="M2180" s="1" t="s">
        <v>47</v>
      </c>
      <c r="N2180" s="1" t="s">
        <v>15489</v>
      </c>
      <c r="O2180" s="1" t="s">
        <v>48</v>
      </c>
      <c r="P2180" s="1" t="s">
        <v>10286</v>
      </c>
      <c r="Q2180" s="1" t="s">
        <v>145</v>
      </c>
      <c r="R2180" s="1" t="s">
        <v>145</v>
      </c>
      <c r="S2180" s="8">
        <v>4.5</v>
      </c>
      <c r="T2180" s="1" t="s">
        <v>50</v>
      </c>
      <c r="U2180" s="8">
        <v>7.5</v>
      </c>
      <c r="V2180" s="8">
        <v>6.5</v>
      </c>
      <c r="W2180" s="7">
        <v>3000000</v>
      </c>
      <c r="X2180" s="5">
        <v>21</v>
      </c>
      <c r="Y2180" s="7">
        <v>3000000</v>
      </c>
      <c r="Z2180" s="1"/>
      <c r="AA2180" s="1" t="s">
        <v>15490</v>
      </c>
      <c r="AB2180" s="1" t="s">
        <v>5265</v>
      </c>
      <c r="AC2180" s="1" t="s">
        <v>12391</v>
      </c>
      <c r="AD2180" s="1" t="s">
        <v>5265</v>
      </c>
      <c r="AE2180" s="1" t="s">
        <v>51</v>
      </c>
      <c r="AF2180" s="1" t="s">
        <v>51</v>
      </c>
      <c r="AG2180" s="1" t="s">
        <v>47</v>
      </c>
      <c r="AH2180" s="1"/>
      <c r="AI2180" s="1"/>
      <c r="AJ2180" s="3">
        <v>1</v>
      </c>
      <c r="AK2180" s="1" t="s">
        <v>52</v>
      </c>
      <c r="AL2180" s="3">
        <v>2</v>
      </c>
      <c r="AM2180" s="8">
        <v>4.79</v>
      </c>
      <c r="AN2180" s="1"/>
      <c r="AO2180" s="1" t="s">
        <v>14494</v>
      </c>
      <c r="AP2180" s="1" t="s">
        <v>10277</v>
      </c>
      <c r="AQ2180" s="1" t="s">
        <v>10285</v>
      </c>
      <c r="AR2180" s="1" t="s">
        <v>10286</v>
      </c>
    </row>
    <row r="2181">
      <c r="A2181" s="2">
        <f ca="1">DATE(2007,07,02)</f>
        <v>0</v>
      </c>
      <c r="B2181" s="2">
        <f ca="1">DATE(2007,07,25)</f>
        <v>0</v>
      </c>
      <c r="C2181" s="1" t="s">
        <v>15491</v>
      </c>
      <c r="D2181" s="3">
        <v>7372</v>
      </c>
      <c r="E2181" s="1" t="s">
        <v>744</v>
      </c>
      <c r="F2181" s="1" t="s">
        <v>15492</v>
      </c>
      <c r="G2181" s="1" t="s">
        <v>13389</v>
      </c>
      <c r="H2181" s="4">
        <v>1.1200000000000001</v>
      </c>
      <c r="I2181" s="4">
        <v>7</v>
      </c>
      <c r="J2181" s="5">
        <v>188.80000000000001</v>
      </c>
      <c r="K2181" s="4">
        <v>16</v>
      </c>
      <c r="L2181" s="1" t="s">
        <v>651</v>
      </c>
      <c r="M2181" s="1" t="s">
        <v>47</v>
      </c>
      <c r="N2181" s="1" t="s">
        <v>15493</v>
      </c>
      <c r="O2181" s="1" t="s">
        <v>48</v>
      </c>
      <c r="P2181" s="1" t="s">
        <v>15494</v>
      </c>
      <c r="Q2181" s="4">
        <v>1.3999999999999999</v>
      </c>
      <c r="R2181" s="4">
        <v>1.3999999999999999</v>
      </c>
      <c r="S2181" s="8">
        <v>4.2000000000000002</v>
      </c>
      <c r="T2181" s="1" t="s">
        <v>50</v>
      </c>
      <c r="U2181" s="1"/>
      <c r="V2181" s="1"/>
      <c r="W2181" s="1"/>
      <c r="X2181" s="5">
        <v>100</v>
      </c>
      <c r="Y2181" s="7">
        <v>9000000</v>
      </c>
      <c r="Z2181" s="7">
        <v>2800000</v>
      </c>
      <c r="AA2181" s="1" t="s">
        <v>15495</v>
      </c>
      <c r="AB2181" s="1" t="s">
        <v>5265</v>
      </c>
      <c r="AC2181" s="1" t="s">
        <v>7759</v>
      </c>
      <c r="AD2181" s="1" t="s">
        <v>5265</v>
      </c>
      <c r="AE2181" s="1" t="s">
        <v>47</v>
      </c>
      <c r="AF2181" s="1" t="s">
        <v>51</v>
      </c>
      <c r="AG2181" s="1" t="s">
        <v>47</v>
      </c>
      <c r="AH2181" s="1"/>
      <c r="AI2181" s="1"/>
      <c r="AJ2181" s="3">
        <v>2</v>
      </c>
      <c r="AK2181" s="1" t="s">
        <v>89</v>
      </c>
      <c r="AL2181" s="3">
        <v>5</v>
      </c>
      <c r="AM2181" s="8">
        <v>20.399999999999999</v>
      </c>
      <c r="AN2181" s="1"/>
      <c r="AO2181" s="1" t="s">
        <v>15496</v>
      </c>
      <c r="AP2181" s="1" t="s">
        <v>12249</v>
      </c>
      <c r="AQ2181" s="1" t="s">
        <v>15497</v>
      </c>
      <c r="AR2181" s="1" t="s">
        <v>15494</v>
      </c>
    </row>
    <row r="2182">
      <c r="A2182" s="2">
        <f ca="1">DATE(2007,07,10)</f>
        <v>0</v>
      </c>
      <c r="B2182" s="2">
        <f ca="1">DATE(2007,07,25)</f>
        <v>0</v>
      </c>
      <c r="C2182" s="1" t="s">
        <v>15498</v>
      </c>
      <c r="D2182" s="3">
        <v>7372</v>
      </c>
      <c r="E2182" s="1" t="s">
        <v>934</v>
      </c>
      <c r="F2182" s="1" t="s">
        <v>15499</v>
      </c>
      <c r="G2182" s="1" t="s">
        <v>8103</v>
      </c>
      <c r="H2182" s="4">
        <v>0.63</v>
      </c>
      <c r="I2182" s="4">
        <v>7</v>
      </c>
      <c r="J2182" s="5">
        <v>51.899999999999999</v>
      </c>
      <c r="K2182" s="4">
        <v>9</v>
      </c>
      <c r="L2182" s="1" t="s">
        <v>1057</v>
      </c>
      <c r="M2182" s="1" t="s">
        <v>47</v>
      </c>
      <c r="N2182" s="1" t="s">
        <v>15500</v>
      </c>
      <c r="O2182" s="1" t="s">
        <v>48</v>
      </c>
      <c r="P2182" s="1" t="s">
        <v>15501</v>
      </c>
      <c r="Q2182" s="1" t="s">
        <v>145</v>
      </c>
      <c r="R2182" s="1" t="s">
        <v>145</v>
      </c>
      <c r="S2182" s="8">
        <v>4.2000000000000002</v>
      </c>
      <c r="T2182" s="1" t="s">
        <v>50</v>
      </c>
      <c r="U2182" s="8">
        <v>14</v>
      </c>
      <c r="V2182" s="8">
        <v>12</v>
      </c>
      <c r="W2182" s="7">
        <v>7693000</v>
      </c>
      <c r="X2182" s="5">
        <v>100</v>
      </c>
      <c r="Y2182" s="7">
        <v>5770000</v>
      </c>
      <c r="Z2182" s="1"/>
      <c r="AA2182" s="1" t="s">
        <v>15495</v>
      </c>
      <c r="AB2182" s="1" t="s">
        <v>5265</v>
      </c>
      <c r="AC2182" s="1" t="s">
        <v>7759</v>
      </c>
      <c r="AD2182" s="1" t="s">
        <v>5265</v>
      </c>
      <c r="AE2182" s="1" t="s">
        <v>51</v>
      </c>
      <c r="AF2182" s="1" t="s">
        <v>51</v>
      </c>
      <c r="AG2182" s="1" t="s">
        <v>47</v>
      </c>
      <c r="AH2182" s="1"/>
      <c r="AI2182" s="1"/>
      <c r="AJ2182" s="3">
        <v>2</v>
      </c>
      <c r="AK2182" s="1" t="s">
        <v>89</v>
      </c>
      <c r="AL2182" s="3">
        <v>4</v>
      </c>
      <c r="AM2182" s="1"/>
      <c r="AN2182" s="1"/>
      <c r="AO2182" s="1" t="s">
        <v>15502</v>
      </c>
      <c r="AP2182" s="1" t="s">
        <v>8107</v>
      </c>
      <c r="AQ2182" s="1" t="s">
        <v>15503</v>
      </c>
      <c r="AR2182" s="1" t="s">
        <v>15504</v>
      </c>
    </row>
    <row r="2183">
      <c r="A2183" s="2">
        <f ca="1">DATE(2007,04,23)</f>
        <v>0</v>
      </c>
      <c r="B2183" s="2">
        <f ca="1">DATE(2007,07,26)</f>
        <v>0</v>
      </c>
      <c r="C2183" s="1" t="s">
        <v>15505</v>
      </c>
      <c r="D2183" s="3">
        <v>6798</v>
      </c>
      <c r="E2183" s="1" t="s">
        <v>43</v>
      </c>
      <c r="F2183" s="1" t="s">
        <v>15506</v>
      </c>
      <c r="G2183" s="1" t="s">
        <v>45</v>
      </c>
      <c r="H2183" s="4">
        <v>0.90000000000000002</v>
      </c>
      <c r="I2183" s="4">
        <v>4.5</v>
      </c>
      <c r="J2183" s="5">
        <v>450</v>
      </c>
      <c r="K2183" s="4">
        <v>20</v>
      </c>
      <c r="L2183" s="1" t="s">
        <v>46</v>
      </c>
      <c r="M2183" s="1" t="s">
        <v>47</v>
      </c>
      <c r="N2183" s="1" t="s">
        <v>15507</v>
      </c>
      <c r="O2183" s="1" t="s">
        <v>108</v>
      </c>
      <c r="P2183" s="1" t="s">
        <v>15508</v>
      </c>
      <c r="Q2183" s="4">
        <v>1</v>
      </c>
      <c r="R2183" s="4">
        <v>0.5</v>
      </c>
      <c r="S2183" s="8">
        <v>3</v>
      </c>
      <c r="T2183" s="1" t="s">
        <v>50</v>
      </c>
      <c r="U2183" s="8">
        <v>20</v>
      </c>
      <c r="V2183" s="8">
        <v>20</v>
      </c>
      <c r="W2183" s="7">
        <v>50000</v>
      </c>
      <c r="X2183" s="5">
        <v>1</v>
      </c>
      <c r="Y2183" s="7">
        <v>22500000</v>
      </c>
      <c r="Z2183" s="1"/>
      <c r="AA2183" s="2">
        <f ca="1">DATE(2008,01,22)</f>
        <v>0</v>
      </c>
      <c r="AB2183" s="1"/>
      <c r="AC2183" s="3">
        <v>180</v>
      </c>
      <c r="AD2183" s="1"/>
      <c r="AE2183" s="1" t="s">
        <v>51</v>
      </c>
      <c r="AF2183" s="1" t="s">
        <v>51</v>
      </c>
      <c r="AG2183" s="1" t="s">
        <v>51</v>
      </c>
      <c r="AH2183" s="1"/>
      <c r="AI2183" s="1"/>
      <c r="AJ2183" s="3">
        <v>1</v>
      </c>
      <c r="AK2183" s="1" t="s">
        <v>52</v>
      </c>
      <c r="AL2183" s="3">
        <v>16</v>
      </c>
      <c r="AM2183" s="8">
        <v>20.010000000000002</v>
      </c>
      <c r="AN2183" s="1"/>
      <c r="AO2183" s="1" t="s">
        <v>15509</v>
      </c>
      <c r="AP2183" s="1" t="s">
        <v>45</v>
      </c>
      <c r="AQ2183" s="1" t="s">
        <v>15510</v>
      </c>
      <c r="AR2183" s="1" t="s">
        <v>15511</v>
      </c>
    </row>
    <row r="2184">
      <c r="A2184" s="2">
        <f ca="1">DATE(2007,04,09)</f>
        <v>0</v>
      </c>
      <c r="B2184" s="2">
        <f ca="1">DATE(2007,07,26)</f>
        <v>0</v>
      </c>
      <c r="C2184" s="1" t="s">
        <v>15512</v>
      </c>
      <c r="D2184" s="3">
        <v>6726</v>
      </c>
      <c r="E2184" s="1" t="s">
        <v>43</v>
      </c>
      <c r="F2184" s="1" t="s">
        <v>15513</v>
      </c>
      <c r="G2184" s="1" t="s">
        <v>15222</v>
      </c>
      <c r="H2184" s="4">
        <v>0.90000000000000002</v>
      </c>
      <c r="I2184" s="4">
        <v>4.5</v>
      </c>
      <c r="J2184" s="9">
        <v>1300</v>
      </c>
      <c r="K2184" s="4">
        <v>20</v>
      </c>
      <c r="L2184" s="1" t="s">
        <v>46</v>
      </c>
      <c r="M2184" s="1" t="s">
        <v>47</v>
      </c>
      <c r="N2184" s="1" t="s">
        <v>15514</v>
      </c>
      <c r="O2184" s="1" t="s">
        <v>108</v>
      </c>
      <c r="P2184" s="1" t="s">
        <v>15515</v>
      </c>
      <c r="Q2184" s="4">
        <v>1</v>
      </c>
      <c r="R2184" s="4">
        <v>0.5</v>
      </c>
      <c r="S2184" s="8">
        <v>3</v>
      </c>
      <c r="T2184" s="1" t="s">
        <v>50</v>
      </c>
      <c r="U2184" s="8">
        <v>20</v>
      </c>
      <c r="V2184" s="8">
        <v>20</v>
      </c>
      <c r="W2184" s="7">
        <v>50000</v>
      </c>
      <c r="X2184" s="5">
        <v>1</v>
      </c>
      <c r="Y2184" s="7">
        <v>65000000</v>
      </c>
      <c r="Z2184" s="1"/>
      <c r="AA2184" s="2">
        <f ca="1">DATE(2008,01,22)</f>
        <v>0</v>
      </c>
      <c r="AB2184" s="1"/>
      <c r="AC2184" s="3">
        <v>180</v>
      </c>
      <c r="AD2184" s="1"/>
      <c r="AE2184" s="1" t="s">
        <v>51</v>
      </c>
      <c r="AF2184" s="1" t="s">
        <v>51</v>
      </c>
      <c r="AG2184" s="1" t="s">
        <v>51</v>
      </c>
      <c r="AH2184" s="1"/>
      <c r="AI2184" s="1"/>
      <c r="AJ2184" s="3">
        <v>1</v>
      </c>
      <c r="AK2184" s="1" t="s">
        <v>52</v>
      </c>
      <c r="AL2184" s="3">
        <v>81</v>
      </c>
      <c r="AM2184" s="8">
        <v>20.010000000000002</v>
      </c>
      <c r="AN2184" s="1"/>
      <c r="AO2184" s="1" t="s">
        <v>15516</v>
      </c>
      <c r="AP2184" s="1" t="s">
        <v>15222</v>
      </c>
      <c r="AQ2184" s="1" t="s">
        <v>15517</v>
      </c>
      <c r="AR2184" s="1" t="s">
        <v>15518</v>
      </c>
    </row>
    <row r="2185">
      <c r="A2185" s="2">
        <f ca="1">DATE(2007,04,30)</f>
        <v>0</v>
      </c>
      <c r="B2185" s="2">
        <f ca="1">DATE(2007,07,26)</f>
        <v>0</v>
      </c>
      <c r="C2185" s="1" t="s">
        <v>15519</v>
      </c>
      <c r="D2185" s="3">
        <v>2321</v>
      </c>
      <c r="E2185" s="1" t="s">
        <v>166</v>
      </c>
      <c r="F2185" s="1" t="s">
        <v>15520</v>
      </c>
      <c r="G2185" s="1" t="s">
        <v>6056</v>
      </c>
      <c r="H2185" s="4">
        <v>1.26</v>
      </c>
      <c r="I2185" s="4">
        <v>7</v>
      </c>
      <c r="J2185" s="5">
        <v>327.60000000000002</v>
      </c>
      <c r="K2185" s="4">
        <v>18</v>
      </c>
      <c r="L2185" s="1" t="s">
        <v>46</v>
      </c>
      <c r="M2185" s="1" t="s">
        <v>47</v>
      </c>
      <c r="N2185" s="3">
        <v>550021109</v>
      </c>
      <c r="O2185" s="1" t="s">
        <v>48</v>
      </c>
      <c r="P2185" s="1" t="s">
        <v>15521</v>
      </c>
      <c r="Q2185" s="4">
        <v>1.3999999999999999</v>
      </c>
      <c r="R2185" s="4">
        <v>1.3999999999999999</v>
      </c>
      <c r="S2185" s="8">
        <v>4.2000000000000002</v>
      </c>
      <c r="T2185" s="1" t="s">
        <v>50</v>
      </c>
      <c r="U2185" s="1"/>
      <c r="V2185" s="1"/>
      <c r="W2185" s="1"/>
      <c r="X2185" s="5">
        <v>230</v>
      </c>
      <c r="Y2185" s="7">
        <v>2290909</v>
      </c>
      <c r="Z2185" s="7">
        <v>15909091</v>
      </c>
      <c r="AA2185" s="1" t="s">
        <v>15522</v>
      </c>
      <c r="AB2185" s="1" t="s">
        <v>5265</v>
      </c>
      <c r="AC2185" s="1" t="s">
        <v>7759</v>
      </c>
      <c r="AD2185" s="1" t="s">
        <v>5265</v>
      </c>
      <c r="AE2185" s="1" t="s">
        <v>51</v>
      </c>
      <c r="AF2185" s="1" t="s">
        <v>51</v>
      </c>
      <c r="AG2185" s="1" t="s">
        <v>51</v>
      </c>
      <c r="AH2185" s="1"/>
      <c r="AI2185" s="1"/>
      <c r="AJ2185" s="3">
        <v>2</v>
      </c>
      <c r="AK2185" s="1" t="s">
        <v>89</v>
      </c>
      <c r="AL2185" s="3">
        <v>8</v>
      </c>
      <c r="AM2185" s="8">
        <v>28</v>
      </c>
      <c r="AN2185" s="1"/>
      <c r="AO2185" s="1" t="s">
        <v>15523</v>
      </c>
      <c r="AP2185" s="1" t="s">
        <v>4884</v>
      </c>
      <c r="AQ2185" s="1" t="s">
        <v>15524</v>
      </c>
      <c r="AR2185" s="1" t="s">
        <v>15525</v>
      </c>
    </row>
    <row r="2186">
      <c r="A2186" s="2">
        <f ca="1">DATE(2007,03,27)</f>
        <v>0</v>
      </c>
      <c r="B2186" s="2">
        <f ca="1">DATE(2007,08,01)</f>
        <v>0</v>
      </c>
      <c r="C2186" s="1" t="s">
        <v>15526</v>
      </c>
      <c r="D2186" s="3">
        <v>6726</v>
      </c>
      <c r="E2186" s="1" t="s">
        <v>43</v>
      </c>
      <c r="F2186" s="1" t="s">
        <v>15527</v>
      </c>
      <c r="G2186" s="1" t="s">
        <v>15222</v>
      </c>
      <c r="H2186" s="4">
        <v>0.69999999999999996</v>
      </c>
      <c r="I2186" s="8">
        <v>7</v>
      </c>
      <c r="J2186" s="5">
        <v>360</v>
      </c>
      <c r="K2186" s="4">
        <v>10</v>
      </c>
      <c r="L2186" s="1" t="s">
        <v>46</v>
      </c>
      <c r="M2186" s="1" t="s">
        <v>47</v>
      </c>
      <c r="N2186" s="1" t="s">
        <v>15528</v>
      </c>
      <c r="O2186" s="1" t="s">
        <v>87</v>
      </c>
      <c r="P2186" s="1" t="s">
        <v>15529</v>
      </c>
      <c r="Q2186" s="1" t="s">
        <v>145</v>
      </c>
      <c r="R2186" s="1" t="s">
        <v>145</v>
      </c>
      <c r="S2186" s="8">
        <v>2.25</v>
      </c>
      <c r="T2186" s="1" t="s">
        <v>50</v>
      </c>
      <c r="U2186" s="8">
        <v>8</v>
      </c>
      <c r="V2186" s="8">
        <v>8</v>
      </c>
      <c r="W2186" s="7">
        <v>18750000</v>
      </c>
      <c r="X2186" s="5">
        <v>150</v>
      </c>
      <c r="Y2186" s="7">
        <v>36000000</v>
      </c>
      <c r="Z2186" s="1"/>
      <c r="AA2186" s="1" t="s">
        <v>15530</v>
      </c>
      <c r="AB2186" s="1" t="s">
        <v>2067</v>
      </c>
      <c r="AC2186" s="1" t="s">
        <v>2068</v>
      </c>
      <c r="AD2186" s="1" t="s">
        <v>2067</v>
      </c>
      <c r="AE2186" s="1" t="s">
        <v>51</v>
      </c>
      <c r="AF2186" s="1" t="s">
        <v>51</v>
      </c>
      <c r="AG2186" s="1" t="s">
        <v>51</v>
      </c>
      <c r="AH2186" s="1"/>
      <c r="AI2186" s="1"/>
      <c r="AJ2186" s="3">
        <v>1</v>
      </c>
      <c r="AK2186" s="1" t="s">
        <v>52</v>
      </c>
      <c r="AL2186" s="3">
        <v>2</v>
      </c>
      <c r="AM2186" s="1"/>
      <c r="AN2186" s="1"/>
      <c r="AO2186" s="1" t="s">
        <v>15531</v>
      </c>
      <c r="AP2186" s="1" t="s">
        <v>15222</v>
      </c>
      <c r="AQ2186" s="1" t="s">
        <v>15532</v>
      </c>
      <c r="AR2186" s="1" t="s">
        <v>15529</v>
      </c>
    </row>
    <row r="2187">
      <c r="A2187" s="2">
        <f ca="1">DATE(2007,04,26)</f>
        <v>0</v>
      </c>
      <c r="B2187" s="2">
        <f ca="1">DATE(2007,08,01)</f>
        <v>0</v>
      </c>
      <c r="C2187" s="1" t="s">
        <v>15533</v>
      </c>
      <c r="D2187" s="3">
        <v>2711</v>
      </c>
      <c r="E2187" s="1" t="s">
        <v>43</v>
      </c>
      <c r="F2187" s="1" t="s">
        <v>15534</v>
      </c>
      <c r="G2187" s="1" t="s">
        <v>6056</v>
      </c>
      <c r="H2187" s="4">
        <v>1.0149999999999999</v>
      </c>
      <c r="I2187" s="8">
        <v>7</v>
      </c>
      <c r="J2187" s="5">
        <v>195.09999999999999</v>
      </c>
      <c r="K2187" s="4">
        <v>14.5</v>
      </c>
      <c r="L2187" s="1" t="s">
        <v>46</v>
      </c>
      <c r="M2187" s="1" t="s">
        <v>47</v>
      </c>
      <c r="N2187" s="1" t="s">
        <v>15535</v>
      </c>
      <c r="O2187" s="1" t="s">
        <v>108</v>
      </c>
      <c r="P2187" s="1" t="s">
        <v>15536</v>
      </c>
      <c r="Q2187" s="4">
        <v>1.3999999999999999</v>
      </c>
      <c r="R2187" s="4">
        <v>1.3999999999999999</v>
      </c>
      <c r="S2187" s="8">
        <v>4.2000000000000002</v>
      </c>
      <c r="T2187" s="1" t="s">
        <v>50</v>
      </c>
      <c r="U2187" s="1"/>
      <c r="V2187" s="1"/>
      <c r="W2187" s="1"/>
      <c r="X2187" s="5">
        <v>150</v>
      </c>
      <c r="Y2187" s="7">
        <v>10500000</v>
      </c>
      <c r="Z2187" s="7">
        <v>2956522</v>
      </c>
      <c r="AA2187" s="1" t="s">
        <v>15537</v>
      </c>
      <c r="AB2187" s="1" t="s">
        <v>5265</v>
      </c>
      <c r="AC2187" s="1" t="s">
        <v>7759</v>
      </c>
      <c r="AD2187" s="1" t="s">
        <v>5265</v>
      </c>
      <c r="AE2187" s="1" t="s">
        <v>51</v>
      </c>
      <c r="AF2187" s="1" t="s">
        <v>51</v>
      </c>
      <c r="AG2187" s="1" t="s">
        <v>51</v>
      </c>
      <c r="AH2187" s="1"/>
      <c r="AI2187" s="1"/>
      <c r="AJ2187" s="3">
        <v>2</v>
      </c>
      <c r="AK2187" s="1" t="s">
        <v>89</v>
      </c>
      <c r="AL2187" s="3">
        <v>4</v>
      </c>
      <c r="AM2187" s="8">
        <v>17.719999999999999</v>
      </c>
      <c r="AN2187" s="1"/>
      <c r="AO2187" s="1" t="s">
        <v>15538</v>
      </c>
      <c r="AP2187" s="1" t="s">
        <v>4884</v>
      </c>
      <c r="AQ2187" s="1" t="s">
        <v>15539</v>
      </c>
      <c r="AR2187" s="1" t="s">
        <v>15540</v>
      </c>
    </row>
    <row r="2188">
      <c r="A2188" s="2">
        <f ca="1">DATE(2007,05,11)</f>
        <v>0</v>
      </c>
      <c r="B2188" s="2">
        <f ca="1">DATE(2007,08,01)</f>
        <v>0</v>
      </c>
      <c r="C2188" s="1" t="s">
        <v>15541</v>
      </c>
      <c r="D2188" s="3">
        <v>8742</v>
      </c>
      <c r="E2188" s="1" t="s">
        <v>43</v>
      </c>
      <c r="F2188" s="1" t="s">
        <v>15542</v>
      </c>
      <c r="G2188" s="1" t="s">
        <v>15543</v>
      </c>
      <c r="H2188" s="4">
        <v>0.77000000000000002</v>
      </c>
      <c r="I2188" s="4">
        <v>5.5</v>
      </c>
      <c r="J2188" s="5">
        <v>494.10000000000002</v>
      </c>
      <c r="K2188" s="4">
        <v>14</v>
      </c>
      <c r="L2188" s="1" t="s">
        <v>46</v>
      </c>
      <c r="M2188" s="1" t="s">
        <v>47</v>
      </c>
      <c r="N2188" s="1" t="s">
        <v>15544</v>
      </c>
      <c r="O2188" s="1" t="s">
        <v>108</v>
      </c>
      <c r="P2188" s="1" t="s">
        <v>15545</v>
      </c>
      <c r="Q2188" s="1" t="s">
        <v>145</v>
      </c>
      <c r="R2188" s="1" t="s">
        <v>145</v>
      </c>
      <c r="S2188" s="8">
        <v>3.2999999999999998</v>
      </c>
      <c r="T2188" s="1" t="s">
        <v>50</v>
      </c>
      <c r="U2188" s="1"/>
      <c r="V2188" s="1"/>
      <c r="W2188" s="1"/>
      <c r="X2188" s="5">
        <v>600</v>
      </c>
      <c r="Y2188" s="7">
        <v>17647059</v>
      </c>
      <c r="Z2188" s="7">
        <v>17647059</v>
      </c>
      <c r="AA2188" s="1" t="s">
        <v>15537</v>
      </c>
      <c r="AB2188" s="1" t="s">
        <v>5265</v>
      </c>
      <c r="AC2188" s="1" t="s">
        <v>7759</v>
      </c>
      <c r="AD2188" s="1" t="s">
        <v>5265</v>
      </c>
      <c r="AE2188" s="1" t="s">
        <v>51</v>
      </c>
      <c r="AF2188" s="1" t="s">
        <v>51</v>
      </c>
      <c r="AG2188" s="1" t="s">
        <v>47</v>
      </c>
      <c r="AH2188" s="1"/>
      <c r="AI2188" s="1"/>
      <c r="AJ2188" s="3">
        <v>3</v>
      </c>
      <c r="AK2188" s="1" t="s">
        <v>110</v>
      </c>
      <c r="AL2188" s="3">
        <v>9</v>
      </c>
      <c r="AM2188" s="8">
        <v>16.75</v>
      </c>
      <c r="AN2188" s="1"/>
      <c r="AO2188" s="1" t="s">
        <v>15546</v>
      </c>
      <c r="AP2188" s="1" t="s">
        <v>15547</v>
      </c>
      <c r="AQ2188" s="1" t="s">
        <v>15548</v>
      </c>
      <c r="AR2188" s="1" t="s">
        <v>15549</v>
      </c>
    </row>
    <row r="2189">
      <c r="A2189" s="2">
        <f ca="1">DATE(2007,04,24)</f>
        <v>0</v>
      </c>
      <c r="B2189" s="2">
        <f ca="1">DATE(2007,08,02)</f>
        <v>0</v>
      </c>
      <c r="C2189" s="1" t="s">
        <v>15550</v>
      </c>
      <c r="D2189" s="3">
        <v>1311</v>
      </c>
      <c r="E2189" s="1" t="s">
        <v>43</v>
      </c>
      <c r="F2189" s="1" t="s">
        <v>15551</v>
      </c>
      <c r="G2189" s="1" t="s">
        <v>8151</v>
      </c>
      <c r="H2189" s="4">
        <v>0.71899999999999997</v>
      </c>
      <c r="I2189" s="4">
        <v>6.25</v>
      </c>
      <c r="J2189" s="5">
        <v>240.19999999999999</v>
      </c>
      <c r="K2189" s="4">
        <v>11.5</v>
      </c>
      <c r="L2189" s="1" t="s">
        <v>46</v>
      </c>
      <c r="M2189" s="1" t="s">
        <v>47</v>
      </c>
      <c r="N2189" s="1" t="s">
        <v>15552</v>
      </c>
      <c r="O2189" s="1" t="s">
        <v>108</v>
      </c>
      <c r="P2189" s="1" t="s">
        <v>15553</v>
      </c>
      <c r="Q2189" s="1" t="s">
        <v>145</v>
      </c>
      <c r="R2189" s="1" t="s">
        <v>145</v>
      </c>
      <c r="S2189" s="6">
        <v>3.7565200000000001</v>
      </c>
      <c r="T2189" s="1" t="s">
        <v>50</v>
      </c>
      <c r="U2189" s="1"/>
      <c r="V2189" s="1"/>
      <c r="W2189" s="1"/>
      <c r="X2189" s="5">
        <v>535</v>
      </c>
      <c r="Y2189" s="7">
        <v>13332851</v>
      </c>
      <c r="Z2189" s="7">
        <v>7554256</v>
      </c>
      <c r="AA2189" s="1" t="s">
        <v>15554</v>
      </c>
      <c r="AB2189" s="1" t="s">
        <v>5265</v>
      </c>
      <c r="AC2189" s="1" t="s">
        <v>7759</v>
      </c>
      <c r="AD2189" s="1" t="s">
        <v>5265</v>
      </c>
      <c r="AE2189" s="1" t="s">
        <v>51</v>
      </c>
      <c r="AF2189" s="1" t="s">
        <v>51</v>
      </c>
      <c r="AG2189" s="1" t="s">
        <v>51</v>
      </c>
      <c r="AH2189" s="1"/>
      <c r="AI2189" s="1"/>
      <c r="AJ2189" s="3">
        <v>2</v>
      </c>
      <c r="AK2189" s="1" t="s">
        <v>110</v>
      </c>
      <c r="AL2189" s="3">
        <v>7</v>
      </c>
      <c r="AM2189" s="8">
        <v>11.609999999999999</v>
      </c>
      <c r="AN2189" s="1"/>
      <c r="AO2189" s="1" t="s">
        <v>15555</v>
      </c>
      <c r="AP2189" s="1" t="s">
        <v>15556</v>
      </c>
      <c r="AQ2189" s="1" t="s">
        <v>15557</v>
      </c>
      <c r="AR2189" s="1" t="s">
        <v>15558</v>
      </c>
    </row>
    <row r="2190">
      <c r="A2190" s="2">
        <f ca="1">DATE(2006,06,19)</f>
        <v>0</v>
      </c>
      <c r="B2190" s="2">
        <f ca="1">DATE(2007,08,02)</f>
        <v>0</v>
      </c>
      <c r="C2190" s="1" t="s">
        <v>15559</v>
      </c>
      <c r="D2190" s="3">
        <v>2834</v>
      </c>
      <c r="E2190" s="1" t="s">
        <v>43</v>
      </c>
      <c r="F2190" s="1" t="s">
        <v>15560</v>
      </c>
      <c r="G2190" s="1" t="s">
        <v>15561</v>
      </c>
      <c r="H2190" s="4">
        <v>0.80500000000000005</v>
      </c>
      <c r="I2190" s="4">
        <v>7</v>
      </c>
      <c r="J2190" s="5">
        <v>43.100000000000001</v>
      </c>
      <c r="K2190" s="4">
        <v>11.5</v>
      </c>
      <c r="L2190" s="1" t="s">
        <v>5129</v>
      </c>
      <c r="M2190" s="1" t="s">
        <v>47</v>
      </c>
      <c r="N2190" s="3">
        <v>864909106</v>
      </c>
      <c r="O2190" s="1" t="s">
        <v>48</v>
      </c>
      <c r="P2190" s="1" t="s">
        <v>15562</v>
      </c>
      <c r="Q2190" s="1" t="s">
        <v>145</v>
      </c>
      <c r="R2190" s="1" t="s">
        <v>145</v>
      </c>
      <c r="S2190" s="6">
        <v>4.0869600000000004</v>
      </c>
      <c r="T2190" s="1" t="s">
        <v>50</v>
      </c>
      <c r="U2190" s="1"/>
      <c r="V2190" s="1"/>
      <c r="W2190" s="1"/>
      <c r="X2190" s="5">
        <v>86.299999999999997</v>
      </c>
      <c r="Y2190" s="7">
        <v>3125000</v>
      </c>
      <c r="Z2190" s="7">
        <v>625000</v>
      </c>
      <c r="AA2190" s="1" t="s">
        <v>15554</v>
      </c>
      <c r="AB2190" s="1" t="s">
        <v>5265</v>
      </c>
      <c r="AC2190" s="1" t="s">
        <v>7759</v>
      </c>
      <c r="AD2190" s="1" t="s">
        <v>5265</v>
      </c>
      <c r="AE2190" s="1" t="s">
        <v>51</v>
      </c>
      <c r="AF2190" s="1" t="s">
        <v>51</v>
      </c>
      <c r="AG2190" s="1" t="s">
        <v>47</v>
      </c>
      <c r="AH2190" s="1"/>
      <c r="AI2190" s="1"/>
      <c r="AJ2190" s="3">
        <v>1</v>
      </c>
      <c r="AK2190" s="1" t="s">
        <v>52</v>
      </c>
      <c r="AL2190" s="3">
        <v>3</v>
      </c>
      <c r="AM2190" s="8">
        <v>11.99</v>
      </c>
      <c r="AN2190" s="1"/>
      <c r="AO2190" s="1" t="s">
        <v>15563</v>
      </c>
      <c r="AP2190" s="1" t="s">
        <v>15561</v>
      </c>
      <c r="AQ2190" s="1" t="s">
        <v>15564</v>
      </c>
      <c r="AR2190" s="1" t="s">
        <v>15565</v>
      </c>
    </row>
    <row r="2191">
      <c r="A2191" s="2">
        <f ca="1">DATE(2007,04,06)</f>
        <v>0</v>
      </c>
      <c r="B2191" s="2">
        <f ca="1">DATE(2007,08,02)</f>
        <v>0</v>
      </c>
      <c r="C2191" s="1" t="s">
        <v>15566</v>
      </c>
      <c r="D2191" s="3">
        <v>7371</v>
      </c>
      <c r="E2191" s="1" t="s">
        <v>43</v>
      </c>
      <c r="F2191" s="1" t="s">
        <v>15567</v>
      </c>
      <c r="G2191" s="1" t="s">
        <v>400</v>
      </c>
      <c r="H2191" s="4">
        <v>0.97999999999999998</v>
      </c>
      <c r="I2191" s="8">
        <v>7</v>
      </c>
      <c r="J2191" s="5">
        <v>61.600000000000001</v>
      </c>
      <c r="K2191" s="4">
        <v>14</v>
      </c>
      <c r="L2191" s="1" t="s">
        <v>46</v>
      </c>
      <c r="M2191" s="1" t="s">
        <v>47</v>
      </c>
      <c r="N2191" s="1" t="s">
        <v>15568</v>
      </c>
      <c r="O2191" s="1" t="s">
        <v>48</v>
      </c>
      <c r="P2191" s="1" t="s">
        <v>15569</v>
      </c>
      <c r="Q2191" s="1" t="s">
        <v>145</v>
      </c>
      <c r="R2191" s="1" t="s">
        <v>145</v>
      </c>
      <c r="S2191" s="8">
        <v>4.2000000000000002</v>
      </c>
      <c r="T2191" s="1" t="s">
        <v>50</v>
      </c>
      <c r="U2191" s="1"/>
      <c r="V2191" s="1"/>
      <c r="W2191" s="1"/>
      <c r="X2191" s="5">
        <v>92</v>
      </c>
      <c r="Y2191" s="7">
        <v>4400000</v>
      </c>
      <c r="Z2191" s="1"/>
      <c r="AA2191" s="1" t="s">
        <v>15554</v>
      </c>
      <c r="AB2191" s="1" t="s">
        <v>5265</v>
      </c>
      <c r="AC2191" s="1" t="s">
        <v>7759</v>
      </c>
      <c r="AD2191" s="1" t="s">
        <v>5265</v>
      </c>
      <c r="AE2191" s="1" t="s">
        <v>51</v>
      </c>
      <c r="AF2191" s="1" t="s">
        <v>51</v>
      </c>
      <c r="AG2191" s="1" t="s">
        <v>47</v>
      </c>
      <c r="AH2191" s="1"/>
      <c r="AI2191" s="1"/>
      <c r="AJ2191" s="3">
        <v>1</v>
      </c>
      <c r="AK2191" s="1" t="s">
        <v>52</v>
      </c>
      <c r="AL2191" s="3">
        <v>4</v>
      </c>
      <c r="AM2191" s="8">
        <v>11.859999999999999</v>
      </c>
      <c r="AN2191" s="1"/>
      <c r="AO2191" s="1" t="s">
        <v>15570</v>
      </c>
      <c r="AP2191" s="1" t="s">
        <v>400</v>
      </c>
      <c r="AQ2191" s="1" t="s">
        <v>15571</v>
      </c>
      <c r="AR2191" s="1" t="s">
        <v>15572</v>
      </c>
    </row>
    <row r="2192">
      <c r="A2192" s="2">
        <f ca="1">DATE(2007,02,12)</f>
        <v>0</v>
      </c>
      <c r="B2192" s="2">
        <f ca="1">DATE(2007,08,06)</f>
        <v>0</v>
      </c>
      <c r="C2192" s="1" t="s">
        <v>15573</v>
      </c>
      <c r="D2192" s="3">
        <v>4922</v>
      </c>
      <c r="E2192" s="1" t="s">
        <v>43</v>
      </c>
      <c r="F2192" s="1" t="s">
        <v>15574</v>
      </c>
      <c r="G2192" s="1" t="s">
        <v>15575</v>
      </c>
      <c r="H2192" s="4">
        <v>1.365</v>
      </c>
      <c r="I2192" s="4">
        <v>6.5</v>
      </c>
      <c r="J2192" s="5">
        <v>105</v>
      </c>
      <c r="K2192" s="4">
        <v>21</v>
      </c>
      <c r="L2192" s="1" t="s">
        <v>46</v>
      </c>
      <c r="M2192" s="1" t="s">
        <v>47</v>
      </c>
      <c r="N2192" s="1" t="s">
        <v>15576</v>
      </c>
      <c r="O2192" s="1" t="s">
        <v>108</v>
      </c>
      <c r="P2192" s="1" t="s">
        <v>15577</v>
      </c>
      <c r="Q2192" s="4">
        <v>1.357</v>
      </c>
      <c r="R2192" s="4">
        <v>1.333</v>
      </c>
      <c r="S2192" s="6">
        <v>3.80952</v>
      </c>
      <c r="T2192" s="1" t="s">
        <v>50</v>
      </c>
      <c r="U2192" s="1"/>
      <c r="V2192" s="1"/>
      <c r="W2192" s="7">
        <v>3375000</v>
      </c>
      <c r="X2192" s="5">
        <v>81.5</v>
      </c>
      <c r="Y2192" s="7">
        <v>5000000</v>
      </c>
      <c r="Z2192" s="1"/>
      <c r="AA2192" s="1" t="s">
        <v>15578</v>
      </c>
      <c r="AB2192" s="1" t="s">
        <v>2067</v>
      </c>
      <c r="AC2192" s="1" t="s">
        <v>2068</v>
      </c>
      <c r="AD2192" s="1" t="s">
        <v>2067</v>
      </c>
      <c r="AE2192" s="1" t="s">
        <v>51</v>
      </c>
      <c r="AF2192" s="1" t="s">
        <v>51</v>
      </c>
      <c r="AG2192" s="1" t="s">
        <v>51</v>
      </c>
      <c r="AH2192" s="1"/>
      <c r="AI2192" s="1"/>
      <c r="AJ2192" s="3">
        <v>2</v>
      </c>
      <c r="AK2192" s="1" t="s">
        <v>89</v>
      </c>
      <c r="AL2192" s="3">
        <v>5</v>
      </c>
      <c r="AM2192" s="8">
        <v>21.989999999999998</v>
      </c>
      <c r="AN2192" s="1"/>
      <c r="AO2192" s="1" t="s">
        <v>15579</v>
      </c>
      <c r="AP2192" s="1" t="s">
        <v>15580</v>
      </c>
      <c r="AQ2192" s="1" t="s">
        <v>15581</v>
      </c>
      <c r="AR2192" s="1" t="s">
        <v>15582</v>
      </c>
    </row>
    <row r="2193">
      <c r="A2193" s="2">
        <f ca="1">DATE(2007,07,10)</f>
        <v>0</v>
      </c>
      <c r="B2193" s="2">
        <f ca="1">DATE(2007,08,07)</f>
        <v>0</v>
      </c>
      <c r="C2193" s="1" t="s">
        <v>15583</v>
      </c>
      <c r="D2193" s="3">
        <v>6531</v>
      </c>
      <c r="E2193" s="1" t="s">
        <v>744</v>
      </c>
      <c r="F2193" s="1" t="s">
        <v>15584</v>
      </c>
      <c r="G2193" s="1" t="s">
        <v>15210</v>
      </c>
      <c r="H2193" s="4">
        <v>0.96599999999999997</v>
      </c>
      <c r="I2193" s="8">
        <v>7</v>
      </c>
      <c r="J2193" s="5">
        <v>201.5</v>
      </c>
      <c r="K2193" s="4">
        <v>13.800000000000001</v>
      </c>
      <c r="L2193" s="1" t="s">
        <v>651</v>
      </c>
      <c r="M2193" s="1" t="s">
        <v>47</v>
      </c>
      <c r="N2193" s="1" t="s">
        <v>15585</v>
      </c>
      <c r="O2193" s="1" t="s">
        <v>108</v>
      </c>
      <c r="P2193" s="1" t="s">
        <v>15586</v>
      </c>
      <c r="Q2193" s="1" t="s">
        <v>145</v>
      </c>
      <c r="R2193" s="1" t="s">
        <v>145</v>
      </c>
      <c r="S2193" s="8">
        <v>4.2000000000000002</v>
      </c>
      <c r="T2193" s="1" t="s">
        <v>50</v>
      </c>
      <c r="U2193" s="1"/>
      <c r="V2193" s="1"/>
      <c r="W2193" s="1"/>
      <c r="X2193" s="5">
        <v>150</v>
      </c>
      <c r="Y2193" s="7">
        <v>11450000</v>
      </c>
      <c r="Z2193" s="7">
        <v>3150000</v>
      </c>
      <c r="AA2193" s="1" t="s">
        <v>15587</v>
      </c>
      <c r="AB2193" s="1" t="s">
        <v>5265</v>
      </c>
      <c r="AC2193" s="1" t="s">
        <v>7759</v>
      </c>
      <c r="AD2193" s="1" t="s">
        <v>5265</v>
      </c>
      <c r="AE2193" s="1" t="s">
        <v>47</v>
      </c>
      <c r="AF2193" s="1" t="s">
        <v>51</v>
      </c>
      <c r="AG2193" s="1" t="s">
        <v>47</v>
      </c>
      <c r="AH2193" s="1"/>
      <c r="AI2193" s="1"/>
      <c r="AJ2193" s="3">
        <v>2</v>
      </c>
      <c r="AK2193" s="1" t="s">
        <v>89</v>
      </c>
      <c r="AL2193" s="3">
        <v>4</v>
      </c>
      <c r="AM2193" s="8">
        <v>19.43</v>
      </c>
      <c r="AN2193" s="1"/>
      <c r="AO2193" s="1" t="s">
        <v>15588</v>
      </c>
      <c r="AP2193" s="1" t="s">
        <v>15214</v>
      </c>
      <c r="AQ2193" s="1" t="s">
        <v>15589</v>
      </c>
      <c r="AR2193" s="1" t="s">
        <v>15590</v>
      </c>
    </row>
    <row r="2194">
      <c r="A2194" s="2">
        <f ca="1">DATE(2007,02,12)</f>
        <v>0</v>
      </c>
      <c r="B2194" s="2">
        <f ca="1">DATE(2007,08,07)</f>
        <v>0</v>
      </c>
      <c r="C2194" s="1" t="s">
        <v>15591</v>
      </c>
      <c r="D2194" s="3">
        <v>7381</v>
      </c>
      <c r="E2194" s="1" t="s">
        <v>43</v>
      </c>
      <c r="F2194" s="1" t="s">
        <v>15592</v>
      </c>
      <c r="G2194" s="1" t="s">
        <v>12096</v>
      </c>
      <c r="H2194" s="4">
        <v>1.05</v>
      </c>
      <c r="I2194" s="4">
        <v>7</v>
      </c>
      <c r="J2194" s="5">
        <v>65.599999999999994</v>
      </c>
      <c r="K2194" s="4">
        <v>15</v>
      </c>
      <c r="L2194" s="1" t="s">
        <v>46</v>
      </c>
      <c r="M2194" s="1" t="s">
        <v>47</v>
      </c>
      <c r="N2194" s="3">
        <v>433538105</v>
      </c>
      <c r="O2194" s="1" t="s">
        <v>48</v>
      </c>
      <c r="P2194" s="1" t="s">
        <v>15593</v>
      </c>
      <c r="Q2194" s="1" t="s">
        <v>145</v>
      </c>
      <c r="R2194" s="1" t="s">
        <v>145</v>
      </c>
      <c r="S2194" s="8">
        <v>4.2000000000000002</v>
      </c>
      <c r="T2194" s="1" t="s">
        <v>50</v>
      </c>
      <c r="U2194" s="1"/>
      <c r="V2194" s="1"/>
      <c r="W2194" s="1"/>
      <c r="X2194" s="5">
        <v>86.299999999999997</v>
      </c>
      <c r="Y2194" s="7">
        <v>2954115</v>
      </c>
      <c r="Z2194" s="7">
        <v>1420885</v>
      </c>
      <c r="AA2194" s="1" t="s">
        <v>15587</v>
      </c>
      <c r="AB2194" s="1" t="s">
        <v>5265</v>
      </c>
      <c r="AC2194" s="1" t="s">
        <v>7759</v>
      </c>
      <c r="AD2194" s="1" t="s">
        <v>5265</v>
      </c>
      <c r="AE2194" s="1" t="s">
        <v>51</v>
      </c>
      <c r="AF2194" s="1" t="s">
        <v>51</v>
      </c>
      <c r="AG2194" s="1" t="s">
        <v>47</v>
      </c>
      <c r="AH2194" s="1"/>
      <c r="AI2194" s="1"/>
      <c r="AJ2194" s="3">
        <v>1</v>
      </c>
      <c r="AK2194" s="1" t="s">
        <v>52</v>
      </c>
      <c r="AL2194" s="3">
        <v>5</v>
      </c>
      <c r="AM2194" s="8">
        <v>14.07</v>
      </c>
      <c r="AN2194" s="1"/>
      <c r="AO2194" s="1" t="s">
        <v>15594</v>
      </c>
      <c r="AP2194" s="1" t="s">
        <v>12096</v>
      </c>
      <c r="AQ2194" s="1" t="s">
        <v>15595</v>
      </c>
      <c r="AR2194" s="1" t="s">
        <v>15593</v>
      </c>
    </row>
    <row r="2195">
      <c r="A2195" s="2">
        <f ca="1">DATE(2007,04,17)</f>
        <v>0</v>
      </c>
      <c r="B2195" s="2">
        <f ca="1">DATE(2007,08,07)</f>
        <v>0</v>
      </c>
      <c r="C2195" s="1" t="s">
        <v>15596</v>
      </c>
      <c r="D2195" s="3">
        <v>3845</v>
      </c>
      <c r="E2195" s="1" t="s">
        <v>43</v>
      </c>
      <c r="F2195" s="1" t="s">
        <v>15597</v>
      </c>
      <c r="G2195" s="1" t="s">
        <v>15598</v>
      </c>
      <c r="H2195" s="4">
        <v>1.19</v>
      </c>
      <c r="I2195" s="8">
        <v>7</v>
      </c>
      <c r="J2195" s="5">
        <v>202.59999999999999</v>
      </c>
      <c r="K2195" s="4">
        <v>17</v>
      </c>
      <c r="L2195" s="1" t="s">
        <v>46</v>
      </c>
      <c r="M2195" s="1" t="s">
        <v>47</v>
      </c>
      <c r="N2195" s="3">
        <v>574795100</v>
      </c>
      <c r="O2195" s="1" t="s">
        <v>48</v>
      </c>
      <c r="P2195" s="1" t="s">
        <v>15599</v>
      </c>
      <c r="Q2195" s="1" t="s">
        <v>145</v>
      </c>
      <c r="R2195" s="1" t="s">
        <v>145</v>
      </c>
      <c r="S2195" s="8">
        <v>4.2000000000000002</v>
      </c>
      <c r="T2195" s="1" t="s">
        <v>50</v>
      </c>
      <c r="U2195" s="1"/>
      <c r="V2195" s="1"/>
      <c r="W2195" s="1"/>
      <c r="X2195" s="5">
        <v>150</v>
      </c>
      <c r="Y2195" s="7">
        <v>1500000</v>
      </c>
      <c r="Z2195" s="7">
        <v>10416626</v>
      </c>
      <c r="AA2195" s="1" t="s">
        <v>15587</v>
      </c>
      <c r="AB2195" s="1" t="s">
        <v>5265</v>
      </c>
      <c r="AC2195" s="1" t="s">
        <v>7759</v>
      </c>
      <c r="AD2195" s="1" t="s">
        <v>5265</v>
      </c>
      <c r="AE2195" s="1" t="s">
        <v>51</v>
      </c>
      <c r="AF2195" s="1" t="s">
        <v>51</v>
      </c>
      <c r="AG2195" s="1" t="s">
        <v>47</v>
      </c>
      <c r="AH2195" s="1"/>
      <c r="AI2195" s="1"/>
      <c r="AJ2195" s="3">
        <v>3</v>
      </c>
      <c r="AK2195" s="1" t="s">
        <v>110</v>
      </c>
      <c r="AL2195" s="3">
        <v>5</v>
      </c>
      <c r="AM2195" s="8">
        <v>1.5</v>
      </c>
      <c r="AN2195" s="1"/>
      <c r="AO2195" s="1" t="s">
        <v>15600</v>
      </c>
      <c r="AP2195" s="1" t="s">
        <v>15601</v>
      </c>
      <c r="AQ2195" s="1" t="s">
        <v>15602</v>
      </c>
      <c r="AR2195" s="1" t="s">
        <v>15603</v>
      </c>
    </row>
    <row r="2196">
      <c r="A2196" s="2">
        <f ca="1">DATE(2007,05,24)</f>
        <v>0</v>
      </c>
      <c r="B2196" s="2">
        <f ca="1">DATE(2007,08,08)</f>
        <v>0</v>
      </c>
      <c r="C2196" s="1" t="s">
        <v>15604</v>
      </c>
      <c r="D2196" s="3">
        <v>7372</v>
      </c>
      <c r="E2196" s="1" t="s">
        <v>43</v>
      </c>
      <c r="F2196" s="1" t="s">
        <v>15605</v>
      </c>
      <c r="G2196" s="1" t="s">
        <v>13389</v>
      </c>
      <c r="H2196" s="4">
        <v>0.77000000000000002</v>
      </c>
      <c r="I2196" s="4">
        <v>7</v>
      </c>
      <c r="J2196" s="5">
        <v>66</v>
      </c>
      <c r="K2196" s="4">
        <v>11</v>
      </c>
      <c r="L2196" s="1" t="s">
        <v>46</v>
      </c>
      <c r="M2196" s="1" t="s">
        <v>47</v>
      </c>
      <c r="N2196" s="1" t="s">
        <v>15606</v>
      </c>
      <c r="O2196" s="1" t="s">
        <v>48</v>
      </c>
      <c r="P2196" s="1" t="s">
        <v>15607</v>
      </c>
      <c r="Q2196" s="4">
        <v>1.3999999999999999</v>
      </c>
      <c r="R2196" s="4">
        <v>1.3999999999999999</v>
      </c>
      <c r="S2196" s="8">
        <v>4.2000000000000002</v>
      </c>
      <c r="T2196" s="1" t="s">
        <v>50</v>
      </c>
      <c r="U2196" s="1"/>
      <c r="V2196" s="1"/>
      <c r="W2196" s="1"/>
      <c r="X2196" s="5">
        <v>86.299999999999997</v>
      </c>
      <c r="Y2196" s="7">
        <v>6000000</v>
      </c>
      <c r="Z2196" s="1"/>
      <c r="AA2196" s="1" t="s">
        <v>15608</v>
      </c>
      <c r="AB2196" s="1" t="s">
        <v>5265</v>
      </c>
      <c r="AC2196" s="1" t="s">
        <v>7759</v>
      </c>
      <c r="AD2196" s="1" t="s">
        <v>5265</v>
      </c>
      <c r="AE2196" s="1" t="s">
        <v>51</v>
      </c>
      <c r="AF2196" s="1" t="s">
        <v>51</v>
      </c>
      <c r="AG2196" s="1" t="s">
        <v>47</v>
      </c>
      <c r="AH2196" s="1"/>
      <c r="AI2196" s="1"/>
      <c r="AJ2196" s="3">
        <v>2</v>
      </c>
      <c r="AK2196" s="1" t="s">
        <v>89</v>
      </c>
      <c r="AL2196" s="3">
        <v>6</v>
      </c>
      <c r="AM2196" s="8">
        <v>9.8399999999999999</v>
      </c>
      <c r="AN2196" s="1"/>
      <c r="AO2196" s="1" t="s">
        <v>15609</v>
      </c>
      <c r="AP2196" s="1" t="s">
        <v>12249</v>
      </c>
      <c r="AQ2196" s="1" t="s">
        <v>15610</v>
      </c>
      <c r="AR2196" s="1" t="s">
        <v>15607</v>
      </c>
    </row>
    <row r="2197">
      <c r="A2197" s="2">
        <f ca="1">DATE(2007,07,24)</f>
        <v>0</v>
      </c>
      <c r="B2197" s="2">
        <f ca="1">DATE(2007,08,08)</f>
        <v>0</v>
      </c>
      <c r="C2197" s="1" t="s">
        <v>15611</v>
      </c>
      <c r="D2197" s="3">
        <v>2834</v>
      </c>
      <c r="E2197" s="1" t="s">
        <v>744</v>
      </c>
      <c r="F2197" s="1" t="s">
        <v>15612</v>
      </c>
      <c r="G2197" s="1" t="s">
        <v>14219</v>
      </c>
      <c r="H2197" s="4">
        <v>0.97999999999999998</v>
      </c>
      <c r="I2197" s="8">
        <v>7</v>
      </c>
      <c r="J2197" s="5">
        <v>184.59999999999999</v>
      </c>
      <c r="K2197" s="4">
        <v>14</v>
      </c>
      <c r="L2197" s="1" t="s">
        <v>651</v>
      </c>
      <c r="M2197" s="1" t="s">
        <v>47</v>
      </c>
      <c r="N2197" s="3">
        <v>929352102</v>
      </c>
      <c r="O2197" s="1" t="s">
        <v>108</v>
      </c>
      <c r="P2197" s="1" t="s">
        <v>15613</v>
      </c>
      <c r="Q2197" s="1" t="s">
        <v>145</v>
      </c>
      <c r="R2197" s="1" t="s">
        <v>145</v>
      </c>
      <c r="S2197" s="8">
        <v>4.2000000000000002</v>
      </c>
      <c r="T2197" s="1" t="s">
        <v>50</v>
      </c>
      <c r="U2197" s="8">
        <v>13</v>
      </c>
      <c r="V2197" s="8">
        <v>11</v>
      </c>
      <c r="W2197" s="7">
        <v>13188979</v>
      </c>
      <c r="X2197" s="5">
        <v>158.30000000000001</v>
      </c>
      <c r="Y2197" s="7">
        <v>10000000</v>
      </c>
      <c r="Z2197" s="7">
        <v>3188979</v>
      </c>
      <c r="AA2197" s="1" t="s">
        <v>15608</v>
      </c>
      <c r="AB2197" s="1" t="s">
        <v>5265</v>
      </c>
      <c r="AC2197" s="1" t="s">
        <v>7759</v>
      </c>
      <c r="AD2197" s="1" t="s">
        <v>5265</v>
      </c>
      <c r="AE2197" s="1" t="s">
        <v>47</v>
      </c>
      <c r="AF2197" s="1" t="s">
        <v>51</v>
      </c>
      <c r="AG2197" s="1" t="s">
        <v>51</v>
      </c>
      <c r="AH2197" s="1"/>
      <c r="AI2197" s="1"/>
      <c r="AJ2197" s="3">
        <v>2</v>
      </c>
      <c r="AK2197" s="1" t="s">
        <v>89</v>
      </c>
      <c r="AL2197" s="3">
        <v>3</v>
      </c>
      <c r="AM2197" s="8">
        <v>19.600000000000001</v>
      </c>
      <c r="AN2197" s="1"/>
      <c r="AO2197" s="1" t="s">
        <v>15614</v>
      </c>
      <c r="AP2197" s="1" t="s">
        <v>14223</v>
      </c>
      <c r="AQ2197" s="1" t="s">
        <v>15615</v>
      </c>
      <c r="AR2197" s="1" t="s">
        <v>15616</v>
      </c>
    </row>
    <row r="2198">
      <c r="A2198" s="2">
        <f ca="1">DATE(2007,04,13)</f>
        <v>0</v>
      </c>
      <c r="B2198" s="2">
        <f ca="1">DATE(2007,08,09)</f>
        <v>0</v>
      </c>
      <c r="C2198" s="1" t="s">
        <v>15617</v>
      </c>
      <c r="D2198" s="3">
        <v>3341</v>
      </c>
      <c r="E2198" s="1" t="s">
        <v>43</v>
      </c>
      <c r="F2198" s="1" t="s">
        <v>15618</v>
      </c>
      <c r="G2198" s="1" t="s">
        <v>5983</v>
      </c>
      <c r="H2198" s="4">
        <v>1.26</v>
      </c>
      <c r="I2198" s="4">
        <v>7</v>
      </c>
      <c r="J2198" s="5">
        <v>87.599999999999994</v>
      </c>
      <c r="K2198" s="4">
        <v>18</v>
      </c>
      <c r="L2198" s="1" t="s">
        <v>46</v>
      </c>
      <c r="M2198" s="1" t="s">
        <v>47</v>
      </c>
      <c r="N2198" s="3">
        <v>440694305</v>
      </c>
      <c r="O2198" s="1" t="s">
        <v>48</v>
      </c>
      <c r="P2198" s="1" t="s">
        <v>15619</v>
      </c>
      <c r="Q2198" s="1" t="s">
        <v>145</v>
      </c>
      <c r="R2198" s="1" t="s">
        <v>145</v>
      </c>
      <c r="S2198" s="6">
        <v>4.2222200000000001</v>
      </c>
      <c r="T2198" s="1" t="s">
        <v>50</v>
      </c>
      <c r="U2198" s="1"/>
      <c r="V2198" s="1"/>
      <c r="W2198" s="1"/>
      <c r="X2198" s="5">
        <v>115</v>
      </c>
      <c r="Y2198" s="7">
        <v>4171235</v>
      </c>
      <c r="Z2198" s="7">
        <v>695765</v>
      </c>
      <c r="AA2198" s="1" t="s">
        <v>15620</v>
      </c>
      <c r="AB2198" s="1" t="s">
        <v>5265</v>
      </c>
      <c r="AC2198" s="1" t="s">
        <v>7759</v>
      </c>
      <c r="AD2198" s="1" t="s">
        <v>5265</v>
      </c>
      <c r="AE2198" s="1" t="s">
        <v>51</v>
      </c>
      <c r="AF2198" s="1" t="s">
        <v>51</v>
      </c>
      <c r="AG2198" s="1" t="s">
        <v>51</v>
      </c>
      <c r="AH2198" s="1"/>
      <c r="AI2198" s="1"/>
      <c r="AJ2198" s="3">
        <v>1</v>
      </c>
      <c r="AK2198" s="1" t="s">
        <v>52</v>
      </c>
      <c r="AL2198" s="3">
        <v>4</v>
      </c>
      <c r="AM2198" s="8">
        <v>18.600000000000001</v>
      </c>
      <c r="AN2198" s="1"/>
      <c r="AO2198" s="1" t="s">
        <v>15621</v>
      </c>
      <c r="AP2198" s="1" t="s">
        <v>5983</v>
      </c>
      <c r="AQ2198" s="1" t="s">
        <v>15622</v>
      </c>
      <c r="AR2198" s="1" t="s">
        <v>15623</v>
      </c>
    </row>
    <row r="2199">
      <c r="A2199" s="2">
        <f ca="1">DATE(2007,05,11)</f>
        <v>0</v>
      </c>
      <c r="B2199" s="2">
        <f ca="1">DATE(2007,08,09)</f>
        <v>0</v>
      </c>
      <c r="C2199" s="1" t="s">
        <v>15624</v>
      </c>
      <c r="D2199" s="3">
        <v>7389</v>
      </c>
      <c r="E2199" s="1" t="s">
        <v>210</v>
      </c>
      <c r="F2199" s="1" t="s">
        <v>15625</v>
      </c>
      <c r="G2199" s="1" t="s">
        <v>8103</v>
      </c>
      <c r="H2199" s="4">
        <v>0.81000000000000005</v>
      </c>
      <c r="I2199" s="4">
        <v>4.5</v>
      </c>
      <c r="J2199" s="5">
        <v>289.39999999999998</v>
      </c>
      <c r="K2199" s="4">
        <v>18</v>
      </c>
      <c r="L2199" s="1" t="s">
        <v>46</v>
      </c>
      <c r="M2199" s="1" t="s">
        <v>47</v>
      </c>
      <c r="N2199" s="1" t="s">
        <v>15626</v>
      </c>
      <c r="O2199" s="1" t="s">
        <v>48</v>
      </c>
      <c r="P2199" s="1" t="s">
        <v>15627</v>
      </c>
      <c r="Q2199" s="1" t="s">
        <v>145</v>
      </c>
      <c r="R2199" s="1" t="s">
        <v>145</v>
      </c>
      <c r="S2199" s="8">
        <v>2.3999999999999999</v>
      </c>
      <c r="T2199" s="1" t="s">
        <v>50</v>
      </c>
      <c r="U2199" s="1"/>
      <c r="V2199" s="1"/>
      <c r="W2199" s="1"/>
      <c r="X2199" s="5">
        <v>100</v>
      </c>
      <c r="Y2199" s="7">
        <v>2608696</v>
      </c>
      <c r="Z2199" s="7">
        <v>13468489</v>
      </c>
      <c r="AA2199" s="1" t="s">
        <v>15620</v>
      </c>
      <c r="AB2199" s="1" t="s">
        <v>5265</v>
      </c>
      <c r="AC2199" s="1" t="s">
        <v>7759</v>
      </c>
      <c r="AD2199" s="1" t="s">
        <v>5265</v>
      </c>
      <c r="AE2199" s="1" t="s">
        <v>51</v>
      </c>
      <c r="AF2199" s="1" t="s">
        <v>51</v>
      </c>
      <c r="AG2199" s="1" t="s">
        <v>47</v>
      </c>
      <c r="AH2199" s="1"/>
      <c r="AI2199" s="1"/>
      <c r="AJ2199" s="3">
        <v>2</v>
      </c>
      <c r="AK2199" s="1" t="s">
        <v>89</v>
      </c>
      <c r="AL2199" s="3">
        <v>4</v>
      </c>
      <c r="AM2199" s="8">
        <v>25.149999999999999</v>
      </c>
      <c r="AN2199" s="1"/>
      <c r="AO2199" s="1" t="s">
        <v>15628</v>
      </c>
      <c r="AP2199" s="1" t="s">
        <v>8107</v>
      </c>
      <c r="AQ2199" s="1" t="s">
        <v>15629</v>
      </c>
      <c r="AR2199" s="1" t="s">
        <v>15630</v>
      </c>
    </row>
    <row r="2200">
      <c r="A2200" s="2">
        <f ca="1">DATE(2007,07,18)</f>
        <v>0</v>
      </c>
      <c r="B2200" s="2">
        <f ca="1">DATE(2007,08,09)</f>
        <v>0</v>
      </c>
      <c r="C2200" s="1" t="s">
        <v>15631</v>
      </c>
      <c r="D2200" s="3">
        <v>4412</v>
      </c>
      <c r="E2200" s="1" t="s">
        <v>3764</v>
      </c>
      <c r="F2200" s="1" t="s">
        <v>15632</v>
      </c>
      <c r="G2200" s="1" t="s">
        <v>15305</v>
      </c>
      <c r="H2200" s="4">
        <v>1.04</v>
      </c>
      <c r="I2200" s="4">
        <v>6.5</v>
      </c>
      <c r="J2200" s="5">
        <v>164.80000000000001</v>
      </c>
      <c r="K2200" s="4">
        <v>16</v>
      </c>
      <c r="L2200" s="1" t="s">
        <v>5129</v>
      </c>
      <c r="M2200" s="1" t="s">
        <v>47</v>
      </c>
      <c r="N2200" s="1" t="s">
        <v>15633</v>
      </c>
      <c r="O2200" s="1" t="s">
        <v>48</v>
      </c>
      <c r="P2200" s="1" t="s">
        <v>15634</v>
      </c>
      <c r="Q2200" s="1" t="s">
        <v>145</v>
      </c>
      <c r="R2200" s="1" t="s">
        <v>145</v>
      </c>
      <c r="S2200" s="8">
        <v>3.75</v>
      </c>
      <c r="T2200" s="1" t="s">
        <v>50</v>
      </c>
      <c r="U2200" s="1"/>
      <c r="V2200" s="1"/>
      <c r="W2200" s="1"/>
      <c r="X2200" s="5">
        <v>201.30000000000001</v>
      </c>
      <c r="Y2200" s="7">
        <v>10300000</v>
      </c>
      <c r="Z2200" s="1"/>
      <c r="AA2200" s="1" t="s">
        <v>15620</v>
      </c>
      <c r="AB2200" s="1" t="s">
        <v>5265</v>
      </c>
      <c r="AC2200" s="1" t="s">
        <v>7759</v>
      </c>
      <c r="AD2200" s="1" t="s">
        <v>5265</v>
      </c>
      <c r="AE2200" s="1" t="s">
        <v>51</v>
      </c>
      <c r="AF2200" s="1" t="s">
        <v>51</v>
      </c>
      <c r="AG2200" s="1" t="s">
        <v>51</v>
      </c>
      <c r="AH2200" s="1"/>
      <c r="AI2200" s="1"/>
      <c r="AJ2200" s="3">
        <v>2</v>
      </c>
      <c r="AK2200" s="1" t="s">
        <v>89</v>
      </c>
      <c r="AL2200" s="3">
        <v>4</v>
      </c>
      <c r="AM2200" s="8">
        <v>14.550000000000001</v>
      </c>
      <c r="AN2200" s="1"/>
      <c r="AO2200" s="1" t="s">
        <v>15635</v>
      </c>
      <c r="AP2200" s="1" t="s">
        <v>13448</v>
      </c>
      <c r="AQ2200" s="1" t="s">
        <v>15636</v>
      </c>
      <c r="AR2200" s="1" t="s">
        <v>15634</v>
      </c>
    </row>
    <row r="2201">
      <c r="A2201" s="2">
        <f ca="1">DATE(2007,04,26)</f>
        <v>0</v>
      </c>
      <c r="B2201" s="2">
        <f ca="1">DATE(2007,08,13)</f>
        <v>0</v>
      </c>
      <c r="C2201" s="1" t="s">
        <v>15637</v>
      </c>
      <c r="D2201" s="3">
        <v>7372</v>
      </c>
      <c r="E2201" s="1" t="s">
        <v>43</v>
      </c>
      <c r="F2201" s="1" t="s">
        <v>15638</v>
      </c>
      <c r="G2201" s="1" t="s">
        <v>15639</v>
      </c>
      <c r="H2201" s="4">
        <v>1.595</v>
      </c>
      <c r="I2201" s="4">
        <v>5.5</v>
      </c>
      <c r="J2201" s="5">
        <v>957</v>
      </c>
      <c r="K2201" s="4">
        <v>29</v>
      </c>
      <c r="L2201" s="1" t="s">
        <v>152</v>
      </c>
      <c r="M2201" s="1" t="s">
        <v>47</v>
      </c>
      <c r="N2201" s="3">
        <v>928563402</v>
      </c>
      <c r="O2201" s="1" t="s">
        <v>108</v>
      </c>
      <c r="P2201" s="1" t="s">
        <v>15640</v>
      </c>
      <c r="Q2201" s="1" t="s">
        <v>145</v>
      </c>
      <c r="R2201" s="1" t="s">
        <v>145</v>
      </c>
      <c r="S2201" s="8">
        <v>0.87</v>
      </c>
      <c r="T2201" s="1" t="s">
        <v>50</v>
      </c>
      <c r="U2201" s="1"/>
      <c r="V2201" s="1"/>
      <c r="W2201" s="1"/>
      <c r="X2201" s="5">
        <v>100</v>
      </c>
      <c r="Y2201" s="7">
        <v>33000000</v>
      </c>
      <c r="Z2201" s="1"/>
      <c r="AA2201" s="1" t="s">
        <v>15641</v>
      </c>
      <c r="AB2201" s="1" t="s">
        <v>5265</v>
      </c>
      <c r="AC2201" s="1" t="s">
        <v>12911</v>
      </c>
      <c r="AD2201" s="1" t="s">
        <v>5265</v>
      </c>
      <c r="AE2201" s="1" t="s">
        <v>51</v>
      </c>
      <c r="AF2201" s="1" t="s">
        <v>51</v>
      </c>
      <c r="AG2201" s="1" t="s">
        <v>47</v>
      </c>
      <c r="AH2201" s="1" t="s">
        <v>15642</v>
      </c>
      <c r="AI2201" s="1" t="s">
        <v>15643</v>
      </c>
      <c r="AJ2201" s="3">
        <v>6</v>
      </c>
      <c r="AK2201" s="1" t="s">
        <v>10120</v>
      </c>
      <c r="AL2201" s="3">
        <v>12</v>
      </c>
      <c r="AM2201" s="8">
        <v>51</v>
      </c>
      <c r="AN2201" s="1"/>
      <c r="AO2201" s="1" t="s">
        <v>15644</v>
      </c>
      <c r="AP2201" s="1" t="s">
        <v>15645</v>
      </c>
      <c r="AQ2201" s="1" t="s">
        <v>15646</v>
      </c>
      <c r="AR2201" s="1" t="s">
        <v>15647</v>
      </c>
    </row>
    <row r="2202">
      <c r="A2202" s="2">
        <f ca="1">DATE(2007,06,25)</f>
        <v>0</v>
      </c>
      <c r="B2202" s="2">
        <f ca="1">DATE(2007,08,16)</f>
        <v>0</v>
      </c>
      <c r="C2202" s="1" t="s">
        <v>15648</v>
      </c>
      <c r="D2202" s="3">
        <v>2062</v>
      </c>
      <c r="E2202" s="1" t="s">
        <v>1445</v>
      </c>
      <c r="F2202" s="1" t="s">
        <v>15649</v>
      </c>
      <c r="G2202" s="1" t="s">
        <v>15650</v>
      </c>
      <c r="H2202" s="4">
        <v>0.34100000000000003</v>
      </c>
      <c r="I2202" s="4">
        <v>3.25</v>
      </c>
      <c r="J2202" s="9">
        <v>1050</v>
      </c>
      <c r="K2202" s="8">
        <v>10.5</v>
      </c>
      <c r="L2202" s="1" t="s">
        <v>152</v>
      </c>
      <c r="M2202" s="1" t="s">
        <v>47</v>
      </c>
      <c r="N2202" s="1" t="s">
        <v>15651</v>
      </c>
      <c r="O2202" s="1" t="s">
        <v>108</v>
      </c>
      <c r="P2202" s="1" t="s">
        <v>15652</v>
      </c>
      <c r="Q2202" s="1" t="s">
        <v>145</v>
      </c>
      <c r="R2202" s="1" t="s">
        <v>145</v>
      </c>
      <c r="S2202" s="6">
        <v>1.95238</v>
      </c>
      <c r="T2202" s="1" t="s">
        <v>60</v>
      </c>
      <c r="U2202" s="1"/>
      <c r="V2202" s="1"/>
      <c r="W2202" s="7">
        <v>100000000</v>
      </c>
      <c r="X2202" s="9">
        <v>2000</v>
      </c>
      <c r="Y2202" s="7">
        <v>100000000</v>
      </c>
      <c r="Z2202" s="1"/>
      <c r="AA2202" s="1"/>
      <c r="AB2202" s="1" t="s">
        <v>5265</v>
      </c>
      <c r="AC2202" s="1" t="s">
        <v>7759</v>
      </c>
      <c r="AD2202" s="1" t="s">
        <v>5265</v>
      </c>
      <c r="AE2202" s="1" t="s">
        <v>51</v>
      </c>
      <c r="AF2202" s="1" t="s">
        <v>51</v>
      </c>
      <c r="AG2202" s="1" t="s">
        <v>51</v>
      </c>
      <c r="AH2202" s="1"/>
      <c r="AI2202" s="1"/>
      <c r="AJ2202" s="3">
        <v>3</v>
      </c>
      <c r="AK2202" s="1" t="s">
        <v>110</v>
      </c>
      <c r="AL2202" s="3">
        <v>3</v>
      </c>
      <c r="AM2202" s="5">
        <v>10.5</v>
      </c>
      <c r="AN2202" s="5">
        <v>10.5</v>
      </c>
      <c r="AO2202" s="1" t="s">
        <v>15653</v>
      </c>
      <c r="AP2202" s="1" t="s">
        <v>15654</v>
      </c>
      <c r="AQ2202" s="1" t="s">
        <v>15655</v>
      </c>
      <c r="AR2202" s="1" t="s">
        <v>15652</v>
      </c>
    </row>
    <row r="2203">
      <c r="A2203" s="2">
        <f ca="1">DATE(2007,05,25)</f>
        <v>0</v>
      </c>
      <c r="B2203" s="2">
        <f ca="1">DATE(2007,08,27)</f>
        <v>0</v>
      </c>
      <c r="C2203" s="1" t="s">
        <v>15656</v>
      </c>
      <c r="D2203" s="3">
        <v>6726</v>
      </c>
      <c r="E2203" s="1" t="s">
        <v>43</v>
      </c>
      <c r="F2203" s="1" t="s">
        <v>15657</v>
      </c>
      <c r="G2203" s="1" t="s">
        <v>12582</v>
      </c>
      <c r="H2203" s="4">
        <v>0.90000000000000002</v>
      </c>
      <c r="I2203" s="4">
        <v>4.5</v>
      </c>
      <c r="J2203" s="5">
        <v>175</v>
      </c>
      <c r="K2203" s="4">
        <v>20</v>
      </c>
      <c r="L2203" s="1" t="s">
        <v>46</v>
      </c>
      <c r="M2203" s="1" t="s">
        <v>47</v>
      </c>
      <c r="N2203" s="3">
        <v>231631102</v>
      </c>
      <c r="O2203" s="1" t="s">
        <v>108</v>
      </c>
      <c r="P2203" s="1" t="s">
        <v>15658</v>
      </c>
      <c r="Q2203" s="1" t="s">
        <v>145</v>
      </c>
      <c r="R2203" s="1" t="s">
        <v>145</v>
      </c>
      <c r="S2203" s="1"/>
      <c r="T2203" s="1" t="s">
        <v>50</v>
      </c>
      <c r="U2203" s="8">
        <v>20</v>
      </c>
      <c r="V2203" s="8">
        <v>20</v>
      </c>
      <c r="W2203" s="7">
        <v>50000</v>
      </c>
      <c r="X2203" s="5">
        <v>1</v>
      </c>
      <c r="Y2203" s="7">
        <v>8750000</v>
      </c>
      <c r="Z2203" s="1"/>
      <c r="AA2203" s="1"/>
      <c r="AB2203" s="1"/>
      <c r="AC2203" s="1"/>
      <c r="AD2203" s="1"/>
      <c r="AE2203" s="1" t="s">
        <v>51</v>
      </c>
      <c r="AF2203" s="1" t="s">
        <v>51</v>
      </c>
      <c r="AG2203" s="1" t="s">
        <v>51</v>
      </c>
      <c r="AH2203" s="1"/>
      <c r="AI2203" s="1"/>
      <c r="AJ2203" s="3">
        <v>2</v>
      </c>
      <c r="AK2203" s="1" t="s">
        <v>89</v>
      </c>
      <c r="AL2203" s="3">
        <v>15</v>
      </c>
      <c r="AM2203" s="8">
        <v>19.449999999999999</v>
      </c>
      <c r="AN2203" s="1"/>
      <c r="AO2203" s="1" t="s">
        <v>15659</v>
      </c>
      <c r="AP2203" s="1" t="s">
        <v>10216</v>
      </c>
      <c r="AQ2203" s="1" t="s">
        <v>15660</v>
      </c>
      <c r="AR2203" s="1" t="s">
        <v>15661</v>
      </c>
    </row>
    <row r="2204">
      <c r="A2204" s="2">
        <f ca="1">DATE(2005,06,06)</f>
        <v>0</v>
      </c>
      <c r="B2204" s="2">
        <f ca="1">DATE(2007,09,04)</f>
        <v>0</v>
      </c>
      <c r="C2204" s="1" t="s">
        <v>15662</v>
      </c>
      <c r="D2204" s="3">
        <v>6726</v>
      </c>
      <c r="E2204" s="1" t="s">
        <v>43</v>
      </c>
      <c r="F2204" s="1" t="s">
        <v>15663</v>
      </c>
      <c r="G2204" s="1" t="s">
        <v>15664</v>
      </c>
      <c r="H2204" s="4">
        <v>0.64000000000000001</v>
      </c>
      <c r="I2204" s="4">
        <v>8</v>
      </c>
      <c r="J2204" s="5">
        <v>40</v>
      </c>
      <c r="K2204" s="4">
        <v>8</v>
      </c>
      <c r="L2204" s="1" t="s">
        <v>46</v>
      </c>
      <c r="M2204" s="1" t="s">
        <v>47</v>
      </c>
      <c r="N2204" s="3">
        <v>458396108</v>
      </c>
      <c r="O2204" s="1" t="s">
        <v>77</v>
      </c>
      <c r="P2204" s="1" t="s">
        <v>15665</v>
      </c>
      <c r="Q2204" s="1" t="s">
        <v>145</v>
      </c>
      <c r="R2204" s="1" t="s">
        <v>145</v>
      </c>
      <c r="S2204" s="8">
        <v>1.75</v>
      </c>
      <c r="T2204" s="1" t="s">
        <v>50</v>
      </c>
      <c r="U2204" s="8">
        <v>6</v>
      </c>
      <c r="V2204" s="8">
        <v>6</v>
      </c>
      <c r="W2204" s="7">
        <v>15000000</v>
      </c>
      <c r="X2204" s="5">
        <v>90</v>
      </c>
      <c r="Y2204" s="7">
        <v>5000000</v>
      </c>
      <c r="Z2204" s="1"/>
      <c r="AA2204" s="2">
        <f ca="1">DATE(2009,08,24)</f>
        <v>0</v>
      </c>
      <c r="AB2204" s="4">
        <v>20</v>
      </c>
      <c r="AC2204" s="3">
        <v>720</v>
      </c>
      <c r="AD2204" s="8">
        <v>1250000</v>
      </c>
      <c r="AE2204" s="1" t="s">
        <v>51</v>
      </c>
      <c r="AF2204" s="1" t="s">
        <v>51</v>
      </c>
      <c r="AG2204" s="1" t="s">
        <v>51</v>
      </c>
      <c r="AH2204" s="1"/>
      <c r="AI2204" s="1"/>
      <c r="AJ2204" s="3">
        <v>1</v>
      </c>
      <c r="AK2204" s="1" t="s">
        <v>52</v>
      </c>
      <c r="AL2204" s="3">
        <v>5</v>
      </c>
      <c r="AM2204" s="1"/>
      <c r="AN2204" s="1"/>
      <c r="AO2204" s="1" t="s">
        <v>15666</v>
      </c>
      <c r="AP2204" s="1" t="s">
        <v>15664</v>
      </c>
      <c r="AQ2204" s="1" t="s">
        <v>15667</v>
      </c>
      <c r="AR2204" s="1" t="s">
        <v>15668</v>
      </c>
    </row>
    <row r="2205">
      <c r="A2205" s="2">
        <f ca="1">DATE(2007,05,14)</f>
        <v>0</v>
      </c>
      <c r="B2205" s="2">
        <f ca="1">DATE(2007,09,10)</f>
        <v>0</v>
      </c>
      <c r="C2205" s="1" t="s">
        <v>15669</v>
      </c>
      <c r="D2205" s="3">
        <v>6726</v>
      </c>
      <c r="E2205" s="1" t="s">
        <v>43</v>
      </c>
      <c r="F2205" s="1" t="s">
        <v>15670</v>
      </c>
      <c r="G2205" s="1" t="s">
        <v>15671</v>
      </c>
      <c r="H2205" s="4">
        <v>0.029999999999999999</v>
      </c>
      <c r="I2205" s="4">
        <v>0.20000000000000001</v>
      </c>
      <c r="J2205" s="5">
        <v>121.5</v>
      </c>
      <c r="K2205" s="4">
        <v>15</v>
      </c>
      <c r="L2205" s="1" t="s">
        <v>4851</v>
      </c>
      <c r="M2205" s="1" t="s">
        <v>47</v>
      </c>
      <c r="N2205" s="1" t="s">
        <v>15672</v>
      </c>
      <c r="O2205" s="1" t="s">
        <v>87</v>
      </c>
      <c r="P2205" s="1" t="s">
        <v>15673</v>
      </c>
      <c r="Q2205" s="1" t="s">
        <v>145</v>
      </c>
      <c r="R2205" s="1" t="s">
        <v>145</v>
      </c>
      <c r="S2205" s="1"/>
      <c r="T2205" s="1" t="s">
        <v>50</v>
      </c>
      <c r="U2205" s="8">
        <v>15</v>
      </c>
      <c r="V2205" s="8">
        <v>15</v>
      </c>
      <c r="W2205" s="7">
        <v>50000</v>
      </c>
      <c r="X2205" s="5">
        <v>0.80000000000000004</v>
      </c>
      <c r="Y2205" s="7">
        <v>8100000</v>
      </c>
      <c r="Z2205" s="1"/>
      <c r="AA2205" s="1"/>
      <c r="AB2205" s="1"/>
      <c r="AC2205" s="1"/>
      <c r="AD2205" s="1"/>
      <c r="AE2205" s="1" t="s">
        <v>51</v>
      </c>
      <c r="AF2205" s="1" t="s">
        <v>51</v>
      </c>
      <c r="AG2205" s="1" t="s">
        <v>51</v>
      </c>
      <c r="AH2205" s="1"/>
      <c r="AI2205" s="1"/>
      <c r="AJ2205" s="3">
        <v>1</v>
      </c>
      <c r="AK2205" s="1" t="s">
        <v>52</v>
      </c>
      <c r="AL2205" s="3">
        <v>1</v>
      </c>
      <c r="AM2205" s="8">
        <v>16.25</v>
      </c>
      <c r="AN2205" s="1"/>
      <c r="AO2205" s="1" t="s">
        <v>15671</v>
      </c>
      <c r="AP2205" s="1" t="s">
        <v>15671</v>
      </c>
      <c r="AQ2205" s="1" t="s">
        <v>15671</v>
      </c>
      <c r="AR2205" s="1" t="s">
        <v>15673</v>
      </c>
    </row>
    <row r="2206">
      <c r="A2206" s="2">
        <f ca="1">DATE(2007,05,11)</f>
        <v>0</v>
      </c>
      <c r="B2206" s="2">
        <f ca="1">DATE(2007,09,11)</f>
        <v>0</v>
      </c>
      <c r="C2206" s="1" t="s">
        <v>15674</v>
      </c>
      <c r="D2206" s="3">
        <v>1311</v>
      </c>
      <c r="E2206" s="1" t="s">
        <v>43</v>
      </c>
      <c r="F2206" s="1" t="s">
        <v>15675</v>
      </c>
      <c r="G2206" s="1" t="s">
        <v>11841</v>
      </c>
      <c r="H2206" s="4">
        <v>1.391</v>
      </c>
      <c r="I2206" s="4">
        <v>6.625</v>
      </c>
      <c r="J2206" s="5">
        <v>189</v>
      </c>
      <c r="K2206" s="4">
        <v>21</v>
      </c>
      <c r="L2206" s="1" t="s">
        <v>85</v>
      </c>
      <c r="M2206" s="1" t="s">
        <v>47</v>
      </c>
      <c r="N2206" s="1" t="s">
        <v>15676</v>
      </c>
      <c r="O2206" s="1" t="s">
        <v>108</v>
      </c>
      <c r="P2206" s="1" t="s">
        <v>15677</v>
      </c>
      <c r="Q2206" s="1" t="s">
        <v>145</v>
      </c>
      <c r="R2206" s="1" t="s">
        <v>145</v>
      </c>
      <c r="S2206" s="8">
        <v>4</v>
      </c>
      <c r="T2206" s="1" t="s">
        <v>50</v>
      </c>
      <c r="U2206" s="1"/>
      <c r="V2206" s="1"/>
      <c r="W2206" s="7">
        <v>9000000</v>
      </c>
      <c r="X2206" s="5">
        <v>248.40000000000001</v>
      </c>
      <c r="Y2206" s="7">
        <v>9000000</v>
      </c>
      <c r="Z2206" s="1"/>
      <c r="AA2206" s="1" t="s">
        <v>15678</v>
      </c>
      <c r="AB2206" s="1" t="s">
        <v>5265</v>
      </c>
      <c r="AC2206" s="1" t="s">
        <v>7759</v>
      </c>
      <c r="AD2206" s="1" t="s">
        <v>5265</v>
      </c>
      <c r="AE2206" s="1" t="s">
        <v>51</v>
      </c>
      <c r="AF2206" s="1" t="s">
        <v>51</v>
      </c>
      <c r="AG2206" s="1" t="s">
        <v>51</v>
      </c>
      <c r="AH2206" s="1"/>
      <c r="AI2206" s="1"/>
      <c r="AJ2206" s="3">
        <v>2</v>
      </c>
      <c r="AK2206" s="1" t="s">
        <v>89</v>
      </c>
      <c r="AL2206" s="3">
        <v>6</v>
      </c>
      <c r="AM2206" s="8">
        <v>21.030000000000001</v>
      </c>
      <c r="AN2206" s="1"/>
      <c r="AO2206" s="1" t="s">
        <v>15679</v>
      </c>
      <c r="AP2206" s="1" t="s">
        <v>11845</v>
      </c>
      <c r="AQ2206" s="1" t="s">
        <v>15680</v>
      </c>
      <c r="AR2206" s="1" t="s">
        <v>15677</v>
      </c>
    </row>
    <row r="2207">
      <c r="A2207" s="2">
        <f ca="1">DATE(2007,06,22)</f>
        <v>0</v>
      </c>
      <c r="B2207" s="2">
        <f ca="1">DATE(2007,09,19)</f>
        <v>0</v>
      </c>
      <c r="C2207" s="1" t="s">
        <v>15681</v>
      </c>
      <c r="D2207" s="3">
        <v>7372</v>
      </c>
      <c r="E2207" s="1" t="s">
        <v>43</v>
      </c>
      <c r="F2207" s="1" t="s">
        <v>15682</v>
      </c>
      <c r="G2207" s="1" t="s">
        <v>6056</v>
      </c>
      <c r="H2207" s="4">
        <v>1.26</v>
      </c>
      <c r="I2207" s="4">
        <v>7</v>
      </c>
      <c r="J2207" s="5">
        <v>113.2</v>
      </c>
      <c r="K2207" s="4">
        <v>18</v>
      </c>
      <c r="L2207" s="1" t="s">
        <v>46</v>
      </c>
      <c r="M2207" s="1" t="s">
        <v>47</v>
      </c>
      <c r="N2207" s="1" t="s">
        <v>15683</v>
      </c>
      <c r="O2207" s="1" t="s">
        <v>48</v>
      </c>
      <c r="P2207" s="1" t="s">
        <v>15684</v>
      </c>
      <c r="Q2207" s="1" t="s">
        <v>145</v>
      </c>
      <c r="R2207" s="1" t="s">
        <v>145</v>
      </c>
      <c r="S2207" s="8">
        <v>4.2000000000000002</v>
      </c>
      <c r="T2207" s="1" t="s">
        <v>50</v>
      </c>
      <c r="U2207" s="1"/>
      <c r="V2207" s="1"/>
      <c r="W2207" s="1"/>
      <c r="X2207" s="5">
        <v>86.299999999999997</v>
      </c>
      <c r="Y2207" s="7">
        <v>5000000</v>
      </c>
      <c r="Z2207" s="7">
        <v>1286819</v>
      </c>
      <c r="AA2207" s="1" t="s">
        <v>15685</v>
      </c>
      <c r="AB2207" s="1" t="s">
        <v>15686</v>
      </c>
      <c r="AC2207" s="1" t="s">
        <v>7759</v>
      </c>
      <c r="AD2207" s="1" t="s">
        <v>15687</v>
      </c>
      <c r="AE2207" s="1" t="s">
        <v>51</v>
      </c>
      <c r="AF2207" s="1" t="s">
        <v>51</v>
      </c>
      <c r="AG2207" s="1" t="s">
        <v>47</v>
      </c>
      <c r="AH2207" s="1"/>
      <c r="AI2207" s="1"/>
      <c r="AJ2207" s="3">
        <v>2</v>
      </c>
      <c r="AK2207" s="1" t="s">
        <v>89</v>
      </c>
      <c r="AL2207" s="3">
        <v>4</v>
      </c>
      <c r="AM2207" s="8">
        <v>35.5</v>
      </c>
      <c r="AN2207" s="1"/>
      <c r="AO2207" s="1" t="s">
        <v>15688</v>
      </c>
      <c r="AP2207" s="1" t="s">
        <v>4884</v>
      </c>
      <c r="AQ2207" s="1" t="s">
        <v>15689</v>
      </c>
      <c r="AR2207" s="1" t="s">
        <v>15690</v>
      </c>
    </row>
    <row r="2208">
      <c r="A2208" s="2">
        <f ca="1">DATE(2007,06,15)</f>
        <v>0</v>
      </c>
      <c r="B2208" s="2">
        <f ca="1">DATE(2007,09,20)</f>
        <v>0</v>
      </c>
      <c r="C2208" s="1" t="s">
        <v>15691</v>
      </c>
      <c r="D2208" s="3">
        <v>6726</v>
      </c>
      <c r="E2208" s="1" t="s">
        <v>43</v>
      </c>
      <c r="F2208" s="1" t="s">
        <v>15692</v>
      </c>
      <c r="G2208" s="1" t="s">
        <v>4327</v>
      </c>
      <c r="H2208" s="4">
        <v>0.90000000000000002</v>
      </c>
      <c r="I2208" s="4">
        <v>4.5</v>
      </c>
      <c r="J2208" s="5">
        <v>128</v>
      </c>
      <c r="K2208" s="4">
        <v>20</v>
      </c>
      <c r="L2208" s="1" t="s">
        <v>46</v>
      </c>
      <c r="M2208" s="1" t="s">
        <v>47</v>
      </c>
      <c r="N2208" s="1" t="s">
        <v>15693</v>
      </c>
      <c r="O2208" s="1" t="s">
        <v>108</v>
      </c>
      <c r="P2208" s="1" t="s">
        <v>15694</v>
      </c>
      <c r="Q2208" s="1" t="s">
        <v>145</v>
      </c>
      <c r="R2208" s="1" t="s">
        <v>145</v>
      </c>
      <c r="S2208" s="1"/>
      <c r="T2208" s="1" t="s">
        <v>50</v>
      </c>
      <c r="U2208" s="8">
        <v>20</v>
      </c>
      <c r="V2208" s="8">
        <v>20</v>
      </c>
      <c r="W2208" s="7">
        <v>1000</v>
      </c>
      <c r="X2208" s="5">
        <v>0</v>
      </c>
      <c r="Y2208" s="7">
        <v>6400000</v>
      </c>
      <c r="Z2208" s="1"/>
      <c r="AA2208" s="1"/>
      <c r="AB2208" s="1"/>
      <c r="AC2208" s="1"/>
      <c r="AD2208" s="1"/>
      <c r="AE2208" s="1" t="s">
        <v>51</v>
      </c>
      <c r="AF2208" s="1" t="s">
        <v>51</v>
      </c>
      <c r="AG2208" s="1" t="s">
        <v>51</v>
      </c>
      <c r="AH2208" s="1"/>
      <c r="AI2208" s="1"/>
      <c r="AJ2208" s="3">
        <v>1</v>
      </c>
      <c r="AK2208" s="1" t="s">
        <v>52</v>
      </c>
      <c r="AL2208" s="3">
        <v>10</v>
      </c>
      <c r="AM2208" s="1"/>
      <c r="AN2208" s="1"/>
      <c r="AO2208" s="1" t="s">
        <v>15695</v>
      </c>
      <c r="AP2208" s="1" t="s">
        <v>4327</v>
      </c>
      <c r="AQ2208" s="1" t="s">
        <v>15696</v>
      </c>
      <c r="AR2208" s="1" t="s">
        <v>15694</v>
      </c>
    </row>
    <row r="2209">
      <c r="A2209" s="2">
        <f ca="1">DATE(2007,07,10)</f>
        <v>0</v>
      </c>
      <c r="B2209" s="2">
        <f ca="1">DATE(2007,09,24)</f>
        <v>0</v>
      </c>
      <c r="C2209" s="1" t="s">
        <v>15697</v>
      </c>
      <c r="D2209" s="3">
        <v>6726</v>
      </c>
      <c r="E2209" s="1" t="s">
        <v>3764</v>
      </c>
      <c r="F2209" s="1" t="s">
        <v>15698</v>
      </c>
      <c r="G2209" s="1" t="s">
        <v>10277</v>
      </c>
      <c r="H2209" s="4">
        <v>0.375</v>
      </c>
      <c r="I2209" s="4">
        <v>3.75</v>
      </c>
      <c r="J2209" s="5">
        <v>220</v>
      </c>
      <c r="K2209" s="4">
        <v>10</v>
      </c>
      <c r="L2209" s="1" t="s">
        <v>46</v>
      </c>
      <c r="M2209" s="1" t="s">
        <v>47</v>
      </c>
      <c r="N2209" s="1"/>
      <c r="O2209" s="1" t="s">
        <v>87</v>
      </c>
      <c r="P2209" s="1" t="s">
        <v>15699</v>
      </c>
      <c r="Q2209" s="1" t="s">
        <v>145</v>
      </c>
      <c r="R2209" s="1" t="s">
        <v>145</v>
      </c>
      <c r="S2209" s="8">
        <v>1.8999999999999999</v>
      </c>
      <c r="T2209" s="1" t="s">
        <v>50</v>
      </c>
      <c r="U2209" s="8">
        <v>10</v>
      </c>
      <c r="V2209" s="8">
        <v>10</v>
      </c>
      <c r="W2209" s="7">
        <v>15000000</v>
      </c>
      <c r="X2209" s="5">
        <v>150</v>
      </c>
      <c r="Y2209" s="7">
        <v>22000000</v>
      </c>
      <c r="Z2209" s="1"/>
      <c r="AA2209" s="2">
        <f ca="1">DATE(2008,03,22)</f>
        <v>0</v>
      </c>
      <c r="AB2209" s="1"/>
      <c r="AC2209" s="3">
        <v>180</v>
      </c>
      <c r="AD2209" s="1"/>
      <c r="AE2209" s="1" t="s">
        <v>51</v>
      </c>
      <c r="AF2209" s="1" t="s">
        <v>51</v>
      </c>
      <c r="AG2209" s="1" t="s">
        <v>51</v>
      </c>
      <c r="AH2209" s="1"/>
      <c r="AI2209" s="1"/>
      <c r="AJ2209" s="3">
        <v>1</v>
      </c>
      <c r="AK2209" s="1" t="s">
        <v>52</v>
      </c>
      <c r="AL2209" s="3">
        <v>1</v>
      </c>
      <c r="AM2209" s="1"/>
      <c r="AN2209" s="1"/>
      <c r="AO2209" s="1" t="s">
        <v>15700</v>
      </c>
      <c r="AP2209" s="1" t="s">
        <v>10277</v>
      </c>
      <c r="AQ2209" s="1" t="s">
        <v>10277</v>
      </c>
      <c r="AR2209" s="1" t="s">
        <v>10678</v>
      </c>
    </row>
    <row r="2210">
      <c r="A2210" s="2">
        <f ca="1">DATE(2007,06,15)</f>
        <v>0</v>
      </c>
      <c r="B2210" s="2">
        <f ca="1">DATE(2007,09,25)</f>
        <v>0</v>
      </c>
      <c r="C2210" s="1" t="s">
        <v>15701</v>
      </c>
      <c r="D2210" s="3">
        <v>6726</v>
      </c>
      <c r="E2210" s="1" t="s">
        <v>43</v>
      </c>
      <c r="F2210" s="1" t="s">
        <v>15702</v>
      </c>
      <c r="G2210" s="1" t="s">
        <v>6201</v>
      </c>
      <c r="H2210" s="4">
        <v>0.69999999999999996</v>
      </c>
      <c r="I2210" s="4">
        <v>3.5</v>
      </c>
      <c r="J2210" s="5">
        <v>235</v>
      </c>
      <c r="K2210" s="4">
        <v>20</v>
      </c>
      <c r="L2210" s="1" t="s">
        <v>46</v>
      </c>
      <c r="M2210" s="1" t="s">
        <v>47</v>
      </c>
      <c r="N2210" s="1" t="s">
        <v>15703</v>
      </c>
      <c r="O2210" s="1" t="s">
        <v>108</v>
      </c>
      <c r="P2210" s="1" t="s">
        <v>15704</v>
      </c>
      <c r="Q2210" s="1" t="s">
        <v>145</v>
      </c>
      <c r="R2210" s="1" t="s">
        <v>145</v>
      </c>
      <c r="S2210" s="8">
        <v>3</v>
      </c>
      <c r="T2210" s="1" t="s">
        <v>50</v>
      </c>
      <c r="U2210" s="8">
        <v>20</v>
      </c>
      <c r="V2210" s="8">
        <v>20</v>
      </c>
      <c r="W2210" s="7">
        <v>50000</v>
      </c>
      <c r="X2210" s="5">
        <v>1</v>
      </c>
      <c r="Y2210" s="7">
        <v>11750000</v>
      </c>
      <c r="Z2210" s="1"/>
      <c r="AA2210" s="1"/>
      <c r="AB2210" s="1"/>
      <c r="AC2210" s="1"/>
      <c r="AD2210" s="1"/>
      <c r="AE2210" s="1" t="s">
        <v>51</v>
      </c>
      <c r="AF2210" s="1" t="s">
        <v>51</v>
      </c>
      <c r="AG2210" s="1" t="s">
        <v>51</v>
      </c>
      <c r="AH2210" s="1"/>
      <c r="AI2210" s="1"/>
      <c r="AJ2210" s="3">
        <v>1</v>
      </c>
      <c r="AK2210" s="1" t="s">
        <v>52</v>
      </c>
      <c r="AL2210" s="3">
        <v>49</v>
      </c>
      <c r="AM2210" s="8">
        <v>20</v>
      </c>
      <c r="AN2210" s="1"/>
      <c r="AO2210" s="1" t="s">
        <v>15705</v>
      </c>
      <c r="AP2210" s="1" t="s">
        <v>6201</v>
      </c>
      <c r="AQ2210" s="1" t="s">
        <v>15706</v>
      </c>
      <c r="AR2210" s="1" t="s">
        <v>15707</v>
      </c>
    </row>
    <row r="2211">
      <c r="A2211" s="2">
        <f ca="1">DATE(2007,04,13)</f>
        <v>0</v>
      </c>
      <c r="B2211" s="2">
        <f ca="1">DATE(2007,09,25)</f>
        <v>0</v>
      </c>
      <c r="C2211" s="1" t="s">
        <v>15708</v>
      </c>
      <c r="D2211" s="3">
        <v>6726</v>
      </c>
      <c r="E2211" s="1" t="s">
        <v>43</v>
      </c>
      <c r="F2211" s="1" t="s">
        <v>15709</v>
      </c>
      <c r="G2211" s="1" t="s">
        <v>45</v>
      </c>
      <c r="H2211" s="4">
        <v>0.90000000000000002</v>
      </c>
      <c r="I2211" s="4">
        <v>4.5</v>
      </c>
      <c r="J2211" s="5">
        <v>162.5</v>
      </c>
      <c r="K2211" s="4">
        <v>20</v>
      </c>
      <c r="L2211" s="1" t="s">
        <v>46</v>
      </c>
      <c r="M2211" s="1" t="s">
        <v>47</v>
      </c>
      <c r="N2211" s="1" t="s">
        <v>15710</v>
      </c>
      <c r="O2211" s="1" t="s">
        <v>108</v>
      </c>
      <c r="P2211" s="1" t="s">
        <v>15711</v>
      </c>
      <c r="Q2211" s="4">
        <v>1</v>
      </c>
      <c r="R2211" s="4">
        <v>0.5</v>
      </c>
      <c r="S2211" s="8">
        <v>3</v>
      </c>
      <c r="T2211" s="1" t="s">
        <v>50</v>
      </c>
      <c r="U2211" s="8">
        <v>25</v>
      </c>
      <c r="V2211" s="8">
        <v>25</v>
      </c>
      <c r="W2211" s="7">
        <v>40000</v>
      </c>
      <c r="X2211" s="5">
        <v>1</v>
      </c>
      <c r="Y2211" s="7">
        <v>8125000</v>
      </c>
      <c r="Z2211" s="1"/>
      <c r="AA2211" s="1"/>
      <c r="AB2211" s="1"/>
      <c r="AC2211" s="1"/>
      <c r="AD2211" s="1"/>
      <c r="AE2211" s="1" t="s">
        <v>51</v>
      </c>
      <c r="AF2211" s="1" t="s">
        <v>51</v>
      </c>
      <c r="AG2211" s="1" t="s">
        <v>51</v>
      </c>
      <c r="AH2211" s="1"/>
      <c r="AI2211" s="1"/>
      <c r="AJ2211" s="3">
        <v>1</v>
      </c>
      <c r="AK2211" s="1" t="s">
        <v>52</v>
      </c>
      <c r="AL2211" s="3">
        <v>55</v>
      </c>
      <c r="AM2211" s="8">
        <v>19.77</v>
      </c>
      <c r="AN2211" s="1"/>
      <c r="AO2211" s="1" t="s">
        <v>15712</v>
      </c>
      <c r="AP2211" s="1" t="s">
        <v>45</v>
      </c>
      <c r="AQ2211" s="1" t="s">
        <v>15713</v>
      </c>
      <c r="AR2211" s="1" t="s">
        <v>15714</v>
      </c>
    </row>
    <row r="2212">
      <c r="A2212" s="2">
        <f ca="1">DATE(2007,05,16)</f>
        <v>0</v>
      </c>
      <c r="B2212" s="2">
        <f ca="1">DATE(2007,09,25)</f>
        <v>0</v>
      </c>
      <c r="C2212" s="1" t="s">
        <v>15715</v>
      </c>
      <c r="D2212" s="3">
        <v>6726</v>
      </c>
      <c r="E2212" s="1" t="s">
        <v>43</v>
      </c>
      <c r="F2212" s="1" t="s">
        <v>15716</v>
      </c>
      <c r="G2212" s="1" t="s">
        <v>5704</v>
      </c>
      <c r="H2212" s="4">
        <v>1.125</v>
      </c>
      <c r="I2212" s="4">
        <v>4.5</v>
      </c>
      <c r="J2212" s="5">
        <v>175</v>
      </c>
      <c r="K2212" s="4">
        <v>25</v>
      </c>
      <c r="L2212" s="1" t="s">
        <v>46</v>
      </c>
      <c r="M2212" s="1" t="s">
        <v>47</v>
      </c>
      <c r="N2212" s="1" t="s">
        <v>15717</v>
      </c>
      <c r="O2212" s="1" t="s">
        <v>108</v>
      </c>
      <c r="P2212" s="1" t="s">
        <v>15718</v>
      </c>
      <c r="Q2212" s="1" t="s">
        <v>145</v>
      </c>
      <c r="R2212" s="1" t="s">
        <v>145</v>
      </c>
      <c r="S2212" s="8">
        <v>3</v>
      </c>
      <c r="T2212" s="1" t="s">
        <v>50</v>
      </c>
      <c r="U2212" s="8">
        <v>25</v>
      </c>
      <c r="V2212" s="8">
        <v>25</v>
      </c>
      <c r="W2212" s="7">
        <v>40000</v>
      </c>
      <c r="X2212" s="5">
        <v>1</v>
      </c>
      <c r="Y2212" s="7">
        <v>7000000</v>
      </c>
      <c r="Z2212" s="1"/>
      <c r="AA2212" s="2">
        <f ca="1">DATE(2008,03,23)</f>
        <v>0</v>
      </c>
      <c r="AB2212" s="1"/>
      <c r="AC2212" s="3">
        <v>180</v>
      </c>
      <c r="AD2212" s="1"/>
      <c r="AE2212" s="1" t="s">
        <v>51</v>
      </c>
      <c r="AF2212" s="1" t="s">
        <v>51</v>
      </c>
      <c r="AG2212" s="1" t="s">
        <v>51</v>
      </c>
      <c r="AH2212" s="1"/>
      <c r="AI2212" s="1"/>
      <c r="AJ2212" s="3">
        <v>1</v>
      </c>
      <c r="AK2212" s="1" t="s">
        <v>52</v>
      </c>
      <c r="AL2212" s="3">
        <v>14</v>
      </c>
      <c r="AM2212" s="8">
        <v>25</v>
      </c>
      <c r="AN2212" s="1"/>
      <c r="AO2212" s="1" t="s">
        <v>15719</v>
      </c>
      <c r="AP2212" s="1" t="s">
        <v>5704</v>
      </c>
      <c r="AQ2212" s="1" t="s">
        <v>15720</v>
      </c>
      <c r="AR2212" s="1" t="s">
        <v>15721</v>
      </c>
    </row>
    <row r="2213">
      <c r="A2213" s="2">
        <f ca="1">DATE(2007,09,12)</f>
        <v>0</v>
      </c>
      <c r="B2213" s="2">
        <f ca="1">DATE(2007,09,26)</f>
        <v>0</v>
      </c>
      <c r="C2213" s="1" t="s">
        <v>15722</v>
      </c>
      <c r="D2213" s="3">
        <v>7359</v>
      </c>
      <c r="E2213" s="1" t="s">
        <v>834</v>
      </c>
      <c r="F2213" s="1" t="s">
        <v>15723</v>
      </c>
      <c r="G2213" s="1" t="s">
        <v>15724</v>
      </c>
      <c r="H2213" s="4">
        <v>1.3799999999999999</v>
      </c>
      <c r="I2213" s="4">
        <v>6</v>
      </c>
      <c r="J2213" s="5">
        <v>430</v>
      </c>
      <c r="K2213" s="4">
        <v>23</v>
      </c>
      <c r="L2213" s="1" t="s">
        <v>1207</v>
      </c>
      <c r="M2213" s="1" t="s">
        <v>47</v>
      </c>
      <c r="N2213" s="1" t="s">
        <v>15725</v>
      </c>
      <c r="O2213" s="1" t="s">
        <v>108</v>
      </c>
      <c r="P2213" s="1" t="s">
        <v>15726</v>
      </c>
      <c r="Q2213" s="1" t="s">
        <v>145</v>
      </c>
      <c r="R2213" s="1" t="s">
        <v>145</v>
      </c>
      <c r="S2213" s="8">
        <v>3.6000000000000001</v>
      </c>
      <c r="T2213" s="1" t="s">
        <v>50</v>
      </c>
      <c r="U2213" s="8">
        <v>24</v>
      </c>
      <c r="V2213" s="8">
        <v>22</v>
      </c>
      <c r="W2213" s="7">
        <v>18695650</v>
      </c>
      <c r="X2213" s="5">
        <v>430</v>
      </c>
      <c r="Y2213" s="7">
        <v>18695650</v>
      </c>
      <c r="Z2213" s="1"/>
      <c r="AA2213" s="1" t="s">
        <v>15727</v>
      </c>
      <c r="AB2213" s="1" t="s">
        <v>13651</v>
      </c>
      <c r="AC2213" s="1" t="s">
        <v>15728</v>
      </c>
      <c r="AD2213" s="1" t="s">
        <v>13651</v>
      </c>
      <c r="AE2213" s="1" t="s">
        <v>47</v>
      </c>
      <c r="AF2213" s="1" t="s">
        <v>51</v>
      </c>
      <c r="AG2213" s="1" t="s">
        <v>51</v>
      </c>
      <c r="AH2213" s="1"/>
      <c r="AI2213" s="1"/>
      <c r="AJ2213" s="3">
        <v>4</v>
      </c>
      <c r="AK2213" s="1" t="s">
        <v>1209</v>
      </c>
      <c r="AL2213" s="3">
        <v>6</v>
      </c>
      <c r="AM2213" s="8">
        <v>22.73</v>
      </c>
      <c r="AN2213" s="1"/>
      <c r="AO2213" s="1" t="s">
        <v>15729</v>
      </c>
      <c r="AP2213" s="1" t="s">
        <v>15730</v>
      </c>
      <c r="AQ2213" s="1" t="s">
        <v>15731</v>
      </c>
      <c r="AR2213" s="1" t="s">
        <v>15732</v>
      </c>
    </row>
    <row r="2214">
      <c r="A2214" s="2">
        <f ca="1">DATE(2007,05,23)</f>
        <v>0</v>
      </c>
      <c r="B2214" s="2">
        <f ca="1">DATE(2007,09,27)</f>
        <v>0</v>
      </c>
      <c r="C2214" s="1" t="s">
        <v>15733</v>
      </c>
      <c r="D2214" s="3">
        <v>6282</v>
      </c>
      <c r="E2214" s="1" t="s">
        <v>43</v>
      </c>
      <c r="F2214" s="1" t="s">
        <v>15734</v>
      </c>
      <c r="G2214" s="1" t="s">
        <v>6891</v>
      </c>
      <c r="H2214" s="4">
        <v>1.1200000000000001</v>
      </c>
      <c r="I2214" s="4">
        <v>7</v>
      </c>
      <c r="J2214" s="5">
        <v>132.80000000000001</v>
      </c>
      <c r="K2214" s="4">
        <v>16</v>
      </c>
      <c r="L2214" s="1" t="s">
        <v>5129</v>
      </c>
      <c r="M2214" s="1" t="s">
        <v>47</v>
      </c>
      <c r="N2214" s="1" t="s">
        <v>15735</v>
      </c>
      <c r="O2214" s="1" t="s">
        <v>108</v>
      </c>
      <c r="P2214" s="1" t="s">
        <v>15736</v>
      </c>
      <c r="Q2214" s="1" t="s">
        <v>145</v>
      </c>
      <c r="R2214" s="1" t="s">
        <v>145</v>
      </c>
      <c r="S2214" s="1"/>
      <c r="T2214" s="1" t="s">
        <v>50</v>
      </c>
      <c r="U2214" s="1"/>
      <c r="V2214" s="1"/>
      <c r="W2214" s="1"/>
      <c r="X2214" s="5">
        <v>200</v>
      </c>
      <c r="Y2214" s="7">
        <v>8300000</v>
      </c>
      <c r="Z2214" s="1"/>
      <c r="AA2214" s="2">
        <f ca="1">DATE(2008,03,25)</f>
        <v>0</v>
      </c>
      <c r="AB2214" s="1"/>
      <c r="AC2214" s="3">
        <v>180</v>
      </c>
      <c r="AD2214" s="1"/>
      <c r="AE2214" s="1" t="s">
        <v>51</v>
      </c>
      <c r="AF2214" s="1" t="s">
        <v>51</v>
      </c>
      <c r="AG2214" s="1" t="s">
        <v>51</v>
      </c>
      <c r="AH2214" s="1"/>
      <c r="AI2214" s="1"/>
      <c r="AJ2214" s="3">
        <v>2</v>
      </c>
      <c r="AK2214" s="1" t="s">
        <v>89</v>
      </c>
      <c r="AL2214" s="3">
        <v>6</v>
      </c>
      <c r="AM2214" s="8">
        <v>18.350000000000001</v>
      </c>
      <c r="AN2214" s="1"/>
      <c r="AO2214" s="1" t="s">
        <v>15737</v>
      </c>
      <c r="AP2214" s="1" t="s">
        <v>6894</v>
      </c>
      <c r="AQ2214" s="1" t="s">
        <v>15738</v>
      </c>
      <c r="AR2214" s="1" t="s">
        <v>15736</v>
      </c>
    </row>
    <row r="2215">
      <c r="A2215" s="2">
        <f ca="1">DATE(2006,11,13)</f>
        <v>0</v>
      </c>
      <c r="B2215" s="2">
        <f ca="1">DATE(2007,09,28)</f>
        <v>0</v>
      </c>
      <c r="C2215" s="1" t="s">
        <v>15739</v>
      </c>
      <c r="D2215" s="3">
        <v>3253</v>
      </c>
      <c r="E2215" s="1" t="s">
        <v>744</v>
      </c>
      <c r="F2215" s="1" t="s">
        <v>15740</v>
      </c>
      <c r="G2215" s="1" t="s">
        <v>15172</v>
      </c>
      <c r="H2215" s="4">
        <v>0.34999999999999998</v>
      </c>
      <c r="I2215" s="4">
        <v>10</v>
      </c>
      <c r="J2215" s="5">
        <v>2.6000000000000001</v>
      </c>
      <c r="K2215" s="4">
        <v>3.5</v>
      </c>
      <c r="L2215" s="1" t="s">
        <v>46</v>
      </c>
      <c r="M2215" s="1" t="s">
        <v>47</v>
      </c>
      <c r="N2215" s="1" t="s">
        <v>15741</v>
      </c>
      <c r="O2215" s="1" t="s">
        <v>48</v>
      </c>
      <c r="P2215" s="1" t="s">
        <v>15174</v>
      </c>
      <c r="Q2215" s="1" t="s">
        <v>145</v>
      </c>
      <c r="R2215" s="1" t="s">
        <v>145</v>
      </c>
      <c r="S2215" s="8">
        <v>6</v>
      </c>
      <c r="T2215" s="1" t="s">
        <v>50</v>
      </c>
      <c r="U2215" s="1"/>
      <c r="V2215" s="1"/>
      <c r="W2215" s="7">
        <v>3733550</v>
      </c>
      <c r="X2215" s="5">
        <v>13.1</v>
      </c>
      <c r="Y2215" s="7">
        <v>737000</v>
      </c>
      <c r="Z2215" s="1"/>
      <c r="AA2215" s="1" t="s">
        <v>15742</v>
      </c>
      <c r="AB2215" s="1" t="s">
        <v>2067</v>
      </c>
      <c r="AC2215" s="1" t="s">
        <v>6689</v>
      </c>
      <c r="AD2215" s="1" t="s">
        <v>2067</v>
      </c>
      <c r="AE2215" s="1" t="s">
        <v>51</v>
      </c>
      <c r="AF2215" s="1" t="s">
        <v>51</v>
      </c>
      <c r="AG2215" s="1" t="s">
        <v>51</v>
      </c>
      <c r="AH2215" s="1"/>
      <c r="AI2215" s="1"/>
      <c r="AJ2215" s="3">
        <v>1</v>
      </c>
      <c r="AK2215" s="1" t="s">
        <v>52</v>
      </c>
      <c r="AL2215" s="3">
        <v>1</v>
      </c>
      <c r="AM2215" s="1"/>
      <c r="AN2215" s="1"/>
      <c r="AO2215" s="1" t="s">
        <v>15172</v>
      </c>
      <c r="AP2215" s="1" t="s">
        <v>15172</v>
      </c>
      <c r="AQ2215" s="1" t="s">
        <v>15172</v>
      </c>
      <c r="AR2215" s="1" t="s">
        <v>15174</v>
      </c>
    </row>
    <row r="2216">
      <c r="A2216" s="2">
        <f ca="1">DATE(2007,06,14)</f>
        <v>0</v>
      </c>
      <c r="B2216" s="2">
        <f ca="1">DATE(2007,09,28)</f>
        <v>0</v>
      </c>
      <c r="C2216" s="1" t="s">
        <v>15743</v>
      </c>
      <c r="D2216" s="3">
        <v>6726</v>
      </c>
      <c r="E2216" s="1" t="s">
        <v>43</v>
      </c>
      <c r="F2216" s="1" t="s">
        <v>15744</v>
      </c>
      <c r="G2216" s="1" t="s">
        <v>15222</v>
      </c>
      <c r="H2216" s="4">
        <v>0.69999999999999996</v>
      </c>
      <c r="I2216" s="8">
        <v>7</v>
      </c>
      <c r="J2216" s="5">
        <v>480</v>
      </c>
      <c r="K2216" s="4">
        <v>10</v>
      </c>
      <c r="L2216" s="1" t="s">
        <v>46</v>
      </c>
      <c r="M2216" s="1" t="s">
        <v>47</v>
      </c>
      <c r="N2216" s="3">
        <v>429086309</v>
      </c>
      <c r="O2216" s="1" t="s">
        <v>87</v>
      </c>
      <c r="P2216" s="1" t="s">
        <v>15745</v>
      </c>
      <c r="Q2216" s="1" t="s">
        <v>145</v>
      </c>
      <c r="R2216" s="1" t="s">
        <v>145</v>
      </c>
      <c r="S2216" s="8">
        <v>2.2999999999999998</v>
      </c>
      <c r="T2216" s="1" t="s">
        <v>50</v>
      </c>
      <c r="U2216" s="8">
        <v>10</v>
      </c>
      <c r="V2216" s="8">
        <v>10</v>
      </c>
      <c r="W2216" s="7">
        <v>40000000</v>
      </c>
      <c r="X2216" s="5">
        <v>400</v>
      </c>
      <c r="Y2216" s="7">
        <v>48000000</v>
      </c>
      <c r="Z2216" s="1"/>
      <c r="AA2216" s="1" t="s">
        <v>15746</v>
      </c>
      <c r="AB2216" s="1" t="s">
        <v>2067</v>
      </c>
      <c r="AC2216" s="1" t="s">
        <v>2068</v>
      </c>
      <c r="AD2216" s="1" t="s">
        <v>2067</v>
      </c>
      <c r="AE2216" s="1" t="s">
        <v>51</v>
      </c>
      <c r="AF2216" s="1" t="s">
        <v>51</v>
      </c>
      <c r="AG2216" s="1" t="s">
        <v>51</v>
      </c>
      <c r="AH2216" s="1"/>
      <c r="AI2216" s="1"/>
      <c r="AJ2216" s="3">
        <v>1</v>
      </c>
      <c r="AK2216" s="1" t="s">
        <v>52</v>
      </c>
      <c r="AL2216" s="3">
        <v>3</v>
      </c>
      <c r="AM2216" s="1"/>
      <c r="AN2216" s="1"/>
      <c r="AO2216" s="1" t="s">
        <v>15747</v>
      </c>
      <c r="AP2216" s="1" t="s">
        <v>15222</v>
      </c>
      <c r="AQ2216" s="1" t="s">
        <v>15748</v>
      </c>
      <c r="AR2216" s="1" t="s">
        <v>15745</v>
      </c>
    </row>
    <row r="2217">
      <c r="A2217" s="2">
        <f ca="1">DATE(2007,07,06)</f>
        <v>0</v>
      </c>
      <c r="B2217" s="2">
        <f ca="1">DATE(2007,10,02)</f>
        <v>0</v>
      </c>
      <c r="C2217" s="1" t="s">
        <v>15749</v>
      </c>
      <c r="D2217" s="3">
        <v>7331</v>
      </c>
      <c r="E2217" s="1" t="s">
        <v>43</v>
      </c>
      <c r="F2217" s="1" t="s">
        <v>15750</v>
      </c>
      <c r="G2217" s="1" t="s">
        <v>15751</v>
      </c>
      <c r="H2217" s="4">
        <v>1.1200000000000001</v>
      </c>
      <c r="I2217" s="4">
        <v>7</v>
      </c>
      <c r="J2217" s="5">
        <v>107.2</v>
      </c>
      <c r="K2217" s="4">
        <v>16</v>
      </c>
      <c r="L2217" s="1" t="s">
        <v>46</v>
      </c>
      <c r="M2217" s="1" t="s">
        <v>47</v>
      </c>
      <c r="N2217" s="3">
        <v>210313102</v>
      </c>
      <c r="O2217" s="1" t="s">
        <v>48</v>
      </c>
      <c r="P2217" s="1" t="s">
        <v>15752</v>
      </c>
      <c r="Q2217" s="1" t="s">
        <v>145</v>
      </c>
      <c r="R2217" s="1" t="s">
        <v>145</v>
      </c>
      <c r="S2217" s="8">
        <v>4.2000000000000002</v>
      </c>
      <c r="T2217" s="1" t="s">
        <v>50</v>
      </c>
      <c r="U2217" s="1"/>
      <c r="V2217" s="1"/>
      <c r="W2217" s="1"/>
      <c r="X2217" s="5">
        <v>86.299999999999997</v>
      </c>
      <c r="Y2217" s="7">
        <v>5829839</v>
      </c>
      <c r="Z2217" s="7">
        <v>870161</v>
      </c>
      <c r="AA2217" s="1" t="s">
        <v>15753</v>
      </c>
      <c r="AB2217" s="1" t="s">
        <v>5265</v>
      </c>
      <c r="AC2217" s="1" t="s">
        <v>7759</v>
      </c>
      <c r="AD2217" s="1" t="s">
        <v>5265</v>
      </c>
      <c r="AE2217" s="1" t="s">
        <v>51</v>
      </c>
      <c r="AF2217" s="1" t="s">
        <v>51</v>
      </c>
      <c r="AG2217" s="1" t="s">
        <v>47</v>
      </c>
      <c r="AH2217" s="1"/>
      <c r="AI2217" s="1"/>
      <c r="AJ2217" s="3">
        <v>2</v>
      </c>
      <c r="AK2217" s="1" t="s">
        <v>89</v>
      </c>
      <c r="AL2217" s="3">
        <v>5</v>
      </c>
      <c r="AM2217" s="8">
        <v>29.440000000000001</v>
      </c>
      <c r="AN2217" s="1"/>
      <c r="AO2217" s="1" t="s">
        <v>15754</v>
      </c>
      <c r="AP2217" s="1" t="s">
        <v>15755</v>
      </c>
      <c r="AQ2217" s="1" t="s">
        <v>15756</v>
      </c>
      <c r="AR2217" s="1" t="s">
        <v>15757</v>
      </c>
    </row>
    <row r="2218">
      <c r="A2218" s="2">
        <f ca="1">DATE(2007,06,08)</f>
        <v>0</v>
      </c>
      <c r="B2218" s="2">
        <f ca="1">DATE(2007,10,03)</f>
        <v>0</v>
      </c>
      <c r="C2218" s="1" t="s">
        <v>15758</v>
      </c>
      <c r="D2218" s="3">
        <v>6726</v>
      </c>
      <c r="E2218" s="1" t="s">
        <v>43</v>
      </c>
      <c r="F2218" s="1" t="s">
        <v>15759</v>
      </c>
      <c r="G2218" s="1" t="s">
        <v>15222</v>
      </c>
      <c r="H2218" s="4">
        <v>0.69999999999999996</v>
      </c>
      <c r="I2218" s="8">
        <v>7</v>
      </c>
      <c r="J2218" s="5">
        <v>120</v>
      </c>
      <c r="K2218" s="4">
        <v>10</v>
      </c>
      <c r="L2218" s="1" t="s">
        <v>46</v>
      </c>
      <c r="M2218" s="1" t="s">
        <v>47</v>
      </c>
      <c r="N2218" s="3">
        <v>430880203</v>
      </c>
      <c r="O2218" s="1" t="s">
        <v>87</v>
      </c>
      <c r="P2218" s="1" t="s">
        <v>15760</v>
      </c>
      <c r="Q2218" s="1" t="s">
        <v>145</v>
      </c>
      <c r="R2218" s="1" t="s">
        <v>145</v>
      </c>
      <c r="S2218" s="8">
        <v>2.3999999999999999</v>
      </c>
      <c r="T2218" s="1" t="s">
        <v>50</v>
      </c>
      <c r="U2218" s="8">
        <v>10</v>
      </c>
      <c r="V2218" s="8">
        <v>10</v>
      </c>
      <c r="W2218" s="7">
        <v>10000000</v>
      </c>
      <c r="X2218" s="5">
        <v>100</v>
      </c>
      <c r="Y2218" s="7">
        <v>12000000</v>
      </c>
      <c r="Z2218" s="1"/>
      <c r="AA2218" s="1" t="s">
        <v>15761</v>
      </c>
      <c r="AB2218" s="1" t="s">
        <v>2067</v>
      </c>
      <c r="AC2218" s="1" t="s">
        <v>15762</v>
      </c>
      <c r="AD2218" s="1" t="s">
        <v>2067</v>
      </c>
      <c r="AE2218" s="1" t="s">
        <v>51</v>
      </c>
      <c r="AF2218" s="1" t="s">
        <v>51</v>
      </c>
      <c r="AG2218" s="1" t="s">
        <v>51</v>
      </c>
      <c r="AH2218" s="1"/>
      <c r="AI2218" s="1"/>
      <c r="AJ2218" s="3">
        <v>1</v>
      </c>
      <c r="AK2218" s="1" t="s">
        <v>52</v>
      </c>
      <c r="AL2218" s="3">
        <v>2</v>
      </c>
      <c r="AM2218" s="1"/>
      <c r="AN2218" s="1"/>
      <c r="AO2218" s="1" t="s">
        <v>15763</v>
      </c>
      <c r="AP2218" s="1" t="s">
        <v>15222</v>
      </c>
      <c r="AQ2218" s="1" t="s">
        <v>15764</v>
      </c>
      <c r="AR2218" s="1" t="s">
        <v>15765</v>
      </c>
    </row>
    <row r="2219">
      <c r="A2219" s="2">
        <f ca="1">DATE(2007,09,14)</f>
        <v>0</v>
      </c>
      <c r="B2219" s="2">
        <f ca="1">DATE(2007,10,04)</f>
        <v>0</v>
      </c>
      <c r="C2219" s="1" t="s">
        <v>15766</v>
      </c>
      <c r="D2219" s="3">
        <v>7372</v>
      </c>
      <c r="E2219" s="1" t="s">
        <v>744</v>
      </c>
      <c r="F2219" s="1" t="s">
        <v>15767</v>
      </c>
      <c r="G2219" s="1" t="s">
        <v>13389</v>
      </c>
      <c r="H2219" s="4">
        <v>1.1200000000000001</v>
      </c>
      <c r="I2219" s="4">
        <v>7</v>
      </c>
      <c r="J2219" s="5">
        <v>192</v>
      </c>
      <c r="K2219" s="4">
        <v>16</v>
      </c>
      <c r="L2219" s="1" t="s">
        <v>651</v>
      </c>
      <c r="M2219" s="1" t="s">
        <v>47</v>
      </c>
      <c r="N2219" s="1" t="s">
        <v>15768</v>
      </c>
      <c r="O2219" s="1" t="s">
        <v>108</v>
      </c>
      <c r="P2219" s="1" t="s">
        <v>15769</v>
      </c>
      <c r="Q2219" s="4">
        <v>1.3999999999999999</v>
      </c>
      <c r="R2219" s="4">
        <v>1.3999999999999999</v>
      </c>
      <c r="S2219" s="8">
        <v>4.2000000000000002</v>
      </c>
      <c r="T2219" s="1" t="s">
        <v>50</v>
      </c>
      <c r="U2219" s="1"/>
      <c r="V2219" s="1"/>
      <c r="W2219" s="1"/>
      <c r="X2219" s="5">
        <v>150</v>
      </c>
      <c r="Y2219" s="7">
        <v>12000000</v>
      </c>
      <c r="Z2219" s="1"/>
      <c r="AA2219" s="1" t="s">
        <v>15770</v>
      </c>
      <c r="AB2219" s="1" t="s">
        <v>5265</v>
      </c>
      <c r="AC2219" s="1" t="s">
        <v>7759</v>
      </c>
      <c r="AD2219" s="1" t="s">
        <v>5265</v>
      </c>
      <c r="AE2219" s="1" t="s">
        <v>47</v>
      </c>
      <c r="AF2219" s="1" t="s">
        <v>51</v>
      </c>
      <c r="AG2219" s="1" t="s">
        <v>47</v>
      </c>
      <c r="AH2219" s="1"/>
      <c r="AI2219" s="1"/>
      <c r="AJ2219" s="3">
        <v>2</v>
      </c>
      <c r="AK2219" s="1" t="s">
        <v>89</v>
      </c>
      <c r="AL2219" s="3">
        <v>5</v>
      </c>
      <c r="AM2219" s="8">
        <v>28</v>
      </c>
      <c r="AN2219" s="1"/>
      <c r="AO2219" s="1" t="s">
        <v>15771</v>
      </c>
      <c r="AP2219" s="1" t="s">
        <v>12249</v>
      </c>
      <c r="AQ2219" s="1" t="s">
        <v>15772</v>
      </c>
      <c r="AR2219" s="1" t="s">
        <v>15769</v>
      </c>
    </row>
    <row r="2220">
      <c r="A2220" s="2">
        <f ca="1">DATE(2007,06,04)</f>
        <v>0</v>
      </c>
      <c r="B2220" s="2">
        <f ca="1">DATE(2007,10,04)</f>
        <v>0</v>
      </c>
      <c r="C2220" s="1" t="s">
        <v>15773</v>
      </c>
      <c r="D2220" s="3">
        <v>6726</v>
      </c>
      <c r="E2220" s="1" t="s">
        <v>43</v>
      </c>
      <c r="F2220" s="1" t="s">
        <v>15774</v>
      </c>
      <c r="G2220" s="1" t="s">
        <v>15775</v>
      </c>
      <c r="H2220" s="4">
        <v>0.56000000000000005</v>
      </c>
      <c r="I2220" s="4">
        <v>7</v>
      </c>
      <c r="J2220" s="5">
        <v>36</v>
      </c>
      <c r="K2220" s="4">
        <v>8</v>
      </c>
      <c r="L2220" s="1" t="s">
        <v>46</v>
      </c>
      <c r="M2220" s="1" t="s">
        <v>47</v>
      </c>
      <c r="N2220" s="1" t="s">
        <v>15776</v>
      </c>
      <c r="O2220" s="1" t="s">
        <v>77</v>
      </c>
      <c r="P2220" s="1" t="s">
        <v>15777</v>
      </c>
      <c r="Q2220" s="1" t="s">
        <v>145</v>
      </c>
      <c r="R2220" s="1" t="s">
        <v>145</v>
      </c>
      <c r="S2220" s="8">
        <v>1.75</v>
      </c>
      <c r="T2220" s="1" t="s">
        <v>50</v>
      </c>
      <c r="U2220" s="8">
        <v>8</v>
      </c>
      <c r="V2220" s="8">
        <v>8</v>
      </c>
      <c r="W2220" s="7">
        <v>4500000</v>
      </c>
      <c r="X2220" s="5">
        <v>36</v>
      </c>
      <c r="Y2220" s="7">
        <v>4500000</v>
      </c>
      <c r="Z2220" s="1"/>
      <c r="AA2220" s="1" t="s">
        <v>15778</v>
      </c>
      <c r="AB2220" s="1" t="s">
        <v>2067</v>
      </c>
      <c r="AC2220" s="1" t="s">
        <v>2068</v>
      </c>
      <c r="AD2220" s="1" t="s">
        <v>2067</v>
      </c>
      <c r="AE2220" s="1" t="s">
        <v>51</v>
      </c>
      <c r="AF2220" s="1" t="s">
        <v>51</v>
      </c>
      <c r="AG2220" s="1" t="s">
        <v>51</v>
      </c>
      <c r="AH2220" s="1"/>
      <c r="AI2220" s="1"/>
      <c r="AJ2220" s="3">
        <v>1</v>
      </c>
      <c r="AK2220" s="1" t="s">
        <v>52</v>
      </c>
      <c r="AL2220" s="3">
        <v>2</v>
      </c>
      <c r="AM2220" s="1"/>
      <c r="AN2220" s="1"/>
      <c r="AO2220" s="1" t="s">
        <v>15779</v>
      </c>
      <c r="AP2220" s="1" t="s">
        <v>15775</v>
      </c>
      <c r="AQ2220" s="1" t="s">
        <v>15780</v>
      </c>
      <c r="AR2220" s="1" t="s">
        <v>15777</v>
      </c>
    </row>
    <row r="2221">
      <c r="A2221" s="2">
        <f ca="1">DATE(2007,05,11)</f>
        <v>0</v>
      </c>
      <c r="B2221" s="2">
        <f ca="1">DATE(2007,10,04)</f>
        <v>0</v>
      </c>
      <c r="C2221" s="1" t="s">
        <v>15781</v>
      </c>
      <c r="D2221" s="3">
        <v>6799</v>
      </c>
      <c r="E2221" s="1" t="s">
        <v>43</v>
      </c>
      <c r="F2221" s="1" t="s">
        <v>15782</v>
      </c>
      <c r="G2221" s="1" t="s">
        <v>15783</v>
      </c>
      <c r="H2221" s="4">
        <v>1.425</v>
      </c>
      <c r="I2221" s="4">
        <v>9.5</v>
      </c>
      <c r="J2221" s="5">
        <v>60</v>
      </c>
      <c r="K2221" s="4">
        <v>15</v>
      </c>
      <c r="L2221" s="1" t="s">
        <v>46</v>
      </c>
      <c r="M2221" s="1" t="s">
        <v>47</v>
      </c>
      <c r="N2221" s="1" t="s">
        <v>15784</v>
      </c>
      <c r="O2221" s="1" t="s">
        <v>48</v>
      </c>
      <c r="P2221" s="1" t="s">
        <v>15785</v>
      </c>
      <c r="Q2221" s="1" t="s">
        <v>145</v>
      </c>
      <c r="R2221" s="1" t="s">
        <v>145</v>
      </c>
      <c r="S2221" s="8">
        <v>2.5</v>
      </c>
      <c r="T2221" s="1" t="s">
        <v>50</v>
      </c>
      <c r="U2221" s="1"/>
      <c r="V2221" s="1"/>
      <c r="W2221" s="1"/>
      <c r="X2221" s="5">
        <v>115</v>
      </c>
      <c r="Y2221" s="7">
        <v>4000000</v>
      </c>
      <c r="Z2221" s="1"/>
      <c r="AA2221" s="1" t="s">
        <v>15778</v>
      </c>
      <c r="AB2221" s="1" t="s">
        <v>2067</v>
      </c>
      <c r="AC2221" s="1" t="s">
        <v>2068</v>
      </c>
      <c r="AD2221" s="1" t="s">
        <v>2067</v>
      </c>
      <c r="AE2221" s="1" t="s">
        <v>51</v>
      </c>
      <c r="AF2221" s="1" t="s">
        <v>51</v>
      </c>
      <c r="AG2221" s="1" t="s">
        <v>51</v>
      </c>
      <c r="AH2221" s="1"/>
      <c r="AI2221" s="1"/>
      <c r="AJ2221" s="3">
        <v>2</v>
      </c>
      <c r="AK2221" s="1" t="s">
        <v>89</v>
      </c>
      <c r="AL2221" s="3">
        <v>4</v>
      </c>
      <c r="AM2221" s="8">
        <v>14.800000000000001</v>
      </c>
      <c r="AN2221" s="1"/>
      <c r="AO2221" s="1" t="s">
        <v>15786</v>
      </c>
      <c r="AP2221" s="1" t="s">
        <v>15787</v>
      </c>
      <c r="AQ2221" s="1" t="s">
        <v>15788</v>
      </c>
      <c r="AR2221" s="1" t="s">
        <v>15789</v>
      </c>
    </row>
    <row r="2222">
      <c r="A2222" s="2">
        <f ca="1">DATE(2007,06,18)</f>
        <v>0</v>
      </c>
      <c r="B2222" s="2">
        <f ca="1">DATE(2007,10,04)</f>
        <v>0</v>
      </c>
      <c r="C2222" s="1" t="s">
        <v>15790</v>
      </c>
      <c r="D2222" s="3">
        <v>2834</v>
      </c>
      <c r="E2222" s="1" t="s">
        <v>43</v>
      </c>
      <c r="F2222" s="1" t="s">
        <v>15791</v>
      </c>
      <c r="G2222" s="1" t="s">
        <v>4823</v>
      </c>
      <c r="H2222" s="4">
        <v>0.83999999999999997</v>
      </c>
      <c r="I2222" s="8">
        <v>7</v>
      </c>
      <c r="J2222" s="5">
        <v>60</v>
      </c>
      <c r="K2222" s="4">
        <v>12</v>
      </c>
      <c r="L2222" s="1" t="s">
        <v>46</v>
      </c>
      <c r="M2222" s="1" t="s">
        <v>47</v>
      </c>
      <c r="N2222" s="1" t="s">
        <v>15792</v>
      </c>
      <c r="O2222" s="1" t="s">
        <v>48</v>
      </c>
      <c r="P2222" s="1" t="s">
        <v>15793</v>
      </c>
      <c r="Q2222" s="1" t="s">
        <v>145</v>
      </c>
      <c r="R2222" s="1" t="s">
        <v>145</v>
      </c>
      <c r="S2222" s="8">
        <v>4.2000000000000002</v>
      </c>
      <c r="T2222" s="1" t="s">
        <v>50</v>
      </c>
      <c r="U2222" s="1"/>
      <c r="V2222" s="1"/>
      <c r="W2222" s="1"/>
      <c r="X2222" s="5">
        <v>86.299999999999997</v>
      </c>
      <c r="Y2222" s="7">
        <v>5000000</v>
      </c>
      <c r="Z2222" s="1"/>
      <c r="AA2222" s="1" t="s">
        <v>15778</v>
      </c>
      <c r="AB2222" s="1" t="s">
        <v>2067</v>
      </c>
      <c r="AC2222" s="1" t="s">
        <v>2068</v>
      </c>
      <c r="AD2222" s="1" t="s">
        <v>2067</v>
      </c>
      <c r="AE2222" s="1" t="s">
        <v>51</v>
      </c>
      <c r="AF2222" s="1" t="s">
        <v>51</v>
      </c>
      <c r="AG2222" s="1" t="s">
        <v>47</v>
      </c>
      <c r="AH2222" s="1"/>
      <c r="AI2222" s="1"/>
      <c r="AJ2222" s="3">
        <v>2</v>
      </c>
      <c r="AK2222" s="1" t="s">
        <v>89</v>
      </c>
      <c r="AL2222" s="3">
        <v>3</v>
      </c>
      <c r="AM2222" s="8">
        <v>13.35</v>
      </c>
      <c r="AN2222" s="1"/>
      <c r="AO2222" s="1" t="s">
        <v>15794</v>
      </c>
      <c r="AP2222" s="1" t="s">
        <v>4826</v>
      </c>
      <c r="AQ2222" s="1" t="s">
        <v>15795</v>
      </c>
      <c r="AR2222" s="1" t="s">
        <v>15796</v>
      </c>
    </row>
    <row r="2223">
      <c r="A2223" s="2">
        <f ca="1">DATE(2007,07,02)</f>
        <v>0</v>
      </c>
      <c r="B2223" s="2">
        <f ca="1">DATE(2007,10,09)</f>
        <v>0</v>
      </c>
      <c r="C2223" s="1" t="s">
        <v>15797</v>
      </c>
      <c r="D2223" s="3">
        <v>7372</v>
      </c>
      <c r="E2223" s="1" t="s">
        <v>43</v>
      </c>
      <c r="F2223" s="1" t="s">
        <v>15798</v>
      </c>
      <c r="G2223" s="1" t="s">
        <v>796</v>
      </c>
      <c r="H2223" s="4">
        <v>0.94499999999999995</v>
      </c>
      <c r="I2223" s="8">
        <v>7</v>
      </c>
      <c r="J2223" s="5">
        <v>81</v>
      </c>
      <c r="K2223" s="4">
        <v>13.5</v>
      </c>
      <c r="L2223" s="1" t="s">
        <v>46</v>
      </c>
      <c r="M2223" s="1" t="s">
        <v>47</v>
      </c>
      <c r="N2223" s="1" t="s">
        <v>15799</v>
      </c>
      <c r="O2223" s="1" t="s">
        <v>108</v>
      </c>
      <c r="P2223" s="1" t="s">
        <v>15800</v>
      </c>
      <c r="Q2223" s="1" t="s">
        <v>145</v>
      </c>
      <c r="R2223" s="1" t="s">
        <v>145</v>
      </c>
      <c r="S2223" s="8">
        <v>4.2000000000000002</v>
      </c>
      <c r="T2223" s="1" t="s">
        <v>50</v>
      </c>
      <c r="U2223" s="1"/>
      <c r="V2223" s="1"/>
      <c r="W2223" s="1"/>
      <c r="X2223" s="5">
        <v>60</v>
      </c>
      <c r="Y2223" s="7">
        <v>6000000</v>
      </c>
      <c r="Z2223" s="1"/>
      <c r="AA2223" s="1" t="s">
        <v>15801</v>
      </c>
      <c r="AB2223" s="1" t="s">
        <v>2067</v>
      </c>
      <c r="AC2223" s="1" t="s">
        <v>2068</v>
      </c>
      <c r="AD2223" s="1" t="s">
        <v>2067</v>
      </c>
      <c r="AE2223" s="1" t="s">
        <v>51</v>
      </c>
      <c r="AF2223" s="1" t="s">
        <v>51</v>
      </c>
      <c r="AG2223" s="1" t="s">
        <v>47</v>
      </c>
      <c r="AH2223" s="1"/>
      <c r="AI2223" s="1"/>
      <c r="AJ2223" s="3">
        <v>1</v>
      </c>
      <c r="AK2223" s="1" t="s">
        <v>52</v>
      </c>
      <c r="AL2223" s="3">
        <v>5</v>
      </c>
      <c r="AM2223" s="8">
        <v>24.190000000000001</v>
      </c>
      <c r="AN2223" s="1"/>
      <c r="AO2223" s="1" t="s">
        <v>15802</v>
      </c>
      <c r="AP2223" s="1" t="s">
        <v>796</v>
      </c>
      <c r="AQ2223" s="1" t="s">
        <v>15803</v>
      </c>
      <c r="AR2223" s="1" t="s">
        <v>15800</v>
      </c>
    </row>
    <row r="2224">
      <c r="A2224" s="2">
        <f ca="1">DATE(2007,05,11)</f>
        <v>0</v>
      </c>
      <c r="B2224" s="2">
        <f ca="1">DATE(2007,10,09)</f>
        <v>0</v>
      </c>
      <c r="C2224" s="1" t="s">
        <v>15804</v>
      </c>
      <c r="D2224" s="3">
        <v>2834</v>
      </c>
      <c r="E2224" s="1" t="s">
        <v>43</v>
      </c>
      <c r="F2224" s="1" t="s">
        <v>15805</v>
      </c>
      <c r="G2224" s="1" t="s">
        <v>12096</v>
      </c>
      <c r="H2224" s="4">
        <v>0.69999999999999996</v>
      </c>
      <c r="I2224" s="8">
        <v>7</v>
      </c>
      <c r="J2224" s="5">
        <v>57.5</v>
      </c>
      <c r="K2224" s="4">
        <v>10</v>
      </c>
      <c r="L2224" s="1" t="s">
        <v>46</v>
      </c>
      <c r="M2224" s="1" t="s">
        <v>47</v>
      </c>
      <c r="N2224" s="1" t="s">
        <v>15806</v>
      </c>
      <c r="O2224" s="1" t="s">
        <v>48</v>
      </c>
      <c r="P2224" s="1" t="s">
        <v>15807</v>
      </c>
      <c r="Q2224" s="1" t="s">
        <v>145</v>
      </c>
      <c r="R2224" s="1" t="s">
        <v>145</v>
      </c>
      <c r="S2224" s="8">
        <v>4.2000000000000002</v>
      </c>
      <c r="T2224" s="1" t="s">
        <v>50</v>
      </c>
      <c r="U2224" s="1"/>
      <c r="V2224" s="1"/>
      <c r="W2224" s="1"/>
      <c r="X2224" s="5">
        <v>86.299999999999997</v>
      </c>
      <c r="Y2224" s="7">
        <v>5750000</v>
      </c>
      <c r="Z2224" s="1"/>
      <c r="AA2224" s="1" t="s">
        <v>15801</v>
      </c>
      <c r="AB2224" s="1" t="s">
        <v>2067</v>
      </c>
      <c r="AC2224" s="1" t="s">
        <v>2068</v>
      </c>
      <c r="AD2224" s="1" t="s">
        <v>2067</v>
      </c>
      <c r="AE2224" s="1" t="s">
        <v>51</v>
      </c>
      <c r="AF2224" s="1" t="s">
        <v>51</v>
      </c>
      <c r="AG2224" s="1" t="s">
        <v>47</v>
      </c>
      <c r="AH2224" s="1"/>
      <c r="AI2224" s="1"/>
      <c r="AJ2224" s="3">
        <v>1</v>
      </c>
      <c r="AK2224" s="1" t="s">
        <v>52</v>
      </c>
      <c r="AL2224" s="3">
        <v>4</v>
      </c>
      <c r="AM2224" s="8">
        <v>9.4000000000000004</v>
      </c>
      <c r="AN2224" s="1"/>
      <c r="AO2224" s="1" t="s">
        <v>15808</v>
      </c>
      <c r="AP2224" s="1" t="s">
        <v>12096</v>
      </c>
      <c r="AQ2224" s="1" t="s">
        <v>15809</v>
      </c>
      <c r="AR2224" s="1" t="s">
        <v>15810</v>
      </c>
    </row>
    <row r="2225">
      <c r="A2225" s="2">
        <f ca="1">DATE(2007,09,26)</f>
        <v>0</v>
      </c>
      <c r="B2225" s="2">
        <f ca="1">DATE(2007,10,09)</f>
        <v>0</v>
      </c>
      <c r="C2225" s="1" t="s">
        <v>15811</v>
      </c>
      <c r="D2225" s="3">
        <v>7359</v>
      </c>
      <c r="E2225" s="1" t="s">
        <v>517</v>
      </c>
      <c r="F2225" s="1" t="s">
        <v>15812</v>
      </c>
      <c r="G2225" s="1" t="s">
        <v>14317</v>
      </c>
      <c r="H2225" s="4">
        <v>1.1060000000000001</v>
      </c>
      <c r="I2225" s="8">
        <v>6.7000000000000002</v>
      </c>
      <c r="J2225" s="5">
        <v>148.5</v>
      </c>
      <c r="K2225" s="4">
        <v>16.5</v>
      </c>
      <c r="L2225" s="1" t="s">
        <v>46</v>
      </c>
      <c r="M2225" s="1" t="s">
        <v>47</v>
      </c>
      <c r="N2225" s="1" t="s">
        <v>15813</v>
      </c>
      <c r="O2225" s="1" t="s">
        <v>108</v>
      </c>
      <c r="P2225" s="1" t="s">
        <v>15814</v>
      </c>
      <c r="Q2225" s="1" t="s">
        <v>145</v>
      </c>
      <c r="R2225" s="1" t="s">
        <v>145</v>
      </c>
      <c r="S2225" s="8">
        <v>4.0199999999999996</v>
      </c>
      <c r="T2225" s="1" t="s">
        <v>50</v>
      </c>
      <c r="U2225" s="8">
        <v>21</v>
      </c>
      <c r="V2225" s="8">
        <v>19</v>
      </c>
      <c r="W2225" s="7">
        <v>9000000</v>
      </c>
      <c r="X2225" s="5">
        <v>180</v>
      </c>
      <c r="Y2225" s="7">
        <v>9000000</v>
      </c>
      <c r="Z2225" s="1"/>
      <c r="AA2225" s="1" t="s">
        <v>15801</v>
      </c>
      <c r="AB2225" s="1" t="s">
        <v>2067</v>
      </c>
      <c r="AC2225" s="1" t="s">
        <v>2068</v>
      </c>
      <c r="AD2225" s="1" t="s">
        <v>2067</v>
      </c>
      <c r="AE2225" s="1" t="s">
        <v>51</v>
      </c>
      <c r="AF2225" s="1" t="s">
        <v>51</v>
      </c>
      <c r="AG2225" s="1" t="s">
        <v>51</v>
      </c>
      <c r="AH2225" s="1"/>
      <c r="AI2225" s="1"/>
      <c r="AJ2225" s="3">
        <v>2</v>
      </c>
      <c r="AK2225" s="1" t="s">
        <v>89</v>
      </c>
      <c r="AL2225" s="3">
        <v>5</v>
      </c>
      <c r="AM2225" s="8">
        <v>17</v>
      </c>
      <c r="AN2225" s="1"/>
      <c r="AO2225" s="1" t="s">
        <v>15815</v>
      </c>
      <c r="AP2225" s="1" t="s">
        <v>14321</v>
      </c>
      <c r="AQ2225" s="1" t="s">
        <v>15816</v>
      </c>
      <c r="AR2225" s="1" t="s">
        <v>15814</v>
      </c>
    </row>
    <row r="2226">
      <c r="A2226" s="2">
        <f ca="1">DATE(2007,05,08)</f>
        <v>0</v>
      </c>
      <c r="B2226" s="2">
        <f ca="1">DATE(2007,10,10)</f>
        <v>0</v>
      </c>
      <c r="C2226" s="1" t="s">
        <v>15817</v>
      </c>
      <c r="D2226" s="3">
        <v>6726</v>
      </c>
      <c r="E2226" s="1" t="s">
        <v>43</v>
      </c>
      <c r="F2226" s="1" t="s">
        <v>15818</v>
      </c>
      <c r="G2226" s="1" t="s">
        <v>15819</v>
      </c>
      <c r="H2226" s="4">
        <v>0.69999999999999996</v>
      </c>
      <c r="I2226" s="8">
        <v>7</v>
      </c>
      <c r="J2226" s="5">
        <v>400</v>
      </c>
      <c r="K2226" s="4">
        <v>10</v>
      </c>
      <c r="L2226" s="1" t="s">
        <v>46</v>
      </c>
      <c r="M2226" s="1" t="s">
        <v>47</v>
      </c>
      <c r="N2226" s="1" t="s">
        <v>15820</v>
      </c>
      <c r="O2226" s="1" t="s">
        <v>87</v>
      </c>
      <c r="P2226" s="1" t="s">
        <v>15821</v>
      </c>
      <c r="Q2226" s="1" t="s">
        <v>145</v>
      </c>
      <c r="R2226" s="1" t="s">
        <v>145</v>
      </c>
      <c r="S2226" s="8">
        <v>1</v>
      </c>
      <c r="T2226" s="1" t="s">
        <v>50</v>
      </c>
      <c r="U2226" s="8">
        <v>10</v>
      </c>
      <c r="V2226" s="8">
        <v>10</v>
      </c>
      <c r="W2226" s="7">
        <v>30000000</v>
      </c>
      <c r="X2226" s="5">
        <v>300</v>
      </c>
      <c r="Y2226" s="7">
        <v>40000000</v>
      </c>
      <c r="Z2226" s="1"/>
      <c r="AA2226" s="1" t="s">
        <v>15822</v>
      </c>
      <c r="AB2226" s="1" t="s">
        <v>2067</v>
      </c>
      <c r="AC2226" s="1" t="s">
        <v>2068</v>
      </c>
      <c r="AD2226" s="1" t="s">
        <v>2067</v>
      </c>
      <c r="AE2226" s="1" t="s">
        <v>51</v>
      </c>
      <c r="AF2226" s="1" t="s">
        <v>51</v>
      </c>
      <c r="AG2226" s="1" t="s">
        <v>51</v>
      </c>
      <c r="AH2226" s="1"/>
      <c r="AI2226" s="1"/>
      <c r="AJ2226" s="3">
        <v>2</v>
      </c>
      <c r="AK2226" s="1" t="s">
        <v>89</v>
      </c>
      <c r="AL2226" s="3">
        <v>3</v>
      </c>
      <c r="AM2226" s="1"/>
      <c r="AN2226" s="1"/>
      <c r="AO2226" s="1" t="s">
        <v>15823</v>
      </c>
      <c r="AP2226" s="1" t="s">
        <v>15824</v>
      </c>
      <c r="AQ2226" s="1" t="s">
        <v>15825</v>
      </c>
      <c r="AR2226" s="1" t="s">
        <v>15821</v>
      </c>
    </row>
    <row r="2227">
      <c r="A2227" s="2">
        <f ca="1">DATE(2007,05,01)</f>
        <v>0</v>
      </c>
      <c r="B2227" s="2">
        <f ca="1">DATE(2007,10,10)</f>
        <v>0</v>
      </c>
      <c r="C2227" s="1" t="s">
        <v>15826</v>
      </c>
      <c r="D2227" s="3">
        <v>4812</v>
      </c>
      <c r="E2227" s="1" t="s">
        <v>43</v>
      </c>
      <c r="F2227" s="1" t="s">
        <v>15827</v>
      </c>
      <c r="G2227" s="1" t="s">
        <v>15828</v>
      </c>
      <c r="H2227" s="4">
        <v>0.86299999999999999</v>
      </c>
      <c r="I2227" s="4">
        <v>5.75</v>
      </c>
      <c r="J2227" s="5">
        <v>412.5</v>
      </c>
      <c r="K2227" s="4">
        <v>15</v>
      </c>
      <c r="L2227" s="1" t="s">
        <v>5129</v>
      </c>
      <c r="M2227" s="1" t="s">
        <v>47</v>
      </c>
      <c r="N2227" s="1" t="s">
        <v>15829</v>
      </c>
      <c r="O2227" s="1" t="s">
        <v>108</v>
      </c>
      <c r="P2227" s="1" t="s">
        <v>15830</v>
      </c>
      <c r="Q2227" s="1" t="s">
        <v>145</v>
      </c>
      <c r="R2227" s="1" t="s">
        <v>145</v>
      </c>
      <c r="S2227" s="6">
        <v>3.4666700000000001</v>
      </c>
      <c r="T2227" s="1" t="s">
        <v>50</v>
      </c>
      <c r="U2227" s="1"/>
      <c r="V2227" s="1"/>
      <c r="W2227" s="1"/>
      <c r="X2227" s="5">
        <v>100</v>
      </c>
      <c r="Y2227" s="7">
        <v>25550493</v>
      </c>
      <c r="Z2227" s="7">
        <v>1949507</v>
      </c>
      <c r="AA2227" s="1" t="s">
        <v>15831</v>
      </c>
      <c r="AB2227" s="1" t="s">
        <v>15832</v>
      </c>
      <c r="AC2227" s="1" t="s">
        <v>7759</v>
      </c>
      <c r="AD2227" s="1" t="s">
        <v>15833</v>
      </c>
      <c r="AE2227" s="1" t="s">
        <v>51</v>
      </c>
      <c r="AF2227" s="1" t="s">
        <v>51</v>
      </c>
      <c r="AG2227" s="1" t="s">
        <v>51</v>
      </c>
      <c r="AH2227" s="1"/>
      <c r="AI2227" s="1"/>
      <c r="AJ2227" s="3">
        <v>3</v>
      </c>
      <c r="AK2227" s="1" t="s">
        <v>110</v>
      </c>
      <c r="AL2227" s="3">
        <v>5</v>
      </c>
      <c r="AM2227" s="8">
        <v>15.75</v>
      </c>
      <c r="AN2227" s="1"/>
      <c r="AO2227" s="1" t="s">
        <v>15834</v>
      </c>
      <c r="AP2227" s="1" t="s">
        <v>15835</v>
      </c>
      <c r="AQ2227" s="1" t="s">
        <v>15836</v>
      </c>
      <c r="AR2227" s="1" t="s">
        <v>15837</v>
      </c>
    </row>
    <row r="2228">
      <c r="A2228" s="2">
        <f ca="1">DATE(2007,05,08)</f>
        <v>0</v>
      </c>
      <c r="B2228" s="2">
        <f ca="1">DATE(2007,10,15)</f>
        <v>0</v>
      </c>
      <c r="C2228" s="1" t="s">
        <v>15838</v>
      </c>
      <c r="D2228" s="3">
        <v>6726</v>
      </c>
      <c r="E2228" s="1" t="s">
        <v>43</v>
      </c>
      <c r="F2228" s="1" t="s">
        <v>15839</v>
      </c>
      <c r="G2228" s="1" t="s">
        <v>9810</v>
      </c>
      <c r="H2228" s="4">
        <v>0.56000000000000005</v>
      </c>
      <c r="I2228" s="4">
        <v>7</v>
      </c>
      <c r="J2228" s="5">
        <v>240</v>
      </c>
      <c r="K2228" s="4">
        <v>8</v>
      </c>
      <c r="L2228" s="1" t="s">
        <v>46</v>
      </c>
      <c r="M2228" s="1" t="s">
        <v>47</v>
      </c>
      <c r="N2228" s="3">
        <v>861752202</v>
      </c>
      <c r="O2228" s="1" t="s">
        <v>77</v>
      </c>
      <c r="P2228" s="1" t="s">
        <v>15840</v>
      </c>
      <c r="Q2228" s="1" t="s">
        <v>145</v>
      </c>
      <c r="R2228" s="1" t="s">
        <v>145</v>
      </c>
      <c r="S2228" s="8">
        <v>2.1000000000000001</v>
      </c>
      <c r="T2228" s="1" t="s">
        <v>50</v>
      </c>
      <c r="U2228" s="8">
        <v>8</v>
      </c>
      <c r="V2228" s="8">
        <v>8</v>
      </c>
      <c r="W2228" s="7">
        <v>12500000</v>
      </c>
      <c r="X2228" s="5">
        <v>100</v>
      </c>
      <c r="Y2228" s="7">
        <v>30000000</v>
      </c>
      <c r="Z2228" s="1"/>
      <c r="AA2228" s="1"/>
      <c r="AB2228" s="1"/>
      <c r="AC2228" s="1"/>
      <c r="AD2228" s="1"/>
      <c r="AE2228" s="1" t="s">
        <v>51</v>
      </c>
      <c r="AF2228" s="1" t="s">
        <v>51</v>
      </c>
      <c r="AG2228" s="1" t="s">
        <v>51</v>
      </c>
      <c r="AH2228" s="1"/>
      <c r="AI2228" s="1"/>
      <c r="AJ2228" s="3">
        <v>1</v>
      </c>
      <c r="AK2228" s="1" t="s">
        <v>52</v>
      </c>
      <c r="AL2228" s="3">
        <v>6</v>
      </c>
      <c r="AM2228" s="8">
        <v>8</v>
      </c>
      <c r="AN2228" s="1"/>
      <c r="AO2228" s="1" t="s">
        <v>15841</v>
      </c>
      <c r="AP2228" s="1" t="s">
        <v>9810</v>
      </c>
      <c r="AQ2228" s="1" t="s">
        <v>15842</v>
      </c>
      <c r="AR2228" s="1" t="s">
        <v>15843</v>
      </c>
    </row>
    <row r="2229">
      <c r="A2229" s="2">
        <f ca="1">DATE(2007,07,24)</f>
        <v>0</v>
      </c>
      <c r="B2229" s="2">
        <f ca="1">DATE(2007,10,16)</f>
        <v>0</v>
      </c>
      <c r="C2229" s="1" t="s">
        <v>15844</v>
      </c>
      <c r="D2229" s="3">
        <v>3841</v>
      </c>
      <c r="E2229" s="1" t="s">
        <v>43</v>
      </c>
      <c r="F2229" s="1" t="s">
        <v>15845</v>
      </c>
      <c r="G2229" s="1" t="s">
        <v>15846</v>
      </c>
      <c r="H2229" s="4">
        <v>1.05</v>
      </c>
      <c r="I2229" s="4">
        <v>7</v>
      </c>
      <c r="J2229" s="5">
        <v>82.5</v>
      </c>
      <c r="K2229" s="4">
        <v>15</v>
      </c>
      <c r="L2229" s="1" t="s">
        <v>46</v>
      </c>
      <c r="M2229" s="1" t="s">
        <v>47</v>
      </c>
      <c r="N2229" s="1" t="s">
        <v>15847</v>
      </c>
      <c r="O2229" s="1" t="s">
        <v>48</v>
      </c>
      <c r="P2229" s="1" t="s">
        <v>15848</v>
      </c>
      <c r="Q2229" s="1" t="s">
        <v>145</v>
      </c>
      <c r="R2229" s="1" t="s">
        <v>145</v>
      </c>
      <c r="S2229" s="8">
        <v>4.2000000000000002</v>
      </c>
      <c r="T2229" s="1" t="s">
        <v>50</v>
      </c>
      <c r="U2229" s="1"/>
      <c r="V2229" s="1"/>
      <c r="W2229" s="1"/>
      <c r="X2229" s="5">
        <v>80.5</v>
      </c>
      <c r="Y2229" s="7">
        <v>5500000</v>
      </c>
      <c r="Z2229" s="1"/>
      <c r="AA2229" s="1" t="s">
        <v>15849</v>
      </c>
      <c r="AB2229" s="1" t="s">
        <v>2067</v>
      </c>
      <c r="AC2229" s="1" t="s">
        <v>2068</v>
      </c>
      <c r="AD2229" s="1" t="s">
        <v>2067</v>
      </c>
      <c r="AE2229" s="1" t="s">
        <v>51</v>
      </c>
      <c r="AF2229" s="1" t="s">
        <v>51</v>
      </c>
      <c r="AG2229" s="1" t="s">
        <v>47</v>
      </c>
      <c r="AH2229" s="1"/>
      <c r="AI2229" s="1"/>
      <c r="AJ2229" s="3">
        <v>2</v>
      </c>
      <c r="AK2229" s="1" t="s">
        <v>89</v>
      </c>
      <c r="AL2229" s="3">
        <v>4</v>
      </c>
      <c r="AM2229" s="8">
        <v>24</v>
      </c>
      <c r="AN2229" s="1"/>
      <c r="AO2229" s="1" t="s">
        <v>15850</v>
      </c>
      <c r="AP2229" s="1" t="s">
        <v>15851</v>
      </c>
      <c r="AQ2229" s="1" t="s">
        <v>15852</v>
      </c>
      <c r="AR2229" s="1" t="s">
        <v>15853</v>
      </c>
    </row>
    <row r="2230">
      <c r="A2230" s="2">
        <f ca="1">DATE(2007,07,10)</f>
        <v>0</v>
      </c>
      <c r="B2230" s="2">
        <f ca="1">DATE(2007,10,17)</f>
        <v>0</v>
      </c>
      <c r="C2230" s="1" t="s">
        <v>15854</v>
      </c>
      <c r="D2230" s="3">
        <v>6726</v>
      </c>
      <c r="E2230" s="1" t="s">
        <v>43</v>
      </c>
      <c r="F2230" s="1" t="s">
        <v>15855</v>
      </c>
      <c r="G2230" s="1" t="s">
        <v>5110</v>
      </c>
      <c r="H2230" s="4">
        <v>0.56000000000000005</v>
      </c>
      <c r="I2230" s="4">
        <v>7</v>
      </c>
      <c r="J2230" s="5">
        <v>250</v>
      </c>
      <c r="K2230" s="4">
        <v>8</v>
      </c>
      <c r="L2230" s="1" t="s">
        <v>46</v>
      </c>
      <c r="M2230" s="1" t="s">
        <v>47</v>
      </c>
      <c r="N2230" s="3">
        <v>378981203</v>
      </c>
      <c r="O2230" s="1" t="s">
        <v>87</v>
      </c>
      <c r="P2230" s="1" t="s">
        <v>15856</v>
      </c>
      <c r="Q2230" s="1" t="s">
        <v>145</v>
      </c>
      <c r="R2230" s="1" t="s">
        <v>145</v>
      </c>
      <c r="S2230" s="1"/>
      <c r="T2230" s="1" t="s">
        <v>50</v>
      </c>
      <c r="U2230" s="8">
        <v>8</v>
      </c>
      <c r="V2230" s="8">
        <v>8</v>
      </c>
      <c r="W2230" s="7">
        <v>31250000</v>
      </c>
      <c r="X2230" s="5">
        <v>250</v>
      </c>
      <c r="Y2230" s="7">
        <v>31250000</v>
      </c>
      <c r="Z2230" s="1"/>
      <c r="AA2230" s="1"/>
      <c r="AB2230" s="1"/>
      <c r="AC2230" s="1"/>
      <c r="AD2230" s="1"/>
      <c r="AE2230" s="1" t="s">
        <v>51</v>
      </c>
      <c r="AF2230" s="1" t="s">
        <v>51</v>
      </c>
      <c r="AG2230" s="1" t="s">
        <v>51</v>
      </c>
      <c r="AH2230" s="1"/>
      <c r="AI2230" s="1"/>
      <c r="AJ2230" s="3">
        <v>1</v>
      </c>
      <c r="AK2230" s="1" t="s">
        <v>52</v>
      </c>
      <c r="AL2230" s="3">
        <v>2</v>
      </c>
      <c r="AM2230" s="1"/>
      <c r="AN2230" s="1"/>
      <c r="AO2230" s="1" t="s">
        <v>15857</v>
      </c>
      <c r="AP2230" s="1" t="s">
        <v>5110</v>
      </c>
      <c r="AQ2230" s="1" t="s">
        <v>15858</v>
      </c>
      <c r="AR2230" s="1" t="s">
        <v>15859</v>
      </c>
    </row>
    <row r="2231">
      <c r="A2231" s="2">
        <f ca="1">DATE(2007,07,26)</f>
        <v>0</v>
      </c>
      <c r="B2231" s="2">
        <f ca="1">DATE(2007,10,17)</f>
        <v>0</v>
      </c>
      <c r="C2231" s="1" t="s">
        <v>15860</v>
      </c>
      <c r="D2231" s="3">
        <v>6726</v>
      </c>
      <c r="E2231" s="1" t="s">
        <v>43</v>
      </c>
      <c r="F2231" s="1" t="s">
        <v>15861</v>
      </c>
      <c r="G2231" s="1" t="s">
        <v>1297</v>
      </c>
      <c r="H2231" s="4">
        <v>0.69999999999999996</v>
      </c>
      <c r="I2231" s="8">
        <v>7</v>
      </c>
      <c r="J2231" s="5">
        <v>360</v>
      </c>
      <c r="K2231" s="4">
        <v>10</v>
      </c>
      <c r="L2231" s="1" t="s">
        <v>46</v>
      </c>
      <c r="M2231" s="1" t="s">
        <v>47</v>
      </c>
      <c r="N2231" s="1" t="s">
        <v>15862</v>
      </c>
      <c r="O2231" s="1" t="s">
        <v>87</v>
      </c>
      <c r="P2231" s="1" t="s">
        <v>15863</v>
      </c>
      <c r="Q2231" s="1" t="s">
        <v>145</v>
      </c>
      <c r="R2231" s="1" t="s">
        <v>145</v>
      </c>
      <c r="S2231" s="8">
        <v>2.1000000000000001</v>
      </c>
      <c r="T2231" s="1" t="s">
        <v>50</v>
      </c>
      <c r="U2231" s="8">
        <v>8</v>
      </c>
      <c r="V2231" s="8">
        <v>8</v>
      </c>
      <c r="W2231" s="7">
        <v>25000000</v>
      </c>
      <c r="X2231" s="5">
        <v>200</v>
      </c>
      <c r="Y2231" s="7">
        <v>36000000</v>
      </c>
      <c r="Z2231" s="1"/>
      <c r="AA2231" s="2">
        <f ca="1">DATE(2008,10,11)</f>
        <v>0</v>
      </c>
      <c r="AB2231" s="1"/>
      <c r="AC2231" s="3">
        <v>360</v>
      </c>
      <c r="AD2231" s="1"/>
      <c r="AE2231" s="1" t="s">
        <v>51</v>
      </c>
      <c r="AF2231" s="1" t="s">
        <v>51</v>
      </c>
      <c r="AG2231" s="1" t="s">
        <v>51</v>
      </c>
      <c r="AH2231" s="1"/>
      <c r="AI2231" s="1"/>
      <c r="AJ2231" s="3">
        <v>1</v>
      </c>
      <c r="AK2231" s="1" t="s">
        <v>52</v>
      </c>
      <c r="AL2231" s="3">
        <v>1</v>
      </c>
      <c r="AM2231" s="8">
        <v>10</v>
      </c>
      <c r="AN2231" s="1"/>
      <c r="AO2231" s="1" t="s">
        <v>15864</v>
      </c>
      <c r="AP2231" s="1" t="s">
        <v>1297</v>
      </c>
      <c r="AQ2231" s="1" t="s">
        <v>1297</v>
      </c>
      <c r="AR2231" s="1" t="s">
        <v>14374</v>
      </c>
    </row>
    <row r="2232">
      <c r="A2232" s="2">
        <f ca="1">DATE(2007,06,18)</f>
        <v>0</v>
      </c>
      <c r="B2232" s="2">
        <f ca="1">DATE(2007,10,17)</f>
        <v>0</v>
      </c>
      <c r="C2232" s="1" t="s">
        <v>15865</v>
      </c>
      <c r="D2232" s="3">
        <v>6726</v>
      </c>
      <c r="E2232" s="1" t="s">
        <v>43</v>
      </c>
      <c r="F2232" s="1" t="s">
        <v>15866</v>
      </c>
      <c r="G2232" s="1" t="s">
        <v>15867</v>
      </c>
      <c r="H2232" s="1" t="s">
        <v>57</v>
      </c>
      <c r="I2232" s="1" t="s">
        <v>57</v>
      </c>
      <c r="J2232" s="5">
        <v>72</v>
      </c>
      <c r="K2232" s="4">
        <v>8</v>
      </c>
      <c r="L2232" s="1" t="s">
        <v>46</v>
      </c>
      <c r="M2232" s="1" t="s">
        <v>47</v>
      </c>
      <c r="N2232" s="1" t="s">
        <v>15868</v>
      </c>
      <c r="O2232" s="1" t="s">
        <v>87</v>
      </c>
      <c r="P2232" s="1" t="s">
        <v>15777</v>
      </c>
      <c r="Q2232" s="1"/>
      <c r="R2232" s="1"/>
      <c r="S2232" s="1"/>
      <c r="T2232" s="1" t="s">
        <v>50</v>
      </c>
      <c r="U2232" s="8">
        <v>8</v>
      </c>
      <c r="V2232" s="8">
        <v>8</v>
      </c>
      <c r="W2232" s="7">
        <v>9000000</v>
      </c>
      <c r="X2232" s="5">
        <v>72</v>
      </c>
      <c r="Y2232" s="7">
        <v>9000000</v>
      </c>
      <c r="Z2232" s="1"/>
      <c r="AA2232" s="1"/>
      <c r="AB2232" s="1"/>
      <c r="AC2232" s="1"/>
      <c r="AD2232" s="1"/>
      <c r="AE2232" s="1" t="s">
        <v>51</v>
      </c>
      <c r="AF2232" s="1" t="s">
        <v>51</v>
      </c>
      <c r="AG2232" s="1" t="s">
        <v>51</v>
      </c>
      <c r="AH2232" s="1"/>
      <c r="AI2232" s="1"/>
      <c r="AJ2232" s="3">
        <v>2</v>
      </c>
      <c r="AK2232" s="1" t="s">
        <v>89</v>
      </c>
      <c r="AL2232" s="3">
        <v>2</v>
      </c>
      <c r="AM2232" s="1"/>
      <c r="AN2232" s="1"/>
      <c r="AO2232" s="1" t="s">
        <v>15869</v>
      </c>
      <c r="AP2232" s="1" t="s">
        <v>15870</v>
      </c>
      <c r="AQ2232" s="1" t="s">
        <v>15871</v>
      </c>
      <c r="AR2232" s="1" t="s">
        <v>15777</v>
      </c>
    </row>
    <row r="2233">
      <c r="A2233" s="2">
        <f ca="1">DATE(2007,08,09)</f>
        <v>0</v>
      </c>
      <c r="B2233" s="2">
        <f ca="1">DATE(2007,10,18)</f>
        <v>0</v>
      </c>
      <c r="C2233" s="1" t="s">
        <v>15872</v>
      </c>
      <c r="D2233" s="3">
        <v>6798</v>
      </c>
      <c r="E2233" s="1" t="s">
        <v>43</v>
      </c>
      <c r="F2233" s="1" t="s">
        <v>15873</v>
      </c>
      <c r="G2233" s="1" t="s">
        <v>13710</v>
      </c>
      <c r="H2233" s="4">
        <v>1.3129999999999999</v>
      </c>
      <c r="I2233" s="4">
        <v>6.25</v>
      </c>
      <c r="J2233" s="5">
        <v>640.5</v>
      </c>
      <c r="K2233" s="4">
        <v>21</v>
      </c>
      <c r="L2233" s="1" t="s">
        <v>46</v>
      </c>
      <c r="M2233" s="1" t="s">
        <v>47</v>
      </c>
      <c r="N2233" s="1" t="s">
        <v>15874</v>
      </c>
      <c r="O2233" s="1" t="s">
        <v>108</v>
      </c>
      <c r="P2233" s="1" t="s">
        <v>15875</v>
      </c>
      <c r="Q2233" s="1" t="s">
        <v>145</v>
      </c>
      <c r="R2233" s="1" t="s">
        <v>145</v>
      </c>
      <c r="S2233" s="10">
        <v>3.7618999999999998</v>
      </c>
      <c r="T2233" s="1" t="s">
        <v>50</v>
      </c>
      <c r="U2233" s="8">
        <v>21</v>
      </c>
      <c r="V2233" s="1"/>
      <c r="W2233" s="1"/>
      <c r="X2233" s="5">
        <v>700</v>
      </c>
      <c r="Y2233" s="7">
        <v>30500000</v>
      </c>
      <c r="Z2233" s="1"/>
      <c r="AA2233" s="1" t="s">
        <v>15876</v>
      </c>
      <c r="AB2233" s="1" t="s">
        <v>2067</v>
      </c>
      <c r="AC2233" s="1" t="s">
        <v>2068</v>
      </c>
      <c r="AD2233" s="1" t="s">
        <v>2067</v>
      </c>
      <c r="AE2233" s="1" t="s">
        <v>51</v>
      </c>
      <c r="AF2233" s="1" t="s">
        <v>51</v>
      </c>
      <c r="AG2233" s="1" t="s">
        <v>51</v>
      </c>
      <c r="AH2233" s="1"/>
      <c r="AI2233" s="1"/>
      <c r="AJ2233" s="3">
        <v>2</v>
      </c>
      <c r="AK2233" s="1" t="s">
        <v>89</v>
      </c>
      <c r="AL2233" s="3">
        <v>7</v>
      </c>
      <c r="AM2233" s="8">
        <v>22.710000000000001</v>
      </c>
      <c r="AN2233" s="1"/>
      <c r="AO2233" s="1" t="s">
        <v>15877</v>
      </c>
      <c r="AP2233" s="1" t="s">
        <v>7028</v>
      </c>
      <c r="AQ2233" s="1" t="s">
        <v>15878</v>
      </c>
      <c r="AR2233" s="1" t="s">
        <v>15875</v>
      </c>
    </row>
    <row r="2234">
      <c r="A2234" s="2">
        <f ca="1">DATE(2007,07,23)</f>
        <v>0</v>
      </c>
      <c r="B2234" s="2">
        <f ca="1">DATE(2007,10,18)</f>
        <v>0</v>
      </c>
      <c r="C2234" s="1" t="s">
        <v>15879</v>
      </c>
      <c r="D2234" s="3">
        <v>4812</v>
      </c>
      <c r="E2234" s="1" t="s">
        <v>3013</v>
      </c>
      <c r="F2234" s="1" t="s">
        <v>15880</v>
      </c>
      <c r="G2234" s="1" t="s">
        <v>796</v>
      </c>
      <c r="H2234" s="4">
        <v>0.61299999999999999</v>
      </c>
      <c r="I2234" s="4">
        <v>3.5</v>
      </c>
      <c r="J2234" s="5">
        <v>215.19999999999999</v>
      </c>
      <c r="K2234" s="4">
        <v>17.5</v>
      </c>
      <c r="L2234" s="1" t="s">
        <v>651</v>
      </c>
      <c r="M2234" s="1" t="s">
        <v>47</v>
      </c>
      <c r="N2234" s="1" t="s">
        <v>15881</v>
      </c>
      <c r="O2234" s="1" t="s">
        <v>108</v>
      </c>
      <c r="P2234" s="1" t="s">
        <v>13154</v>
      </c>
      <c r="Q2234" s="1" t="s">
        <v>145</v>
      </c>
      <c r="R2234" s="1" t="s">
        <v>145</v>
      </c>
      <c r="S2234" s="8">
        <v>2.1000000000000001</v>
      </c>
      <c r="T2234" s="1" t="s">
        <v>50</v>
      </c>
      <c r="U2234" s="1"/>
      <c r="V2234" s="1"/>
      <c r="W2234" s="1"/>
      <c r="X2234" s="1"/>
      <c r="Y2234" s="7">
        <v>10357576</v>
      </c>
      <c r="Z2234" s="7">
        <v>1939394</v>
      </c>
      <c r="AA2234" s="1" t="s">
        <v>15882</v>
      </c>
      <c r="AB2234" s="1" t="s">
        <v>5265</v>
      </c>
      <c r="AC2234" s="1" t="s">
        <v>7759</v>
      </c>
      <c r="AD2234" s="1" t="s">
        <v>5265</v>
      </c>
      <c r="AE2234" s="1" t="s">
        <v>47</v>
      </c>
      <c r="AF2234" s="1" t="s">
        <v>51</v>
      </c>
      <c r="AG2234" s="1" t="s">
        <v>51</v>
      </c>
      <c r="AH2234" s="1"/>
      <c r="AI2234" s="1"/>
      <c r="AJ2234" s="3">
        <v>1</v>
      </c>
      <c r="AK2234" s="1" t="s">
        <v>52</v>
      </c>
      <c r="AL2234" s="3">
        <v>1</v>
      </c>
      <c r="AM2234" s="8">
        <v>18.460000000000001</v>
      </c>
      <c r="AN2234" s="1"/>
      <c r="AO2234" s="1" t="s">
        <v>796</v>
      </c>
      <c r="AP2234" s="1" t="s">
        <v>796</v>
      </c>
      <c r="AQ2234" s="1" t="s">
        <v>796</v>
      </c>
      <c r="AR2234" s="1" t="s">
        <v>13154</v>
      </c>
    </row>
    <row r="2235">
      <c r="A2235" s="2">
        <f ca="1">DATE(2007,09,24)</f>
        <v>0</v>
      </c>
      <c r="B2235" s="2">
        <f ca="1">DATE(2007,10,18)</f>
        <v>0</v>
      </c>
      <c r="C2235" s="1" t="s">
        <v>15883</v>
      </c>
      <c r="D2235" s="3">
        <v>7375</v>
      </c>
      <c r="E2235" s="1" t="s">
        <v>744</v>
      </c>
      <c r="F2235" s="1" t="s">
        <v>15884</v>
      </c>
      <c r="G2235" s="1" t="s">
        <v>5110</v>
      </c>
      <c r="H2235" s="4">
        <v>0.97999999999999998</v>
      </c>
      <c r="I2235" s="8">
        <v>7</v>
      </c>
      <c r="J2235" s="5">
        <v>137.90000000000001</v>
      </c>
      <c r="K2235" s="4">
        <v>14</v>
      </c>
      <c r="L2235" s="1" t="s">
        <v>651</v>
      </c>
      <c r="M2235" s="1" t="s">
        <v>47</v>
      </c>
      <c r="N2235" s="1" t="s">
        <v>15885</v>
      </c>
      <c r="O2235" s="1" t="s">
        <v>108</v>
      </c>
      <c r="P2235" s="1" t="s">
        <v>15886</v>
      </c>
      <c r="Q2235" s="1" t="s">
        <v>145</v>
      </c>
      <c r="R2235" s="1" t="s">
        <v>145</v>
      </c>
      <c r="S2235" s="1"/>
      <c r="T2235" s="1" t="s">
        <v>50</v>
      </c>
      <c r="U2235" s="1"/>
      <c r="V2235" s="1"/>
      <c r="W2235" s="1"/>
      <c r="X2235" s="5">
        <v>140</v>
      </c>
      <c r="Y2235" s="7">
        <v>8725572</v>
      </c>
      <c r="Z2235" s="7">
        <v>1121557</v>
      </c>
      <c r="AA2235" s="1" t="s">
        <v>15882</v>
      </c>
      <c r="AB2235" s="1" t="s">
        <v>15887</v>
      </c>
      <c r="AC2235" s="1" t="s">
        <v>7759</v>
      </c>
      <c r="AD2235" s="1" t="s">
        <v>15888</v>
      </c>
      <c r="AE2235" s="1" t="s">
        <v>47</v>
      </c>
      <c r="AF2235" s="1" t="s">
        <v>51</v>
      </c>
      <c r="AG2235" s="1" t="s">
        <v>47</v>
      </c>
      <c r="AH2235" s="1"/>
      <c r="AI2235" s="1"/>
      <c r="AJ2235" s="3">
        <v>1</v>
      </c>
      <c r="AK2235" s="1" t="s">
        <v>52</v>
      </c>
      <c r="AL2235" s="3">
        <v>4</v>
      </c>
      <c r="AM2235" s="8">
        <v>19.850000000000001</v>
      </c>
      <c r="AN2235" s="1"/>
      <c r="AO2235" s="1" t="s">
        <v>15889</v>
      </c>
      <c r="AP2235" s="1" t="s">
        <v>5110</v>
      </c>
      <c r="AQ2235" s="1" t="s">
        <v>15890</v>
      </c>
      <c r="AR2235" s="1" t="s">
        <v>15891</v>
      </c>
    </row>
    <row r="2236">
      <c r="A2236" s="2">
        <f ca="1">DATE(2007,09,01)</f>
        <v>0</v>
      </c>
      <c r="B2236" s="2">
        <f ca="1">DATE(2007,10,19)</f>
        <v>0</v>
      </c>
      <c r="C2236" s="1" t="s">
        <v>15892</v>
      </c>
      <c r="D2236" s="3">
        <v>6552</v>
      </c>
      <c r="E2236" s="1" t="s">
        <v>15893</v>
      </c>
      <c r="F2236" s="1"/>
      <c r="G2236" s="1" t="s">
        <v>5110</v>
      </c>
      <c r="H2236" s="1" t="s">
        <v>57</v>
      </c>
      <c r="I2236" s="1" t="s">
        <v>57</v>
      </c>
      <c r="J2236" s="5">
        <v>42.200000000000003</v>
      </c>
      <c r="K2236" s="8">
        <v>13.199999999999999</v>
      </c>
      <c r="L2236" s="1" t="s">
        <v>651</v>
      </c>
      <c r="M2236" s="1" t="s">
        <v>47</v>
      </c>
      <c r="N2236" s="1"/>
      <c r="O2236" s="1" t="s">
        <v>15894</v>
      </c>
      <c r="P2236" s="1" t="s">
        <v>13287</v>
      </c>
      <c r="Q2236" s="1"/>
      <c r="R2236" s="1"/>
      <c r="S2236" s="1"/>
      <c r="T2236" s="1" t="s">
        <v>4605</v>
      </c>
      <c r="U2236" s="1"/>
      <c r="V2236" s="1"/>
      <c r="W2236" s="1"/>
      <c r="X2236" s="1"/>
      <c r="Y2236" s="1"/>
      <c r="Z2236" s="1"/>
      <c r="AA2236" s="1"/>
      <c r="AB2236" s="1"/>
      <c r="AC2236" s="1"/>
      <c r="AD2236" s="1"/>
      <c r="AE2236" s="1" t="s">
        <v>47</v>
      </c>
      <c r="AF2236" s="1" t="s">
        <v>51</v>
      </c>
      <c r="AG2236" s="1"/>
      <c r="AH2236" s="1"/>
      <c r="AI2236" s="1"/>
      <c r="AJ2236" s="3">
        <v>1</v>
      </c>
      <c r="AK2236" s="1" t="s">
        <v>52</v>
      </c>
      <c r="AL2236" s="3">
        <v>1</v>
      </c>
      <c r="AM2236" s="1"/>
      <c r="AN2236" s="1"/>
      <c r="AO2236" s="1" t="s">
        <v>5110</v>
      </c>
      <c r="AP2236" s="1" t="s">
        <v>5110</v>
      </c>
      <c r="AQ2236" s="1" t="s">
        <v>5110</v>
      </c>
      <c r="AR2236" s="1" t="s">
        <v>12112</v>
      </c>
    </row>
    <row r="2237">
      <c r="A2237" s="2">
        <f ca="1">DATE(2006,09,26)</f>
        <v>0</v>
      </c>
      <c r="B2237" s="2">
        <f ca="1">DATE(2007,10,22)</f>
        <v>0</v>
      </c>
      <c r="C2237" s="1" t="s">
        <v>15895</v>
      </c>
      <c r="D2237" s="3">
        <v>2911</v>
      </c>
      <c r="E2237" s="1" t="s">
        <v>43</v>
      </c>
      <c r="F2237" s="1" t="s">
        <v>15896</v>
      </c>
      <c r="G2237" s="1" t="s">
        <v>15897</v>
      </c>
      <c r="H2237" s="4">
        <v>1.24</v>
      </c>
      <c r="I2237" s="4">
        <v>6.5259999999999998</v>
      </c>
      <c r="J2237" s="5">
        <v>380</v>
      </c>
      <c r="K2237" s="4">
        <v>19</v>
      </c>
      <c r="L2237" s="1" t="s">
        <v>46</v>
      </c>
      <c r="M2237" s="1" t="s">
        <v>47</v>
      </c>
      <c r="N2237" s="1" t="s">
        <v>15898</v>
      </c>
      <c r="O2237" s="1" t="s">
        <v>108</v>
      </c>
      <c r="P2237" s="1" t="s">
        <v>15899</v>
      </c>
      <c r="Q2237" s="1" t="s">
        <v>145</v>
      </c>
      <c r="R2237" s="1" t="s">
        <v>145</v>
      </c>
      <c r="S2237" s="1"/>
      <c r="T2237" s="1" t="s">
        <v>50</v>
      </c>
      <c r="U2237" s="1"/>
      <c r="V2237" s="1"/>
      <c r="W2237" s="1"/>
      <c r="X2237" s="5">
        <v>300</v>
      </c>
      <c r="Y2237" s="7">
        <v>20000000</v>
      </c>
      <c r="Z2237" s="1"/>
      <c r="AA2237" s="1" t="s">
        <v>15900</v>
      </c>
      <c r="AB2237" s="1" t="s">
        <v>2067</v>
      </c>
      <c r="AC2237" s="1" t="s">
        <v>2068</v>
      </c>
      <c r="AD2237" s="1" t="s">
        <v>2067</v>
      </c>
      <c r="AE2237" s="1" t="s">
        <v>51</v>
      </c>
      <c r="AF2237" s="1" t="s">
        <v>51</v>
      </c>
      <c r="AG2237" s="1" t="s">
        <v>51</v>
      </c>
      <c r="AH2237" s="1"/>
      <c r="AI2237" s="1" t="s">
        <v>15901</v>
      </c>
      <c r="AJ2237" s="3">
        <v>2</v>
      </c>
      <c r="AK2237" s="1" t="s">
        <v>89</v>
      </c>
      <c r="AL2237" s="3">
        <v>5</v>
      </c>
      <c r="AM2237" s="8">
        <v>21.050000000000001</v>
      </c>
      <c r="AN2237" s="1"/>
      <c r="AO2237" s="1" t="s">
        <v>15902</v>
      </c>
      <c r="AP2237" s="1" t="s">
        <v>7948</v>
      </c>
      <c r="AQ2237" s="1" t="s">
        <v>15903</v>
      </c>
      <c r="AR2237" s="1" t="s">
        <v>15904</v>
      </c>
    </row>
    <row r="2238">
      <c r="A2238" s="2">
        <f ca="1">DATE(2007,07,12)</f>
        <v>0</v>
      </c>
      <c r="B2238" s="2">
        <f ca="1">DATE(2007,10,22)</f>
        <v>0</v>
      </c>
      <c r="C2238" s="1" t="s">
        <v>15905</v>
      </c>
      <c r="D2238" s="3">
        <v>6726</v>
      </c>
      <c r="E2238" s="1" t="s">
        <v>43</v>
      </c>
      <c r="F2238" s="1" t="s">
        <v>15906</v>
      </c>
      <c r="G2238" s="1" t="s">
        <v>15222</v>
      </c>
      <c r="H2238" s="4">
        <v>0.69999999999999996</v>
      </c>
      <c r="I2238" s="8">
        <v>7</v>
      </c>
      <c r="J2238" s="5">
        <v>480</v>
      </c>
      <c r="K2238" s="4">
        <v>10</v>
      </c>
      <c r="L2238" s="1" t="s">
        <v>31</v>
      </c>
      <c r="M2238" s="1" t="s">
        <v>47</v>
      </c>
      <c r="N2238" s="1" t="s">
        <v>15907</v>
      </c>
      <c r="O2238" s="1" t="s">
        <v>87</v>
      </c>
      <c r="P2238" s="1" t="s">
        <v>15908</v>
      </c>
      <c r="Q2238" s="1" t="s">
        <v>145</v>
      </c>
      <c r="R2238" s="1" t="s">
        <v>145</v>
      </c>
      <c r="S2238" s="1"/>
      <c r="T2238" s="1" t="s">
        <v>50</v>
      </c>
      <c r="U2238" s="8">
        <v>10</v>
      </c>
      <c r="V2238" s="8">
        <v>10</v>
      </c>
      <c r="W2238" s="7">
        <v>40000000</v>
      </c>
      <c r="X2238" s="5">
        <v>400</v>
      </c>
      <c r="Y2238" s="7">
        <v>48000000</v>
      </c>
      <c r="Z2238" s="1"/>
      <c r="AA2238" s="1" t="s">
        <v>15900</v>
      </c>
      <c r="AB2238" s="1" t="s">
        <v>2067</v>
      </c>
      <c r="AC2238" s="1" t="s">
        <v>2068</v>
      </c>
      <c r="AD2238" s="1" t="s">
        <v>2067</v>
      </c>
      <c r="AE2238" s="1" t="s">
        <v>51</v>
      </c>
      <c r="AF2238" s="1" t="s">
        <v>51</v>
      </c>
      <c r="AG2238" s="1" t="s">
        <v>51</v>
      </c>
      <c r="AH2238" s="1"/>
      <c r="AI2238" s="1"/>
      <c r="AJ2238" s="3">
        <v>1</v>
      </c>
      <c r="AK2238" s="1" t="s">
        <v>52</v>
      </c>
      <c r="AL2238" s="3">
        <v>4</v>
      </c>
      <c r="AM2238" s="8">
        <v>10.109999999999999</v>
      </c>
      <c r="AN2238" s="1"/>
      <c r="AO2238" s="1" t="s">
        <v>15909</v>
      </c>
      <c r="AP2238" s="1" t="s">
        <v>15222</v>
      </c>
      <c r="AQ2238" s="1" t="s">
        <v>15910</v>
      </c>
      <c r="AR2238" s="1" t="s">
        <v>15911</v>
      </c>
    </row>
    <row r="2239">
      <c r="A2239" s="2">
        <f ca="1">DATE(2007,07,02)</f>
        <v>0</v>
      </c>
      <c r="B2239" s="2">
        <f ca="1">DATE(2007,10,23)</f>
        <v>0</v>
      </c>
      <c r="C2239" s="1" t="s">
        <v>15912</v>
      </c>
      <c r="D2239" s="3">
        <v>3911</v>
      </c>
      <c r="E2239" s="1" t="s">
        <v>744</v>
      </c>
      <c r="F2239" s="1" t="s">
        <v>15913</v>
      </c>
      <c r="G2239" s="1" t="s">
        <v>13991</v>
      </c>
      <c r="H2239" s="4">
        <v>0.63</v>
      </c>
      <c r="I2239" s="4">
        <v>7</v>
      </c>
      <c r="J2239" s="5">
        <v>63.299999999999997</v>
      </c>
      <c r="K2239" s="4">
        <v>9</v>
      </c>
      <c r="L2239" s="1" t="s">
        <v>46</v>
      </c>
      <c r="M2239" s="1" t="s">
        <v>47</v>
      </c>
      <c r="N2239" s="1" t="s">
        <v>15914</v>
      </c>
      <c r="O2239" s="1" t="s">
        <v>48</v>
      </c>
      <c r="P2239" s="1" t="s">
        <v>15915</v>
      </c>
      <c r="Q2239" s="1" t="s">
        <v>145</v>
      </c>
      <c r="R2239" s="1" t="s">
        <v>145</v>
      </c>
      <c r="S2239" s="8">
        <v>4.2000000000000002</v>
      </c>
      <c r="T2239" s="1" t="s">
        <v>50</v>
      </c>
      <c r="U2239" s="1"/>
      <c r="V2239" s="1"/>
      <c r="W2239" s="1"/>
      <c r="X2239" s="5">
        <v>57.5</v>
      </c>
      <c r="Y2239" s="7">
        <v>7033816</v>
      </c>
      <c r="Z2239" s="1"/>
      <c r="AA2239" s="1" t="s">
        <v>15916</v>
      </c>
      <c r="AB2239" s="1" t="s">
        <v>2067</v>
      </c>
      <c r="AC2239" s="1" t="s">
        <v>2068</v>
      </c>
      <c r="AD2239" s="1" t="s">
        <v>2067</v>
      </c>
      <c r="AE2239" s="1" t="s">
        <v>51</v>
      </c>
      <c r="AF2239" s="1" t="s">
        <v>51</v>
      </c>
      <c r="AG2239" s="1" t="s">
        <v>51</v>
      </c>
      <c r="AH2239" s="1"/>
      <c r="AI2239" s="1"/>
      <c r="AJ2239" s="3">
        <v>1</v>
      </c>
      <c r="AK2239" s="1" t="s">
        <v>52</v>
      </c>
      <c r="AL2239" s="3">
        <v>2</v>
      </c>
      <c r="AM2239" s="8">
        <v>10.470000000000001</v>
      </c>
      <c r="AN2239" s="1"/>
      <c r="AO2239" s="1" t="s">
        <v>15917</v>
      </c>
      <c r="AP2239" s="1" t="s">
        <v>13991</v>
      </c>
      <c r="AQ2239" s="1" t="s">
        <v>15918</v>
      </c>
      <c r="AR2239" s="1" t="s">
        <v>15919</v>
      </c>
    </row>
    <row r="2240">
      <c r="A2240" s="2">
        <f ca="1">DATE(2007,10,01)</f>
        <v>0</v>
      </c>
      <c r="B2240" s="2">
        <f ca="1">DATE(2007,10,23)</f>
        <v>0</v>
      </c>
      <c r="C2240" s="1" t="s">
        <v>15920</v>
      </c>
      <c r="D2240" s="3">
        <v>7371</v>
      </c>
      <c r="E2240" s="1" t="s">
        <v>744</v>
      </c>
      <c r="F2240" s="1" t="s">
        <v>15921</v>
      </c>
      <c r="G2240" s="1" t="s">
        <v>15922</v>
      </c>
      <c r="H2240" s="4">
        <v>1.2250000000000001</v>
      </c>
      <c r="I2240" s="4">
        <v>7</v>
      </c>
      <c r="J2240" s="5">
        <v>182.59999999999999</v>
      </c>
      <c r="K2240" s="4">
        <v>17.5</v>
      </c>
      <c r="L2240" s="1" t="s">
        <v>651</v>
      </c>
      <c r="M2240" s="1" t="s">
        <v>47</v>
      </c>
      <c r="N2240" s="1" t="s">
        <v>15923</v>
      </c>
      <c r="O2240" s="1" t="s">
        <v>108</v>
      </c>
      <c r="P2240" s="1" t="s">
        <v>15924</v>
      </c>
      <c r="Q2240" s="4">
        <v>1.3999999999999999</v>
      </c>
      <c r="R2240" s="4">
        <v>1.3999999999999999</v>
      </c>
      <c r="S2240" s="8">
        <v>4.2000000000000002</v>
      </c>
      <c r="T2240" s="1" t="s">
        <v>50</v>
      </c>
      <c r="U2240" s="1"/>
      <c r="V2240" s="1"/>
      <c r="W2240" s="1"/>
      <c r="X2240" s="5">
        <v>200</v>
      </c>
      <c r="Y2240" s="7">
        <v>8556290</v>
      </c>
      <c r="Z2240" s="7">
        <v>1878210</v>
      </c>
      <c r="AA2240" s="1" t="s">
        <v>15925</v>
      </c>
      <c r="AB2240" s="1" t="s">
        <v>5265</v>
      </c>
      <c r="AC2240" s="1" t="s">
        <v>7759</v>
      </c>
      <c r="AD2240" s="1" t="s">
        <v>5265</v>
      </c>
      <c r="AE2240" s="1" t="s">
        <v>47</v>
      </c>
      <c r="AF2240" s="1" t="s">
        <v>51</v>
      </c>
      <c r="AG2240" s="1" t="s">
        <v>47</v>
      </c>
      <c r="AH2240" s="1"/>
      <c r="AI2240" s="1"/>
      <c r="AJ2240" s="3">
        <v>2</v>
      </c>
      <c r="AK2240" s="1" t="s">
        <v>89</v>
      </c>
      <c r="AL2240" s="3">
        <v>3</v>
      </c>
      <c r="AM2240" s="8">
        <v>29.73</v>
      </c>
      <c r="AN2240" s="1"/>
      <c r="AO2240" s="1" t="s">
        <v>15926</v>
      </c>
      <c r="AP2240" s="1" t="s">
        <v>15927</v>
      </c>
      <c r="AQ2240" s="1" t="s">
        <v>15928</v>
      </c>
      <c r="AR2240" s="1" t="s">
        <v>15924</v>
      </c>
    </row>
    <row r="2241">
      <c r="A2241" s="2">
        <f ca="1">DATE(2007,04,25)</f>
        <v>0</v>
      </c>
      <c r="B2241" s="2">
        <f ca="1">DATE(2007,10,23)</f>
        <v>0</v>
      </c>
      <c r="C2241" s="1" t="s">
        <v>15929</v>
      </c>
      <c r="D2241" s="3">
        <v>1311</v>
      </c>
      <c r="E2241" s="1" t="s">
        <v>43</v>
      </c>
      <c r="F2241" s="1" t="s">
        <v>15930</v>
      </c>
      <c r="G2241" s="1" t="s">
        <v>15222</v>
      </c>
      <c r="H2241" s="4">
        <v>1.2589999999999999</v>
      </c>
      <c r="I2241" s="4">
        <v>6.6260000000000003</v>
      </c>
      <c r="J2241" s="5">
        <v>99.799999999999997</v>
      </c>
      <c r="K2241" s="4">
        <v>19</v>
      </c>
      <c r="L2241" s="1" t="s">
        <v>5598</v>
      </c>
      <c r="M2241" s="1" t="s">
        <v>47</v>
      </c>
      <c r="N2241" s="1" t="s">
        <v>15931</v>
      </c>
      <c r="O2241" s="1" t="s">
        <v>108</v>
      </c>
      <c r="P2241" s="1" t="s">
        <v>15932</v>
      </c>
      <c r="Q2241" s="1" t="s">
        <v>145</v>
      </c>
      <c r="R2241" s="1" t="s">
        <v>145</v>
      </c>
      <c r="S2241" s="6">
        <v>3.9736799999999999</v>
      </c>
      <c r="T2241" s="1" t="s">
        <v>50</v>
      </c>
      <c r="U2241" s="1"/>
      <c r="V2241" s="1"/>
      <c r="W2241" s="7">
        <v>6000000</v>
      </c>
      <c r="X2241" s="1"/>
      <c r="Y2241" s="7">
        <v>5250000</v>
      </c>
      <c r="Z2241" s="1"/>
      <c r="AA2241" s="1" t="s">
        <v>15916</v>
      </c>
      <c r="AB2241" s="1" t="s">
        <v>2067</v>
      </c>
      <c r="AC2241" s="1" t="s">
        <v>2068</v>
      </c>
      <c r="AD2241" s="1" t="s">
        <v>2067</v>
      </c>
      <c r="AE2241" s="1" t="s">
        <v>51</v>
      </c>
      <c r="AF2241" s="1" t="s">
        <v>51</v>
      </c>
      <c r="AG2241" s="1" t="s">
        <v>51</v>
      </c>
      <c r="AH2241" s="1"/>
      <c r="AI2241" s="1"/>
      <c r="AJ2241" s="3">
        <v>1</v>
      </c>
      <c r="AK2241" s="1" t="s">
        <v>52</v>
      </c>
      <c r="AL2241" s="3">
        <v>6</v>
      </c>
      <c r="AM2241" s="8">
        <v>19</v>
      </c>
      <c r="AN2241" s="1"/>
      <c r="AO2241" s="1" t="s">
        <v>15933</v>
      </c>
      <c r="AP2241" s="1" t="s">
        <v>15222</v>
      </c>
      <c r="AQ2241" s="1" t="s">
        <v>15934</v>
      </c>
      <c r="AR2241" s="1" t="s">
        <v>15932</v>
      </c>
    </row>
    <row r="2242">
      <c r="A2242" s="2">
        <f ca="1">DATE(2006,12,20)</f>
        <v>0</v>
      </c>
      <c r="B2242" s="2">
        <f ca="1">DATE(2007,10,24)</f>
        <v>0</v>
      </c>
      <c r="C2242" s="1" t="s">
        <v>15935</v>
      </c>
      <c r="D2242" s="3">
        <v>3851</v>
      </c>
      <c r="E2242" s="1" t="s">
        <v>43</v>
      </c>
      <c r="F2242" s="1" t="s">
        <v>15936</v>
      </c>
      <c r="G2242" s="1" t="s">
        <v>15937</v>
      </c>
      <c r="H2242" s="4">
        <v>1.1200000000000001</v>
      </c>
      <c r="I2242" s="4">
        <v>7</v>
      </c>
      <c r="J2242" s="5">
        <v>192</v>
      </c>
      <c r="K2242" s="4">
        <v>16</v>
      </c>
      <c r="L2242" s="1" t="s">
        <v>1057</v>
      </c>
      <c r="M2242" s="1" t="s">
        <v>47</v>
      </c>
      <c r="N2242" s="1" t="s">
        <v>15938</v>
      </c>
      <c r="O2242" s="1" t="s">
        <v>48</v>
      </c>
      <c r="P2242" s="1" t="s">
        <v>15939</v>
      </c>
      <c r="Q2242" s="1" t="s">
        <v>145</v>
      </c>
      <c r="R2242" s="1" t="s">
        <v>145</v>
      </c>
      <c r="S2242" s="8">
        <v>4.2000000000000002</v>
      </c>
      <c r="T2242" s="1" t="s">
        <v>50</v>
      </c>
      <c r="U2242" s="1"/>
      <c r="V2242" s="1"/>
      <c r="W2242" s="1"/>
      <c r="X2242" s="5">
        <v>143.80000000000001</v>
      </c>
      <c r="Y2242" s="7">
        <v>10000000</v>
      </c>
      <c r="Z2242" s="7">
        <v>2000000</v>
      </c>
      <c r="AA2242" s="1" t="s">
        <v>15940</v>
      </c>
      <c r="AB2242" s="1" t="s">
        <v>5265</v>
      </c>
      <c r="AC2242" s="1" t="s">
        <v>7759</v>
      </c>
      <c r="AD2242" s="1" t="s">
        <v>5265</v>
      </c>
      <c r="AE2242" s="1" t="s">
        <v>51</v>
      </c>
      <c r="AF2242" s="1" t="s">
        <v>51</v>
      </c>
      <c r="AG2242" s="1" t="s">
        <v>51</v>
      </c>
      <c r="AH2242" s="1"/>
      <c r="AI2242" s="1"/>
      <c r="AJ2242" s="3">
        <v>2</v>
      </c>
      <c r="AK2242" s="1" t="s">
        <v>89</v>
      </c>
      <c r="AL2242" s="3">
        <v>4</v>
      </c>
      <c r="AM2242" s="8">
        <v>17.050000000000001</v>
      </c>
      <c r="AN2242" s="3">
        <v>18</v>
      </c>
      <c r="AO2242" s="1" t="s">
        <v>15941</v>
      </c>
      <c r="AP2242" s="1" t="s">
        <v>15942</v>
      </c>
      <c r="AQ2242" s="1" t="s">
        <v>15943</v>
      </c>
      <c r="AR2242" s="1" t="s">
        <v>15939</v>
      </c>
    </row>
    <row r="2243">
      <c r="A2243" s="2">
        <f ca="1">DATE(2007,06,11)</f>
        <v>0</v>
      </c>
      <c r="B2243" s="2">
        <f ca="1">DATE(2007,10,24)</f>
        <v>0</v>
      </c>
      <c r="C2243" s="1" t="s">
        <v>15944</v>
      </c>
      <c r="D2243" s="3">
        <v>6282</v>
      </c>
      <c r="E2243" s="1" t="s">
        <v>43</v>
      </c>
      <c r="F2243" s="1" t="s">
        <v>15945</v>
      </c>
      <c r="G2243" s="1" t="s">
        <v>6891</v>
      </c>
      <c r="H2243" s="4">
        <v>1.26</v>
      </c>
      <c r="I2243" s="4">
        <v>7</v>
      </c>
      <c r="J2243" s="5">
        <v>109.8</v>
      </c>
      <c r="K2243" s="4">
        <v>18</v>
      </c>
      <c r="L2243" s="1" t="s">
        <v>5129</v>
      </c>
      <c r="M2243" s="1" t="s">
        <v>47</v>
      </c>
      <c r="N2243" s="1" t="s">
        <v>15946</v>
      </c>
      <c r="O2243" s="1" t="s">
        <v>108</v>
      </c>
      <c r="P2243" s="1" t="s">
        <v>15947</v>
      </c>
      <c r="Q2243" s="1" t="s">
        <v>145</v>
      </c>
      <c r="R2243" s="1" t="s">
        <v>145</v>
      </c>
      <c r="S2243" s="1"/>
      <c r="T2243" s="1" t="s">
        <v>50</v>
      </c>
      <c r="U2243" s="1"/>
      <c r="V2243" s="1"/>
      <c r="W2243" s="1"/>
      <c r="X2243" s="5">
        <v>150</v>
      </c>
      <c r="Y2243" s="7">
        <v>6100000</v>
      </c>
      <c r="Z2243" s="1"/>
      <c r="AA2243" s="1" t="s">
        <v>15948</v>
      </c>
      <c r="AB2243" s="1" t="s">
        <v>2067</v>
      </c>
      <c r="AC2243" s="1" t="s">
        <v>2068</v>
      </c>
      <c r="AD2243" s="1" t="s">
        <v>2067</v>
      </c>
      <c r="AE2243" s="1" t="s">
        <v>51</v>
      </c>
      <c r="AF2243" s="1" t="s">
        <v>51</v>
      </c>
      <c r="AG2243" s="1" t="s">
        <v>51</v>
      </c>
      <c r="AH2243" s="1"/>
      <c r="AI2243" s="1"/>
      <c r="AJ2243" s="3">
        <v>2</v>
      </c>
      <c r="AK2243" s="1" t="s">
        <v>89</v>
      </c>
      <c r="AL2243" s="3">
        <v>6</v>
      </c>
      <c r="AM2243" s="8">
        <v>20.09</v>
      </c>
      <c r="AN2243" s="1"/>
      <c r="AO2243" s="1" t="s">
        <v>15949</v>
      </c>
      <c r="AP2243" s="1" t="s">
        <v>6894</v>
      </c>
      <c r="AQ2243" s="1" t="s">
        <v>15950</v>
      </c>
      <c r="AR2243" s="1" t="s">
        <v>15951</v>
      </c>
    </row>
    <row r="2244">
      <c r="A2244" s="2">
        <f ca="1">DATE(2007,06,25)</f>
        <v>0</v>
      </c>
      <c r="B2244" s="2">
        <f ca="1">DATE(2007,10,24)</f>
        <v>0</v>
      </c>
      <c r="C2244" s="1" t="s">
        <v>15952</v>
      </c>
      <c r="D2244" s="3">
        <v>6726</v>
      </c>
      <c r="E2244" s="1" t="s">
        <v>43</v>
      </c>
      <c r="F2244" s="1" t="s">
        <v>15953</v>
      </c>
      <c r="G2244" s="1" t="s">
        <v>15954</v>
      </c>
      <c r="H2244" s="4">
        <v>0.56000000000000005</v>
      </c>
      <c r="I2244" s="4">
        <v>7</v>
      </c>
      <c r="J2244" s="5">
        <v>80</v>
      </c>
      <c r="K2244" s="4">
        <v>8</v>
      </c>
      <c r="L2244" s="1" t="s">
        <v>46</v>
      </c>
      <c r="M2244" s="1" t="s">
        <v>47</v>
      </c>
      <c r="N2244" s="1" t="s">
        <v>15955</v>
      </c>
      <c r="O2244" s="1" t="s">
        <v>87</v>
      </c>
      <c r="P2244" s="1" t="s">
        <v>15956</v>
      </c>
      <c r="Q2244" s="1" t="s">
        <v>145</v>
      </c>
      <c r="R2244" s="1" t="s">
        <v>145</v>
      </c>
      <c r="S2244" s="8">
        <v>1.8</v>
      </c>
      <c r="T2244" s="1" t="s">
        <v>50</v>
      </c>
      <c r="U2244" s="8">
        <v>8</v>
      </c>
      <c r="V2244" s="8">
        <v>8</v>
      </c>
      <c r="W2244" s="7">
        <v>10000000</v>
      </c>
      <c r="X2244" s="5">
        <v>80</v>
      </c>
      <c r="Y2244" s="7">
        <v>10000000</v>
      </c>
      <c r="Z2244" s="1"/>
      <c r="AA2244" s="1"/>
      <c r="AB2244" s="1"/>
      <c r="AC2244" s="1"/>
      <c r="AD2244" s="1"/>
      <c r="AE2244" s="1" t="s">
        <v>51</v>
      </c>
      <c r="AF2244" s="1" t="s">
        <v>51</v>
      </c>
      <c r="AG2244" s="1" t="s">
        <v>51</v>
      </c>
      <c r="AH2244" s="1"/>
      <c r="AI2244" s="1"/>
      <c r="AJ2244" s="3">
        <v>1</v>
      </c>
      <c r="AK2244" s="1" t="s">
        <v>52</v>
      </c>
      <c r="AL2244" s="3">
        <v>4</v>
      </c>
      <c r="AM2244" s="8">
        <v>7.9199999999999999</v>
      </c>
      <c r="AN2244" s="1"/>
      <c r="AO2244" s="1" t="s">
        <v>15957</v>
      </c>
      <c r="AP2244" s="1" t="s">
        <v>15954</v>
      </c>
      <c r="AQ2244" s="1" t="s">
        <v>15958</v>
      </c>
      <c r="AR2244" s="1" t="s">
        <v>15959</v>
      </c>
    </row>
    <row r="2245">
      <c r="A2245" s="2">
        <f ca="1">DATE(2007,07,06)</f>
        <v>0</v>
      </c>
      <c r="B2245" s="2">
        <f ca="1">DATE(2007,10,24)</f>
        <v>0</v>
      </c>
      <c r="C2245" s="1" t="s">
        <v>15960</v>
      </c>
      <c r="D2245" s="3">
        <v>5999</v>
      </c>
      <c r="E2245" s="1" t="s">
        <v>43</v>
      </c>
      <c r="F2245" s="1" t="s">
        <v>15961</v>
      </c>
      <c r="G2245" s="1" t="s">
        <v>15962</v>
      </c>
      <c r="H2245" s="4">
        <v>1.26</v>
      </c>
      <c r="I2245" s="4">
        <v>7</v>
      </c>
      <c r="J2245" s="5">
        <v>153.69999999999999</v>
      </c>
      <c r="K2245" s="4">
        <v>18</v>
      </c>
      <c r="L2245" s="1" t="s">
        <v>46</v>
      </c>
      <c r="M2245" s="1" t="s">
        <v>47</v>
      </c>
      <c r="N2245" s="1" t="s">
        <v>15963</v>
      </c>
      <c r="O2245" s="1" t="s">
        <v>48</v>
      </c>
      <c r="P2245" s="1" t="s">
        <v>15964</v>
      </c>
      <c r="Q2245" s="1" t="s">
        <v>145</v>
      </c>
      <c r="R2245" s="1" t="s">
        <v>145</v>
      </c>
      <c r="S2245" s="8">
        <v>4.2000000000000002</v>
      </c>
      <c r="T2245" s="1" t="s">
        <v>50</v>
      </c>
      <c r="U2245" s="1"/>
      <c r="V2245" s="1"/>
      <c r="W2245" s="1"/>
      <c r="X2245" s="5">
        <v>115</v>
      </c>
      <c r="Y2245" s="7">
        <v>7666667</v>
      </c>
      <c r="Z2245" s="7">
        <v>872981</v>
      </c>
      <c r="AA2245" s="1" t="s">
        <v>15940</v>
      </c>
      <c r="AB2245" s="1" t="s">
        <v>5265</v>
      </c>
      <c r="AC2245" s="1" t="s">
        <v>7759</v>
      </c>
      <c r="AD2245" s="1" t="s">
        <v>5265</v>
      </c>
      <c r="AE2245" s="1" t="s">
        <v>51</v>
      </c>
      <c r="AF2245" s="1" t="s">
        <v>51</v>
      </c>
      <c r="AG2245" s="1" t="s">
        <v>47</v>
      </c>
      <c r="AH2245" s="1"/>
      <c r="AI2245" s="1"/>
      <c r="AJ2245" s="3">
        <v>2</v>
      </c>
      <c r="AK2245" s="1" t="s">
        <v>89</v>
      </c>
      <c r="AL2245" s="3">
        <v>5</v>
      </c>
      <c r="AM2245" s="8">
        <v>29.82</v>
      </c>
      <c r="AN2245" s="1"/>
      <c r="AO2245" s="1" t="s">
        <v>15965</v>
      </c>
      <c r="AP2245" s="1" t="s">
        <v>15966</v>
      </c>
      <c r="AQ2245" s="1" t="s">
        <v>15967</v>
      </c>
      <c r="AR2245" s="1" t="s">
        <v>15968</v>
      </c>
    </row>
    <row r="2246">
      <c r="A2246" s="2">
        <f ca="1">DATE(2007,02,14)</f>
        <v>0</v>
      </c>
      <c r="B2246" s="2">
        <f ca="1">DATE(2007,10,25)</f>
        <v>0</v>
      </c>
      <c r="C2246" s="1" t="s">
        <v>15969</v>
      </c>
      <c r="D2246" s="3">
        <v>2834</v>
      </c>
      <c r="E2246" s="1" t="s">
        <v>43</v>
      </c>
      <c r="F2246" s="1" t="s">
        <v>15970</v>
      </c>
      <c r="G2246" s="1" t="s">
        <v>15971</v>
      </c>
      <c r="H2246" s="4">
        <v>0.28000000000000003</v>
      </c>
      <c r="I2246" s="4">
        <v>7</v>
      </c>
      <c r="J2246" s="5">
        <v>20</v>
      </c>
      <c r="K2246" s="4">
        <v>4</v>
      </c>
      <c r="L2246" s="1" t="s">
        <v>46</v>
      </c>
      <c r="M2246" s="1" t="s">
        <v>47</v>
      </c>
      <c r="N2246" s="1" t="s">
        <v>15972</v>
      </c>
      <c r="O2246" s="1" t="s">
        <v>3689</v>
      </c>
      <c r="P2246" s="1" t="s">
        <v>15973</v>
      </c>
      <c r="Q2246" s="1" t="s">
        <v>145</v>
      </c>
      <c r="R2246" s="1" t="s">
        <v>145</v>
      </c>
      <c r="S2246" s="8">
        <v>3.5</v>
      </c>
      <c r="T2246" s="1" t="s">
        <v>50</v>
      </c>
      <c r="U2246" s="1"/>
      <c r="V2246" s="1"/>
      <c r="W2246" s="1"/>
      <c r="X2246" s="5">
        <v>23</v>
      </c>
      <c r="Y2246" s="7">
        <v>5000000</v>
      </c>
      <c r="Z2246" s="1"/>
      <c r="AA2246" s="1" t="s">
        <v>15974</v>
      </c>
      <c r="AB2246" s="1" t="s">
        <v>5265</v>
      </c>
      <c r="AC2246" s="1" t="s">
        <v>12911</v>
      </c>
      <c r="AD2246" s="1" t="s">
        <v>5265</v>
      </c>
      <c r="AE2246" s="1" t="s">
        <v>51</v>
      </c>
      <c r="AF2246" s="1" t="s">
        <v>51</v>
      </c>
      <c r="AG2246" s="1" t="s">
        <v>51</v>
      </c>
      <c r="AH2246" s="1"/>
      <c r="AI2246" s="1"/>
      <c r="AJ2246" s="3">
        <v>3</v>
      </c>
      <c r="AK2246" s="1" t="s">
        <v>110</v>
      </c>
      <c r="AL2246" s="3">
        <v>4</v>
      </c>
      <c r="AM2246" s="8">
        <v>3.6200000000000001</v>
      </c>
      <c r="AN2246" s="1"/>
      <c r="AO2246" s="1" t="s">
        <v>15975</v>
      </c>
      <c r="AP2246" s="1" t="s">
        <v>15976</v>
      </c>
      <c r="AQ2246" s="1" t="s">
        <v>15977</v>
      </c>
      <c r="AR2246" s="1" t="s">
        <v>15973</v>
      </c>
    </row>
    <row r="2247">
      <c r="A2247" s="2">
        <f ca="1">DATE(2007,05,14)</f>
        <v>0</v>
      </c>
      <c r="B2247" s="2">
        <f ca="1">DATE(2007,10,25)</f>
        <v>0</v>
      </c>
      <c r="C2247" s="1" t="s">
        <v>15978</v>
      </c>
      <c r="D2247" s="3">
        <v>3841</v>
      </c>
      <c r="E2247" s="1" t="s">
        <v>43</v>
      </c>
      <c r="F2247" s="1" t="s">
        <v>15979</v>
      </c>
      <c r="G2247" s="1" t="s">
        <v>15980</v>
      </c>
      <c r="H2247" s="4">
        <v>0.77000000000000002</v>
      </c>
      <c r="I2247" s="4">
        <v>7</v>
      </c>
      <c r="J2247" s="5">
        <v>42.399999999999999</v>
      </c>
      <c r="K2247" s="4">
        <v>11</v>
      </c>
      <c r="L2247" s="1" t="s">
        <v>46</v>
      </c>
      <c r="M2247" s="1" t="s">
        <v>47</v>
      </c>
      <c r="N2247" s="3">
        <v>739299105</v>
      </c>
      <c r="O2247" s="1" t="s">
        <v>77</v>
      </c>
      <c r="P2247" s="1" t="s">
        <v>15981</v>
      </c>
      <c r="Q2247" s="1" t="s">
        <v>145</v>
      </c>
      <c r="R2247" s="1" t="s">
        <v>145</v>
      </c>
      <c r="S2247" s="6">
        <v>4.2727300000000001</v>
      </c>
      <c r="T2247" s="1" t="s">
        <v>50</v>
      </c>
      <c r="U2247" s="1"/>
      <c r="V2247" s="1"/>
      <c r="W2247" s="1"/>
      <c r="X2247" s="5">
        <v>100</v>
      </c>
      <c r="Y2247" s="7">
        <v>3850000</v>
      </c>
      <c r="Z2247" s="1"/>
      <c r="AA2247" s="1" t="s">
        <v>15982</v>
      </c>
      <c r="AB2247" s="1" t="s">
        <v>5265</v>
      </c>
      <c r="AC2247" s="1" t="s">
        <v>7759</v>
      </c>
      <c r="AD2247" s="1" t="s">
        <v>5265</v>
      </c>
      <c r="AE2247" s="1" t="s">
        <v>51</v>
      </c>
      <c r="AF2247" s="1" t="s">
        <v>51</v>
      </c>
      <c r="AG2247" s="1" t="s">
        <v>47</v>
      </c>
      <c r="AH2247" s="1"/>
      <c r="AI2247" s="1"/>
      <c r="AJ2247" s="3">
        <v>2</v>
      </c>
      <c r="AK2247" s="1" t="s">
        <v>89</v>
      </c>
      <c r="AL2247" s="3">
        <v>3</v>
      </c>
      <c r="AM2247" s="8">
        <v>11.789999999999999</v>
      </c>
      <c r="AN2247" s="1"/>
      <c r="AO2247" s="1" t="s">
        <v>15983</v>
      </c>
      <c r="AP2247" s="1" t="s">
        <v>15984</v>
      </c>
      <c r="AQ2247" s="1" t="s">
        <v>15985</v>
      </c>
      <c r="AR2247" s="1" t="s">
        <v>15981</v>
      </c>
    </row>
    <row r="2248">
      <c r="A2248" s="2">
        <f ca="1">DATE(2007,07,31)</f>
        <v>0</v>
      </c>
      <c r="B2248" s="2">
        <f ca="1">DATE(2007,10,29)</f>
        <v>0</v>
      </c>
      <c r="C2248" s="1" t="s">
        <v>15986</v>
      </c>
      <c r="D2248" s="3">
        <v>8071</v>
      </c>
      <c r="E2248" s="1" t="s">
        <v>43</v>
      </c>
      <c r="F2248" s="1" t="s">
        <v>15987</v>
      </c>
      <c r="G2248" s="1" t="s">
        <v>813</v>
      </c>
      <c r="H2248" s="4">
        <v>1.19</v>
      </c>
      <c r="I2248" s="8">
        <v>7</v>
      </c>
      <c r="J2248" s="5">
        <v>85</v>
      </c>
      <c r="K2248" s="4">
        <v>17</v>
      </c>
      <c r="L2248" s="1" t="s">
        <v>46</v>
      </c>
      <c r="M2248" s="1" t="s">
        <v>47</v>
      </c>
      <c r="N2248" s="1" t="s">
        <v>15988</v>
      </c>
      <c r="O2248" s="1" t="s">
        <v>48</v>
      </c>
      <c r="P2248" s="1" t="s">
        <v>15989</v>
      </c>
      <c r="Q2248" s="1" t="s">
        <v>145</v>
      </c>
      <c r="R2248" s="1" t="s">
        <v>145</v>
      </c>
      <c r="S2248" s="6">
        <v>4.23529</v>
      </c>
      <c r="T2248" s="1" t="s">
        <v>50</v>
      </c>
      <c r="U2248" s="1"/>
      <c r="V2248" s="1"/>
      <c r="W2248" s="1"/>
      <c r="X2248" s="5">
        <v>86.299999999999997</v>
      </c>
      <c r="Y2248" s="7">
        <v>4285714</v>
      </c>
      <c r="Z2248" s="7">
        <v>714286</v>
      </c>
      <c r="AA2248" s="1" t="s">
        <v>15990</v>
      </c>
      <c r="AB2248" s="1" t="s">
        <v>5265</v>
      </c>
      <c r="AC2248" s="1" t="s">
        <v>7759</v>
      </c>
      <c r="AD2248" s="1" t="s">
        <v>5265</v>
      </c>
      <c r="AE2248" s="1" t="s">
        <v>51</v>
      </c>
      <c r="AF2248" s="1" t="s">
        <v>51</v>
      </c>
      <c r="AG2248" s="1" t="s">
        <v>47</v>
      </c>
      <c r="AH2248" s="1"/>
      <c r="AI2248" s="1"/>
      <c r="AJ2248" s="3">
        <v>1</v>
      </c>
      <c r="AK2248" s="1" t="s">
        <v>52</v>
      </c>
      <c r="AL2248" s="3">
        <v>3</v>
      </c>
      <c r="AM2248" s="8">
        <v>25.350000000000001</v>
      </c>
      <c r="AN2248" s="1"/>
      <c r="AO2248" s="1" t="s">
        <v>15991</v>
      </c>
      <c r="AP2248" s="1" t="s">
        <v>813</v>
      </c>
      <c r="AQ2248" s="1" t="s">
        <v>15992</v>
      </c>
      <c r="AR2248" s="1" t="s">
        <v>15993</v>
      </c>
    </row>
    <row r="2249">
      <c r="A2249" s="2">
        <f ca="1">DATE(2007,10,10)</f>
        <v>0</v>
      </c>
      <c r="B2249" s="2">
        <f ca="1">DATE(2007,10,30)</f>
        <v>0</v>
      </c>
      <c r="C2249" s="1" t="s">
        <v>15994</v>
      </c>
      <c r="D2249" s="3">
        <v>6411</v>
      </c>
      <c r="E2249" s="1" t="s">
        <v>744</v>
      </c>
      <c r="F2249" s="1" t="s">
        <v>15995</v>
      </c>
      <c r="G2249" s="1" t="s">
        <v>796</v>
      </c>
      <c r="H2249" s="4">
        <v>1.1599999999999999</v>
      </c>
      <c r="I2249" s="8">
        <v>7.25</v>
      </c>
      <c r="J2249" s="5">
        <v>188.19999999999999</v>
      </c>
      <c r="K2249" s="4">
        <v>16</v>
      </c>
      <c r="L2249" s="1" t="s">
        <v>651</v>
      </c>
      <c r="M2249" s="1" t="s">
        <v>47</v>
      </c>
      <c r="N2249" s="1" t="s">
        <v>15996</v>
      </c>
      <c r="O2249" s="1" t="s">
        <v>48</v>
      </c>
      <c r="P2249" s="1" t="s">
        <v>15997</v>
      </c>
      <c r="Q2249" s="1" t="s">
        <v>145</v>
      </c>
      <c r="R2249" s="1" t="s">
        <v>145</v>
      </c>
      <c r="S2249" s="8">
        <v>4.2000000000000002</v>
      </c>
      <c r="T2249" s="1" t="s">
        <v>50</v>
      </c>
      <c r="U2249" s="1"/>
      <c r="V2249" s="1"/>
      <c r="W2249" s="1"/>
      <c r="X2249" s="5">
        <v>184</v>
      </c>
      <c r="Y2249" s="7">
        <v>9650000</v>
      </c>
      <c r="Z2249" s="7">
        <v>2112413</v>
      </c>
      <c r="AA2249" s="1" t="s">
        <v>15998</v>
      </c>
      <c r="AB2249" s="1" t="s">
        <v>5265</v>
      </c>
      <c r="AC2249" s="1" t="s">
        <v>7759</v>
      </c>
      <c r="AD2249" s="1" t="s">
        <v>5265</v>
      </c>
      <c r="AE2249" s="1" t="s">
        <v>47</v>
      </c>
      <c r="AF2249" s="1" t="s">
        <v>51</v>
      </c>
      <c r="AG2249" s="1" t="s">
        <v>51</v>
      </c>
      <c r="AH2249" s="1"/>
      <c r="AI2249" s="1"/>
      <c r="AJ2249" s="3">
        <v>1</v>
      </c>
      <c r="AK2249" s="1" t="s">
        <v>52</v>
      </c>
      <c r="AL2249" s="3">
        <v>4</v>
      </c>
      <c r="AM2249" s="8">
        <v>25.289999999999999</v>
      </c>
      <c r="AN2249" s="1"/>
      <c r="AO2249" s="1" t="s">
        <v>15999</v>
      </c>
      <c r="AP2249" s="1" t="s">
        <v>796</v>
      </c>
      <c r="AQ2249" s="1" t="s">
        <v>16000</v>
      </c>
      <c r="AR2249" s="1" t="s">
        <v>16001</v>
      </c>
    </row>
    <row r="2250">
      <c r="A2250" s="2">
        <f ca="1">DATE(2007,10,12)</f>
        <v>0</v>
      </c>
      <c r="B2250" s="2">
        <f ca="1">DATE(2007,10,30)</f>
        <v>0</v>
      </c>
      <c r="C2250" s="1" t="s">
        <v>16002</v>
      </c>
      <c r="D2250" s="3">
        <v>7375</v>
      </c>
      <c r="E2250" s="1" t="s">
        <v>934</v>
      </c>
      <c r="F2250" s="1" t="s">
        <v>16003</v>
      </c>
      <c r="G2250" s="1" t="s">
        <v>16004</v>
      </c>
      <c r="H2250" s="4">
        <v>0.83999999999999997</v>
      </c>
      <c r="I2250" s="8">
        <v>7</v>
      </c>
      <c r="J2250" s="5">
        <v>80.099999999999994</v>
      </c>
      <c r="K2250" s="4">
        <v>12</v>
      </c>
      <c r="L2250" s="1" t="s">
        <v>1057</v>
      </c>
      <c r="M2250" s="1" t="s">
        <v>47</v>
      </c>
      <c r="N2250" s="1"/>
      <c r="O2250" s="1" t="s">
        <v>48</v>
      </c>
      <c r="P2250" s="1" t="s">
        <v>16005</v>
      </c>
      <c r="Q2250" s="1" t="s">
        <v>145</v>
      </c>
      <c r="R2250" s="1" t="s">
        <v>145</v>
      </c>
      <c r="S2250" s="6">
        <v>4.1666699999999999</v>
      </c>
      <c r="T2250" s="1" t="s">
        <v>50</v>
      </c>
      <c r="U2250" s="8">
        <v>16</v>
      </c>
      <c r="V2250" s="8">
        <v>14</v>
      </c>
      <c r="W2250" s="7">
        <v>6675000</v>
      </c>
      <c r="X2250" s="5">
        <v>100.09999999999999</v>
      </c>
      <c r="Y2250" s="7">
        <v>6675000</v>
      </c>
      <c r="Z2250" s="1"/>
      <c r="AA2250" s="1" t="s">
        <v>16006</v>
      </c>
      <c r="AB2250" s="1" t="s">
        <v>2067</v>
      </c>
      <c r="AC2250" s="1" t="s">
        <v>2068</v>
      </c>
      <c r="AD2250" s="1" t="s">
        <v>2067</v>
      </c>
      <c r="AE2250" s="1" t="s">
        <v>51</v>
      </c>
      <c r="AF2250" s="1" t="s">
        <v>51</v>
      </c>
      <c r="AG2250" s="1" t="s">
        <v>51</v>
      </c>
      <c r="AH2250" s="1"/>
      <c r="AI2250" s="1"/>
      <c r="AJ2250" s="3">
        <v>2</v>
      </c>
      <c r="AK2250" s="1" t="s">
        <v>89</v>
      </c>
      <c r="AL2250" s="3">
        <v>5</v>
      </c>
      <c r="AM2250" s="1"/>
      <c r="AN2250" s="1"/>
      <c r="AO2250" s="1" t="s">
        <v>16007</v>
      </c>
      <c r="AP2250" s="1" t="s">
        <v>16008</v>
      </c>
      <c r="AQ2250" s="1" t="s">
        <v>16009</v>
      </c>
      <c r="AR2250" s="1" t="s">
        <v>16010</v>
      </c>
    </row>
    <row r="2251">
      <c r="A2251" s="2">
        <f ca="1">DATE(2007,10,12)</f>
        <v>0</v>
      </c>
      <c r="B2251" s="2">
        <f ca="1">DATE(2007,10,31)</f>
        <v>0</v>
      </c>
      <c r="C2251" s="1" t="s">
        <v>16011</v>
      </c>
      <c r="D2251" s="3">
        <v>7372</v>
      </c>
      <c r="E2251" s="1" t="s">
        <v>744</v>
      </c>
      <c r="F2251" s="1" t="s">
        <v>16012</v>
      </c>
      <c r="G2251" s="1" t="s">
        <v>11153</v>
      </c>
      <c r="H2251" s="4">
        <v>1.008</v>
      </c>
      <c r="I2251" s="4">
        <v>6.5</v>
      </c>
      <c r="J2251" s="5">
        <v>25</v>
      </c>
      <c r="K2251" s="4">
        <v>15.5</v>
      </c>
      <c r="L2251" s="1" t="s">
        <v>651</v>
      </c>
      <c r="M2251" s="1" t="s">
        <v>47</v>
      </c>
      <c r="N2251" s="3">
        <v>374511103</v>
      </c>
      <c r="O2251" s="1" t="s">
        <v>108</v>
      </c>
      <c r="P2251" s="1" t="s">
        <v>16013</v>
      </c>
      <c r="Q2251" s="1" t="s">
        <v>145</v>
      </c>
      <c r="R2251" s="1" t="s">
        <v>145</v>
      </c>
      <c r="S2251" s="1"/>
      <c r="T2251" s="1" t="s">
        <v>50</v>
      </c>
      <c r="U2251" s="1"/>
      <c r="V2251" s="1"/>
      <c r="W2251" s="1"/>
      <c r="X2251" s="1"/>
      <c r="Y2251" s="7">
        <v>1612903</v>
      </c>
      <c r="Z2251" s="1"/>
      <c r="AA2251" s="1" t="s">
        <v>16014</v>
      </c>
      <c r="AB2251" s="1" t="s">
        <v>5265</v>
      </c>
      <c r="AC2251" s="1" t="s">
        <v>7759</v>
      </c>
      <c r="AD2251" s="1" t="s">
        <v>5265</v>
      </c>
      <c r="AE2251" s="1" t="s">
        <v>47</v>
      </c>
      <c r="AF2251" s="1" t="s">
        <v>51</v>
      </c>
      <c r="AG2251" s="1" t="s">
        <v>51</v>
      </c>
      <c r="AH2251" s="1"/>
      <c r="AI2251" s="1"/>
      <c r="AJ2251" s="3">
        <v>2</v>
      </c>
      <c r="AK2251" s="1" t="s">
        <v>89</v>
      </c>
      <c r="AL2251" s="3">
        <v>6</v>
      </c>
      <c r="AM2251" s="8">
        <v>18.23</v>
      </c>
      <c r="AN2251" s="1"/>
      <c r="AO2251" s="1" t="s">
        <v>16015</v>
      </c>
      <c r="AP2251" s="1" t="s">
        <v>9826</v>
      </c>
      <c r="AQ2251" s="1" t="s">
        <v>16016</v>
      </c>
      <c r="AR2251" s="1" t="s">
        <v>16017</v>
      </c>
    </row>
    <row r="2252">
      <c r="A2252" s="2">
        <f ca="1">DATE(2007,10,12)</f>
        <v>0</v>
      </c>
      <c r="B2252" s="2">
        <f ca="1">DATE(2007,10,31)</f>
        <v>0</v>
      </c>
      <c r="C2252" s="1" t="s">
        <v>16011</v>
      </c>
      <c r="D2252" s="3">
        <v>7372</v>
      </c>
      <c r="E2252" s="1" t="s">
        <v>744</v>
      </c>
      <c r="F2252" s="1" t="s">
        <v>16012</v>
      </c>
      <c r="G2252" s="1" t="s">
        <v>11153</v>
      </c>
      <c r="H2252" s="4">
        <v>1.008</v>
      </c>
      <c r="I2252" s="4">
        <v>6.5</v>
      </c>
      <c r="J2252" s="5">
        <v>886.60000000000002</v>
      </c>
      <c r="K2252" s="4">
        <v>15.5</v>
      </c>
      <c r="L2252" s="1" t="s">
        <v>651</v>
      </c>
      <c r="M2252" s="1" t="s">
        <v>47</v>
      </c>
      <c r="N2252" s="3">
        <v>374511103</v>
      </c>
      <c r="O2252" s="1" t="s">
        <v>108</v>
      </c>
      <c r="P2252" s="1" t="s">
        <v>16013</v>
      </c>
      <c r="Q2252" s="1" t="s">
        <v>145</v>
      </c>
      <c r="R2252" s="1" t="s">
        <v>145</v>
      </c>
      <c r="S2252" s="1"/>
      <c r="T2252" s="1" t="s">
        <v>50</v>
      </c>
      <c r="U2252" s="1"/>
      <c r="V2252" s="1"/>
      <c r="W2252" s="1"/>
      <c r="X2252" s="5">
        <v>100</v>
      </c>
      <c r="Y2252" s="7">
        <v>52467723</v>
      </c>
      <c r="Z2252" s="7">
        <v>4729700</v>
      </c>
      <c r="AA2252" s="1" t="s">
        <v>16014</v>
      </c>
      <c r="AB2252" s="1" t="s">
        <v>5265</v>
      </c>
      <c r="AC2252" s="1" t="s">
        <v>7759</v>
      </c>
      <c r="AD2252" s="1" t="s">
        <v>5265</v>
      </c>
      <c r="AE2252" s="1" t="s">
        <v>47</v>
      </c>
      <c r="AF2252" s="1" t="s">
        <v>51</v>
      </c>
      <c r="AG2252" s="1" t="s">
        <v>51</v>
      </c>
      <c r="AH2252" s="1"/>
      <c r="AI2252" s="1"/>
      <c r="AJ2252" s="3">
        <v>2</v>
      </c>
      <c r="AK2252" s="1" t="s">
        <v>89</v>
      </c>
      <c r="AL2252" s="3">
        <v>6</v>
      </c>
      <c r="AM2252" s="8">
        <v>18.23</v>
      </c>
      <c r="AN2252" s="1"/>
      <c r="AO2252" s="1" t="s">
        <v>16015</v>
      </c>
      <c r="AP2252" s="1" t="s">
        <v>9826</v>
      </c>
      <c r="AQ2252" s="1" t="s">
        <v>16016</v>
      </c>
      <c r="AR2252" s="1" t="s">
        <v>16017</v>
      </c>
    </row>
    <row r="2253">
      <c r="A2253" s="2">
        <f ca="1">DATE(2007,05,08)</f>
        <v>0</v>
      </c>
      <c r="B2253" s="2">
        <f ca="1">DATE(2007,11,01)</f>
        <v>0</v>
      </c>
      <c r="C2253" s="1" t="s">
        <v>16018</v>
      </c>
      <c r="D2253" s="3">
        <v>7372</v>
      </c>
      <c r="E2253" s="1" t="s">
        <v>43</v>
      </c>
      <c r="F2253" s="1" t="s">
        <v>16019</v>
      </c>
      <c r="G2253" s="1" t="s">
        <v>12096</v>
      </c>
      <c r="H2253" s="4">
        <v>1.26</v>
      </c>
      <c r="I2253" s="4">
        <v>7</v>
      </c>
      <c r="J2253" s="5">
        <v>162</v>
      </c>
      <c r="K2253" s="4">
        <v>18</v>
      </c>
      <c r="L2253" s="1" t="s">
        <v>46</v>
      </c>
      <c r="M2253" s="1" t="s">
        <v>47</v>
      </c>
      <c r="N2253" s="1" t="s">
        <v>16020</v>
      </c>
      <c r="O2253" s="1" t="s">
        <v>48</v>
      </c>
      <c r="P2253" s="1" t="s">
        <v>16021</v>
      </c>
      <c r="Q2253" s="1" t="s">
        <v>145</v>
      </c>
      <c r="R2253" s="1" t="s">
        <v>145</v>
      </c>
      <c r="S2253" s="8">
        <v>4.2000000000000002</v>
      </c>
      <c r="T2253" s="1" t="s">
        <v>50</v>
      </c>
      <c r="U2253" s="1"/>
      <c r="V2253" s="1"/>
      <c r="W2253" s="1"/>
      <c r="X2253" s="5">
        <v>200</v>
      </c>
      <c r="Y2253" s="7">
        <v>3009475</v>
      </c>
      <c r="Z2253" s="7">
        <v>5990525</v>
      </c>
      <c r="AA2253" s="1" t="s">
        <v>16022</v>
      </c>
      <c r="AB2253" s="1" t="s">
        <v>5265</v>
      </c>
      <c r="AC2253" s="1" t="s">
        <v>7759</v>
      </c>
      <c r="AD2253" s="1" t="s">
        <v>5265</v>
      </c>
      <c r="AE2253" s="1" t="s">
        <v>51</v>
      </c>
      <c r="AF2253" s="1" t="s">
        <v>51</v>
      </c>
      <c r="AG2253" s="1" t="s">
        <v>51</v>
      </c>
      <c r="AH2253" s="1"/>
      <c r="AI2253" s="1"/>
      <c r="AJ2253" s="3">
        <v>1</v>
      </c>
      <c r="AK2253" s="1" t="s">
        <v>52</v>
      </c>
      <c r="AL2253" s="3">
        <v>7</v>
      </c>
      <c r="AM2253" s="8">
        <v>17.949999999999999</v>
      </c>
      <c r="AN2253" s="1"/>
      <c r="AO2253" s="1" t="s">
        <v>16023</v>
      </c>
      <c r="AP2253" s="1" t="s">
        <v>12096</v>
      </c>
      <c r="AQ2253" s="1" t="s">
        <v>16024</v>
      </c>
      <c r="AR2253" s="1" t="s">
        <v>16025</v>
      </c>
    </row>
    <row r="2254">
      <c r="A2254" s="2">
        <f ca="1">DATE(2007,08,13)</f>
        <v>0</v>
      </c>
      <c r="B2254" s="2">
        <f ca="1">DATE(2007,11,01)</f>
        <v>0</v>
      </c>
      <c r="C2254" s="1" t="s">
        <v>16026</v>
      </c>
      <c r="D2254" s="3">
        <v>3841</v>
      </c>
      <c r="E2254" s="1" t="s">
        <v>43</v>
      </c>
      <c r="F2254" s="1" t="s">
        <v>16027</v>
      </c>
      <c r="G2254" s="1" t="s">
        <v>12096</v>
      </c>
      <c r="H2254" s="4">
        <v>0.97999999999999998</v>
      </c>
      <c r="I2254" s="8">
        <v>7</v>
      </c>
      <c r="J2254" s="5">
        <v>98</v>
      </c>
      <c r="K2254" s="4">
        <v>14</v>
      </c>
      <c r="L2254" s="1" t="s">
        <v>46</v>
      </c>
      <c r="M2254" s="1" t="s">
        <v>47</v>
      </c>
      <c r="N2254" s="1" t="s">
        <v>16028</v>
      </c>
      <c r="O2254" s="1" t="s">
        <v>48</v>
      </c>
      <c r="P2254" s="1" t="s">
        <v>16029</v>
      </c>
      <c r="Q2254" s="1" t="s">
        <v>145</v>
      </c>
      <c r="R2254" s="1" t="s">
        <v>145</v>
      </c>
      <c r="S2254" s="8">
        <v>4.2000000000000002</v>
      </c>
      <c r="T2254" s="1" t="s">
        <v>50</v>
      </c>
      <c r="U2254" s="1"/>
      <c r="V2254" s="1"/>
      <c r="W2254" s="1"/>
      <c r="X2254" s="5">
        <v>100</v>
      </c>
      <c r="Y2254" s="7">
        <v>7000000</v>
      </c>
      <c r="Z2254" s="1"/>
      <c r="AA2254" s="1" t="s">
        <v>16030</v>
      </c>
      <c r="AB2254" s="1" t="s">
        <v>2067</v>
      </c>
      <c r="AC2254" s="1" t="s">
        <v>2068</v>
      </c>
      <c r="AD2254" s="1" t="s">
        <v>2067</v>
      </c>
      <c r="AE2254" s="1" t="s">
        <v>51</v>
      </c>
      <c r="AF2254" s="1" t="s">
        <v>51</v>
      </c>
      <c r="AG2254" s="1" t="s">
        <v>47</v>
      </c>
      <c r="AH2254" s="1"/>
      <c r="AI2254" s="1"/>
      <c r="AJ2254" s="3">
        <v>1</v>
      </c>
      <c r="AK2254" s="1" t="s">
        <v>52</v>
      </c>
      <c r="AL2254" s="3">
        <v>4</v>
      </c>
      <c r="AM2254" s="8">
        <v>16</v>
      </c>
      <c r="AN2254" s="1"/>
      <c r="AO2254" s="1" t="s">
        <v>16031</v>
      </c>
      <c r="AP2254" s="1" t="s">
        <v>12096</v>
      </c>
      <c r="AQ2254" s="1" t="s">
        <v>16032</v>
      </c>
      <c r="AR2254" s="1" t="s">
        <v>16029</v>
      </c>
    </row>
    <row r="2255">
      <c r="A2255" s="2">
        <f ca="1">DATE(2007,01,22)</f>
        <v>0</v>
      </c>
      <c r="B2255" s="2">
        <f ca="1">DATE(2007,11,01)</f>
        <v>0</v>
      </c>
      <c r="C2255" s="1" t="s">
        <v>16033</v>
      </c>
      <c r="D2255" s="3">
        <v>4813</v>
      </c>
      <c r="E2255" s="1" t="s">
        <v>43</v>
      </c>
      <c r="F2255" s="1" t="s">
        <v>16034</v>
      </c>
      <c r="G2255" s="1" t="s">
        <v>796</v>
      </c>
      <c r="H2255" s="4">
        <v>0.97999999999999998</v>
      </c>
      <c r="I2255" s="8">
        <v>7</v>
      </c>
      <c r="J2255" s="5">
        <v>93.099999999999994</v>
      </c>
      <c r="K2255" s="4">
        <v>14</v>
      </c>
      <c r="L2255" s="1" t="s">
        <v>46</v>
      </c>
      <c r="M2255" s="1" t="s">
        <v>47</v>
      </c>
      <c r="N2255" s="1" t="s">
        <v>16035</v>
      </c>
      <c r="O2255" s="1" t="s">
        <v>48</v>
      </c>
      <c r="P2255" s="1" t="s">
        <v>16036</v>
      </c>
      <c r="Q2255" s="1" t="s">
        <v>145</v>
      </c>
      <c r="R2255" s="1" t="s">
        <v>145</v>
      </c>
      <c r="S2255" s="8">
        <v>4.2000000000000002</v>
      </c>
      <c r="T2255" s="1" t="s">
        <v>50</v>
      </c>
      <c r="U2255" s="1"/>
      <c r="V2255" s="1"/>
      <c r="W2255" s="1"/>
      <c r="X2255" s="5">
        <v>75</v>
      </c>
      <c r="Y2255" s="7">
        <v>6250000</v>
      </c>
      <c r="Z2255" s="7">
        <v>399928</v>
      </c>
      <c r="AA2255" s="1" t="s">
        <v>16022</v>
      </c>
      <c r="AB2255" s="1" t="s">
        <v>5265</v>
      </c>
      <c r="AC2255" s="1" t="s">
        <v>7759</v>
      </c>
      <c r="AD2255" s="1" t="s">
        <v>5265</v>
      </c>
      <c r="AE2255" s="1" t="s">
        <v>51</v>
      </c>
      <c r="AF2255" s="1" t="s">
        <v>51</v>
      </c>
      <c r="AG2255" s="1" t="s">
        <v>47</v>
      </c>
      <c r="AH2255" s="1"/>
      <c r="AI2255" s="1"/>
      <c r="AJ2255" s="3">
        <v>1</v>
      </c>
      <c r="AK2255" s="1" t="s">
        <v>52</v>
      </c>
      <c r="AL2255" s="3">
        <v>5</v>
      </c>
      <c r="AM2255" s="8">
        <v>20.280000000000001</v>
      </c>
      <c r="AN2255" s="1"/>
      <c r="AO2255" s="1" t="s">
        <v>16037</v>
      </c>
      <c r="AP2255" s="1" t="s">
        <v>796</v>
      </c>
      <c r="AQ2255" s="1" t="s">
        <v>16038</v>
      </c>
      <c r="AR2255" s="1" t="s">
        <v>16036</v>
      </c>
    </row>
    <row r="2256">
      <c r="A2256" s="2">
        <f ca="1">DATE(2007,04,16)</f>
        <v>0</v>
      </c>
      <c r="B2256" s="2">
        <f ca="1">DATE(2007,11,01)</f>
        <v>0</v>
      </c>
      <c r="C2256" s="1" t="s">
        <v>16039</v>
      </c>
      <c r="D2256" s="3">
        <v>7389</v>
      </c>
      <c r="E2256" s="1" t="s">
        <v>43</v>
      </c>
      <c r="F2256" s="1" t="s">
        <v>16040</v>
      </c>
      <c r="G2256" s="1" t="s">
        <v>16041</v>
      </c>
      <c r="H2256" s="4">
        <v>0.56000000000000005</v>
      </c>
      <c r="I2256" s="4">
        <v>7</v>
      </c>
      <c r="J2256" s="5">
        <v>41.600000000000001</v>
      </c>
      <c r="K2256" s="4">
        <v>8</v>
      </c>
      <c r="L2256" s="1" t="s">
        <v>46</v>
      </c>
      <c r="M2256" s="1" t="s">
        <v>47</v>
      </c>
      <c r="N2256" s="3">
        <v>836091108</v>
      </c>
      <c r="O2256" s="1" t="s">
        <v>48</v>
      </c>
      <c r="P2256" s="1" t="s">
        <v>16042</v>
      </c>
      <c r="Q2256" s="1" t="s">
        <v>145</v>
      </c>
      <c r="R2256" s="1" t="s">
        <v>145</v>
      </c>
      <c r="S2256" s="8">
        <v>4.2000000000000002</v>
      </c>
      <c r="T2256" s="1" t="s">
        <v>50</v>
      </c>
      <c r="U2256" s="1"/>
      <c r="V2256" s="1"/>
      <c r="W2256" s="1"/>
      <c r="X2256" s="5">
        <v>69</v>
      </c>
      <c r="Y2256" s="7">
        <v>4717022</v>
      </c>
      <c r="Z2256" s="7">
        <v>485000</v>
      </c>
      <c r="AA2256" s="1" t="s">
        <v>16022</v>
      </c>
      <c r="AB2256" s="1" t="s">
        <v>5265</v>
      </c>
      <c r="AC2256" s="1" t="s">
        <v>7759</v>
      </c>
      <c r="AD2256" s="1" t="s">
        <v>5265</v>
      </c>
      <c r="AE2256" s="1" t="s">
        <v>51</v>
      </c>
      <c r="AF2256" s="1" t="s">
        <v>51</v>
      </c>
      <c r="AG2256" s="1" t="s">
        <v>47</v>
      </c>
      <c r="AH2256" s="1"/>
      <c r="AI2256" s="1"/>
      <c r="AJ2256" s="3">
        <v>2</v>
      </c>
      <c r="AK2256" s="1" t="s">
        <v>89</v>
      </c>
      <c r="AL2256" s="3">
        <v>5</v>
      </c>
      <c r="AM2256" s="8">
        <v>7.9900000000000002</v>
      </c>
      <c r="AN2256" s="1"/>
      <c r="AO2256" s="1" t="s">
        <v>16043</v>
      </c>
      <c r="AP2256" s="1" t="s">
        <v>16044</v>
      </c>
      <c r="AQ2256" s="1" t="s">
        <v>16045</v>
      </c>
      <c r="AR2256" s="1" t="s">
        <v>16046</v>
      </c>
    </row>
    <row r="2257">
      <c r="A2257" s="2">
        <f ca="1">DATE(2007,06,22)</f>
        <v>0</v>
      </c>
      <c r="B2257" s="2">
        <f ca="1">DATE(2007,11,05)</f>
        <v>0</v>
      </c>
      <c r="C2257" s="1" t="s">
        <v>16047</v>
      </c>
      <c r="D2257" s="3">
        <v>1311</v>
      </c>
      <c r="E2257" s="1" t="s">
        <v>43</v>
      </c>
      <c r="F2257" s="1" t="s">
        <v>16048</v>
      </c>
      <c r="G2257" s="1" t="s">
        <v>16049</v>
      </c>
      <c r="H2257" s="4">
        <v>1.5600000000000001</v>
      </c>
      <c r="I2257" s="4">
        <v>6</v>
      </c>
      <c r="J2257" s="5">
        <v>637.79999999999995</v>
      </c>
      <c r="K2257" s="4">
        <v>26</v>
      </c>
      <c r="L2257" s="1" t="s">
        <v>46</v>
      </c>
      <c r="M2257" s="1" t="s">
        <v>47</v>
      </c>
      <c r="N2257" s="1" t="s">
        <v>16050</v>
      </c>
      <c r="O2257" s="1" t="s">
        <v>108</v>
      </c>
      <c r="P2257" s="1" t="s">
        <v>16051</v>
      </c>
      <c r="Q2257" s="1" t="s">
        <v>145</v>
      </c>
      <c r="R2257" s="1" t="s">
        <v>145</v>
      </c>
      <c r="S2257" s="6">
        <v>3.61538</v>
      </c>
      <c r="T2257" s="1" t="s">
        <v>50</v>
      </c>
      <c r="U2257" s="1"/>
      <c r="V2257" s="1"/>
      <c r="W2257" s="1"/>
      <c r="X2257" s="5">
        <v>690</v>
      </c>
      <c r="Y2257" s="7">
        <v>24530000</v>
      </c>
      <c r="Z2257" s="1"/>
      <c r="AA2257" s="1" t="s">
        <v>16052</v>
      </c>
      <c r="AB2257" s="1" t="s">
        <v>2067</v>
      </c>
      <c r="AC2257" s="1" t="s">
        <v>2068</v>
      </c>
      <c r="AD2257" s="1" t="s">
        <v>2067</v>
      </c>
      <c r="AE2257" s="1" t="s">
        <v>51</v>
      </c>
      <c r="AF2257" s="1" t="s">
        <v>51</v>
      </c>
      <c r="AG2257" s="1" t="s">
        <v>51</v>
      </c>
      <c r="AH2257" s="1"/>
      <c r="AI2257" s="1"/>
      <c r="AJ2257" s="3">
        <v>3</v>
      </c>
      <c r="AK2257" s="1" t="s">
        <v>110</v>
      </c>
      <c r="AL2257" s="3">
        <v>13</v>
      </c>
      <c r="AM2257" s="8">
        <v>32</v>
      </c>
      <c r="AN2257" s="1"/>
      <c r="AO2257" s="1" t="s">
        <v>16053</v>
      </c>
      <c r="AP2257" s="1" t="s">
        <v>16054</v>
      </c>
      <c r="AQ2257" s="1" t="s">
        <v>16055</v>
      </c>
      <c r="AR2257" s="1" t="s">
        <v>16056</v>
      </c>
    </row>
    <row r="2258">
      <c r="A2258" s="2">
        <f ca="1">DATE(2007,10,18)</f>
        <v>0</v>
      </c>
      <c r="B2258" s="2">
        <f ca="1">DATE(2007,11,06)</f>
        <v>0</v>
      </c>
      <c r="C2258" s="1" t="s">
        <v>16057</v>
      </c>
      <c r="D2258" s="1" t="s">
        <v>16058</v>
      </c>
      <c r="E2258" s="1" t="s">
        <v>744</v>
      </c>
      <c r="F2258" s="1" t="s">
        <v>16059</v>
      </c>
      <c r="G2258" s="1" t="s">
        <v>12096</v>
      </c>
      <c r="H2258" s="4">
        <v>1.155</v>
      </c>
      <c r="I2258" s="4">
        <v>7</v>
      </c>
      <c r="J2258" s="5">
        <v>283</v>
      </c>
      <c r="K2258" s="4">
        <v>16.5</v>
      </c>
      <c r="L2258" s="1" t="s">
        <v>651</v>
      </c>
      <c r="M2258" s="1" t="s">
        <v>47</v>
      </c>
      <c r="N2258" s="1" t="s">
        <v>16060</v>
      </c>
      <c r="O2258" s="1" t="s">
        <v>108</v>
      </c>
      <c r="P2258" s="1" t="s">
        <v>16061</v>
      </c>
      <c r="Q2258" s="4">
        <v>1.3999999999999999</v>
      </c>
      <c r="R2258" s="4">
        <v>1.3999999999999999</v>
      </c>
      <c r="S2258" s="8">
        <v>4.2000000000000002</v>
      </c>
      <c r="T2258" s="1" t="s">
        <v>50</v>
      </c>
      <c r="U2258" s="1"/>
      <c r="V2258" s="1"/>
      <c r="W2258" s="1"/>
      <c r="X2258" s="5">
        <v>175</v>
      </c>
      <c r="Y2258" s="7">
        <v>12000000</v>
      </c>
      <c r="Z2258" s="7">
        <v>5150000</v>
      </c>
      <c r="AA2258" s="1" t="s">
        <v>16062</v>
      </c>
      <c r="AB2258" s="1" t="s">
        <v>5265</v>
      </c>
      <c r="AC2258" s="1" t="s">
        <v>7759</v>
      </c>
      <c r="AD2258" s="1" t="s">
        <v>5265</v>
      </c>
      <c r="AE2258" s="1" t="s">
        <v>47</v>
      </c>
      <c r="AF2258" s="1" t="s">
        <v>51</v>
      </c>
      <c r="AG2258" s="1" t="s">
        <v>47</v>
      </c>
      <c r="AH2258" s="1"/>
      <c r="AI2258" s="1"/>
      <c r="AJ2258" s="3">
        <v>1</v>
      </c>
      <c r="AK2258" s="1" t="s">
        <v>52</v>
      </c>
      <c r="AL2258" s="3">
        <v>4</v>
      </c>
      <c r="AM2258" s="8">
        <v>16.5</v>
      </c>
      <c r="AN2258" s="1"/>
      <c r="AO2258" s="1" t="s">
        <v>16063</v>
      </c>
      <c r="AP2258" s="1" t="s">
        <v>12096</v>
      </c>
      <c r="AQ2258" s="1" t="s">
        <v>16064</v>
      </c>
      <c r="AR2258" s="1" t="s">
        <v>16065</v>
      </c>
    </row>
    <row r="2259">
      <c r="A2259" s="2">
        <f ca="1">DATE(2007,10,19)</f>
        <v>0</v>
      </c>
      <c r="B2259" s="2">
        <f ca="1">DATE(2007,11,06)</f>
        <v>0</v>
      </c>
      <c r="C2259" s="1" t="s">
        <v>16066</v>
      </c>
      <c r="D2259" s="3">
        <v>7319</v>
      </c>
      <c r="E2259" s="1" t="s">
        <v>744</v>
      </c>
      <c r="F2259" s="1" t="s">
        <v>16067</v>
      </c>
      <c r="G2259" s="1" t="s">
        <v>15298</v>
      </c>
      <c r="H2259" s="4">
        <v>1.05</v>
      </c>
      <c r="I2259" s="4">
        <v>7</v>
      </c>
      <c r="J2259" s="5">
        <v>225</v>
      </c>
      <c r="K2259" s="4">
        <v>15</v>
      </c>
      <c r="L2259" s="1" t="s">
        <v>651</v>
      </c>
      <c r="M2259" s="1" t="s">
        <v>47</v>
      </c>
      <c r="N2259" s="1" t="s">
        <v>16068</v>
      </c>
      <c r="O2259" s="1" t="s">
        <v>48</v>
      </c>
      <c r="P2259" s="1" t="s">
        <v>16069</v>
      </c>
      <c r="Q2259" s="1" t="s">
        <v>145</v>
      </c>
      <c r="R2259" s="1" t="s">
        <v>145</v>
      </c>
      <c r="S2259" s="8">
        <v>4.2000000000000002</v>
      </c>
      <c r="T2259" s="1" t="s">
        <v>50</v>
      </c>
      <c r="U2259" s="1"/>
      <c r="V2259" s="1"/>
      <c r="W2259" s="1"/>
      <c r="X2259" s="5">
        <v>100</v>
      </c>
      <c r="Y2259" s="7">
        <v>11750000</v>
      </c>
      <c r="Z2259" s="7">
        <v>3250000</v>
      </c>
      <c r="AA2259" s="1" t="s">
        <v>16062</v>
      </c>
      <c r="AB2259" s="1" t="s">
        <v>5265</v>
      </c>
      <c r="AC2259" s="1" t="s">
        <v>7759</v>
      </c>
      <c r="AD2259" s="1" t="s">
        <v>5265</v>
      </c>
      <c r="AE2259" s="1" t="s">
        <v>47</v>
      </c>
      <c r="AF2259" s="1" t="s">
        <v>51</v>
      </c>
      <c r="AG2259" s="1" t="s">
        <v>51</v>
      </c>
      <c r="AH2259" s="1"/>
      <c r="AI2259" s="1"/>
      <c r="AJ2259" s="3">
        <v>2</v>
      </c>
      <c r="AK2259" s="1" t="s">
        <v>89</v>
      </c>
      <c r="AL2259" s="3">
        <v>4</v>
      </c>
      <c r="AM2259" s="8">
        <v>20.899999999999999</v>
      </c>
      <c r="AN2259" s="1"/>
      <c r="AO2259" s="1" t="s">
        <v>16070</v>
      </c>
      <c r="AP2259" s="1" t="s">
        <v>15301</v>
      </c>
      <c r="AQ2259" s="1" t="s">
        <v>16071</v>
      </c>
      <c r="AR2259" s="1" t="s">
        <v>16069</v>
      </c>
    </row>
    <row r="2260">
      <c r="A2260" s="2">
        <f ca="1">DATE(2007,10,15)</f>
        <v>0</v>
      </c>
      <c r="B2260" s="2">
        <f ca="1">DATE(2007,11,06)</f>
        <v>0</v>
      </c>
      <c r="C2260" s="1" t="s">
        <v>16072</v>
      </c>
      <c r="D2260" s="3">
        <v>3842</v>
      </c>
      <c r="E2260" s="1" t="s">
        <v>43</v>
      </c>
      <c r="F2260" s="1" t="s">
        <v>16073</v>
      </c>
      <c r="G2260" s="1" t="s">
        <v>8919</v>
      </c>
      <c r="H2260" s="4">
        <v>0.56000000000000005</v>
      </c>
      <c r="I2260" s="4">
        <v>7</v>
      </c>
      <c r="J2260" s="5">
        <v>80</v>
      </c>
      <c r="K2260" s="4">
        <v>8</v>
      </c>
      <c r="L2260" s="1" t="s">
        <v>46</v>
      </c>
      <c r="M2260" s="1" t="s">
        <v>47</v>
      </c>
      <c r="N2260" s="1" t="s">
        <v>16074</v>
      </c>
      <c r="O2260" s="1" t="s">
        <v>48</v>
      </c>
      <c r="P2260" s="1" t="s">
        <v>16075</v>
      </c>
      <c r="Q2260" s="1" t="s">
        <v>145</v>
      </c>
      <c r="R2260" s="1" t="s">
        <v>145</v>
      </c>
      <c r="S2260" s="8">
        <v>4.25</v>
      </c>
      <c r="T2260" s="1" t="s">
        <v>50</v>
      </c>
      <c r="U2260" s="1"/>
      <c r="V2260" s="1"/>
      <c r="W2260" s="1"/>
      <c r="X2260" s="5">
        <v>115</v>
      </c>
      <c r="Y2260" s="7">
        <v>10000000</v>
      </c>
      <c r="Z2260" s="1"/>
      <c r="AA2260" s="1" t="s">
        <v>16076</v>
      </c>
      <c r="AB2260" s="1" t="s">
        <v>2067</v>
      </c>
      <c r="AC2260" s="1" t="s">
        <v>2068</v>
      </c>
      <c r="AD2260" s="1" t="s">
        <v>2067</v>
      </c>
      <c r="AE2260" s="1" t="s">
        <v>51</v>
      </c>
      <c r="AF2260" s="1" t="s">
        <v>51</v>
      </c>
      <c r="AG2260" s="1" t="s">
        <v>47</v>
      </c>
      <c r="AH2260" s="1"/>
      <c r="AI2260" s="1"/>
      <c r="AJ2260" s="3">
        <v>2</v>
      </c>
      <c r="AK2260" s="1" t="s">
        <v>89</v>
      </c>
      <c r="AL2260" s="3">
        <v>4</v>
      </c>
      <c r="AM2260" s="8">
        <v>8.5500000000000007</v>
      </c>
      <c r="AN2260" s="1"/>
      <c r="AO2260" s="1" t="s">
        <v>16077</v>
      </c>
      <c r="AP2260" s="1" t="s">
        <v>8923</v>
      </c>
      <c r="AQ2260" s="1" t="s">
        <v>16078</v>
      </c>
      <c r="AR2260" s="1" t="s">
        <v>16079</v>
      </c>
    </row>
    <row r="2261">
      <c r="A2261" s="2">
        <f ca="1">DATE(2007,07,19)</f>
        <v>0</v>
      </c>
      <c r="B2261" s="2">
        <f ca="1">DATE(2007,11,06)</f>
        <v>0</v>
      </c>
      <c r="C2261" s="1" t="s">
        <v>16080</v>
      </c>
      <c r="D2261" s="3">
        <v>6726</v>
      </c>
      <c r="E2261" s="1" t="s">
        <v>43</v>
      </c>
      <c r="F2261" s="1"/>
      <c r="G2261" s="1" t="s">
        <v>5110</v>
      </c>
      <c r="H2261" s="4">
        <v>0.56000000000000005</v>
      </c>
      <c r="I2261" s="4">
        <v>7</v>
      </c>
      <c r="J2261" s="5">
        <v>125</v>
      </c>
      <c r="K2261" s="4">
        <v>8</v>
      </c>
      <c r="L2261" s="1" t="s">
        <v>31</v>
      </c>
      <c r="M2261" s="1" t="s">
        <v>47</v>
      </c>
      <c r="N2261" s="1" t="s">
        <v>16081</v>
      </c>
      <c r="O2261" s="1"/>
      <c r="P2261" s="1" t="s">
        <v>16082</v>
      </c>
      <c r="Q2261" s="1" t="s">
        <v>145</v>
      </c>
      <c r="R2261" s="1" t="s">
        <v>145</v>
      </c>
      <c r="S2261" s="8">
        <v>2.25</v>
      </c>
      <c r="T2261" s="1" t="s">
        <v>50</v>
      </c>
      <c r="U2261" s="8">
        <v>8</v>
      </c>
      <c r="V2261" s="8">
        <v>8</v>
      </c>
      <c r="W2261" s="7">
        <v>15625000</v>
      </c>
      <c r="X2261" s="5">
        <v>125</v>
      </c>
      <c r="Y2261" s="7">
        <v>15625000</v>
      </c>
      <c r="Z2261" s="1"/>
      <c r="AA2261" s="1"/>
      <c r="AB2261" s="1"/>
      <c r="AC2261" s="1"/>
      <c r="AD2261" s="1"/>
      <c r="AE2261" s="1" t="s">
        <v>51</v>
      </c>
      <c r="AF2261" s="1" t="s">
        <v>51</v>
      </c>
      <c r="AG2261" s="1" t="s">
        <v>51</v>
      </c>
      <c r="AH2261" s="1"/>
      <c r="AI2261" s="1"/>
      <c r="AJ2261" s="3">
        <v>1</v>
      </c>
      <c r="AK2261" s="1" t="s">
        <v>52</v>
      </c>
      <c r="AL2261" s="3">
        <v>2</v>
      </c>
      <c r="AM2261" s="1"/>
      <c r="AN2261" s="1"/>
      <c r="AO2261" s="1" t="s">
        <v>16083</v>
      </c>
      <c r="AP2261" s="1" t="s">
        <v>5110</v>
      </c>
      <c r="AQ2261" s="1" t="s">
        <v>16084</v>
      </c>
      <c r="AR2261" s="1" t="s">
        <v>16085</v>
      </c>
    </row>
    <row r="2262">
      <c r="A2262" s="2">
        <f ca="1">DATE(2007,07,12)</f>
        <v>0</v>
      </c>
      <c r="B2262" s="2">
        <f ca="1">DATE(2007,11,07)</f>
        <v>0</v>
      </c>
      <c r="C2262" s="1" t="s">
        <v>16086</v>
      </c>
      <c r="D2262" s="3">
        <v>1311</v>
      </c>
      <c r="E2262" s="1" t="s">
        <v>43</v>
      </c>
      <c r="F2262" s="1" t="s">
        <v>16087</v>
      </c>
      <c r="G2262" s="1" t="s">
        <v>400</v>
      </c>
      <c r="H2262" s="4">
        <v>0.83999999999999997</v>
      </c>
      <c r="I2262" s="8">
        <v>7</v>
      </c>
      <c r="J2262" s="5">
        <v>92</v>
      </c>
      <c r="K2262" s="4">
        <v>12</v>
      </c>
      <c r="L2262" s="1" t="s">
        <v>46</v>
      </c>
      <c r="M2262" s="1" t="s">
        <v>47</v>
      </c>
      <c r="N2262" s="1" t="s">
        <v>16088</v>
      </c>
      <c r="O2262" s="1" t="s">
        <v>48</v>
      </c>
      <c r="P2262" s="1" t="s">
        <v>16089</v>
      </c>
      <c r="Q2262" s="1" t="s">
        <v>145</v>
      </c>
      <c r="R2262" s="1" t="s">
        <v>145</v>
      </c>
      <c r="S2262" s="1"/>
      <c r="T2262" s="1" t="s">
        <v>50</v>
      </c>
      <c r="U2262" s="1"/>
      <c r="V2262" s="1"/>
      <c r="W2262" s="1"/>
      <c r="X2262" s="5">
        <v>132.30000000000001</v>
      </c>
      <c r="Y2262" s="7">
        <v>5605377</v>
      </c>
      <c r="Z2262" s="7">
        <v>2061290</v>
      </c>
      <c r="AA2262" s="1" t="s">
        <v>16090</v>
      </c>
      <c r="AB2262" s="1" t="s">
        <v>5265</v>
      </c>
      <c r="AC2262" s="1" t="s">
        <v>7759</v>
      </c>
      <c r="AD2262" s="1" t="s">
        <v>5265</v>
      </c>
      <c r="AE2262" s="1" t="s">
        <v>51</v>
      </c>
      <c r="AF2262" s="1" t="s">
        <v>51</v>
      </c>
      <c r="AG2262" s="1" t="s">
        <v>51</v>
      </c>
      <c r="AH2262" s="1"/>
      <c r="AI2262" s="1"/>
      <c r="AJ2262" s="3">
        <v>1</v>
      </c>
      <c r="AK2262" s="1" t="s">
        <v>89</v>
      </c>
      <c r="AL2262" s="3">
        <v>4</v>
      </c>
      <c r="AM2262" s="8">
        <v>12.5</v>
      </c>
      <c r="AN2262" s="1"/>
      <c r="AO2262" s="1" t="s">
        <v>16091</v>
      </c>
      <c r="AP2262" s="1" t="s">
        <v>15966</v>
      </c>
      <c r="AQ2262" s="1" t="s">
        <v>16092</v>
      </c>
      <c r="AR2262" s="1" t="s">
        <v>16093</v>
      </c>
    </row>
    <row r="2263">
      <c r="A2263" s="2">
        <f ca="1">DATE(2007,08,06)</f>
        <v>0</v>
      </c>
      <c r="B2263" s="2">
        <f ca="1">DATE(2007,11,07)</f>
        <v>0</v>
      </c>
      <c r="C2263" s="1" t="s">
        <v>16094</v>
      </c>
      <c r="D2263" s="3">
        <v>6726</v>
      </c>
      <c r="E2263" s="1" t="s">
        <v>43</v>
      </c>
      <c r="F2263" s="1" t="s">
        <v>16095</v>
      </c>
      <c r="G2263" s="1" t="s">
        <v>16096</v>
      </c>
      <c r="H2263" s="4">
        <v>0.69999999999999996</v>
      </c>
      <c r="I2263" s="8">
        <v>7</v>
      </c>
      <c r="J2263" s="5">
        <v>250</v>
      </c>
      <c r="K2263" s="4">
        <v>10</v>
      </c>
      <c r="L2263" s="1" t="s">
        <v>46</v>
      </c>
      <c r="M2263" s="1" t="s">
        <v>47</v>
      </c>
      <c r="N2263" s="1" t="s">
        <v>16097</v>
      </c>
      <c r="O2263" s="1" t="s">
        <v>3689</v>
      </c>
      <c r="P2263" s="1" t="s">
        <v>16098</v>
      </c>
      <c r="Q2263" s="1" t="s">
        <v>145</v>
      </c>
      <c r="R2263" s="1" t="s">
        <v>145</v>
      </c>
      <c r="S2263" s="8">
        <v>2.2000000000000002</v>
      </c>
      <c r="T2263" s="1" t="s">
        <v>50</v>
      </c>
      <c r="U2263" s="8">
        <v>10</v>
      </c>
      <c r="V2263" s="8">
        <v>10</v>
      </c>
      <c r="W2263" s="7">
        <v>25000000</v>
      </c>
      <c r="X2263" s="5">
        <v>250</v>
      </c>
      <c r="Y2263" s="7">
        <v>25000000</v>
      </c>
      <c r="Z2263" s="1"/>
      <c r="AA2263" s="1" t="s">
        <v>16099</v>
      </c>
      <c r="AB2263" s="1" t="s">
        <v>2067</v>
      </c>
      <c r="AC2263" s="1" t="s">
        <v>2068</v>
      </c>
      <c r="AD2263" s="1" t="s">
        <v>2067</v>
      </c>
      <c r="AE2263" s="1" t="s">
        <v>51</v>
      </c>
      <c r="AF2263" s="1" t="s">
        <v>51</v>
      </c>
      <c r="AG2263" s="1" t="s">
        <v>51</v>
      </c>
      <c r="AH2263" s="1"/>
      <c r="AI2263" s="1"/>
      <c r="AJ2263" s="3">
        <v>2</v>
      </c>
      <c r="AK2263" s="1" t="s">
        <v>89</v>
      </c>
      <c r="AL2263" s="3">
        <v>4</v>
      </c>
      <c r="AM2263" s="1"/>
      <c r="AN2263" s="1"/>
      <c r="AO2263" s="1" t="s">
        <v>16100</v>
      </c>
      <c r="AP2263" s="1" t="s">
        <v>16101</v>
      </c>
      <c r="AQ2263" s="1" t="s">
        <v>16102</v>
      </c>
      <c r="AR2263" s="1" t="s">
        <v>16098</v>
      </c>
    </row>
    <row r="2264">
      <c r="A2264" s="2">
        <f ca="1">DATE(2007,08,03)</f>
        <v>0</v>
      </c>
      <c r="B2264" s="2">
        <f ca="1">DATE(2007,11,07)</f>
        <v>0</v>
      </c>
      <c r="C2264" s="1" t="s">
        <v>16103</v>
      </c>
      <c r="D2264" s="3">
        <v>3826</v>
      </c>
      <c r="E2264" s="1" t="s">
        <v>43</v>
      </c>
      <c r="F2264" s="1" t="s">
        <v>16104</v>
      </c>
      <c r="G2264" s="1" t="s">
        <v>813</v>
      </c>
      <c r="H2264" s="4">
        <v>1.1200000000000001</v>
      </c>
      <c r="I2264" s="4">
        <v>7</v>
      </c>
      <c r="J2264" s="5">
        <v>80</v>
      </c>
      <c r="K2264" s="4">
        <v>16</v>
      </c>
      <c r="L2264" s="1" t="s">
        <v>46</v>
      </c>
      <c r="M2264" s="1" t="s">
        <v>47</v>
      </c>
      <c r="N2264" s="1" t="s">
        <v>16105</v>
      </c>
      <c r="O2264" s="1" t="s">
        <v>48</v>
      </c>
      <c r="P2264" s="1" t="s">
        <v>16106</v>
      </c>
      <c r="Q2264" s="1" t="s">
        <v>145</v>
      </c>
      <c r="R2264" s="1" t="s">
        <v>145</v>
      </c>
      <c r="S2264" s="8">
        <v>4.25</v>
      </c>
      <c r="T2264" s="1" t="s">
        <v>50</v>
      </c>
      <c r="U2264" s="1"/>
      <c r="V2264" s="1"/>
      <c r="W2264" s="7">
        <v>5000000</v>
      </c>
      <c r="X2264" s="5">
        <v>184</v>
      </c>
      <c r="Y2264" s="7">
        <v>5000000</v>
      </c>
      <c r="Z2264" s="1"/>
      <c r="AA2264" s="1" t="s">
        <v>16099</v>
      </c>
      <c r="AB2264" s="1" t="s">
        <v>2067</v>
      </c>
      <c r="AC2264" s="1" t="s">
        <v>2068</v>
      </c>
      <c r="AD2264" s="1" t="s">
        <v>2067</v>
      </c>
      <c r="AE2264" s="1" t="s">
        <v>51</v>
      </c>
      <c r="AF2264" s="1" t="s">
        <v>51</v>
      </c>
      <c r="AG2264" s="1" t="s">
        <v>51</v>
      </c>
      <c r="AH2264" s="1"/>
      <c r="AI2264" s="1"/>
      <c r="AJ2264" s="3">
        <v>1</v>
      </c>
      <c r="AK2264" s="1" t="s">
        <v>110</v>
      </c>
      <c r="AL2264" s="3">
        <v>5</v>
      </c>
      <c r="AM2264" s="8">
        <v>13.039999999999999</v>
      </c>
      <c r="AN2264" s="1"/>
      <c r="AO2264" s="1" t="s">
        <v>16107</v>
      </c>
      <c r="AP2264" s="1" t="s">
        <v>13004</v>
      </c>
      <c r="AQ2264" s="1" t="s">
        <v>16108</v>
      </c>
      <c r="AR2264" s="1" t="s">
        <v>16109</v>
      </c>
    </row>
    <row r="2265">
      <c r="A2265" s="2">
        <f ca="1">DATE(2007,08,07)</f>
        <v>0</v>
      </c>
      <c r="B2265" s="2">
        <f ca="1">DATE(2007,11,08)</f>
        <v>0</v>
      </c>
      <c r="C2265" s="1" t="s">
        <v>16110</v>
      </c>
      <c r="D2265" s="3">
        <v>8211</v>
      </c>
      <c r="E2265" s="1" t="s">
        <v>43</v>
      </c>
      <c r="F2265" s="1" t="s">
        <v>16111</v>
      </c>
      <c r="G2265" s="1" t="s">
        <v>2938</v>
      </c>
      <c r="H2265" s="4">
        <v>1.3999999999999999</v>
      </c>
      <c r="I2265" s="8">
        <v>7</v>
      </c>
      <c r="J2265" s="5">
        <v>94</v>
      </c>
      <c r="K2265" s="4">
        <v>20</v>
      </c>
      <c r="L2265" s="1" t="s">
        <v>46</v>
      </c>
      <c r="M2265" s="1" t="s">
        <v>47</v>
      </c>
      <c r="N2265" s="1" t="s">
        <v>16112</v>
      </c>
      <c r="O2265" s="1" t="s">
        <v>48</v>
      </c>
      <c r="P2265" s="1" t="s">
        <v>16113</v>
      </c>
      <c r="Q2265" s="1" t="s">
        <v>145</v>
      </c>
      <c r="R2265" s="1" t="s">
        <v>145</v>
      </c>
      <c r="S2265" s="8">
        <v>3.8500000000000001</v>
      </c>
      <c r="T2265" s="1" t="s">
        <v>50</v>
      </c>
      <c r="U2265" s="1"/>
      <c r="V2265" s="1"/>
      <c r="W2265" s="1"/>
      <c r="X2265" s="5">
        <v>90</v>
      </c>
      <c r="Y2265" s="7">
        <v>4700000</v>
      </c>
      <c r="Z2265" s="1"/>
      <c r="AA2265" s="1" t="s">
        <v>16114</v>
      </c>
      <c r="AB2265" s="1" t="s">
        <v>2067</v>
      </c>
      <c r="AC2265" s="1" t="s">
        <v>2068</v>
      </c>
      <c r="AD2265" s="1" t="s">
        <v>2067</v>
      </c>
      <c r="AE2265" s="1" t="s">
        <v>51</v>
      </c>
      <c r="AF2265" s="1" t="s">
        <v>51</v>
      </c>
      <c r="AG2265" s="1" t="s">
        <v>51</v>
      </c>
      <c r="AH2265" s="1"/>
      <c r="AI2265" s="1"/>
      <c r="AJ2265" s="3">
        <v>1</v>
      </c>
      <c r="AK2265" s="1" t="s">
        <v>52</v>
      </c>
      <c r="AL2265" s="3">
        <v>6</v>
      </c>
      <c r="AM2265" s="8">
        <v>33.460000000000001</v>
      </c>
      <c r="AN2265" s="1"/>
      <c r="AO2265" s="1" t="s">
        <v>16115</v>
      </c>
      <c r="AP2265" s="1" t="s">
        <v>2938</v>
      </c>
      <c r="AQ2265" s="1" t="s">
        <v>16116</v>
      </c>
      <c r="AR2265" s="1" t="s">
        <v>16113</v>
      </c>
    </row>
    <row r="2266">
      <c r="A2266" s="2">
        <f ca="1">DATE(2007,08,30)</f>
        <v>0</v>
      </c>
      <c r="B2266" s="2">
        <f ca="1">DATE(2007,11,08)</f>
        <v>0</v>
      </c>
      <c r="C2266" s="1" t="s">
        <v>16117</v>
      </c>
      <c r="D2266" s="3">
        <v>2834</v>
      </c>
      <c r="E2266" s="1" t="s">
        <v>43</v>
      </c>
      <c r="F2266" s="1" t="s">
        <v>16118</v>
      </c>
      <c r="G2266" s="1" t="s">
        <v>796</v>
      </c>
      <c r="H2266" s="4">
        <v>0.69999999999999996</v>
      </c>
      <c r="I2266" s="8">
        <v>7</v>
      </c>
      <c r="J2266" s="5">
        <v>50</v>
      </c>
      <c r="K2266" s="4">
        <v>10</v>
      </c>
      <c r="L2266" s="1" t="s">
        <v>46</v>
      </c>
      <c r="M2266" s="1" t="s">
        <v>47</v>
      </c>
      <c r="N2266" s="1" t="s">
        <v>16119</v>
      </c>
      <c r="O2266" s="1" t="s">
        <v>48</v>
      </c>
      <c r="P2266" s="1" t="s">
        <v>16120</v>
      </c>
      <c r="Q2266" s="1" t="s">
        <v>145</v>
      </c>
      <c r="R2266" s="1" t="s">
        <v>145</v>
      </c>
      <c r="S2266" s="8">
        <v>4.2000000000000002</v>
      </c>
      <c r="T2266" s="1" t="s">
        <v>50</v>
      </c>
      <c r="U2266" s="1"/>
      <c r="V2266" s="1"/>
      <c r="W2266" s="1"/>
      <c r="X2266" s="5">
        <v>86.299999999999997</v>
      </c>
      <c r="Y2266" s="7">
        <v>5000000</v>
      </c>
      <c r="Z2266" s="1"/>
      <c r="AA2266" s="1" t="s">
        <v>16114</v>
      </c>
      <c r="AB2266" s="1" t="s">
        <v>2067</v>
      </c>
      <c r="AC2266" s="1" t="s">
        <v>2068</v>
      </c>
      <c r="AD2266" s="1" t="s">
        <v>2067</v>
      </c>
      <c r="AE2266" s="1" t="s">
        <v>51</v>
      </c>
      <c r="AF2266" s="1" t="s">
        <v>51</v>
      </c>
      <c r="AG2266" s="1" t="s">
        <v>47</v>
      </c>
      <c r="AH2266" s="1"/>
      <c r="AI2266" s="1"/>
      <c r="AJ2266" s="3">
        <v>1</v>
      </c>
      <c r="AK2266" s="1" t="s">
        <v>52</v>
      </c>
      <c r="AL2266" s="3">
        <v>4</v>
      </c>
      <c r="AM2266" s="8">
        <v>9</v>
      </c>
      <c r="AN2266" s="1"/>
      <c r="AO2266" s="1" t="s">
        <v>16121</v>
      </c>
      <c r="AP2266" s="1" t="s">
        <v>796</v>
      </c>
      <c r="AQ2266" s="1" t="s">
        <v>16122</v>
      </c>
      <c r="AR2266" s="1" t="s">
        <v>16120</v>
      </c>
    </row>
    <row r="2267">
      <c r="A2267" s="2">
        <f ca="1">DATE(2007,07,24)</f>
        <v>0</v>
      </c>
      <c r="B2267" s="2">
        <f ca="1">DATE(2007,11,08)</f>
        <v>0</v>
      </c>
      <c r="C2267" s="1" t="s">
        <v>16123</v>
      </c>
      <c r="D2267" s="3">
        <v>6799</v>
      </c>
      <c r="E2267" s="1" t="s">
        <v>43</v>
      </c>
      <c r="F2267" s="1" t="s">
        <v>16124</v>
      </c>
      <c r="G2267" s="1" t="s">
        <v>15222</v>
      </c>
      <c r="H2267" s="4">
        <v>0.69999999999999996</v>
      </c>
      <c r="I2267" s="8">
        <v>7</v>
      </c>
      <c r="J2267" s="5">
        <v>250</v>
      </c>
      <c r="K2267" s="4">
        <v>10</v>
      </c>
      <c r="L2267" s="1" t="s">
        <v>46</v>
      </c>
      <c r="M2267" s="1" t="s">
        <v>47</v>
      </c>
      <c r="N2267" s="1" t="s">
        <v>16125</v>
      </c>
      <c r="O2267" s="1" t="s">
        <v>87</v>
      </c>
      <c r="P2267" s="1" t="s">
        <v>16126</v>
      </c>
      <c r="Q2267" s="1" t="s">
        <v>145</v>
      </c>
      <c r="R2267" s="1" t="s">
        <v>145</v>
      </c>
      <c r="S2267" s="8">
        <v>2.25</v>
      </c>
      <c r="T2267" s="1" t="s">
        <v>50</v>
      </c>
      <c r="U2267" s="8">
        <v>10</v>
      </c>
      <c r="V2267" s="8">
        <v>10</v>
      </c>
      <c r="W2267" s="7">
        <v>20000000</v>
      </c>
      <c r="X2267" s="5">
        <v>200</v>
      </c>
      <c r="Y2267" s="7">
        <v>25000000</v>
      </c>
      <c r="Z2267" s="1"/>
      <c r="AA2267" s="1" t="s">
        <v>16114</v>
      </c>
      <c r="AB2267" s="1" t="s">
        <v>2067</v>
      </c>
      <c r="AC2267" s="1" t="s">
        <v>2068</v>
      </c>
      <c r="AD2267" s="1" t="s">
        <v>2067</v>
      </c>
      <c r="AE2267" s="1" t="s">
        <v>51</v>
      </c>
      <c r="AF2267" s="1" t="s">
        <v>51</v>
      </c>
      <c r="AG2267" s="1" t="s">
        <v>51</v>
      </c>
      <c r="AH2267" s="1"/>
      <c r="AI2267" s="1"/>
      <c r="AJ2267" s="3">
        <v>1</v>
      </c>
      <c r="AK2267" s="1" t="s">
        <v>52</v>
      </c>
      <c r="AL2267" s="3">
        <v>2</v>
      </c>
      <c r="AM2267" s="8">
        <v>10.050000000000001</v>
      </c>
      <c r="AN2267" s="1"/>
      <c r="AO2267" s="1" t="s">
        <v>16127</v>
      </c>
      <c r="AP2267" s="1" t="s">
        <v>15222</v>
      </c>
      <c r="AQ2267" s="1" t="s">
        <v>16128</v>
      </c>
      <c r="AR2267" s="1" t="s">
        <v>16126</v>
      </c>
    </row>
    <row r="2268">
      <c r="A2268" s="2">
        <f ca="1">DATE(2007,10,17)</f>
        <v>0</v>
      </c>
      <c r="B2268" s="2">
        <f ca="1">DATE(2007,11,08)</f>
        <v>0</v>
      </c>
      <c r="C2268" s="1" t="s">
        <v>16129</v>
      </c>
      <c r="D2268" s="3">
        <v>5912</v>
      </c>
      <c r="E2268" s="1" t="s">
        <v>744</v>
      </c>
      <c r="F2268" s="1" t="s">
        <v>16130</v>
      </c>
      <c r="G2268" s="1" t="s">
        <v>6056</v>
      </c>
      <c r="H2268" s="4">
        <v>1.1339999999999999</v>
      </c>
      <c r="I2268" s="8">
        <v>7</v>
      </c>
      <c r="J2268" s="5">
        <v>334.10000000000002</v>
      </c>
      <c r="K2268" s="8">
        <v>16.199999999999999</v>
      </c>
      <c r="L2268" s="1" t="s">
        <v>651</v>
      </c>
      <c r="M2268" s="1" t="s">
        <v>47</v>
      </c>
      <c r="N2268" s="1" t="s">
        <v>16131</v>
      </c>
      <c r="O2268" s="1" t="s">
        <v>108</v>
      </c>
      <c r="P2268" s="1" t="s">
        <v>16132</v>
      </c>
      <c r="Q2268" s="4">
        <v>1.3999999999999999</v>
      </c>
      <c r="R2268" s="4">
        <v>1.3999999999999999</v>
      </c>
      <c r="S2268" s="8">
        <v>4.2000000000000002</v>
      </c>
      <c r="T2268" s="1" t="s">
        <v>50</v>
      </c>
      <c r="U2268" s="1"/>
      <c r="V2268" s="1"/>
      <c r="W2268" s="1"/>
      <c r="X2268" s="5">
        <v>250</v>
      </c>
      <c r="Y2268" s="7">
        <v>20625000</v>
      </c>
      <c r="Z2268" s="1"/>
      <c r="AA2268" s="1" t="s">
        <v>16114</v>
      </c>
      <c r="AB2268" s="1" t="s">
        <v>2067</v>
      </c>
      <c r="AC2268" s="1" t="s">
        <v>2068</v>
      </c>
      <c r="AD2268" s="1" t="s">
        <v>2067</v>
      </c>
      <c r="AE2268" s="1" t="s">
        <v>47</v>
      </c>
      <c r="AF2268" s="1" t="s">
        <v>51</v>
      </c>
      <c r="AG2268" s="1" t="s">
        <v>47</v>
      </c>
      <c r="AH2268" s="1"/>
      <c r="AI2268" s="1"/>
      <c r="AJ2268" s="3">
        <v>2</v>
      </c>
      <c r="AK2268" s="1" t="s">
        <v>89</v>
      </c>
      <c r="AL2268" s="3">
        <v>3</v>
      </c>
      <c r="AM2268" s="8">
        <v>17.5</v>
      </c>
      <c r="AN2268" s="1"/>
      <c r="AO2268" s="1" t="s">
        <v>16133</v>
      </c>
      <c r="AP2268" s="1" t="s">
        <v>4884</v>
      </c>
      <c r="AQ2268" s="1" t="s">
        <v>16134</v>
      </c>
      <c r="AR2268" s="1" t="s">
        <v>16135</v>
      </c>
    </row>
    <row r="2269">
      <c r="A2269" s="2">
        <f ca="1">DATE(2007,05,14)</f>
        <v>0</v>
      </c>
      <c r="B2269" s="2">
        <f ca="1">DATE(2007,11,08)</f>
        <v>0</v>
      </c>
      <c r="C2269" s="1" t="s">
        <v>16136</v>
      </c>
      <c r="D2269" s="3">
        <v>8051</v>
      </c>
      <c r="E2269" s="1" t="s">
        <v>43</v>
      </c>
      <c r="F2269" s="1" t="s">
        <v>16137</v>
      </c>
      <c r="G2269" s="1" t="s">
        <v>13925</v>
      </c>
      <c r="H2269" s="4">
        <v>1.1200000000000001</v>
      </c>
      <c r="I2269" s="4">
        <v>7</v>
      </c>
      <c r="J2269" s="5">
        <v>64</v>
      </c>
      <c r="K2269" s="4">
        <v>16</v>
      </c>
      <c r="L2269" s="1" t="s">
        <v>46</v>
      </c>
      <c r="M2269" s="1" t="s">
        <v>47</v>
      </c>
      <c r="N2269" s="1" t="s">
        <v>16138</v>
      </c>
      <c r="O2269" s="1" t="s">
        <v>48</v>
      </c>
      <c r="P2269" s="1" t="s">
        <v>16139</v>
      </c>
      <c r="Q2269" s="1" t="s">
        <v>145</v>
      </c>
      <c r="R2269" s="1" t="s">
        <v>145</v>
      </c>
      <c r="S2269" s="10">
        <v>4.1875</v>
      </c>
      <c r="T2269" s="1" t="s">
        <v>50</v>
      </c>
      <c r="U2269" s="1"/>
      <c r="V2269" s="1"/>
      <c r="W2269" s="1"/>
      <c r="X2269" s="5">
        <v>95</v>
      </c>
      <c r="Y2269" s="7">
        <v>4000000</v>
      </c>
      <c r="Z2269" s="1"/>
      <c r="AA2269" s="1" t="s">
        <v>16140</v>
      </c>
      <c r="AB2269" s="1" t="s">
        <v>5265</v>
      </c>
      <c r="AC2269" s="1" t="s">
        <v>7759</v>
      </c>
      <c r="AD2269" s="1" t="s">
        <v>5265</v>
      </c>
      <c r="AE2269" s="1" t="s">
        <v>51</v>
      </c>
      <c r="AF2269" s="1" t="s">
        <v>51</v>
      </c>
      <c r="AG2269" s="1" t="s">
        <v>51</v>
      </c>
      <c r="AH2269" s="1"/>
      <c r="AI2269" s="1"/>
      <c r="AJ2269" s="3">
        <v>1</v>
      </c>
      <c r="AK2269" s="1" t="s">
        <v>52</v>
      </c>
      <c r="AL2269" s="3">
        <v>2</v>
      </c>
      <c r="AM2269" s="8">
        <v>16.129999999999999</v>
      </c>
      <c r="AN2269" s="1"/>
      <c r="AO2269" s="1" t="s">
        <v>16141</v>
      </c>
      <c r="AP2269" s="1" t="s">
        <v>13925</v>
      </c>
      <c r="AQ2269" s="1" t="s">
        <v>16142</v>
      </c>
      <c r="AR2269" s="1" t="s">
        <v>16139</v>
      </c>
    </row>
    <row r="2270">
      <c r="A2270" s="2">
        <f ca="1">DATE(2007,04,23)</f>
        <v>0</v>
      </c>
      <c r="B2270" s="2">
        <f ca="1">DATE(2007,11,08)</f>
        <v>0</v>
      </c>
      <c r="C2270" s="1" t="s">
        <v>16143</v>
      </c>
      <c r="D2270" s="3">
        <v>5211</v>
      </c>
      <c r="E2270" s="1" t="s">
        <v>43</v>
      </c>
      <c r="F2270" s="1" t="s">
        <v>16144</v>
      </c>
      <c r="G2270" s="1" t="s">
        <v>6056</v>
      </c>
      <c r="H2270" s="4">
        <v>0.77000000000000002</v>
      </c>
      <c r="I2270" s="4">
        <v>7</v>
      </c>
      <c r="J2270" s="5">
        <v>110</v>
      </c>
      <c r="K2270" s="4">
        <v>11</v>
      </c>
      <c r="L2270" s="1" t="s">
        <v>46</v>
      </c>
      <c r="M2270" s="1" t="s">
        <v>47</v>
      </c>
      <c r="N2270" s="1" t="s">
        <v>16145</v>
      </c>
      <c r="O2270" s="1" t="s">
        <v>108</v>
      </c>
      <c r="P2270" s="1" t="s">
        <v>16146</v>
      </c>
      <c r="Q2270" s="1" t="s">
        <v>145</v>
      </c>
      <c r="R2270" s="1" t="s">
        <v>145</v>
      </c>
      <c r="S2270" s="1"/>
      <c r="T2270" s="1" t="s">
        <v>50</v>
      </c>
      <c r="U2270" s="1"/>
      <c r="V2270" s="1"/>
      <c r="W2270" s="1"/>
      <c r="X2270" s="5">
        <v>150</v>
      </c>
      <c r="Y2270" s="7">
        <v>3800000</v>
      </c>
      <c r="Z2270" s="7">
        <v>6200000</v>
      </c>
      <c r="AA2270" s="1" t="s">
        <v>16140</v>
      </c>
      <c r="AB2270" s="1" t="s">
        <v>16147</v>
      </c>
      <c r="AC2270" s="1" t="s">
        <v>7759</v>
      </c>
      <c r="AD2270" s="1" t="s">
        <v>16148</v>
      </c>
      <c r="AE2270" s="1" t="s">
        <v>51</v>
      </c>
      <c r="AF2270" s="1" t="s">
        <v>51</v>
      </c>
      <c r="AG2270" s="1" t="s">
        <v>51</v>
      </c>
      <c r="AH2270" s="1"/>
      <c r="AI2270" s="1"/>
      <c r="AJ2270" s="3">
        <v>2</v>
      </c>
      <c r="AK2270" s="1" t="s">
        <v>89</v>
      </c>
      <c r="AL2270" s="3">
        <v>5</v>
      </c>
      <c r="AM2270" s="8">
        <v>10.25</v>
      </c>
      <c r="AN2270" s="1"/>
      <c r="AO2270" s="1" t="s">
        <v>16149</v>
      </c>
      <c r="AP2270" s="1" t="s">
        <v>4884</v>
      </c>
      <c r="AQ2270" s="1" t="s">
        <v>16150</v>
      </c>
      <c r="AR2270" s="1" t="s">
        <v>16151</v>
      </c>
    </row>
    <row r="2271">
      <c r="A2271" s="2">
        <f ca="1">DATE(2007,08,10)</f>
        <v>0</v>
      </c>
      <c r="B2271" s="2">
        <f ca="1">DATE(2007,11,08)</f>
        <v>0</v>
      </c>
      <c r="C2271" s="1" t="s">
        <v>16152</v>
      </c>
      <c r="D2271" s="3">
        <v>4491</v>
      </c>
      <c r="E2271" s="1" t="s">
        <v>43</v>
      </c>
      <c r="F2271" s="1" t="s">
        <v>16153</v>
      </c>
      <c r="G2271" s="1" t="s">
        <v>16154</v>
      </c>
      <c r="H2271" s="4">
        <v>1.2589999999999999</v>
      </c>
      <c r="I2271" s="4">
        <v>6.625</v>
      </c>
      <c r="J2271" s="5">
        <v>142.5</v>
      </c>
      <c r="K2271" s="4">
        <v>19</v>
      </c>
      <c r="L2271" s="1" t="s">
        <v>85</v>
      </c>
      <c r="M2271" s="1" t="s">
        <v>47</v>
      </c>
      <c r="N2271" s="3">
        <v>671028108</v>
      </c>
      <c r="O2271" s="1" t="s">
        <v>108</v>
      </c>
      <c r="P2271" s="1" t="s">
        <v>16155</v>
      </c>
      <c r="Q2271" s="1" t="s">
        <v>145</v>
      </c>
      <c r="R2271" s="1" t="s">
        <v>145</v>
      </c>
      <c r="S2271" s="6">
        <v>3.97526</v>
      </c>
      <c r="T2271" s="1" t="s">
        <v>50</v>
      </c>
      <c r="U2271" s="1"/>
      <c r="V2271" s="1"/>
      <c r="W2271" s="7">
        <v>7500000</v>
      </c>
      <c r="X2271" s="1"/>
      <c r="Y2271" s="7">
        <v>7500000</v>
      </c>
      <c r="Z2271" s="1"/>
      <c r="AA2271" s="1" t="s">
        <v>16140</v>
      </c>
      <c r="AB2271" s="1" t="s">
        <v>5265</v>
      </c>
      <c r="AC2271" s="1" t="s">
        <v>7759</v>
      </c>
      <c r="AD2271" s="1" t="s">
        <v>5265</v>
      </c>
      <c r="AE2271" s="1" t="s">
        <v>51</v>
      </c>
      <c r="AF2271" s="1" t="s">
        <v>51</v>
      </c>
      <c r="AG2271" s="1" t="s">
        <v>51</v>
      </c>
      <c r="AH2271" s="1"/>
      <c r="AI2271" s="1"/>
      <c r="AJ2271" s="3">
        <v>2</v>
      </c>
      <c r="AK2271" s="1" t="s">
        <v>89</v>
      </c>
      <c r="AL2271" s="3">
        <v>5</v>
      </c>
      <c r="AM2271" s="8">
        <v>18.850000000000001</v>
      </c>
      <c r="AN2271" s="1"/>
      <c r="AO2271" s="1" t="s">
        <v>16156</v>
      </c>
      <c r="AP2271" s="1" t="s">
        <v>16157</v>
      </c>
      <c r="AQ2271" s="1" t="s">
        <v>16158</v>
      </c>
      <c r="AR2271" s="1" t="s">
        <v>16159</v>
      </c>
    </row>
    <row r="2272">
      <c r="A2272" s="2">
        <f ca="1">DATE(2007,07,19)</f>
        <v>0</v>
      </c>
      <c r="B2272" s="2">
        <f ca="1">DATE(2007,11,08)</f>
        <v>0</v>
      </c>
      <c r="C2272" s="1" t="s">
        <v>16160</v>
      </c>
      <c r="D2272" s="3">
        <v>1311</v>
      </c>
      <c r="E2272" s="1" t="s">
        <v>43</v>
      </c>
      <c r="F2272" s="1" t="s">
        <v>16161</v>
      </c>
      <c r="G2272" s="1" t="s">
        <v>16162</v>
      </c>
      <c r="H2272" s="4">
        <v>1.1699999999999999</v>
      </c>
      <c r="I2272" s="4">
        <v>6.5</v>
      </c>
      <c r="J2272" s="5">
        <v>163.80000000000001</v>
      </c>
      <c r="K2272" s="4">
        <v>18</v>
      </c>
      <c r="L2272" s="1" t="s">
        <v>85</v>
      </c>
      <c r="M2272" s="1" t="s">
        <v>47</v>
      </c>
      <c r="N2272" s="1" t="s">
        <v>16163</v>
      </c>
      <c r="O2272" s="1" t="s">
        <v>48</v>
      </c>
      <c r="P2272" s="1" t="s">
        <v>16164</v>
      </c>
      <c r="Q2272" s="1" t="s">
        <v>145</v>
      </c>
      <c r="R2272" s="1" t="s">
        <v>145</v>
      </c>
      <c r="S2272" s="8">
        <v>3.8999999999999999</v>
      </c>
      <c r="T2272" s="1" t="s">
        <v>50</v>
      </c>
      <c r="U2272" s="1"/>
      <c r="V2272" s="1"/>
      <c r="W2272" s="7">
        <v>8750000</v>
      </c>
      <c r="X2272" s="1"/>
      <c r="Y2272" s="7">
        <v>9100000</v>
      </c>
      <c r="Z2272" s="1"/>
      <c r="AA2272" s="1" t="s">
        <v>16140</v>
      </c>
      <c r="AB2272" s="1" t="s">
        <v>5265</v>
      </c>
      <c r="AC2272" s="1" t="s">
        <v>7759</v>
      </c>
      <c r="AD2272" s="1" t="s">
        <v>5265</v>
      </c>
      <c r="AE2272" s="1" t="s">
        <v>51</v>
      </c>
      <c r="AF2272" s="1" t="s">
        <v>51</v>
      </c>
      <c r="AG2272" s="1" t="s">
        <v>51</v>
      </c>
      <c r="AH2272" s="1"/>
      <c r="AI2272" s="1"/>
      <c r="AJ2272" s="3">
        <v>2</v>
      </c>
      <c r="AK2272" s="1" t="s">
        <v>89</v>
      </c>
      <c r="AL2272" s="3">
        <v>6</v>
      </c>
      <c r="AM2272" s="8">
        <v>17</v>
      </c>
      <c r="AN2272" s="1"/>
      <c r="AO2272" s="1" t="s">
        <v>16165</v>
      </c>
      <c r="AP2272" s="1" t="s">
        <v>16166</v>
      </c>
      <c r="AQ2272" s="1" t="s">
        <v>16167</v>
      </c>
      <c r="AR2272" s="1" t="s">
        <v>16168</v>
      </c>
    </row>
    <row r="2273">
      <c r="A2273" s="2">
        <f ca="1">DATE(2007,04,20)</f>
        <v>0</v>
      </c>
      <c r="B2273" s="2">
        <f ca="1">DATE(2007,11,09)</f>
        <v>0</v>
      </c>
      <c r="C2273" s="1" t="s">
        <v>16169</v>
      </c>
      <c r="D2273" s="3">
        <v>6799</v>
      </c>
      <c r="E2273" s="1" t="s">
        <v>43</v>
      </c>
      <c r="F2273" s="1" t="s">
        <v>16170</v>
      </c>
      <c r="G2273" s="1" t="s">
        <v>9810</v>
      </c>
      <c r="H2273" s="4">
        <v>0.27000000000000002</v>
      </c>
      <c r="I2273" s="4">
        <v>3.375</v>
      </c>
      <c r="J2273" s="5">
        <v>60</v>
      </c>
      <c r="K2273" s="4">
        <v>8</v>
      </c>
      <c r="L2273" s="1" t="s">
        <v>46</v>
      </c>
      <c r="M2273" s="1" t="s">
        <v>47</v>
      </c>
      <c r="N2273" s="1" t="s">
        <v>16171</v>
      </c>
      <c r="O2273" s="1" t="s">
        <v>3689</v>
      </c>
      <c r="P2273" s="1" t="s">
        <v>16172</v>
      </c>
      <c r="Q2273" s="1" t="s">
        <v>145</v>
      </c>
      <c r="R2273" s="1" t="s">
        <v>145</v>
      </c>
      <c r="S2273" s="4">
        <v>2.125</v>
      </c>
      <c r="T2273" s="1" t="s">
        <v>50</v>
      </c>
      <c r="U2273" s="8">
        <v>8</v>
      </c>
      <c r="V2273" s="8">
        <v>8</v>
      </c>
      <c r="W2273" s="7">
        <v>7500000</v>
      </c>
      <c r="X2273" s="5">
        <v>60</v>
      </c>
      <c r="Y2273" s="7">
        <v>7500000</v>
      </c>
      <c r="Z2273" s="1"/>
      <c r="AA2273" s="1"/>
      <c r="AB2273" s="1"/>
      <c r="AC2273" s="1"/>
      <c r="AD2273" s="1"/>
      <c r="AE2273" s="1" t="s">
        <v>51</v>
      </c>
      <c r="AF2273" s="1" t="s">
        <v>51</v>
      </c>
      <c r="AG2273" s="1" t="s">
        <v>51</v>
      </c>
      <c r="AH2273" s="1"/>
      <c r="AI2273" s="1"/>
      <c r="AJ2273" s="3">
        <v>1</v>
      </c>
      <c r="AK2273" s="1" t="s">
        <v>52</v>
      </c>
      <c r="AL2273" s="3">
        <v>4</v>
      </c>
      <c r="AM2273" s="8">
        <v>7.1299999999999999</v>
      </c>
      <c r="AN2273" s="1"/>
      <c r="AO2273" s="1" t="s">
        <v>16173</v>
      </c>
      <c r="AP2273" s="1" t="s">
        <v>9810</v>
      </c>
      <c r="AQ2273" s="1" t="s">
        <v>16174</v>
      </c>
      <c r="AR2273" s="1" t="s">
        <v>16175</v>
      </c>
    </row>
    <row r="2274">
      <c r="A2274" s="2">
        <f ca="1">DATE(2007,06,26)</f>
        <v>0</v>
      </c>
      <c r="B2274" s="2">
        <f ca="1">DATE(2007,11,12)</f>
        <v>0</v>
      </c>
      <c r="C2274" s="1" t="s">
        <v>16176</v>
      </c>
      <c r="D2274" s="3">
        <v>1389</v>
      </c>
      <c r="E2274" s="1" t="s">
        <v>43</v>
      </c>
      <c r="F2274" s="1" t="s">
        <v>16177</v>
      </c>
      <c r="G2274" s="1" t="s">
        <v>16178</v>
      </c>
      <c r="H2274" s="4">
        <v>0.56000000000000005</v>
      </c>
      <c r="I2274" s="4">
        <v>7</v>
      </c>
      <c r="J2274" s="5">
        <v>400</v>
      </c>
      <c r="K2274" s="4">
        <v>8</v>
      </c>
      <c r="L2274" s="1" t="s">
        <v>31</v>
      </c>
      <c r="M2274" s="1" t="s">
        <v>47</v>
      </c>
      <c r="N2274" s="3">
        <v>422680207</v>
      </c>
      <c r="O2274" s="1" t="s">
        <v>108</v>
      </c>
      <c r="P2274" s="1" t="s">
        <v>16179</v>
      </c>
      <c r="Q2274" s="1" t="s">
        <v>145</v>
      </c>
      <c r="R2274" s="1" t="s">
        <v>145</v>
      </c>
      <c r="S2274" s="8">
        <v>4.2000000000000002</v>
      </c>
      <c r="T2274" s="1" t="s">
        <v>50</v>
      </c>
      <c r="U2274" s="8">
        <v>8</v>
      </c>
      <c r="V2274" s="8">
        <v>8</v>
      </c>
      <c r="W2274" s="7">
        <v>62500000</v>
      </c>
      <c r="X2274" s="5">
        <v>500</v>
      </c>
      <c r="Y2274" s="7">
        <v>50000000</v>
      </c>
      <c r="Z2274" s="1"/>
      <c r="AA2274" s="2">
        <f ca="1">DATE(2008,05,10)</f>
        <v>0</v>
      </c>
      <c r="AB2274" s="1"/>
      <c r="AC2274" s="3">
        <v>180</v>
      </c>
      <c r="AD2274" s="1"/>
      <c r="AE2274" s="1" t="s">
        <v>51</v>
      </c>
      <c r="AF2274" s="1" t="s">
        <v>51</v>
      </c>
      <c r="AG2274" s="1" t="s">
        <v>51</v>
      </c>
      <c r="AH2274" s="1"/>
      <c r="AI2274" s="1"/>
      <c r="AJ2274" s="3">
        <v>2</v>
      </c>
      <c r="AK2274" s="1" t="s">
        <v>89</v>
      </c>
      <c r="AL2274" s="3">
        <v>3</v>
      </c>
      <c r="AM2274" s="1"/>
      <c r="AN2274" s="1"/>
      <c r="AO2274" s="1" t="s">
        <v>16180</v>
      </c>
      <c r="AP2274" s="1" t="s">
        <v>16181</v>
      </c>
      <c r="AQ2274" s="1" t="s">
        <v>16182</v>
      </c>
      <c r="AR2274" s="1" t="s">
        <v>16179</v>
      </c>
    </row>
    <row r="2275">
      <c r="A2275" s="2">
        <f ca="1">DATE(2007,10,26)</f>
        <v>0</v>
      </c>
      <c r="B2275" s="2">
        <f ca="1">DATE(2007,11,12)</f>
        <v>0</v>
      </c>
      <c r="C2275" s="1" t="s">
        <v>16183</v>
      </c>
      <c r="D2275" s="3">
        <v>4412</v>
      </c>
      <c r="E2275" s="1" t="s">
        <v>3764</v>
      </c>
      <c r="F2275" s="1" t="s">
        <v>16184</v>
      </c>
      <c r="G2275" s="1" t="s">
        <v>5645</v>
      </c>
      <c r="H2275" s="4">
        <v>1.28</v>
      </c>
      <c r="I2275" s="4">
        <v>6.4000000000000004</v>
      </c>
      <c r="J2275" s="5">
        <v>200</v>
      </c>
      <c r="K2275" s="4">
        <v>20</v>
      </c>
      <c r="L2275" s="1" t="s">
        <v>85</v>
      </c>
      <c r="M2275" s="1" t="s">
        <v>47</v>
      </c>
      <c r="N2275" s="1" t="s">
        <v>16185</v>
      </c>
      <c r="O2275" s="1" t="s">
        <v>108</v>
      </c>
      <c r="P2275" s="1" t="s">
        <v>16186</v>
      </c>
      <c r="Q2275" s="1" t="s">
        <v>145</v>
      </c>
      <c r="R2275" s="1" t="s">
        <v>145</v>
      </c>
      <c r="S2275" s="8">
        <v>3.7999999999999998</v>
      </c>
      <c r="T2275" s="1" t="s">
        <v>50</v>
      </c>
      <c r="U2275" s="1"/>
      <c r="V2275" s="1"/>
      <c r="W2275" s="7">
        <v>10000000</v>
      </c>
      <c r="X2275" s="1"/>
      <c r="Y2275" s="7">
        <v>10000000</v>
      </c>
      <c r="Z2275" s="1"/>
      <c r="AA2275" s="1" t="s">
        <v>16187</v>
      </c>
      <c r="AB2275" s="1" t="s">
        <v>5265</v>
      </c>
      <c r="AC2275" s="1" t="s">
        <v>7759</v>
      </c>
      <c r="AD2275" s="1" t="s">
        <v>5265</v>
      </c>
      <c r="AE2275" s="1" t="s">
        <v>51</v>
      </c>
      <c r="AF2275" s="1" t="s">
        <v>51</v>
      </c>
      <c r="AG2275" s="1" t="s">
        <v>51</v>
      </c>
      <c r="AH2275" s="1"/>
      <c r="AI2275" s="1"/>
      <c r="AJ2275" s="3">
        <v>2</v>
      </c>
      <c r="AK2275" s="1" t="s">
        <v>89</v>
      </c>
      <c r="AL2275" s="3">
        <v>5</v>
      </c>
      <c r="AM2275" s="8">
        <v>19.25</v>
      </c>
      <c r="AN2275" s="1"/>
      <c r="AO2275" s="1" t="s">
        <v>16188</v>
      </c>
      <c r="AP2275" s="1" t="s">
        <v>3866</v>
      </c>
      <c r="AQ2275" s="1" t="s">
        <v>16189</v>
      </c>
      <c r="AR2275" s="1" t="s">
        <v>16190</v>
      </c>
    </row>
    <row r="2276">
      <c r="A2276" s="2">
        <f ca="1">DATE(2007,09,05)</f>
        <v>0</v>
      </c>
      <c r="B2276" s="2">
        <f ca="1">DATE(2007,11,13)</f>
        <v>0</v>
      </c>
      <c r="C2276" s="1" t="s">
        <v>16191</v>
      </c>
      <c r="D2276" s="3">
        <v>6035</v>
      </c>
      <c r="E2276" s="1" t="s">
        <v>43</v>
      </c>
      <c r="F2276" s="1" t="s">
        <v>16192</v>
      </c>
      <c r="G2276" s="1" t="s">
        <v>2371</v>
      </c>
      <c r="H2276" s="4">
        <v>0.070999999999999994</v>
      </c>
      <c r="I2276" s="8">
        <v>0.71999999999999997</v>
      </c>
      <c r="J2276" s="5">
        <v>146.69999999999999</v>
      </c>
      <c r="K2276" s="4">
        <v>9.8100000000000005</v>
      </c>
      <c r="L2276" s="1" t="s">
        <v>46</v>
      </c>
      <c r="M2276" s="1" t="s">
        <v>47</v>
      </c>
      <c r="N2276" s="3">
        <v>236442109</v>
      </c>
      <c r="O2276" s="1" t="s">
        <v>48</v>
      </c>
      <c r="P2276" s="1" t="s">
        <v>8544</v>
      </c>
      <c r="Q2276" s="1" t="s">
        <v>145</v>
      </c>
      <c r="R2276" s="1" t="s">
        <v>145</v>
      </c>
      <c r="S2276" s="1"/>
      <c r="T2276" s="1" t="s">
        <v>50</v>
      </c>
      <c r="U2276" s="8">
        <v>10</v>
      </c>
      <c r="V2276" s="8">
        <v>10</v>
      </c>
      <c r="W2276" s="7">
        <v>11050000</v>
      </c>
      <c r="X2276" s="5">
        <v>110.5</v>
      </c>
      <c r="Y2276" s="7">
        <v>14950000</v>
      </c>
      <c r="Z2276" s="1"/>
      <c r="AA2276" s="1"/>
      <c r="AB2276" s="1"/>
      <c r="AC2276" s="1"/>
      <c r="AD2276" s="1"/>
      <c r="AE2276" s="1" t="s">
        <v>51</v>
      </c>
      <c r="AF2276" s="1" t="s">
        <v>51</v>
      </c>
      <c r="AG2276" s="1" t="s">
        <v>51</v>
      </c>
      <c r="AH2276" s="1"/>
      <c r="AI2276" s="1"/>
      <c r="AJ2276" s="3">
        <v>1</v>
      </c>
      <c r="AK2276" s="1" t="s">
        <v>52</v>
      </c>
      <c r="AL2276" s="3">
        <v>1</v>
      </c>
      <c r="AM2276" s="1"/>
      <c r="AN2276" s="1"/>
      <c r="AO2276" s="1" t="s">
        <v>2371</v>
      </c>
      <c r="AP2276" s="1" t="s">
        <v>2371</v>
      </c>
      <c r="AQ2276" s="1" t="s">
        <v>2371</v>
      </c>
      <c r="AR2276" s="1" t="s">
        <v>2374</v>
      </c>
    </row>
    <row r="2277">
      <c r="A2277" s="2">
        <f ca="1">DATE(2007,07,02)</f>
        <v>0</v>
      </c>
      <c r="B2277" s="2">
        <f ca="1">DATE(2007,11,13)</f>
        <v>0</v>
      </c>
      <c r="C2277" s="1" t="s">
        <v>16193</v>
      </c>
      <c r="D2277" s="3">
        <v>6799</v>
      </c>
      <c r="E2277" s="1" t="s">
        <v>43</v>
      </c>
      <c r="F2277" s="1" t="s">
        <v>16194</v>
      </c>
      <c r="G2277" s="1" t="s">
        <v>16195</v>
      </c>
      <c r="H2277" s="4">
        <v>1.76</v>
      </c>
      <c r="I2277" s="4">
        <v>5.5</v>
      </c>
      <c r="J2277" s="9">
        <v>1152</v>
      </c>
      <c r="K2277" s="4">
        <v>32</v>
      </c>
      <c r="L2277" s="1" t="s">
        <v>5598</v>
      </c>
      <c r="M2277" s="1" t="s">
        <v>47</v>
      </c>
      <c r="N2277" s="1" t="s">
        <v>16196</v>
      </c>
      <c r="O2277" s="1" t="s">
        <v>16197</v>
      </c>
      <c r="P2277" s="1" t="s">
        <v>16198</v>
      </c>
      <c r="Q2277" s="4">
        <v>1.1000000000000001</v>
      </c>
      <c r="R2277" s="4">
        <v>1.1000000000000001</v>
      </c>
      <c r="S2277" s="8">
        <v>3.2999999999999998</v>
      </c>
      <c r="T2277" s="1" t="s">
        <v>50</v>
      </c>
      <c r="U2277" s="1"/>
      <c r="V2277" s="1"/>
      <c r="W2277" s="1"/>
      <c r="X2277" s="9">
        <v>2000</v>
      </c>
      <c r="Y2277" s="7">
        <v>36000000</v>
      </c>
      <c r="Z2277" s="1"/>
      <c r="AA2277" s="1" t="s">
        <v>16199</v>
      </c>
      <c r="AB2277" s="1" t="s">
        <v>2067</v>
      </c>
      <c r="AC2277" s="1" t="s">
        <v>2068</v>
      </c>
      <c r="AD2277" s="1" t="s">
        <v>2067</v>
      </c>
      <c r="AE2277" s="1" t="s">
        <v>51</v>
      </c>
      <c r="AF2277" s="1" t="s">
        <v>51</v>
      </c>
      <c r="AG2277" s="1" t="s">
        <v>51</v>
      </c>
      <c r="AH2277" s="1"/>
      <c r="AI2277" s="1"/>
      <c r="AJ2277" s="3">
        <v>7</v>
      </c>
      <c r="AK2277" s="1" t="s">
        <v>8132</v>
      </c>
      <c r="AL2277" s="3">
        <v>15</v>
      </c>
      <c r="AM2277" s="8">
        <v>30.649999999999999</v>
      </c>
      <c r="AN2277" s="1"/>
      <c r="AO2277" s="1" t="s">
        <v>16200</v>
      </c>
      <c r="AP2277" s="1" t="s">
        <v>16201</v>
      </c>
      <c r="AQ2277" s="1" t="s">
        <v>16202</v>
      </c>
      <c r="AR2277" s="1" t="s">
        <v>16203</v>
      </c>
    </row>
    <row r="2278">
      <c r="A2278" s="2">
        <f ca="1">DATE(2007,03,29)</f>
        <v>0</v>
      </c>
      <c r="B2278" s="2">
        <f ca="1">DATE(2007,11,14)</f>
        <v>0</v>
      </c>
      <c r="C2278" s="1" t="s">
        <v>16204</v>
      </c>
      <c r="D2278" s="3">
        <v>4953</v>
      </c>
      <c r="E2278" s="1" t="s">
        <v>43</v>
      </c>
      <c r="F2278" s="1" t="s">
        <v>16205</v>
      </c>
      <c r="G2278" s="1" t="s">
        <v>16206</v>
      </c>
      <c r="H2278" s="4">
        <v>1.3799999999999999</v>
      </c>
      <c r="I2278" s="4">
        <v>6</v>
      </c>
      <c r="J2278" s="5">
        <v>690</v>
      </c>
      <c r="K2278" s="4">
        <v>23</v>
      </c>
      <c r="L2278" s="1" t="s">
        <v>46</v>
      </c>
      <c r="M2278" s="1" t="s">
        <v>47</v>
      </c>
      <c r="N2278" s="3">
        <v>292756202</v>
      </c>
      <c r="O2278" s="1" t="s">
        <v>108</v>
      </c>
      <c r="P2278" s="1" t="s">
        <v>16207</v>
      </c>
      <c r="Q2278" s="1" t="s">
        <v>145</v>
      </c>
      <c r="R2278" s="1" t="s">
        <v>145</v>
      </c>
      <c r="S2278" s="8">
        <v>3.6000000000000001</v>
      </c>
      <c r="T2278" s="1" t="s">
        <v>50</v>
      </c>
      <c r="U2278" s="1"/>
      <c r="V2278" s="1"/>
      <c r="W2278" s="1"/>
      <c r="X2278" s="5">
        <v>500</v>
      </c>
      <c r="Y2278" s="7">
        <v>11500000</v>
      </c>
      <c r="Z2278" s="7">
        <v>18500000</v>
      </c>
      <c r="AA2278" s="1" t="s">
        <v>16208</v>
      </c>
      <c r="AB2278" s="1" t="s">
        <v>5265</v>
      </c>
      <c r="AC2278" s="1" t="s">
        <v>7759</v>
      </c>
      <c r="AD2278" s="1" t="s">
        <v>5265</v>
      </c>
      <c r="AE2278" s="1" t="s">
        <v>51</v>
      </c>
      <c r="AF2278" s="1" t="s">
        <v>51</v>
      </c>
      <c r="AG2278" s="1" t="s">
        <v>51</v>
      </c>
      <c r="AH2278" s="1"/>
      <c r="AI2278" s="1"/>
      <c r="AJ2278" s="3">
        <v>3</v>
      </c>
      <c r="AK2278" s="1" t="s">
        <v>110</v>
      </c>
      <c r="AL2278" s="3">
        <v>10</v>
      </c>
      <c r="AM2278" s="8">
        <v>23.010000000000002</v>
      </c>
      <c r="AN2278" s="1"/>
      <c r="AO2278" s="1" t="s">
        <v>16209</v>
      </c>
      <c r="AP2278" s="1" t="s">
        <v>16210</v>
      </c>
      <c r="AQ2278" s="1" t="s">
        <v>16211</v>
      </c>
      <c r="AR2278" s="1" t="s">
        <v>16212</v>
      </c>
    </row>
    <row r="2279">
      <c r="A2279" s="2">
        <f ca="1">DATE(2007,05,25)</f>
        <v>0</v>
      </c>
      <c r="B2279" s="2">
        <f ca="1">DATE(2007,11,14)</f>
        <v>0</v>
      </c>
      <c r="C2279" s="1" t="s">
        <v>16213</v>
      </c>
      <c r="D2279" s="3">
        <v>3841</v>
      </c>
      <c r="E2279" s="1" t="s">
        <v>43</v>
      </c>
      <c r="F2279" s="1" t="s">
        <v>16214</v>
      </c>
      <c r="G2279" s="1" t="s">
        <v>16215</v>
      </c>
      <c r="H2279" s="4">
        <v>0.56000000000000005</v>
      </c>
      <c r="I2279" s="4">
        <v>7</v>
      </c>
      <c r="J2279" s="5">
        <v>40</v>
      </c>
      <c r="K2279" s="4">
        <v>8</v>
      </c>
      <c r="L2279" s="1" t="s">
        <v>46</v>
      </c>
      <c r="M2279" s="1" t="s">
        <v>47</v>
      </c>
      <c r="N2279" s="1" t="s">
        <v>16216</v>
      </c>
      <c r="O2279" s="1" t="s">
        <v>48</v>
      </c>
      <c r="P2279" s="1" t="s">
        <v>16217</v>
      </c>
      <c r="Q2279" s="1" t="s">
        <v>145</v>
      </c>
      <c r="R2279" s="1" t="s">
        <v>145</v>
      </c>
      <c r="S2279" s="8">
        <v>7</v>
      </c>
      <c r="T2279" s="1" t="s">
        <v>50</v>
      </c>
      <c r="U2279" s="1"/>
      <c r="V2279" s="1"/>
      <c r="W2279" s="1"/>
      <c r="X2279" s="5">
        <v>86.299999999999997</v>
      </c>
      <c r="Y2279" s="7">
        <v>5000000</v>
      </c>
      <c r="Z2279" s="1"/>
      <c r="AA2279" s="1" t="s">
        <v>16218</v>
      </c>
      <c r="AB2279" s="1" t="s">
        <v>2067</v>
      </c>
      <c r="AC2279" s="1" t="s">
        <v>2068</v>
      </c>
      <c r="AD2279" s="1" t="s">
        <v>2067</v>
      </c>
      <c r="AE2279" s="1" t="s">
        <v>51</v>
      </c>
      <c r="AF2279" s="1" t="s">
        <v>51</v>
      </c>
      <c r="AG2279" s="1" t="s">
        <v>47</v>
      </c>
      <c r="AH2279" s="1"/>
      <c r="AI2279" s="1"/>
      <c r="AJ2279" s="3">
        <v>2</v>
      </c>
      <c r="AK2279" s="1" t="s">
        <v>89</v>
      </c>
      <c r="AL2279" s="3">
        <v>4</v>
      </c>
      <c r="AM2279" s="8">
        <v>8</v>
      </c>
      <c r="AN2279" s="1"/>
      <c r="AO2279" s="1" t="s">
        <v>16219</v>
      </c>
      <c r="AP2279" s="1" t="s">
        <v>16220</v>
      </c>
      <c r="AQ2279" s="1" t="s">
        <v>16221</v>
      </c>
      <c r="AR2279" s="1" t="s">
        <v>16222</v>
      </c>
    </row>
    <row r="2280">
      <c r="A2280" s="2">
        <f ca="1">DATE(2007,07,31)</f>
        <v>0</v>
      </c>
      <c r="B2280" s="2">
        <f ca="1">DATE(2007,11,14)</f>
        <v>0</v>
      </c>
      <c r="C2280" s="1" t="s">
        <v>16223</v>
      </c>
      <c r="D2280" s="3">
        <v>6282</v>
      </c>
      <c r="E2280" s="1" t="s">
        <v>43</v>
      </c>
      <c r="F2280" s="1" t="s">
        <v>16224</v>
      </c>
      <c r="G2280" s="1" t="s">
        <v>796</v>
      </c>
      <c r="H2280" s="4">
        <v>1.26</v>
      </c>
      <c r="I2280" s="4">
        <v>7</v>
      </c>
      <c r="J2280" s="5">
        <v>252</v>
      </c>
      <c r="K2280" s="4">
        <v>18</v>
      </c>
      <c r="L2280" s="1" t="s">
        <v>5129</v>
      </c>
      <c r="M2280" s="1" t="s">
        <v>47</v>
      </c>
      <c r="N2280" s="1" t="s">
        <v>16225</v>
      </c>
      <c r="O2280" s="1" t="s">
        <v>108</v>
      </c>
      <c r="P2280" s="1" t="s">
        <v>16226</v>
      </c>
      <c r="Q2280" s="1" t="s">
        <v>145</v>
      </c>
      <c r="R2280" s="1" t="s">
        <v>145</v>
      </c>
      <c r="S2280" s="8">
        <v>4.2000000000000002</v>
      </c>
      <c r="T2280" s="1" t="s">
        <v>50</v>
      </c>
      <c r="U2280" s="1"/>
      <c r="V2280" s="1"/>
      <c r="W2280" s="1"/>
      <c r="X2280" s="5">
        <v>200</v>
      </c>
      <c r="Y2280" s="7">
        <v>14000000</v>
      </c>
      <c r="Z2280" s="1"/>
      <c r="AA2280" s="1" t="s">
        <v>16218</v>
      </c>
      <c r="AB2280" s="1" t="s">
        <v>2067</v>
      </c>
      <c r="AC2280" s="1" t="s">
        <v>2068</v>
      </c>
      <c r="AD2280" s="1" t="s">
        <v>2067</v>
      </c>
      <c r="AE2280" s="1" t="s">
        <v>51</v>
      </c>
      <c r="AF2280" s="1" t="s">
        <v>51</v>
      </c>
      <c r="AG2280" s="1" t="s">
        <v>51</v>
      </c>
      <c r="AH2280" s="1"/>
      <c r="AI2280" s="1"/>
      <c r="AJ2280" s="3">
        <v>1</v>
      </c>
      <c r="AK2280" s="1" t="s">
        <v>52</v>
      </c>
      <c r="AL2280" s="3">
        <v>12</v>
      </c>
      <c r="AM2280" s="8">
        <v>24.969999999999999</v>
      </c>
      <c r="AN2280" s="1"/>
      <c r="AO2280" s="1" t="s">
        <v>16227</v>
      </c>
      <c r="AP2280" s="1" t="s">
        <v>796</v>
      </c>
      <c r="AQ2280" s="1" t="s">
        <v>16228</v>
      </c>
      <c r="AR2280" s="1" t="s">
        <v>16229</v>
      </c>
    </row>
    <row r="2281">
      <c r="A2281" s="2">
        <f ca="1">DATE(2007,08,03)</f>
        <v>0</v>
      </c>
      <c r="B2281" s="2">
        <f ca="1">DATE(2007,11,14)</f>
        <v>0</v>
      </c>
      <c r="C2281" s="1" t="s">
        <v>16230</v>
      </c>
      <c r="D2281" s="3">
        <v>6726</v>
      </c>
      <c r="E2281" s="1" t="s">
        <v>43</v>
      </c>
      <c r="F2281" s="1" t="s">
        <v>16231</v>
      </c>
      <c r="G2281" s="1" t="s">
        <v>15222</v>
      </c>
      <c r="H2281" s="4">
        <v>0.69999999999999996</v>
      </c>
      <c r="I2281" s="8">
        <v>7</v>
      </c>
      <c r="J2281" s="5">
        <v>250</v>
      </c>
      <c r="K2281" s="4">
        <v>10</v>
      </c>
      <c r="L2281" s="1" t="s">
        <v>46</v>
      </c>
      <c r="M2281" s="1" t="s">
        <v>47</v>
      </c>
      <c r="N2281" s="1" t="s">
        <v>16232</v>
      </c>
      <c r="O2281" s="1" t="s">
        <v>87</v>
      </c>
      <c r="P2281" s="1" t="s">
        <v>15224</v>
      </c>
      <c r="Q2281" s="1" t="s">
        <v>145</v>
      </c>
      <c r="R2281" s="1" t="s">
        <v>145</v>
      </c>
      <c r="S2281" s="8">
        <v>1.8</v>
      </c>
      <c r="T2281" s="1" t="s">
        <v>50</v>
      </c>
      <c r="U2281" s="8">
        <v>10</v>
      </c>
      <c r="V2281" s="8">
        <v>10</v>
      </c>
      <c r="W2281" s="7">
        <v>15000000</v>
      </c>
      <c r="X2281" s="5">
        <v>150</v>
      </c>
      <c r="Y2281" s="7">
        <v>25000000</v>
      </c>
      <c r="Z2281" s="1"/>
      <c r="AA2281" s="1" t="s">
        <v>16218</v>
      </c>
      <c r="AB2281" s="1" t="s">
        <v>2067</v>
      </c>
      <c r="AC2281" s="1" t="s">
        <v>2068</v>
      </c>
      <c r="AD2281" s="1" t="s">
        <v>2067</v>
      </c>
      <c r="AE2281" s="1" t="s">
        <v>51</v>
      </c>
      <c r="AF2281" s="1" t="s">
        <v>51</v>
      </c>
      <c r="AG2281" s="1" t="s">
        <v>51</v>
      </c>
      <c r="AH2281" s="1"/>
      <c r="AI2281" s="1"/>
      <c r="AJ2281" s="3">
        <v>1</v>
      </c>
      <c r="AK2281" s="1" t="s">
        <v>52</v>
      </c>
      <c r="AL2281" s="3">
        <v>3</v>
      </c>
      <c r="AM2281" s="1"/>
      <c r="AN2281" s="1"/>
      <c r="AO2281" s="1" t="s">
        <v>15226</v>
      </c>
      <c r="AP2281" s="1" t="s">
        <v>15222</v>
      </c>
      <c r="AQ2281" s="1" t="s">
        <v>15227</v>
      </c>
      <c r="AR2281" s="1" t="s">
        <v>15224</v>
      </c>
    </row>
    <row r="2282">
      <c r="A2282" s="2">
        <f ca="1">DATE(2006,08,11)</f>
        <v>0</v>
      </c>
      <c r="B2282" s="2">
        <f ca="1">DATE(2007,11,14)</f>
        <v>0</v>
      </c>
      <c r="C2282" s="1" t="s">
        <v>16233</v>
      </c>
      <c r="D2282" s="3">
        <v>8099</v>
      </c>
      <c r="E2282" s="1" t="s">
        <v>43</v>
      </c>
      <c r="F2282" s="1" t="s">
        <v>16234</v>
      </c>
      <c r="G2282" s="1" t="s">
        <v>160</v>
      </c>
      <c r="H2282" s="4">
        <v>1.19</v>
      </c>
      <c r="I2282" s="8">
        <v>7</v>
      </c>
      <c r="J2282" s="5">
        <v>68</v>
      </c>
      <c r="K2282" s="4">
        <v>17</v>
      </c>
      <c r="L2282" s="1" t="s">
        <v>46</v>
      </c>
      <c r="M2282" s="1" t="s">
        <v>47</v>
      </c>
      <c r="N2282" s="1" t="s">
        <v>16235</v>
      </c>
      <c r="O2282" s="1" t="s">
        <v>48</v>
      </c>
      <c r="P2282" s="1" t="s">
        <v>16236</v>
      </c>
      <c r="Q2282" s="1" t="s">
        <v>145</v>
      </c>
      <c r="R2282" s="1" t="s">
        <v>145</v>
      </c>
      <c r="S2282" s="1"/>
      <c r="T2282" s="1" t="s">
        <v>50</v>
      </c>
      <c r="U2282" s="1"/>
      <c r="V2282" s="1"/>
      <c r="W2282" s="1"/>
      <c r="X2282" s="1"/>
      <c r="Y2282" s="7">
        <v>4000000</v>
      </c>
      <c r="Z2282" s="1"/>
      <c r="AA2282" s="1" t="s">
        <v>16208</v>
      </c>
      <c r="AB2282" s="1" t="s">
        <v>5265</v>
      </c>
      <c r="AC2282" s="1" t="s">
        <v>7759</v>
      </c>
      <c r="AD2282" s="1" t="s">
        <v>5265</v>
      </c>
      <c r="AE2282" s="1" t="s">
        <v>51</v>
      </c>
      <c r="AF2282" s="1" t="s">
        <v>51</v>
      </c>
      <c r="AG2282" s="1" t="s">
        <v>47</v>
      </c>
      <c r="AH2282" s="1"/>
      <c r="AI2282" s="1"/>
      <c r="AJ2282" s="3">
        <v>1</v>
      </c>
      <c r="AK2282" s="1" t="s">
        <v>52</v>
      </c>
      <c r="AL2282" s="3">
        <v>3</v>
      </c>
      <c r="AM2282" s="8">
        <v>20.75</v>
      </c>
      <c r="AN2282" s="1"/>
      <c r="AO2282" s="1" t="s">
        <v>16237</v>
      </c>
      <c r="AP2282" s="1" t="s">
        <v>160</v>
      </c>
      <c r="AQ2282" s="1" t="s">
        <v>16238</v>
      </c>
      <c r="AR2282" s="1" t="s">
        <v>16239</v>
      </c>
    </row>
    <row r="2283">
      <c r="A2283" s="2">
        <f ca="1">DATE(2007,08,17)</f>
        <v>0</v>
      </c>
      <c r="B2283" s="2">
        <f ca="1">DATE(2007,11,15)</f>
        <v>0</v>
      </c>
      <c r="C2283" s="1" t="s">
        <v>16240</v>
      </c>
      <c r="D2283" s="3">
        <v>6798</v>
      </c>
      <c r="E2283" s="1" t="s">
        <v>43</v>
      </c>
      <c r="F2283" s="1" t="s">
        <v>16241</v>
      </c>
      <c r="G2283" s="1" t="s">
        <v>16242</v>
      </c>
      <c r="H2283" s="4">
        <v>0.93799999999999994</v>
      </c>
      <c r="I2283" s="4">
        <v>6.25</v>
      </c>
      <c r="J2283" s="5">
        <v>500</v>
      </c>
      <c r="K2283" s="4">
        <v>15</v>
      </c>
      <c r="L2283" s="1" t="s">
        <v>46</v>
      </c>
      <c r="M2283" s="1" t="s">
        <v>47</v>
      </c>
      <c r="N2283" s="1" t="s">
        <v>16243</v>
      </c>
      <c r="O2283" s="1" t="s">
        <v>108</v>
      </c>
      <c r="P2283" s="1" t="s">
        <v>16244</v>
      </c>
      <c r="Q2283" s="1" t="s">
        <v>145</v>
      </c>
      <c r="R2283" s="1" t="s">
        <v>145</v>
      </c>
      <c r="S2283" s="8">
        <v>3.6000000000000001</v>
      </c>
      <c r="T2283" s="1" t="s">
        <v>50</v>
      </c>
      <c r="U2283" s="1"/>
      <c r="V2283" s="1"/>
      <c r="W2283" s="1"/>
      <c r="X2283" s="5">
        <v>250</v>
      </c>
      <c r="Y2283" s="7">
        <v>33333334</v>
      </c>
      <c r="Z2283" s="1"/>
      <c r="AA2283" s="1" t="s">
        <v>16245</v>
      </c>
      <c r="AB2283" s="1" t="s">
        <v>5265</v>
      </c>
      <c r="AC2283" s="1" t="s">
        <v>7759</v>
      </c>
      <c r="AD2283" s="1" t="s">
        <v>5265</v>
      </c>
      <c r="AE2283" s="1" t="s">
        <v>51</v>
      </c>
      <c r="AF2283" s="1" t="s">
        <v>51</v>
      </c>
      <c r="AG2283" s="1" t="s">
        <v>51</v>
      </c>
      <c r="AH2283" s="1"/>
      <c r="AI2283" s="1"/>
      <c r="AJ2283" s="3">
        <v>3</v>
      </c>
      <c r="AK2283" s="1" t="s">
        <v>110</v>
      </c>
      <c r="AL2283" s="3">
        <v>6</v>
      </c>
      <c r="AM2283" s="8">
        <v>14.9</v>
      </c>
      <c r="AN2283" s="1"/>
      <c r="AO2283" s="1" t="s">
        <v>16246</v>
      </c>
      <c r="AP2283" s="1" t="s">
        <v>16247</v>
      </c>
      <c r="AQ2283" s="1" t="s">
        <v>16248</v>
      </c>
      <c r="AR2283" s="1" t="s">
        <v>16249</v>
      </c>
    </row>
    <row r="2284">
      <c r="A2284" s="2">
        <f ca="1">DATE(2007,08,31)</f>
        <v>0</v>
      </c>
      <c r="B2284" s="2">
        <f ca="1">DATE(2007,11,15)</f>
        <v>0</v>
      </c>
      <c r="C2284" s="1" t="s">
        <v>16250</v>
      </c>
      <c r="D2284" s="3">
        <v>4922</v>
      </c>
      <c r="E2284" s="1" t="s">
        <v>43</v>
      </c>
      <c r="F2284" s="1" t="s">
        <v>16251</v>
      </c>
      <c r="G2284" s="1" t="s">
        <v>16252</v>
      </c>
      <c r="H2284" s="4">
        <v>1.2</v>
      </c>
      <c r="I2284" s="4">
        <v>6</v>
      </c>
      <c r="J2284" s="5">
        <v>500</v>
      </c>
      <c r="K2284" s="4">
        <v>20</v>
      </c>
      <c r="L2284" s="1" t="s">
        <v>46</v>
      </c>
      <c r="M2284" s="1" t="s">
        <v>47</v>
      </c>
      <c r="N2284" s="3">
        <v>283702108</v>
      </c>
      <c r="O2284" s="1" t="s">
        <v>108</v>
      </c>
      <c r="P2284" s="1" t="s">
        <v>16253</v>
      </c>
      <c r="Q2284" s="1" t="s">
        <v>145</v>
      </c>
      <c r="R2284" s="1" t="s">
        <v>145</v>
      </c>
      <c r="S2284" s="8">
        <v>3.6000000000000001</v>
      </c>
      <c r="T2284" s="1" t="s">
        <v>50</v>
      </c>
      <c r="U2284" s="1"/>
      <c r="V2284" s="1"/>
      <c r="W2284" s="7">
        <v>25000000</v>
      </c>
      <c r="X2284" s="1"/>
      <c r="Y2284" s="7">
        <v>25000000</v>
      </c>
      <c r="Z2284" s="1"/>
      <c r="AA2284" s="1" t="s">
        <v>16245</v>
      </c>
      <c r="AB2284" s="1" t="s">
        <v>5265</v>
      </c>
      <c r="AC2284" s="1" t="s">
        <v>7759</v>
      </c>
      <c r="AD2284" s="1" t="s">
        <v>5265</v>
      </c>
      <c r="AE2284" s="1" t="s">
        <v>51</v>
      </c>
      <c r="AF2284" s="1" t="s">
        <v>51</v>
      </c>
      <c r="AG2284" s="1" t="s">
        <v>51</v>
      </c>
      <c r="AH2284" s="1"/>
      <c r="AI2284" s="1"/>
      <c r="AJ2284" s="3">
        <v>4</v>
      </c>
      <c r="AK2284" s="1" t="s">
        <v>1209</v>
      </c>
      <c r="AL2284" s="3">
        <v>11</v>
      </c>
      <c r="AM2284" s="8">
        <v>21.010000000000002</v>
      </c>
      <c r="AN2284" s="1"/>
      <c r="AO2284" s="1" t="s">
        <v>16254</v>
      </c>
      <c r="AP2284" s="1" t="s">
        <v>16255</v>
      </c>
      <c r="AQ2284" s="1" t="s">
        <v>16256</v>
      </c>
      <c r="AR2284" s="1" t="s">
        <v>16257</v>
      </c>
    </row>
    <row r="2285">
      <c r="A2285" s="2">
        <f ca="1">DATE(2007,09,17)</f>
        <v>0</v>
      </c>
      <c r="B2285" s="2">
        <f ca="1">DATE(2007,11,15)</f>
        <v>0</v>
      </c>
      <c r="C2285" s="1" t="s">
        <v>16258</v>
      </c>
      <c r="D2285" s="3">
        <v>6726</v>
      </c>
      <c r="E2285" s="1" t="s">
        <v>43</v>
      </c>
      <c r="F2285" s="1" t="s">
        <v>16259</v>
      </c>
      <c r="G2285" s="1" t="s">
        <v>16260</v>
      </c>
      <c r="H2285" s="4">
        <v>0.67500000000000004</v>
      </c>
      <c r="I2285" s="4">
        <v>4.5</v>
      </c>
      <c r="J2285" s="5">
        <v>206.30000000000001</v>
      </c>
      <c r="K2285" s="4">
        <v>15</v>
      </c>
      <c r="L2285" s="1" t="s">
        <v>46</v>
      </c>
      <c r="M2285" s="1" t="s">
        <v>47</v>
      </c>
      <c r="N2285" s="3">
        <v>670683101</v>
      </c>
      <c r="O2285" s="1" t="s">
        <v>108</v>
      </c>
      <c r="P2285" s="1" t="s">
        <v>16261</v>
      </c>
      <c r="Q2285" s="1" t="s">
        <v>145</v>
      </c>
      <c r="R2285" s="1" t="s">
        <v>145</v>
      </c>
      <c r="S2285" s="8">
        <v>3</v>
      </c>
      <c r="T2285" s="1" t="s">
        <v>50</v>
      </c>
      <c r="U2285" s="8">
        <v>15</v>
      </c>
      <c r="V2285" s="8">
        <v>15</v>
      </c>
      <c r="W2285" s="7">
        <v>1000</v>
      </c>
      <c r="X2285" s="5">
        <v>0</v>
      </c>
      <c r="Y2285" s="7">
        <v>13750000</v>
      </c>
      <c r="Z2285" s="1"/>
      <c r="AA2285" s="1"/>
      <c r="AB2285" s="1"/>
      <c r="AC2285" s="1"/>
      <c r="AD2285" s="1"/>
      <c r="AE2285" s="1" t="s">
        <v>51</v>
      </c>
      <c r="AF2285" s="1" t="s">
        <v>51</v>
      </c>
      <c r="AG2285" s="1" t="s">
        <v>51</v>
      </c>
      <c r="AH2285" s="1"/>
      <c r="AI2285" s="1"/>
      <c r="AJ2285" s="3">
        <v>3</v>
      </c>
      <c r="AK2285" s="1" t="s">
        <v>110</v>
      </c>
      <c r="AL2285" s="3">
        <v>17</v>
      </c>
      <c r="AM2285" s="1"/>
      <c r="AN2285" s="1"/>
      <c r="AO2285" s="1" t="s">
        <v>16262</v>
      </c>
      <c r="AP2285" s="1" t="s">
        <v>16263</v>
      </c>
      <c r="AQ2285" s="1" t="s">
        <v>16264</v>
      </c>
      <c r="AR2285" s="1" t="s">
        <v>16265</v>
      </c>
    </row>
    <row r="2286">
      <c r="A2286" s="2">
        <f ca="1">DATE(2007,09,05)</f>
        <v>0</v>
      </c>
      <c r="B2286" s="2">
        <f ca="1">DATE(2007,11,15)</f>
        <v>0</v>
      </c>
      <c r="C2286" s="1" t="s">
        <v>16266</v>
      </c>
      <c r="D2286" s="3">
        <v>3674</v>
      </c>
      <c r="E2286" s="1" t="s">
        <v>43</v>
      </c>
      <c r="F2286" s="1" t="s">
        <v>16267</v>
      </c>
      <c r="G2286" s="1" t="s">
        <v>5704</v>
      </c>
      <c r="H2286" s="4">
        <v>0.97999999999999998</v>
      </c>
      <c r="I2286" s="8">
        <v>7</v>
      </c>
      <c r="J2286" s="5">
        <v>93.799999999999997</v>
      </c>
      <c r="K2286" s="4">
        <v>14</v>
      </c>
      <c r="L2286" s="1" t="s">
        <v>46</v>
      </c>
      <c r="M2286" s="1" t="s">
        <v>47</v>
      </c>
      <c r="N2286" s="1" t="s">
        <v>16268</v>
      </c>
      <c r="O2286" s="1" t="s">
        <v>48</v>
      </c>
      <c r="P2286" s="1" t="s">
        <v>16269</v>
      </c>
      <c r="Q2286" s="1" t="s">
        <v>145</v>
      </c>
      <c r="R2286" s="1" t="s">
        <v>145</v>
      </c>
      <c r="S2286" s="1"/>
      <c r="T2286" s="1" t="s">
        <v>50</v>
      </c>
      <c r="U2286" s="1"/>
      <c r="V2286" s="1"/>
      <c r="W2286" s="1"/>
      <c r="X2286" s="1"/>
      <c r="Y2286" s="7">
        <v>5500000</v>
      </c>
      <c r="Z2286" s="7">
        <v>1200000</v>
      </c>
      <c r="AA2286" s="1" t="s">
        <v>16245</v>
      </c>
      <c r="AB2286" s="1" t="s">
        <v>5265</v>
      </c>
      <c r="AC2286" s="1" t="s">
        <v>7759</v>
      </c>
      <c r="AD2286" s="1" t="s">
        <v>5265</v>
      </c>
      <c r="AE2286" s="1" t="s">
        <v>51</v>
      </c>
      <c r="AF2286" s="1" t="s">
        <v>51</v>
      </c>
      <c r="AG2286" s="1" t="s">
        <v>47</v>
      </c>
      <c r="AH2286" s="1"/>
      <c r="AI2286" s="1"/>
      <c r="AJ2286" s="3">
        <v>1</v>
      </c>
      <c r="AK2286" s="1" t="s">
        <v>52</v>
      </c>
      <c r="AL2286" s="3">
        <v>4</v>
      </c>
      <c r="AM2286" s="8">
        <v>17.5</v>
      </c>
      <c r="AN2286" s="1"/>
      <c r="AO2286" s="1" t="s">
        <v>16270</v>
      </c>
      <c r="AP2286" s="1" t="s">
        <v>5704</v>
      </c>
      <c r="AQ2286" s="1" t="s">
        <v>16271</v>
      </c>
      <c r="AR2286" s="1" t="s">
        <v>16269</v>
      </c>
    </row>
    <row r="2287">
      <c r="A2287" s="2">
        <f ca="1">DATE(2007,08,14)</f>
        <v>0</v>
      </c>
      <c r="B2287" s="2">
        <f ca="1">DATE(2007,11,15)</f>
        <v>0</v>
      </c>
      <c r="C2287" s="1" t="s">
        <v>16272</v>
      </c>
      <c r="D2287" s="3">
        <v>3572</v>
      </c>
      <c r="E2287" s="1" t="s">
        <v>43</v>
      </c>
      <c r="F2287" s="1" t="s">
        <v>16273</v>
      </c>
      <c r="G2287" s="1" t="s">
        <v>16274</v>
      </c>
      <c r="H2287" s="4">
        <v>0.97999999999999998</v>
      </c>
      <c r="I2287" s="8">
        <v>7</v>
      </c>
      <c r="J2287" s="5">
        <v>105</v>
      </c>
      <c r="K2287" s="4">
        <v>14</v>
      </c>
      <c r="L2287" s="1" t="s">
        <v>46</v>
      </c>
      <c r="M2287" s="1" t="s">
        <v>47</v>
      </c>
      <c r="N2287" s="1" t="s">
        <v>16275</v>
      </c>
      <c r="O2287" s="1" t="s">
        <v>108</v>
      </c>
      <c r="P2287" s="1" t="s">
        <v>16276</v>
      </c>
      <c r="Q2287" s="1" t="s">
        <v>145</v>
      </c>
      <c r="R2287" s="1" t="s">
        <v>145</v>
      </c>
      <c r="S2287" s="1"/>
      <c r="T2287" s="1" t="s">
        <v>50</v>
      </c>
      <c r="U2287" s="1"/>
      <c r="V2287" s="1"/>
      <c r="W2287" s="1"/>
      <c r="X2287" s="5">
        <v>100</v>
      </c>
      <c r="Y2287" s="7">
        <v>7500000</v>
      </c>
      <c r="Z2287" s="1"/>
      <c r="AA2287" s="1" t="s">
        <v>16277</v>
      </c>
      <c r="AB2287" s="1" t="s">
        <v>2067</v>
      </c>
      <c r="AC2287" s="1" t="s">
        <v>2068</v>
      </c>
      <c r="AD2287" s="1" t="s">
        <v>2067</v>
      </c>
      <c r="AE2287" s="1" t="s">
        <v>51</v>
      </c>
      <c r="AF2287" s="1" t="s">
        <v>51</v>
      </c>
      <c r="AG2287" s="1" t="s">
        <v>47</v>
      </c>
      <c r="AH2287" s="1"/>
      <c r="AI2287" s="1"/>
      <c r="AJ2287" s="3">
        <v>2</v>
      </c>
      <c r="AK2287" s="1" t="s">
        <v>89</v>
      </c>
      <c r="AL2287" s="3">
        <v>5</v>
      </c>
      <c r="AM2287" s="8">
        <v>15.75</v>
      </c>
      <c r="AN2287" s="1"/>
      <c r="AO2287" s="1" t="s">
        <v>16278</v>
      </c>
      <c r="AP2287" s="1" t="s">
        <v>12653</v>
      </c>
      <c r="AQ2287" s="1" t="s">
        <v>16279</v>
      </c>
      <c r="AR2287" s="1" t="s">
        <v>16276</v>
      </c>
    </row>
    <row r="2288">
      <c r="A2288" s="2">
        <f ca="1">DATE(2007,08,03)</f>
        <v>0</v>
      </c>
      <c r="B2288" s="2">
        <f ca="1">DATE(2007,11,16)</f>
        <v>0</v>
      </c>
      <c r="C2288" s="1" t="s">
        <v>16280</v>
      </c>
      <c r="D2288" s="3">
        <v>6726</v>
      </c>
      <c r="E2288" s="1" t="s">
        <v>43</v>
      </c>
      <c r="F2288" s="1" t="s">
        <v>16281</v>
      </c>
      <c r="G2288" s="1" t="s">
        <v>15222</v>
      </c>
      <c r="H2288" s="4">
        <v>0.69999999999999996</v>
      </c>
      <c r="I2288" s="8">
        <v>7</v>
      </c>
      <c r="J2288" s="5">
        <v>120</v>
      </c>
      <c r="K2288" s="4">
        <v>10</v>
      </c>
      <c r="L2288" s="1" t="s">
        <v>46</v>
      </c>
      <c r="M2288" s="1" t="s">
        <v>47</v>
      </c>
      <c r="N2288" s="1" t="s">
        <v>16282</v>
      </c>
      <c r="O2288" s="1" t="s">
        <v>87</v>
      </c>
      <c r="P2288" s="1" t="s">
        <v>16283</v>
      </c>
      <c r="Q2288" s="1" t="s">
        <v>145</v>
      </c>
      <c r="R2288" s="1" t="s">
        <v>145</v>
      </c>
      <c r="S2288" s="8">
        <v>2.2000000000000002</v>
      </c>
      <c r="T2288" s="1" t="s">
        <v>50</v>
      </c>
      <c r="U2288" s="8">
        <v>10</v>
      </c>
      <c r="V2288" s="8">
        <v>10</v>
      </c>
      <c r="W2288" s="7">
        <v>10000000</v>
      </c>
      <c r="X2288" s="5">
        <v>100</v>
      </c>
      <c r="Y2288" s="7">
        <v>12000000</v>
      </c>
      <c r="Z2288" s="1"/>
      <c r="AA2288" s="2">
        <f ca="1">DATE(2008,05,14)</f>
        <v>0</v>
      </c>
      <c r="AB2288" s="1"/>
      <c r="AC2288" s="3">
        <v>180</v>
      </c>
      <c r="AD2288" s="1"/>
      <c r="AE2288" s="1" t="s">
        <v>51</v>
      </c>
      <c r="AF2288" s="1" t="s">
        <v>51</v>
      </c>
      <c r="AG2288" s="1" t="s">
        <v>51</v>
      </c>
      <c r="AH2288" s="1"/>
      <c r="AI2288" s="1"/>
      <c r="AJ2288" s="3">
        <v>1</v>
      </c>
      <c r="AK2288" s="1" t="s">
        <v>52</v>
      </c>
      <c r="AL2288" s="3">
        <v>3</v>
      </c>
      <c r="AM2288" s="1"/>
      <c r="AN2288" s="1"/>
      <c r="AO2288" s="1" t="s">
        <v>16284</v>
      </c>
      <c r="AP2288" s="1" t="s">
        <v>15222</v>
      </c>
      <c r="AQ2288" s="1" t="s">
        <v>16285</v>
      </c>
      <c r="AR2288" s="1" t="s">
        <v>16283</v>
      </c>
    </row>
    <row r="2289">
      <c r="A2289" s="2">
        <f ca="1">DATE(2007,07,20)</f>
        <v>0</v>
      </c>
      <c r="B2289" s="2">
        <f ca="1">DATE(2007,11,16)</f>
        <v>0</v>
      </c>
      <c r="C2289" s="1" t="s">
        <v>16286</v>
      </c>
      <c r="D2289" s="3">
        <v>7375</v>
      </c>
      <c r="E2289" s="1" t="s">
        <v>43</v>
      </c>
      <c r="F2289" s="1" t="s">
        <v>16287</v>
      </c>
      <c r="G2289" s="1" t="s">
        <v>789</v>
      </c>
      <c r="H2289" s="4">
        <v>0.56000000000000005</v>
      </c>
      <c r="I2289" s="4">
        <v>7</v>
      </c>
      <c r="J2289" s="5">
        <v>48</v>
      </c>
      <c r="K2289" s="4">
        <v>8</v>
      </c>
      <c r="L2289" s="1" t="s">
        <v>5129</v>
      </c>
      <c r="M2289" s="1" t="s">
        <v>47</v>
      </c>
      <c r="N2289" s="3">
        <v>460608102</v>
      </c>
      <c r="O2289" s="1" t="s">
        <v>48</v>
      </c>
      <c r="P2289" s="1" t="s">
        <v>16288</v>
      </c>
      <c r="Q2289" s="1" t="s">
        <v>145</v>
      </c>
      <c r="R2289" s="1" t="s">
        <v>145</v>
      </c>
      <c r="S2289" s="8">
        <v>4.2000000000000002</v>
      </c>
      <c r="T2289" s="1" t="s">
        <v>50</v>
      </c>
      <c r="U2289" s="1"/>
      <c r="V2289" s="1"/>
      <c r="W2289" s="1"/>
      <c r="X2289" s="1"/>
      <c r="Y2289" s="7">
        <v>2350115</v>
      </c>
      <c r="Z2289" s="7">
        <v>3649885</v>
      </c>
      <c r="AA2289" s="1" t="s">
        <v>16289</v>
      </c>
      <c r="AB2289" s="1" t="s">
        <v>5265</v>
      </c>
      <c r="AC2289" s="1" t="s">
        <v>7759</v>
      </c>
      <c r="AD2289" s="1" t="s">
        <v>5265</v>
      </c>
      <c r="AE2289" s="1" t="s">
        <v>51</v>
      </c>
      <c r="AF2289" s="1" t="s">
        <v>51</v>
      </c>
      <c r="AG2289" s="1" t="s">
        <v>47</v>
      </c>
      <c r="AH2289" s="1"/>
      <c r="AI2289" s="1"/>
      <c r="AJ2289" s="3">
        <v>1</v>
      </c>
      <c r="AK2289" s="1" t="s">
        <v>52</v>
      </c>
      <c r="AL2289" s="3">
        <v>2</v>
      </c>
      <c r="AM2289" s="8">
        <v>8</v>
      </c>
      <c r="AN2289" s="1"/>
      <c r="AO2289" s="1" t="s">
        <v>16290</v>
      </c>
      <c r="AP2289" s="1" t="s">
        <v>789</v>
      </c>
      <c r="AQ2289" s="1" t="s">
        <v>16291</v>
      </c>
      <c r="AR2289" s="1" t="s">
        <v>16288</v>
      </c>
    </row>
    <row r="2290">
      <c r="A2290" s="2">
        <f ca="1">DATE(2007,06,29)</f>
        <v>0</v>
      </c>
      <c r="B2290" s="2">
        <f ca="1">DATE(2007,11,19)</f>
        <v>0</v>
      </c>
      <c r="C2290" s="1" t="s">
        <v>16292</v>
      </c>
      <c r="D2290" s="3">
        <v>6726</v>
      </c>
      <c r="E2290" s="1" t="s">
        <v>43</v>
      </c>
      <c r="F2290" s="1" t="s">
        <v>16293</v>
      </c>
      <c r="G2290" s="1" t="s">
        <v>14294</v>
      </c>
      <c r="H2290" s="1" t="s">
        <v>57</v>
      </c>
      <c r="I2290" s="1" t="s">
        <v>57</v>
      </c>
      <c r="J2290" s="5">
        <v>80</v>
      </c>
      <c r="K2290" s="4">
        <v>8</v>
      </c>
      <c r="L2290" s="1" t="s">
        <v>46</v>
      </c>
      <c r="M2290" s="1" t="s">
        <v>47</v>
      </c>
      <c r="N2290" s="3">
        <v>451665202</v>
      </c>
      <c r="O2290" s="1" t="s">
        <v>87</v>
      </c>
      <c r="P2290" s="1" t="s">
        <v>16294</v>
      </c>
      <c r="Q2290" s="1"/>
      <c r="R2290" s="1"/>
      <c r="S2290" s="1"/>
      <c r="T2290" s="1" t="s">
        <v>50</v>
      </c>
      <c r="U2290" s="8">
        <v>8</v>
      </c>
      <c r="V2290" s="8">
        <v>8</v>
      </c>
      <c r="W2290" s="7">
        <v>10000000</v>
      </c>
      <c r="X2290" s="5">
        <v>80</v>
      </c>
      <c r="Y2290" s="7">
        <v>10000000</v>
      </c>
      <c r="Z2290" s="1"/>
      <c r="AA2290" s="1"/>
      <c r="AB2290" s="1"/>
      <c r="AC2290" s="1"/>
      <c r="AD2290" s="1"/>
      <c r="AE2290" s="1" t="s">
        <v>51</v>
      </c>
      <c r="AF2290" s="1" t="s">
        <v>51</v>
      </c>
      <c r="AG2290" s="1" t="s">
        <v>51</v>
      </c>
      <c r="AH2290" s="1"/>
      <c r="AI2290" s="1"/>
      <c r="AJ2290" s="3">
        <v>1</v>
      </c>
      <c r="AK2290" s="1" t="s">
        <v>52</v>
      </c>
      <c r="AL2290" s="3">
        <v>2</v>
      </c>
      <c r="AM2290" s="1"/>
      <c r="AN2290" s="1"/>
      <c r="AO2290" s="1" t="s">
        <v>16295</v>
      </c>
      <c r="AP2290" s="1" t="s">
        <v>14294</v>
      </c>
      <c r="AQ2290" s="1" t="s">
        <v>16296</v>
      </c>
      <c r="AR2290" s="1" t="s">
        <v>16294</v>
      </c>
    </row>
    <row r="2291">
      <c r="A2291" s="2">
        <f ca="1">DATE(2007,07,20)</f>
        <v>0</v>
      </c>
      <c r="B2291" s="2">
        <f ca="1">DATE(2007,11,19)</f>
        <v>0</v>
      </c>
      <c r="C2291" s="1" t="s">
        <v>16297</v>
      </c>
      <c r="D2291" s="3">
        <v>7372</v>
      </c>
      <c r="E2291" s="1" t="s">
        <v>43</v>
      </c>
      <c r="F2291" s="1" t="s">
        <v>16298</v>
      </c>
      <c r="G2291" s="1" t="s">
        <v>4171</v>
      </c>
      <c r="H2291" s="4">
        <v>0.71499999999999997</v>
      </c>
      <c r="I2291" s="8">
        <v>7.1500000000000004</v>
      </c>
      <c r="J2291" s="5">
        <v>107.90000000000001</v>
      </c>
      <c r="K2291" s="4">
        <v>10</v>
      </c>
      <c r="L2291" s="1" t="s">
        <v>46</v>
      </c>
      <c r="M2291" s="1" t="s">
        <v>47</v>
      </c>
      <c r="N2291" s="3">
        <v>864596101</v>
      </c>
      <c r="O2291" s="1" t="s">
        <v>48</v>
      </c>
      <c r="P2291" s="1" t="s">
        <v>16299</v>
      </c>
      <c r="Q2291" s="1" t="s">
        <v>145</v>
      </c>
      <c r="R2291" s="1" t="s">
        <v>145</v>
      </c>
      <c r="S2291" s="8">
        <v>4.29</v>
      </c>
      <c r="T2291" s="1" t="s">
        <v>50</v>
      </c>
      <c r="U2291" s="1"/>
      <c r="V2291" s="1"/>
      <c r="W2291" s="1"/>
      <c r="X2291" s="5">
        <v>125</v>
      </c>
      <c r="Y2291" s="7">
        <v>10000000</v>
      </c>
      <c r="Z2291" s="7">
        <v>790000</v>
      </c>
      <c r="AA2291" s="1" t="s">
        <v>16300</v>
      </c>
      <c r="AB2291" s="1" t="s">
        <v>5265</v>
      </c>
      <c r="AC2291" s="1" t="s">
        <v>7759</v>
      </c>
      <c r="AD2291" s="1" t="s">
        <v>5265</v>
      </c>
      <c r="AE2291" s="1" t="s">
        <v>51</v>
      </c>
      <c r="AF2291" s="1" t="s">
        <v>51</v>
      </c>
      <c r="AG2291" s="1" t="s">
        <v>47</v>
      </c>
      <c r="AH2291" s="1"/>
      <c r="AI2291" s="1"/>
      <c r="AJ2291" s="3">
        <v>2</v>
      </c>
      <c r="AK2291" s="1" t="s">
        <v>89</v>
      </c>
      <c r="AL2291" s="3">
        <v>5</v>
      </c>
      <c r="AM2291" s="8">
        <v>13.25</v>
      </c>
      <c r="AN2291" s="1"/>
      <c r="AO2291" s="1" t="s">
        <v>16301</v>
      </c>
      <c r="AP2291" s="1" t="s">
        <v>4174</v>
      </c>
      <c r="AQ2291" s="1" t="s">
        <v>16302</v>
      </c>
      <c r="AR2291" s="1" t="s">
        <v>16303</v>
      </c>
    </row>
    <row r="2292">
      <c r="A2292" s="2">
        <f ca="1">DATE(2007,07,24)</f>
        <v>0</v>
      </c>
      <c r="B2292" s="2">
        <f ca="1">DATE(2007,11,20)</f>
        <v>0</v>
      </c>
      <c r="C2292" s="1" t="s">
        <v>16304</v>
      </c>
      <c r="D2292" s="3">
        <v>6726</v>
      </c>
      <c r="E2292" s="1" t="s">
        <v>43</v>
      </c>
      <c r="F2292" s="1" t="s">
        <v>16305</v>
      </c>
      <c r="G2292" s="1" t="s">
        <v>5110</v>
      </c>
      <c r="H2292" s="4">
        <v>0.69999999999999996</v>
      </c>
      <c r="I2292" s="8">
        <v>7</v>
      </c>
      <c r="J2292" s="5">
        <v>300</v>
      </c>
      <c r="K2292" s="4">
        <v>10</v>
      </c>
      <c r="L2292" s="1" t="s">
        <v>31</v>
      </c>
      <c r="M2292" s="1" t="s">
        <v>47</v>
      </c>
      <c r="N2292" s="3">
        <v>378983209</v>
      </c>
      <c r="O2292" s="1" t="s">
        <v>87</v>
      </c>
      <c r="P2292" s="1" t="s">
        <v>16306</v>
      </c>
      <c r="Q2292" s="1" t="s">
        <v>145</v>
      </c>
      <c r="R2292" s="1" t="s">
        <v>145</v>
      </c>
      <c r="S2292" s="1"/>
      <c r="T2292" s="1" t="s">
        <v>50</v>
      </c>
      <c r="U2292" s="8">
        <v>10</v>
      </c>
      <c r="V2292" s="8">
        <v>10</v>
      </c>
      <c r="W2292" s="7">
        <v>30000000</v>
      </c>
      <c r="X2292" s="5">
        <v>300</v>
      </c>
      <c r="Y2292" s="7">
        <v>30000000</v>
      </c>
      <c r="Z2292" s="1"/>
      <c r="AA2292" s="1"/>
      <c r="AB2292" s="1"/>
      <c r="AC2292" s="1"/>
      <c r="AD2292" s="1"/>
      <c r="AE2292" s="1" t="s">
        <v>51</v>
      </c>
      <c r="AF2292" s="1" t="s">
        <v>51</v>
      </c>
      <c r="AG2292" s="1" t="s">
        <v>51</v>
      </c>
      <c r="AH2292" s="1"/>
      <c r="AI2292" s="1"/>
      <c r="AJ2292" s="3">
        <v>1</v>
      </c>
      <c r="AK2292" s="1" t="s">
        <v>52</v>
      </c>
      <c r="AL2292" s="3">
        <v>4</v>
      </c>
      <c r="AM2292" s="1"/>
      <c r="AN2292" s="1"/>
      <c r="AO2292" s="1" t="s">
        <v>16307</v>
      </c>
      <c r="AP2292" s="1" t="s">
        <v>5110</v>
      </c>
      <c r="AQ2292" s="1" t="s">
        <v>16308</v>
      </c>
      <c r="AR2292" s="1" t="s">
        <v>16309</v>
      </c>
    </row>
    <row r="2293">
      <c r="A2293" s="2">
        <f ca="1">DATE(2007,09,14)</f>
        <v>0</v>
      </c>
      <c r="B2293" s="2">
        <f ca="1">DATE(2007,11,27)</f>
        <v>0</v>
      </c>
      <c r="C2293" s="1" t="s">
        <v>16310</v>
      </c>
      <c r="D2293" s="3">
        <v>6726</v>
      </c>
      <c r="E2293" s="1" t="s">
        <v>43</v>
      </c>
      <c r="F2293" s="1" t="s">
        <v>16311</v>
      </c>
      <c r="G2293" s="1" t="s">
        <v>16312</v>
      </c>
      <c r="H2293" s="4">
        <v>1.125</v>
      </c>
      <c r="I2293" s="4">
        <v>4.5</v>
      </c>
      <c r="J2293" s="5">
        <v>325</v>
      </c>
      <c r="K2293" s="4">
        <v>25</v>
      </c>
      <c r="L2293" s="1" t="s">
        <v>46</v>
      </c>
      <c r="M2293" s="1" t="s">
        <v>47</v>
      </c>
      <c r="N2293" s="1" t="s">
        <v>16313</v>
      </c>
      <c r="O2293" s="1" t="s">
        <v>108</v>
      </c>
      <c r="P2293" s="1" t="s">
        <v>16314</v>
      </c>
      <c r="Q2293" s="1" t="s">
        <v>145</v>
      </c>
      <c r="R2293" s="1" t="s">
        <v>145</v>
      </c>
      <c r="S2293" s="8">
        <v>3</v>
      </c>
      <c r="T2293" s="1" t="s">
        <v>50</v>
      </c>
      <c r="U2293" s="8">
        <v>25</v>
      </c>
      <c r="V2293" s="8">
        <v>25</v>
      </c>
      <c r="W2293" s="7">
        <v>40000</v>
      </c>
      <c r="X2293" s="5">
        <v>1</v>
      </c>
      <c r="Y2293" s="7">
        <v>13000000</v>
      </c>
      <c r="Z2293" s="1"/>
      <c r="AA2293" s="1"/>
      <c r="AB2293" s="1"/>
      <c r="AC2293" s="1"/>
      <c r="AD2293" s="1"/>
      <c r="AE2293" s="1" t="s">
        <v>51</v>
      </c>
      <c r="AF2293" s="1" t="s">
        <v>51</v>
      </c>
      <c r="AG2293" s="1" t="s">
        <v>51</v>
      </c>
      <c r="AH2293" s="1"/>
      <c r="AI2293" s="1"/>
      <c r="AJ2293" s="3">
        <v>3</v>
      </c>
      <c r="AK2293" s="1" t="s">
        <v>110</v>
      </c>
      <c r="AL2293" s="3">
        <v>13</v>
      </c>
      <c r="AM2293" s="1"/>
      <c r="AN2293" s="1"/>
      <c r="AO2293" s="1" t="s">
        <v>16315</v>
      </c>
      <c r="AP2293" s="1" t="s">
        <v>16316</v>
      </c>
      <c r="AQ2293" s="1" t="s">
        <v>16317</v>
      </c>
      <c r="AR2293" s="1" t="s">
        <v>16318</v>
      </c>
    </row>
    <row r="2294">
      <c r="A2294" s="2">
        <f ca="1">DATE(2007,05,18)</f>
        <v>0</v>
      </c>
      <c r="B2294" s="2">
        <f ca="1">DATE(2007,11,29)</f>
        <v>0</v>
      </c>
      <c r="C2294" s="1" t="s">
        <v>16319</v>
      </c>
      <c r="D2294" s="3">
        <v>6726</v>
      </c>
      <c r="E2294" s="1" t="s">
        <v>43</v>
      </c>
      <c r="F2294" s="1" t="s">
        <v>16320</v>
      </c>
      <c r="G2294" s="1" t="s">
        <v>9810</v>
      </c>
      <c r="H2294" s="1" t="s">
        <v>57</v>
      </c>
      <c r="I2294" s="1" t="s">
        <v>57</v>
      </c>
      <c r="J2294" s="5">
        <v>50</v>
      </c>
      <c r="K2294" s="4">
        <v>8</v>
      </c>
      <c r="L2294" s="1" t="s">
        <v>46</v>
      </c>
      <c r="M2294" s="1" t="s">
        <v>47</v>
      </c>
      <c r="N2294" s="3">
        <v>132863127</v>
      </c>
      <c r="O2294" s="1" t="s">
        <v>77</v>
      </c>
      <c r="P2294" s="1" t="s">
        <v>16321</v>
      </c>
      <c r="Q2294" s="1"/>
      <c r="R2294" s="1"/>
      <c r="S2294" s="1"/>
      <c r="T2294" s="1" t="s">
        <v>50</v>
      </c>
      <c r="U2294" s="8">
        <v>8</v>
      </c>
      <c r="V2294" s="8">
        <v>8</v>
      </c>
      <c r="W2294" s="7">
        <v>4500000</v>
      </c>
      <c r="X2294" s="5">
        <v>36</v>
      </c>
      <c r="Y2294" s="7">
        <v>6250000</v>
      </c>
      <c r="Z2294" s="1"/>
      <c r="AA2294" s="1"/>
      <c r="AB2294" s="1"/>
      <c r="AC2294" s="1"/>
      <c r="AD2294" s="1"/>
      <c r="AE2294" s="1" t="s">
        <v>51</v>
      </c>
      <c r="AF2294" s="1" t="s">
        <v>51</v>
      </c>
      <c r="AG2294" s="1" t="s">
        <v>51</v>
      </c>
      <c r="AH2294" s="1"/>
      <c r="AI2294" s="1"/>
      <c r="AJ2294" s="3">
        <v>1</v>
      </c>
      <c r="AK2294" s="1" t="s">
        <v>52</v>
      </c>
      <c r="AL2294" s="3">
        <v>3</v>
      </c>
      <c r="AM2294" s="8">
        <v>8</v>
      </c>
      <c r="AN2294" s="1"/>
      <c r="AO2294" s="1" t="s">
        <v>16322</v>
      </c>
      <c r="AP2294" s="1" t="s">
        <v>9810</v>
      </c>
      <c r="AQ2294" s="1" t="s">
        <v>16323</v>
      </c>
      <c r="AR2294" s="1" t="s">
        <v>16324</v>
      </c>
    </row>
    <row r="2295">
      <c r="A2295" s="2">
        <f ca="1">DATE(2007,08,09)</f>
        <v>0</v>
      </c>
      <c r="B2295" s="2">
        <f ca="1">DATE(2007,11,30)</f>
        <v>0</v>
      </c>
      <c r="C2295" s="1" t="s">
        <v>16325</v>
      </c>
      <c r="D2295" s="3">
        <v>6726</v>
      </c>
      <c r="E2295" s="1" t="s">
        <v>43</v>
      </c>
      <c r="F2295" s="1" t="s">
        <v>16326</v>
      </c>
      <c r="G2295" s="1" t="s">
        <v>7222</v>
      </c>
      <c r="H2295" s="1" t="s">
        <v>57</v>
      </c>
      <c r="I2295" s="1" t="s">
        <v>57</v>
      </c>
      <c r="J2295" s="5">
        <v>50.399999999999999</v>
      </c>
      <c r="K2295" s="4">
        <v>8</v>
      </c>
      <c r="L2295" s="1" t="s">
        <v>46</v>
      </c>
      <c r="M2295" s="1" t="s">
        <v>47</v>
      </c>
      <c r="N2295" s="3">
        <v>662316207</v>
      </c>
      <c r="O2295" s="1" t="s">
        <v>77</v>
      </c>
      <c r="P2295" s="1" t="s">
        <v>7339</v>
      </c>
      <c r="Q2295" s="1"/>
      <c r="R2295" s="1"/>
      <c r="S2295" s="1"/>
      <c r="T2295" s="1" t="s">
        <v>50</v>
      </c>
      <c r="U2295" s="8">
        <v>8</v>
      </c>
      <c r="V2295" s="8">
        <v>8</v>
      </c>
      <c r="W2295" s="7">
        <v>5000000</v>
      </c>
      <c r="X2295" s="5">
        <v>40</v>
      </c>
      <c r="Y2295" s="7">
        <v>6300000</v>
      </c>
      <c r="Z2295" s="1"/>
      <c r="AA2295" s="1"/>
      <c r="AB2295" s="1"/>
      <c r="AC2295" s="1"/>
      <c r="AD2295" s="1"/>
      <c r="AE2295" s="1" t="s">
        <v>51</v>
      </c>
      <c r="AF2295" s="1" t="s">
        <v>51</v>
      </c>
      <c r="AG2295" s="1" t="s">
        <v>51</v>
      </c>
      <c r="AH2295" s="1"/>
      <c r="AI2295" s="1"/>
      <c r="AJ2295" s="3">
        <v>1</v>
      </c>
      <c r="AK2295" s="1" t="s">
        <v>52</v>
      </c>
      <c r="AL2295" s="3">
        <v>1</v>
      </c>
      <c r="AM2295" s="1"/>
      <c r="AN2295" s="1"/>
      <c r="AO2295" s="1" t="s">
        <v>7222</v>
      </c>
      <c r="AP2295" s="1" t="s">
        <v>7222</v>
      </c>
      <c r="AQ2295" s="1" t="s">
        <v>7222</v>
      </c>
      <c r="AR2295" s="1" t="s">
        <v>7339</v>
      </c>
    </row>
    <row r="2296">
      <c r="A2296" s="2">
        <f ca="1">DATE(2007,07,27)</f>
        <v>0</v>
      </c>
      <c r="B2296" s="2">
        <f ca="1">DATE(2007,12,06)</f>
        <v>0</v>
      </c>
      <c r="C2296" s="1" t="s">
        <v>16327</v>
      </c>
      <c r="D2296" s="3">
        <v>3674</v>
      </c>
      <c r="E2296" s="1" t="s">
        <v>43</v>
      </c>
      <c r="F2296" s="1" t="s">
        <v>16328</v>
      </c>
      <c r="G2296" s="1" t="s">
        <v>12154</v>
      </c>
      <c r="H2296" s="4">
        <v>0.41999999999999998</v>
      </c>
      <c r="I2296" s="8">
        <v>7</v>
      </c>
      <c r="J2296" s="5">
        <v>48</v>
      </c>
      <c r="K2296" s="4">
        <v>6</v>
      </c>
      <c r="L2296" s="1" t="s">
        <v>46</v>
      </c>
      <c r="M2296" s="1" t="s">
        <v>47</v>
      </c>
      <c r="N2296" s="1" t="s">
        <v>16329</v>
      </c>
      <c r="O2296" s="1" t="s">
        <v>48</v>
      </c>
      <c r="P2296" s="1" t="s">
        <v>16330</v>
      </c>
      <c r="Q2296" s="1" t="s">
        <v>145</v>
      </c>
      <c r="R2296" s="1" t="s">
        <v>145</v>
      </c>
      <c r="S2296" s="6">
        <v>4.1666699999999999</v>
      </c>
      <c r="T2296" s="1" t="s">
        <v>50</v>
      </c>
      <c r="U2296" s="1"/>
      <c r="V2296" s="1"/>
      <c r="W2296" s="1"/>
      <c r="X2296" s="5">
        <v>100</v>
      </c>
      <c r="Y2296" s="7">
        <v>8000000</v>
      </c>
      <c r="Z2296" s="1"/>
      <c r="AA2296" s="1" t="s">
        <v>16331</v>
      </c>
      <c r="AB2296" s="1" t="s">
        <v>2067</v>
      </c>
      <c r="AC2296" s="1" t="s">
        <v>2068</v>
      </c>
      <c r="AD2296" s="1" t="s">
        <v>2067</v>
      </c>
      <c r="AE2296" s="1" t="s">
        <v>51</v>
      </c>
      <c r="AF2296" s="1" t="s">
        <v>51</v>
      </c>
      <c r="AG2296" s="1" t="s">
        <v>47</v>
      </c>
      <c r="AH2296" s="1"/>
      <c r="AI2296" s="1"/>
      <c r="AJ2296" s="3">
        <v>2</v>
      </c>
      <c r="AK2296" s="1" t="s">
        <v>89</v>
      </c>
      <c r="AL2296" s="3">
        <v>8</v>
      </c>
      <c r="AM2296" s="8">
        <v>7.4000000000000004</v>
      </c>
      <c r="AN2296" s="1"/>
      <c r="AO2296" s="1" t="s">
        <v>16332</v>
      </c>
      <c r="AP2296" s="1" t="s">
        <v>12160</v>
      </c>
      <c r="AQ2296" s="1" t="s">
        <v>16333</v>
      </c>
      <c r="AR2296" s="1" t="s">
        <v>16330</v>
      </c>
    </row>
    <row r="2297">
      <c r="A2297" s="2">
        <f ca="1">DATE(2007,08,24)</f>
        <v>0</v>
      </c>
      <c r="B2297" s="2">
        <f ca="1">DATE(2007,12,06)</f>
        <v>0</v>
      </c>
      <c r="C2297" s="1" t="s">
        <v>16334</v>
      </c>
      <c r="D2297" s="3">
        <v>6726</v>
      </c>
      <c r="E2297" s="1" t="s">
        <v>43</v>
      </c>
      <c r="F2297" s="1" t="s">
        <v>16335</v>
      </c>
      <c r="G2297" s="1" t="s">
        <v>15222</v>
      </c>
      <c r="H2297" s="4">
        <v>0.69999999999999996</v>
      </c>
      <c r="I2297" s="8">
        <v>7</v>
      </c>
      <c r="J2297" s="5">
        <v>250</v>
      </c>
      <c r="K2297" s="4">
        <v>10</v>
      </c>
      <c r="L2297" s="1" t="s">
        <v>46</v>
      </c>
      <c r="M2297" s="1" t="s">
        <v>47</v>
      </c>
      <c r="N2297" s="3">
        <v>378982201</v>
      </c>
      <c r="O2297" s="1" t="s">
        <v>87</v>
      </c>
      <c r="P2297" s="1" t="s">
        <v>15224</v>
      </c>
      <c r="Q2297" s="1" t="s">
        <v>145</v>
      </c>
      <c r="R2297" s="1" t="s">
        <v>145</v>
      </c>
      <c r="S2297" s="8">
        <v>1.2</v>
      </c>
      <c r="T2297" s="1" t="s">
        <v>50</v>
      </c>
      <c r="U2297" s="8">
        <v>10</v>
      </c>
      <c r="V2297" s="8">
        <v>10</v>
      </c>
      <c r="W2297" s="7">
        <v>25000000</v>
      </c>
      <c r="X2297" s="5">
        <v>250</v>
      </c>
      <c r="Y2297" s="7">
        <v>25000000</v>
      </c>
      <c r="Z2297" s="1"/>
      <c r="AA2297" s="1" t="s">
        <v>16331</v>
      </c>
      <c r="AB2297" s="1" t="s">
        <v>2067</v>
      </c>
      <c r="AC2297" s="1" t="s">
        <v>2068</v>
      </c>
      <c r="AD2297" s="1" t="s">
        <v>2067</v>
      </c>
      <c r="AE2297" s="1" t="s">
        <v>51</v>
      </c>
      <c r="AF2297" s="1" t="s">
        <v>51</v>
      </c>
      <c r="AG2297" s="1" t="s">
        <v>51</v>
      </c>
      <c r="AH2297" s="1"/>
      <c r="AI2297" s="1"/>
      <c r="AJ2297" s="3">
        <v>1</v>
      </c>
      <c r="AK2297" s="1" t="s">
        <v>52</v>
      </c>
      <c r="AL2297" s="3">
        <v>3</v>
      </c>
      <c r="AM2297" s="3">
        <v>10</v>
      </c>
      <c r="AN2297" s="1"/>
      <c r="AO2297" s="1" t="s">
        <v>15226</v>
      </c>
      <c r="AP2297" s="1" t="s">
        <v>15222</v>
      </c>
      <c r="AQ2297" s="1" t="s">
        <v>15227</v>
      </c>
      <c r="AR2297" s="1" t="s">
        <v>15224</v>
      </c>
    </row>
    <row r="2298">
      <c r="A2298" s="2">
        <f ca="1">DATE(2007,08,17)</f>
        <v>0</v>
      </c>
      <c r="B2298" s="2">
        <f ca="1">DATE(2007,12,06)</f>
        <v>0</v>
      </c>
      <c r="C2298" s="1" t="s">
        <v>16336</v>
      </c>
      <c r="D2298" s="3">
        <v>6726</v>
      </c>
      <c r="E2298" s="1" t="s">
        <v>43</v>
      </c>
      <c r="F2298" s="1" t="s">
        <v>16337</v>
      </c>
      <c r="G2298" s="1" t="s">
        <v>15222</v>
      </c>
      <c r="H2298" s="4">
        <v>0.55000000000000004</v>
      </c>
      <c r="I2298" s="4">
        <v>5.5</v>
      </c>
      <c r="J2298" s="5">
        <v>900</v>
      </c>
      <c r="K2298" s="4">
        <v>10</v>
      </c>
      <c r="L2298" s="1" t="s">
        <v>46</v>
      </c>
      <c r="M2298" s="1" t="s">
        <v>47</v>
      </c>
      <c r="N2298" s="1" t="s">
        <v>16338</v>
      </c>
      <c r="O2298" s="1" t="s">
        <v>87</v>
      </c>
      <c r="P2298" s="1" t="s">
        <v>16339</v>
      </c>
      <c r="Q2298" s="1" t="s">
        <v>145</v>
      </c>
      <c r="R2298" s="1" t="s">
        <v>145</v>
      </c>
      <c r="S2298" s="8">
        <v>1.71</v>
      </c>
      <c r="T2298" s="1" t="s">
        <v>50</v>
      </c>
      <c r="U2298" s="8">
        <v>10</v>
      </c>
      <c r="V2298" s="8">
        <v>10</v>
      </c>
      <c r="W2298" s="7">
        <v>75000000</v>
      </c>
      <c r="X2298" s="5">
        <v>750</v>
      </c>
      <c r="Y2298" s="7">
        <v>90000000</v>
      </c>
      <c r="Z2298" s="1"/>
      <c r="AA2298" s="2">
        <f ca="1">DATE(2008,06,03)</f>
        <v>0</v>
      </c>
      <c r="AB2298" s="1"/>
      <c r="AC2298" s="3">
        <v>180</v>
      </c>
      <c r="AD2298" s="1"/>
      <c r="AE2298" s="1" t="s">
        <v>51</v>
      </c>
      <c r="AF2298" s="1" t="s">
        <v>51</v>
      </c>
      <c r="AG2298" s="1" t="s">
        <v>51</v>
      </c>
      <c r="AH2298" s="1"/>
      <c r="AI2298" s="1"/>
      <c r="AJ2298" s="3">
        <v>1</v>
      </c>
      <c r="AK2298" s="1" t="s">
        <v>52</v>
      </c>
      <c r="AL2298" s="3">
        <v>2</v>
      </c>
      <c r="AM2298" s="1"/>
      <c r="AN2298" s="1"/>
      <c r="AO2298" s="1" t="s">
        <v>16340</v>
      </c>
      <c r="AP2298" s="1" t="s">
        <v>15222</v>
      </c>
      <c r="AQ2298" s="1" t="s">
        <v>16341</v>
      </c>
      <c r="AR2298" s="1" t="s">
        <v>16339</v>
      </c>
    </row>
    <row r="2299">
      <c r="A2299" s="2">
        <f ca="1">DATE(2007,08,17)</f>
        <v>0</v>
      </c>
      <c r="B2299" s="2">
        <f ca="1">DATE(2007,12,06)</f>
        <v>0</v>
      </c>
      <c r="C2299" s="1" t="s">
        <v>16342</v>
      </c>
      <c r="D2299" s="3">
        <v>5083</v>
      </c>
      <c r="E2299" s="1" t="s">
        <v>43</v>
      </c>
      <c r="F2299" s="1" t="s">
        <v>16343</v>
      </c>
      <c r="G2299" s="1" t="s">
        <v>16344</v>
      </c>
      <c r="H2299" s="1" t="s">
        <v>57</v>
      </c>
      <c r="I2299" s="1" t="s">
        <v>57</v>
      </c>
      <c r="J2299" s="5">
        <v>51</v>
      </c>
      <c r="K2299" s="4">
        <v>8.5</v>
      </c>
      <c r="L2299" s="1" t="s">
        <v>46</v>
      </c>
      <c r="M2299" s="1" t="s">
        <v>47</v>
      </c>
      <c r="N2299" s="1" t="s">
        <v>16345</v>
      </c>
      <c r="O2299" s="1" t="s">
        <v>48</v>
      </c>
      <c r="P2299" s="1" t="s">
        <v>16346</v>
      </c>
      <c r="Q2299" s="1"/>
      <c r="R2299" s="1"/>
      <c r="S2299" s="1"/>
      <c r="T2299" s="1" t="s">
        <v>50</v>
      </c>
      <c r="U2299" s="1"/>
      <c r="V2299" s="1"/>
      <c r="W2299" s="1"/>
      <c r="X2299" s="1"/>
      <c r="Y2299" s="7">
        <v>4542395</v>
      </c>
      <c r="Z2299" s="7">
        <v>1457605</v>
      </c>
      <c r="AA2299" s="1"/>
      <c r="AB2299" s="1"/>
      <c r="AC2299" s="1"/>
      <c r="AD2299" s="1"/>
      <c r="AE2299" s="1" t="s">
        <v>51</v>
      </c>
      <c r="AF2299" s="1" t="s">
        <v>51</v>
      </c>
      <c r="AG2299" s="1" t="s">
        <v>51</v>
      </c>
      <c r="AH2299" s="1"/>
      <c r="AI2299" s="1"/>
      <c r="AJ2299" s="3">
        <v>2</v>
      </c>
      <c r="AK2299" s="1" t="s">
        <v>89</v>
      </c>
      <c r="AL2299" s="3">
        <v>2</v>
      </c>
      <c r="AM2299" s="1"/>
      <c r="AN2299" s="1"/>
      <c r="AO2299" s="1" t="s">
        <v>16347</v>
      </c>
      <c r="AP2299" s="1" t="s">
        <v>16348</v>
      </c>
      <c r="AQ2299" s="1" t="s">
        <v>16349</v>
      </c>
      <c r="AR2299" s="1" t="s">
        <v>16346</v>
      </c>
    </row>
    <row r="2300">
      <c r="A2300" s="2">
        <f ca="1">DATE(2007,08,22)</f>
        <v>0</v>
      </c>
      <c r="B2300" s="2">
        <f ca="1">DATE(2007,12,06)</f>
        <v>0</v>
      </c>
      <c r="C2300" s="1" t="s">
        <v>16350</v>
      </c>
      <c r="D2300" s="3">
        <v>6726</v>
      </c>
      <c r="E2300" s="1" t="s">
        <v>43</v>
      </c>
      <c r="F2300" s="1" t="s">
        <v>16351</v>
      </c>
      <c r="G2300" s="1" t="s">
        <v>45</v>
      </c>
      <c r="H2300" s="4">
        <v>0.56000000000000005</v>
      </c>
      <c r="I2300" s="4">
        <v>7</v>
      </c>
      <c r="J2300" s="5">
        <v>76</v>
      </c>
      <c r="K2300" s="4">
        <v>8</v>
      </c>
      <c r="L2300" s="1" t="s">
        <v>46</v>
      </c>
      <c r="M2300" s="1" t="s">
        <v>47</v>
      </c>
      <c r="N2300" s="1" t="s">
        <v>16352</v>
      </c>
      <c r="O2300" s="1" t="s">
        <v>87</v>
      </c>
      <c r="P2300" s="1" t="s">
        <v>16353</v>
      </c>
      <c r="Q2300" s="1" t="s">
        <v>145</v>
      </c>
      <c r="R2300" s="1" t="s">
        <v>145</v>
      </c>
      <c r="S2300" s="8">
        <v>1.75</v>
      </c>
      <c r="T2300" s="1" t="s">
        <v>50</v>
      </c>
      <c r="U2300" s="8">
        <v>8</v>
      </c>
      <c r="V2300" s="8">
        <v>8</v>
      </c>
      <c r="W2300" s="7">
        <v>9500000</v>
      </c>
      <c r="X2300" s="5">
        <v>76</v>
      </c>
      <c r="Y2300" s="7">
        <v>9500000</v>
      </c>
      <c r="Z2300" s="1"/>
      <c r="AA2300" s="1"/>
      <c r="AB2300" s="1"/>
      <c r="AC2300" s="1"/>
      <c r="AD2300" s="1"/>
      <c r="AE2300" s="1" t="s">
        <v>51</v>
      </c>
      <c r="AF2300" s="1" t="s">
        <v>51</v>
      </c>
      <c r="AG2300" s="1" t="s">
        <v>51</v>
      </c>
      <c r="AH2300" s="1"/>
      <c r="AI2300" s="1"/>
      <c r="AJ2300" s="3">
        <v>1</v>
      </c>
      <c r="AK2300" s="1" t="s">
        <v>52</v>
      </c>
      <c r="AL2300" s="3">
        <v>2</v>
      </c>
      <c r="AM2300" s="1"/>
      <c r="AN2300" s="1"/>
      <c r="AO2300" s="1" t="s">
        <v>16354</v>
      </c>
      <c r="AP2300" s="1" t="s">
        <v>45</v>
      </c>
      <c r="AQ2300" s="1" t="s">
        <v>16355</v>
      </c>
      <c r="AR2300" s="1" t="s">
        <v>16356</v>
      </c>
    </row>
    <row r="2301">
      <c r="A2301" s="2">
        <f ca="1">DATE(2007,04,27)</f>
        <v>0</v>
      </c>
      <c r="B2301" s="2">
        <f ca="1">DATE(2007,12,06)</f>
        <v>0</v>
      </c>
      <c r="C2301" s="1" t="s">
        <v>16357</v>
      </c>
      <c r="D2301" s="3">
        <v>6324</v>
      </c>
      <c r="E2301" s="1" t="s">
        <v>8384</v>
      </c>
      <c r="F2301" s="1" t="s">
        <v>16358</v>
      </c>
      <c r="G2301" s="1" t="s">
        <v>11830</v>
      </c>
      <c r="H2301" s="4">
        <v>0.94299999999999995</v>
      </c>
      <c r="I2301" s="4">
        <v>6.5</v>
      </c>
      <c r="J2301" s="5">
        <v>203</v>
      </c>
      <c r="K2301" s="4">
        <v>14.5</v>
      </c>
      <c r="L2301" s="1" t="s">
        <v>16359</v>
      </c>
      <c r="M2301" s="1" t="s">
        <v>47</v>
      </c>
      <c r="N2301" s="3">
        <v>896749108</v>
      </c>
      <c r="O2301" s="1" t="s">
        <v>108</v>
      </c>
      <c r="P2301" s="1" t="s">
        <v>16360</v>
      </c>
      <c r="Q2301" s="1" t="s">
        <v>145</v>
      </c>
      <c r="R2301" s="1" t="s">
        <v>145</v>
      </c>
      <c r="S2301" s="6">
        <v>3.75034</v>
      </c>
      <c r="T2301" s="1" t="s">
        <v>50</v>
      </c>
      <c r="U2301" s="1"/>
      <c r="V2301" s="1"/>
      <c r="W2301" s="1"/>
      <c r="X2301" s="5">
        <v>250</v>
      </c>
      <c r="Y2301" s="7">
        <v>5000000</v>
      </c>
      <c r="Z2301" s="7">
        <v>9000000</v>
      </c>
      <c r="AA2301" s="1" t="s">
        <v>16361</v>
      </c>
      <c r="AB2301" s="1" t="s">
        <v>5265</v>
      </c>
      <c r="AC2301" s="1" t="s">
        <v>16362</v>
      </c>
      <c r="AD2301" s="1" t="s">
        <v>5265</v>
      </c>
      <c r="AE2301" s="1" t="s">
        <v>51</v>
      </c>
      <c r="AF2301" s="1" t="s">
        <v>51</v>
      </c>
      <c r="AG2301" s="1" t="s">
        <v>51</v>
      </c>
      <c r="AH2301" s="1"/>
      <c r="AI2301" s="1"/>
      <c r="AJ2301" s="3">
        <v>2</v>
      </c>
      <c r="AK2301" s="1" t="s">
        <v>89</v>
      </c>
      <c r="AL2301" s="3">
        <v>6</v>
      </c>
      <c r="AM2301" s="8">
        <v>15.15</v>
      </c>
      <c r="AN2301" s="1"/>
      <c r="AO2301" s="1" t="s">
        <v>16363</v>
      </c>
      <c r="AP2301" s="1" t="s">
        <v>11836</v>
      </c>
      <c r="AQ2301" s="1" t="s">
        <v>16364</v>
      </c>
      <c r="AR2301" s="1" t="s">
        <v>16365</v>
      </c>
    </row>
    <row r="2302">
      <c r="A2302" s="2">
        <f ca="1">DATE(2007,11,09)</f>
        <v>0</v>
      </c>
      <c r="B2302" s="2">
        <f ca="1">DATE(2007,12,06)</f>
        <v>0</v>
      </c>
      <c r="C2302" s="1" t="s">
        <v>16366</v>
      </c>
      <c r="D2302" s="3">
        <v>7312</v>
      </c>
      <c r="E2302" s="1" t="s">
        <v>744</v>
      </c>
      <c r="F2302" s="1" t="s">
        <v>16367</v>
      </c>
      <c r="G2302" s="1" t="s">
        <v>15210</v>
      </c>
      <c r="H2302" s="4">
        <v>0.56000000000000005</v>
      </c>
      <c r="I2302" s="4">
        <v>7</v>
      </c>
      <c r="J2302" s="5">
        <v>108</v>
      </c>
      <c r="K2302" s="4">
        <v>8</v>
      </c>
      <c r="L2302" s="1" t="s">
        <v>651</v>
      </c>
      <c r="M2302" s="1" t="s">
        <v>47</v>
      </c>
      <c r="N2302" s="1" t="s">
        <v>16368</v>
      </c>
      <c r="O2302" s="1" t="s">
        <v>48</v>
      </c>
      <c r="P2302" s="1" t="s">
        <v>16369</v>
      </c>
      <c r="Q2302" s="1" t="s">
        <v>145</v>
      </c>
      <c r="R2302" s="1" t="s">
        <v>145</v>
      </c>
      <c r="S2302" s="8">
        <v>4.2000000000000002</v>
      </c>
      <c r="T2302" s="1" t="s">
        <v>50</v>
      </c>
      <c r="U2302" s="1"/>
      <c r="V2302" s="1"/>
      <c r="W2302" s="1"/>
      <c r="X2302" s="5">
        <v>100</v>
      </c>
      <c r="Y2302" s="7">
        <v>13500000</v>
      </c>
      <c r="Z2302" s="1"/>
      <c r="AA2302" s="1" t="s">
        <v>16331</v>
      </c>
      <c r="AB2302" s="1" t="s">
        <v>2067</v>
      </c>
      <c r="AC2302" s="1" t="s">
        <v>2068</v>
      </c>
      <c r="AD2302" s="1" t="s">
        <v>2067</v>
      </c>
      <c r="AE2302" s="1" t="s">
        <v>47</v>
      </c>
      <c r="AF2302" s="1" t="s">
        <v>51</v>
      </c>
      <c r="AG2302" s="1" t="s">
        <v>51</v>
      </c>
      <c r="AH2302" s="1"/>
      <c r="AI2302" s="1"/>
      <c r="AJ2302" s="3">
        <v>2</v>
      </c>
      <c r="AK2302" s="1" t="s">
        <v>89</v>
      </c>
      <c r="AL2302" s="3">
        <v>4</v>
      </c>
      <c r="AM2302" s="8">
        <v>8</v>
      </c>
      <c r="AN2302" s="1"/>
      <c r="AO2302" s="1" t="s">
        <v>16370</v>
      </c>
      <c r="AP2302" s="1" t="s">
        <v>15214</v>
      </c>
      <c r="AQ2302" s="1" t="s">
        <v>16371</v>
      </c>
      <c r="AR2302" s="1" t="s">
        <v>16372</v>
      </c>
    </row>
    <row r="2303">
      <c r="A2303" s="2">
        <f ca="1">DATE(2007,11,13)</f>
        <v>0</v>
      </c>
      <c r="B2303" s="2">
        <f ca="1">DATE(2007,12,06)</f>
        <v>0</v>
      </c>
      <c r="C2303" s="1" t="s">
        <v>16373</v>
      </c>
      <c r="D2303" s="3">
        <v>3317</v>
      </c>
      <c r="E2303" s="1" t="s">
        <v>744</v>
      </c>
      <c r="F2303" s="1" t="s">
        <v>16374</v>
      </c>
      <c r="G2303" s="1" t="s">
        <v>400</v>
      </c>
      <c r="H2303" s="4">
        <v>0.59999999999999998</v>
      </c>
      <c r="I2303" s="4">
        <v>7.0590000000000002</v>
      </c>
      <c r="J2303" s="5">
        <v>212.5</v>
      </c>
      <c r="K2303" s="4">
        <v>8.5</v>
      </c>
      <c r="L2303" s="1" t="s">
        <v>651</v>
      </c>
      <c r="M2303" s="1" t="s">
        <v>47</v>
      </c>
      <c r="N2303" s="1" t="s">
        <v>16375</v>
      </c>
      <c r="O2303" s="1" t="s">
        <v>108</v>
      </c>
      <c r="P2303" s="1" t="s">
        <v>16376</v>
      </c>
      <c r="Q2303" s="1" t="s">
        <v>145</v>
      </c>
      <c r="R2303" s="1" t="s">
        <v>145</v>
      </c>
      <c r="S2303" s="1"/>
      <c r="T2303" s="1" t="s">
        <v>50</v>
      </c>
      <c r="U2303" s="1"/>
      <c r="V2303" s="1"/>
      <c r="W2303" s="1"/>
      <c r="X2303" s="5">
        <v>287.5</v>
      </c>
      <c r="Y2303" s="7">
        <v>25000000</v>
      </c>
      <c r="Z2303" s="1"/>
      <c r="AA2303" s="1" t="s">
        <v>16331</v>
      </c>
      <c r="AB2303" s="1" t="s">
        <v>2067</v>
      </c>
      <c r="AC2303" s="1" t="s">
        <v>2068</v>
      </c>
      <c r="AD2303" s="1" t="s">
        <v>2067</v>
      </c>
      <c r="AE2303" s="1" t="s">
        <v>47</v>
      </c>
      <c r="AF2303" s="1" t="s">
        <v>51</v>
      </c>
      <c r="AG2303" s="1" t="s">
        <v>51</v>
      </c>
      <c r="AH2303" s="1"/>
      <c r="AI2303" s="1"/>
      <c r="AJ2303" s="3">
        <v>1</v>
      </c>
      <c r="AK2303" s="1" t="s">
        <v>52</v>
      </c>
      <c r="AL2303" s="3">
        <v>4</v>
      </c>
      <c r="AM2303" s="8">
        <v>8.5</v>
      </c>
      <c r="AN2303" s="1"/>
      <c r="AO2303" s="1" t="s">
        <v>16377</v>
      </c>
      <c r="AP2303" s="1" t="s">
        <v>400</v>
      </c>
      <c r="AQ2303" s="1" t="s">
        <v>16378</v>
      </c>
      <c r="AR2303" s="1" t="s">
        <v>16379</v>
      </c>
    </row>
    <row r="2304">
      <c r="A2304" s="2">
        <f ca="1">DATE(2007,09,07)</f>
        <v>0</v>
      </c>
      <c r="B2304" s="2">
        <f ca="1">DATE(2007,12,10)</f>
        <v>0</v>
      </c>
      <c r="C2304" s="1" t="s">
        <v>16380</v>
      </c>
      <c r="D2304" s="3">
        <v>7389</v>
      </c>
      <c r="E2304" s="1" t="s">
        <v>43</v>
      </c>
      <c r="F2304" s="1" t="s">
        <v>16381</v>
      </c>
      <c r="G2304" s="1" t="s">
        <v>16382</v>
      </c>
      <c r="H2304" s="4">
        <v>0.69999999999999996</v>
      </c>
      <c r="I2304" s="8">
        <v>7</v>
      </c>
      <c r="J2304" s="5">
        <v>120</v>
      </c>
      <c r="K2304" s="4">
        <v>10</v>
      </c>
      <c r="L2304" s="1" t="s">
        <v>46</v>
      </c>
      <c r="M2304" s="1" t="s">
        <v>47</v>
      </c>
      <c r="N2304" s="1" t="s">
        <v>16383</v>
      </c>
      <c r="O2304" s="1" t="s">
        <v>48</v>
      </c>
      <c r="P2304" s="1" t="s">
        <v>16384</v>
      </c>
      <c r="Q2304" s="1" t="s">
        <v>145</v>
      </c>
      <c r="R2304" s="1" t="s">
        <v>145</v>
      </c>
      <c r="S2304" s="8">
        <v>4.2000000000000002</v>
      </c>
      <c r="T2304" s="1" t="s">
        <v>50</v>
      </c>
      <c r="U2304" s="1"/>
      <c r="V2304" s="1"/>
      <c r="W2304" s="1"/>
      <c r="X2304" s="1"/>
      <c r="Y2304" s="7">
        <v>12000000</v>
      </c>
      <c r="Z2304" s="1"/>
      <c r="AA2304" s="1" t="s">
        <v>16385</v>
      </c>
      <c r="AB2304" s="1" t="s">
        <v>5265</v>
      </c>
      <c r="AC2304" s="1" t="s">
        <v>7759</v>
      </c>
      <c r="AD2304" s="1" t="s">
        <v>5265</v>
      </c>
      <c r="AE2304" s="1" t="s">
        <v>51</v>
      </c>
      <c r="AF2304" s="1" t="s">
        <v>51</v>
      </c>
      <c r="AG2304" s="1" t="s">
        <v>51</v>
      </c>
      <c r="AH2304" s="1"/>
      <c r="AI2304" s="1"/>
      <c r="AJ2304" s="3">
        <v>3</v>
      </c>
      <c r="AK2304" s="1" t="s">
        <v>110</v>
      </c>
      <c r="AL2304" s="3">
        <v>9</v>
      </c>
      <c r="AM2304" s="1"/>
      <c r="AN2304" s="1"/>
      <c r="AO2304" s="1" t="s">
        <v>16386</v>
      </c>
      <c r="AP2304" s="1" t="s">
        <v>16387</v>
      </c>
      <c r="AQ2304" s="1" t="s">
        <v>16388</v>
      </c>
      <c r="AR2304" s="1" t="s">
        <v>16389</v>
      </c>
    </row>
    <row r="2305">
      <c r="A2305" s="2">
        <f ca="1">DATE(2007,11,26)</f>
        <v>0</v>
      </c>
      <c r="B2305" s="2">
        <f ca="1">DATE(2007,12,10)</f>
        <v>0</v>
      </c>
      <c r="C2305" s="1" t="s">
        <v>16390</v>
      </c>
      <c r="D2305" s="3">
        <v>8299</v>
      </c>
      <c r="E2305" s="1" t="s">
        <v>744</v>
      </c>
      <c r="F2305" s="1" t="s">
        <v>16391</v>
      </c>
      <c r="G2305" s="1" t="s">
        <v>411</v>
      </c>
      <c r="H2305" s="4">
        <v>0.69999999999999996</v>
      </c>
      <c r="I2305" s="8">
        <v>7</v>
      </c>
      <c r="J2305" s="5">
        <v>68.200000000000003</v>
      </c>
      <c r="K2305" s="4">
        <v>10</v>
      </c>
      <c r="L2305" s="1" t="s">
        <v>651</v>
      </c>
      <c r="M2305" s="1" t="s">
        <v>47</v>
      </c>
      <c r="N2305" s="1" t="s">
        <v>16392</v>
      </c>
      <c r="O2305" s="1" t="s">
        <v>48</v>
      </c>
      <c r="P2305" s="1" t="s">
        <v>16393</v>
      </c>
      <c r="Q2305" s="1" t="s">
        <v>145</v>
      </c>
      <c r="R2305" s="1" t="s">
        <v>145</v>
      </c>
      <c r="S2305" s="1"/>
      <c r="T2305" s="1" t="s">
        <v>50</v>
      </c>
      <c r="U2305" s="8">
        <v>12</v>
      </c>
      <c r="V2305" s="8">
        <v>10</v>
      </c>
      <c r="W2305" s="7">
        <v>6820000</v>
      </c>
      <c r="X2305" s="5">
        <v>75</v>
      </c>
      <c r="Y2305" s="7">
        <v>5456000</v>
      </c>
      <c r="Z2305" s="7">
        <v>1364000</v>
      </c>
      <c r="AA2305" s="1" t="s">
        <v>16385</v>
      </c>
      <c r="AB2305" s="1" t="s">
        <v>5265</v>
      </c>
      <c r="AC2305" s="1" t="s">
        <v>7759</v>
      </c>
      <c r="AD2305" s="1" t="s">
        <v>5265</v>
      </c>
      <c r="AE2305" s="1" t="s">
        <v>47</v>
      </c>
      <c r="AF2305" s="1" t="s">
        <v>51</v>
      </c>
      <c r="AG2305" s="1" t="s">
        <v>47</v>
      </c>
      <c r="AH2305" s="1"/>
      <c r="AI2305" s="1"/>
      <c r="AJ2305" s="3">
        <v>1</v>
      </c>
      <c r="AK2305" s="1" t="s">
        <v>52</v>
      </c>
      <c r="AL2305" s="3">
        <v>3</v>
      </c>
      <c r="AM2305" s="1"/>
      <c r="AN2305" s="1"/>
      <c r="AO2305" s="1" t="s">
        <v>16394</v>
      </c>
      <c r="AP2305" s="1" t="s">
        <v>411</v>
      </c>
      <c r="AQ2305" s="1" t="s">
        <v>16395</v>
      </c>
      <c r="AR2305" s="1" t="s">
        <v>16393</v>
      </c>
    </row>
    <row r="2306">
      <c r="A2306" s="2">
        <f ca="1">DATE(2007,07,19)</f>
        <v>0</v>
      </c>
      <c r="B2306" s="2">
        <f ca="1">DATE(2007,12,11)</f>
        <v>0</v>
      </c>
      <c r="C2306" s="1" t="s">
        <v>16396</v>
      </c>
      <c r="D2306" s="3">
        <v>6726</v>
      </c>
      <c r="E2306" s="1" t="s">
        <v>43</v>
      </c>
      <c r="F2306" s="1" t="s">
        <v>16397</v>
      </c>
      <c r="G2306" s="1" t="s">
        <v>16398</v>
      </c>
      <c r="H2306" s="4">
        <v>0.34999999999999998</v>
      </c>
      <c r="I2306" s="4">
        <v>3.5</v>
      </c>
      <c r="J2306" s="5">
        <v>450</v>
      </c>
      <c r="K2306" s="4">
        <v>10</v>
      </c>
      <c r="L2306" s="1" t="s">
        <v>46</v>
      </c>
      <c r="M2306" s="1" t="s">
        <v>47</v>
      </c>
      <c r="N2306" s="3">
        <v>911360204</v>
      </c>
      <c r="O2306" s="1" t="s">
        <v>3689</v>
      </c>
      <c r="P2306" s="1" t="s">
        <v>16399</v>
      </c>
      <c r="Q2306" s="1" t="s">
        <v>145</v>
      </c>
      <c r="R2306" s="1" t="s">
        <v>145</v>
      </c>
      <c r="S2306" s="8">
        <v>2.1000000000000001</v>
      </c>
      <c r="T2306" s="1" t="s">
        <v>50</v>
      </c>
      <c r="U2306" s="8">
        <v>10</v>
      </c>
      <c r="V2306" s="8">
        <v>10</v>
      </c>
      <c r="W2306" s="7">
        <v>40000000</v>
      </c>
      <c r="X2306" s="5">
        <v>400</v>
      </c>
      <c r="Y2306" s="7">
        <v>45000000</v>
      </c>
      <c r="Z2306" s="1"/>
      <c r="AA2306" s="1"/>
      <c r="AB2306" s="1"/>
      <c r="AC2306" s="1"/>
      <c r="AD2306" s="1"/>
      <c r="AE2306" s="1" t="s">
        <v>51</v>
      </c>
      <c r="AF2306" s="1" t="s">
        <v>51</v>
      </c>
      <c r="AG2306" s="1" t="s">
        <v>51</v>
      </c>
      <c r="AH2306" s="1"/>
      <c r="AI2306" s="1"/>
      <c r="AJ2306" s="3">
        <v>2</v>
      </c>
      <c r="AK2306" s="1" t="s">
        <v>89</v>
      </c>
      <c r="AL2306" s="3">
        <v>2</v>
      </c>
      <c r="AM2306" s="1"/>
      <c r="AN2306" s="1"/>
      <c r="AO2306" s="1" t="s">
        <v>16400</v>
      </c>
      <c r="AP2306" s="1" t="s">
        <v>16401</v>
      </c>
      <c r="AQ2306" s="1" t="s">
        <v>16402</v>
      </c>
      <c r="AR2306" s="1" t="s">
        <v>16403</v>
      </c>
    </row>
    <row r="2307">
      <c r="A2307" s="2">
        <f ca="1">DATE(2007,11,23)</f>
        <v>0</v>
      </c>
      <c r="B2307" s="2">
        <f ca="1">DATE(2007,12,11)</f>
        <v>0</v>
      </c>
      <c r="C2307" s="1" t="s">
        <v>16404</v>
      </c>
      <c r="D2307" s="3">
        <v>7376</v>
      </c>
      <c r="E2307" s="1" t="s">
        <v>744</v>
      </c>
      <c r="F2307" s="1" t="s">
        <v>16405</v>
      </c>
      <c r="G2307" s="1" t="s">
        <v>15389</v>
      </c>
      <c r="H2307" s="4">
        <v>0.59499999999999997</v>
      </c>
      <c r="I2307" s="8">
        <v>7</v>
      </c>
      <c r="J2307" s="5">
        <v>65</v>
      </c>
      <c r="K2307" s="4">
        <v>8.5</v>
      </c>
      <c r="L2307" s="1" t="s">
        <v>651</v>
      </c>
      <c r="M2307" s="1" t="s">
        <v>47</v>
      </c>
      <c r="N2307" s="3">
        <v>921564100</v>
      </c>
      <c r="O2307" s="1" t="s">
        <v>108</v>
      </c>
      <c r="P2307" s="1" t="s">
        <v>16406</v>
      </c>
      <c r="Q2307" s="4">
        <v>1.3999999999999999</v>
      </c>
      <c r="R2307" s="4">
        <v>1.3999999999999999</v>
      </c>
      <c r="S2307" s="8">
        <v>4.2000000000000002</v>
      </c>
      <c r="T2307" s="1" t="s">
        <v>50</v>
      </c>
      <c r="U2307" s="1"/>
      <c r="V2307" s="1"/>
      <c r="W2307" s="1"/>
      <c r="X2307" s="5">
        <v>120</v>
      </c>
      <c r="Y2307" s="7">
        <v>6300000</v>
      </c>
      <c r="Z2307" s="7">
        <v>1350000</v>
      </c>
      <c r="AA2307" s="1" t="s">
        <v>16407</v>
      </c>
      <c r="AB2307" s="1" t="s">
        <v>5265</v>
      </c>
      <c r="AC2307" s="1" t="s">
        <v>7759</v>
      </c>
      <c r="AD2307" s="1" t="s">
        <v>5265</v>
      </c>
      <c r="AE2307" s="1" t="s">
        <v>47</v>
      </c>
      <c r="AF2307" s="1" t="s">
        <v>51</v>
      </c>
      <c r="AG2307" s="1" t="s">
        <v>47</v>
      </c>
      <c r="AH2307" s="1"/>
      <c r="AI2307" s="1"/>
      <c r="AJ2307" s="3">
        <v>2</v>
      </c>
      <c r="AK2307" s="1" t="s">
        <v>89</v>
      </c>
      <c r="AL2307" s="3">
        <v>4</v>
      </c>
      <c r="AM2307" s="8">
        <v>9.5</v>
      </c>
      <c r="AN2307" s="1"/>
      <c r="AO2307" s="1" t="s">
        <v>16408</v>
      </c>
      <c r="AP2307" s="1" t="s">
        <v>16409</v>
      </c>
      <c r="AQ2307" s="1" t="s">
        <v>16410</v>
      </c>
      <c r="AR2307" s="1" t="s">
        <v>16411</v>
      </c>
    </row>
    <row r="2308">
      <c r="A2308" s="2">
        <f ca="1">DATE(2007,11,16)</f>
        <v>0</v>
      </c>
      <c r="B2308" s="2">
        <f ca="1">DATE(2007,12,11)</f>
        <v>0</v>
      </c>
      <c r="C2308" s="1" t="s">
        <v>16412</v>
      </c>
      <c r="D2308" s="3">
        <v>6552</v>
      </c>
      <c r="E2308" s="1" t="s">
        <v>744</v>
      </c>
      <c r="F2308" s="1" t="s">
        <v>16413</v>
      </c>
      <c r="G2308" s="1" t="s">
        <v>45</v>
      </c>
      <c r="H2308" s="4">
        <v>0.91000000000000003</v>
      </c>
      <c r="I2308" s="4">
        <v>6.5</v>
      </c>
      <c r="J2308" s="5">
        <v>245</v>
      </c>
      <c r="K2308" s="4">
        <v>14</v>
      </c>
      <c r="L2308" s="1" t="s">
        <v>651</v>
      </c>
      <c r="M2308" s="1" t="s">
        <v>47</v>
      </c>
      <c r="N2308" s="1" t="s">
        <v>16414</v>
      </c>
      <c r="O2308" s="1" t="s">
        <v>108</v>
      </c>
      <c r="P2308" s="1" t="s">
        <v>16415</v>
      </c>
      <c r="Q2308" s="1" t="s">
        <v>145</v>
      </c>
      <c r="R2308" s="1" t="s">
        <v>145</v>
      </c>
      <c r="S2308" s="6">
        <v>3.5714299999999999</v>
      </c>
      <c r="T2308" s="1" t="s">
        <v>50</v>
      </c>
      <c r="U2308" s="1"/>
      <c r="V2308" s="1"/>
      <c r="W2308" s="1"/>
      <c r="X2308" s="5">
        <v>299.5</v>
      </c>
      <c r="Y2308" s="7">
        <v>17500000</v>
      </c>
      <c r="Z2308" s="1"/>
      <c r="AA2308" s="1" t="s">
        <v>16407</v>
      </c>
      <c r="AB2308" s="1" t="s">
        <v>5265</v>
      </c>
      <c r="AC2308" s="1" t="s">
        <v>7759</v>
      </c>
      <c r="AD2308" s="1" t="s">
        <v>5265</v>
      </c>
      <c r="AE2308" s="1" t="s">
        <v>47</v>
      </c>
      <c r="AF2308" s="1" t="s">
        <v>51</v>
      </c>
      <c r="AG2308" s="1" t="s">
        <v>47</v>
      </c>
      <c r="AH2308" s="1"/>
      <c r="AI2308" s="1"/>
      <c r="AJ2308" s="3">
        <v>1</v>
      </c>
      <c r="AK2308" s="1" t="s">
        <v>52</v>
      </c>
      <c r="AL2308" s="3">
        <v>3</v>
      </c>
      <c r="AM2308" s="8">
        <v>13.66</v>
      </c>
      <c r="AN2308" s="1"/>
      <c r="AO2308" s="1" t="s">
        <v>16416</v>
      </c>
      <c r="AP2308" s="1" t="s">
        <v>45</v>
      </c>
      <c r="AQ2308" s="1" t="s">
        <v>16417</v>
      </c>
      <c r="AR2308" s="1" t="s">
        <v>16418</v>
      </c>
    </row>
    <row r="2309">
      <c r="A2309" s="2">
        <f ca="1">DATE(2007,07,26)</f>
        <v>0</v>
      </c>
      <c r="B2309" s="2">
        <f ca="1">DATE(2007,12,12)</f>
        <v>0</v>
      </c>
      <c r="C2309" s="1" t="s">
        <v>16419</v>
      </c>
      <c r="D2309" s="3">
        <v>8299</v>
      </c>
      <c r="E2309" s="1" t="s">
        <v>43</v>
      </c>
      <c r="F2309" s="1" t="s">
        <v>16420</v>
      </c>
      <c r="G2309" s="1" t="s">
        <v>13389</v>
      </c>
      <c r="H2309" s="4">
        <v>1.26</v>
      </c>
      <c r="I2309" s="4">
        <v>7</v>
      </c>
      <c r="J2309" s="5">
        <v>108</v>
      </c>
      <c r="K2309" s="4">
        <v>18</v>
      </c>
      <c r="L2309" s="1" t="s">
        <v>46</v>
      </c>
      <c r="M2309" s="1" t="s">
        <v>47</v>
      </c>
      <c r="N2309" s="1" t="s">
        <v>16421</v>
      </c>
      <c r="O2309" s="1" t="s">
        <v>108</v>
      </c>
      <c r="P2309" s="1" t="s">
        <v>16422</v>
      </c>
      <c r="Q2309" s="1" t="s">
        <v>145</v>
      </c>
      <c r="R2309" s="1" t="s">
        <v>145</v>
      </c>
      <c r="S2309" s="8">
        <v>4.2000000000000002</v>
      </c>
      <c r="T2309" s="1" t="s">
        <v>50</v>
      </c>
      <c r="U2309" s="1"/>
      <c r="V2309" s="1"/>
      <c r="W2309" s="1"/>
      <c r="X2309" s="5">
        <v>172.5</v>
      </c>
      <c r="Y2309" s="7">
        <v>4450000</v>
      </c>
      <c r="Z2309" s="7">
        <v>1550000</v>
      </c>
      <c r="AA2309" s="1" t="s">
        <v>16423</v>
      </c>
      <c r="AB2309" s="1" t="s">
        <v>5265</v>
      </c>
      <c r="AC2309" s="1" t="s">
        <v>7759</v>
      </c>
      <c r="AD2309" s="1" t="s">
        <v>5265</v>
      </c>
      <c r="AE2309" s="1" t="s">
        <v>51</v>
      </c>
      <c r="AF2309" s="1" t="s">
        <v>51</v>
      </c>
      <c r="AG2309" s="1" t="s">
        <v>47</v>
      </c>
      <c r="AH2309" s="1"/>
      <c r="AI2309" s="1"/>
      <c r="AJ2309" s="3">
        <v>2</v>
      </c>
      <c r="AK2309" s="1" t="s">
        <v>89</v>
      </c>
      <c r="AL2309" s="3">
        <v>6</v>
      </c>
      <c r="AM2309" s="8">
        <v>25.5</v>
      </c>
      <c r="AN2309" s="1"/>
      <c r="AO2309" s="1" t="s">
        <v>16424</v>
      </c>
      <c r="AP2309" s="1" t="s">
        <v>12249</v>
      </c>
      <c r="AQ2309" s="1" t="s">
        <v>16425</v>
      </c>
      <c r="AR2309" s="1" t="s">
        <v>16426</v>
      </c>
    </row>
    <row r="2310">
      <c r="A2310" s="2">
        <f ca="1">DATE(2007,08,24)</f>
        <v>0</v>
      </c>
      <c r="B2310" s="2">
        <f ca="1">DATE(2007,12,12)</f>
        <v>0</v>
      </c>
      <c r="C2310" s="1" t="s">
        <v>16427</v>
      </c>
      <c r="D2310" s="3">
        <v>7372</v>
      </c>
      <c r="E2310" s="1" t="s">
        <v>43</v>
      </c>
      <c r="F2310" s="1" t="s">
        <v>16428</v>
      </c>
      <c r="G2310" s="1" t="s">
        <v>8285</v>
      </c>
      <c r="H2310" s="4">
        <v>1.1200000000000001</v>
      </c>
      <c r="I2310" s="4">
        <v>7</v>
      </c>
      <c r="J2310" s="5">
        <v>212.80000000000001</v>
      </c>
      <c r="K2310" s="4">
        <v>16</v>
      </c>
      <c r="L2310" s="1" t="s">
        <v>46</v>
      </c>
      <c r="M2310" s="1" t="s">
        <v>47</v>
      </c>
      <c r="N2310" s="3">
        <v>584045108</v>
      </c>
      <c r="O2310" s="1" t="s">
        <v>48</v>
      </c>
      <c r="P2310" s="1" t="s">
        <v>16429</v>
      </c>
      <c r="Q2310" s="1" t="s">
        <v>145</v>
      </c>
      <c r="R2310" s="1" t="s">
        <v>145</v>
      </c>
      <c r="S2310" s="8">
        <v>4.25</v>
      </c>
      <c r="T2310" s="1" t="s">
        <v>50</v>
      </c>
      <c r="U2310" s="1"/>
      <c r="V2310" s="1"/>
      <c r="W2310" s="1"/>
      <c r="X2310" s="5">
        <v>230</v>
      </c>
      <c r="Y2310" s="7">
        <v>13300000</v>
      </c>
      <c r="Z2310" s="1"/>
      <c r="AA2310" s="1" t="s">
        <v>16430</v>
      </c>
      <c r="AB2310" s="1" t="s">
        <v>2067</v>
      </c>
      <c r="AC2310" s="1" t="s">
        <v>2068</v>
      </c>
      <c r="AD2310" s="1" t="s">
        <v>2067</v>
      </c>
      <c r="AE2310" s="1" t="s">
        <v>51</v>
      </c>
      <c r="AF2310" s="1" t="s">
        <v>51</v>
      </c>
      <c r="AG2310" s="1" t="s">
        <v>51</v>
      </c>
      <c r="AH2310" s="1"/>
      <c r="AI2310" s="1"/>
      <c r="AJ2310" s="3">
        <v>2</v>
      </c>
      <c r="AK2310" s="1" t="s">
        <v>89</v>
      </c>
      <c r="AL2310" s="3">
        <v>7</v>
      </c>
      <c r="AM2310" s="8">
        <v>22.25</v>
      </c>
      <c r="AN2310" s="1"/>
      <c r="AO2310" s="1" t="s">
        <v>16431</v>
      </c>
      <c r="AP2310" s="1" t="s">
        <v>7208</v>
      </c>
      <c r="AQ2310" s="1" t="s">
        <v>16432</v>
      </c>
      <c r="AR2310" s="1" t="s">
        <v>16433</v>
      </c>
    </row>
    <row r="2311">
      <c r="A2311" s="2">
        <f ca="1">DATE(2007,12,06)</f>
        <v>0</v>
      </c>
      <c r="B2311" s="2">
        <f ca="1">DATE(2007,12,12)</f>
        <v>0</v>
      </c>
      <c r="C2311" s="1" t="s">
        <v>16434</v>
      </c>
      <c r="D2311" s="3">
        <v>8099</v>
      </c>
      <c r="E2311" s="1" t="s">
        <v>43</v>
      </c>
      <c r="F2311" s="1" t="s">
        <v>16435</v>
      </c>
      <c r="G2311" s="1" t="s">
        <v>1223</v>
      </c>
      <c r="H2311" s="4">
        <v>0.63300000000000001</v>
      </c>
      <c r="I2311" s="4">
        <v>5.75</v>
      </c>
      <c r="J2311" s="5">
        <v>13.199999999999999</v>
      </c>
      <c r="K2311" s="4">
        <v>11</v>
      </c>
      <c r="L2311" s="1" t="s">
        <v>46</v>
      </c>
      <c r="M2311" s="1" t="s">
        <v>47</v>
      </c>
      <c r="N2311" s="1" t="s">
        <v>16436</v>
      </c>
      <c r="O2311" s="1" t="s">
        <v>77</v>
      </c>
      <c r="P2311" s="1" t="s">
        <v>16437</v>
      </c>
      <c r="Q2311" s="1" t="s">
        <v>145</v>
      </c>
      <c r="R2311" s="1" t="s">
        <v>145</v>
      </c>
      <c r="S2311" s="8">
        <v>4</v>
      </c>
      <c r="T2311" s="1" t="s">
        <v>50</v>
      </c>
      <c r="U2311" s="1"/>
      <c r="V2311" s="1"/>
      <c r="W2311" s="7">
        <v>2300000</v>
      </c>
      <c r="X2311" s="1"/>
      <c r="Y2311" s="7">
        <v>1200000</v>
      </c>
      <c r="Z2311" s="1"/>
      <c r="AA2311" s="1" t="s">
        <v>16430</v>
      </c>
      <c r="AB2311" s="1" t="s">
        <v>2067</v>
      </c>
      <c r="AC2311" s="1" t="s">
        <v>2068</v>
      </c>
      <c r="AD2311" s="1" t="s">
        <v>2067</v>
      </c>
      <c r="AE2311" s="1" t="s">
        <v>51</v>
      </c>
      <c r="AF2311" s="1" t="s">
        <v>51</v>
      </c>
      <c r="AG2311" s="1" t="s">
        <v>51</v>
      </c>
      <c r="AH2311" s="1"/>
      <c r="AI2311" s="1"/>
      <c r="AJ2311" s="3">
        <v>1</v>
      </c>
      <c r="AK2311" s="1" t="s">
        <v>52</v>
      </c>
      <c r="AL2311" s="3">
        <v>3</v>
      </c>
      <c r="AM2311" s="8">
        <v>3.25</v>
      </c>
      <c r="AN2311" s="1"/>
      <c r="AO2311" s="1" t="s">
        <v>16438</v>
      </c>
      <c r="AP2311" s="1" t="s">
        <v>1223</v>
      </c>
      <c r="AQ2311" s="1" t="s">
        <v>16439</v>
      </c>
      <c r="AR2311" s="1" t="s">
        <v>16437</v>
      </c>
    </row>
    <row r="2312">
      <c r="A2312" s="2">
        <f ca="1">DATE(2007,12,03)</f>
        <v>0</v>
      </c>
      <c r="B2312" s="2">
        <f ca="1">DATE(2007,12,12)</f>
        <v>0</v>
      </c>
      <c r="C2312" s="1" t="s">
        <v>16440</v>
      </c>
      <c r="D2312" s="3">
        <v>4412</v>
      </c>
      <c r="E2312" s="1" t="s">
        <v>517</v>
      </c>
      <c r="F2312" s="1" t="s">
        <v>16441</v>
      </c>
      <c r="G2312" s="1" t="s">
        <v>16442</v>
      </c>
      <c r="H2312" s="4">
        <v>1.3160000000000001</v>
      </c>
      <c r="I2312" s="8">
        <v>6.75</v>
      </c>
      <c r="J2312" s="5">
        <v>195</v>
      </c>
      <c r="K2312" s="4">
        <v>19.5</v>
      </c>
      <c r="L2312" s="1" t="s">
        <v>152</v>
      </c>
      <c r="M2312" s="1" t="s">
        <v>47</v>
      </c>
      <c r="N2312" s="1" t="s">
        <v>16443</v>
      </c>
      <c r="O2312" s="1" t="s">
        <v>108</v>
      </c>
      <c r="P2312" s="1" t="s">
        <v>16444</v>
      </c>
      <c r="Q2312" s="1" t="s">
        <v>145</v>
      </c>
      <c r="R2312" s="1" t="s">
        <v>145</v>
      </c>
      <c r="S2312" s="6">
        <v>4.0502599999999997</v>
      </c>
      <c r="T2312" s="1" t="s">
        <v>50</v>
      </c>
      <c r="U2312" s="8">
        <v>19.5</v>
      </c>
      <c r="V2312" s="8">
        <v>17.5</v>
      </c>
      <c r="W2312" s="7">
        <v>10000000</v>
      </c>
      <c r="X2312" s="5">
        <v>185</v>
      </c>
      <c r="Y2312" s="7">
        <v>10000000</v>
      </c>
      <c r="Z2312" s="1"/>
      <c r="AA2312" s="1" t="s">
        <v>16430</v>
      </c>
      <c r="AB2312" s="1" t="s">
        <v>2067</v>
      </c>
      <c r="AC2312" s="1" t="s">
        <v>2068</v>
      </c>
      <c r="AD2312" s="1" t="s">
        <v>2067</v>
      </c>
      <c r="AE2312" s="1" t="s">
        <v>51</v>
      </c>
      <c r="AF2312" s="1" t="s">
        <v>51</v>
      </c>
      <c r="AG2312" s="1" t="s">
        <v>51</v>
      </c>
      <c r="AH2312" s="1"/>
      <c r="AI2312" s="1"/>
      <c r="AJ2312" s="3">
        <v>2</v>
      </c>
      <c r="AK2312" s="1" t="s">
        <v>89</v>
      </c>
      <c r="AL2312" s="3">
        <v>9</v>
      </c>
      <c r="AM2312" s="1"/>
      <c r="AN2312" s="1"/>
      <c r="AO2312" s="1" t="s">
        <v>16445</v>
      </c>
      <c r="AP2312" s="1" t="s">
        <v>16446</v>
      </c>
      <c r="AQ2312" s="1" t="s">
        <v>16447</v>
      </c>
      <c r="AR2312" s="1" t="s">
        <v>16448</v>
      </c>
    </row>
    <row r="2313">
      <c r="A2313" s="2">
        <f ca="1">DATE(2007,07,12)</f>
        <v>0</v>
      </c>
      <c r="B2313" s="2">
        <f ca="1">DATE(2007,12,13)</f>
        <v>0</v>
      </c>
      <c r="C2313" s="1" t="s">
        <v>16449</v>
      </c>
      <c r="D2313" s="3">
        <v>3674</v>
      </c>
      <c r="E2313" s="1" t="s">
        <v>43</v>
      </c>
      <c r="F2313" s="1" t="s">
        <v>16450</v>
      </c>
      <c r="G2313" s="1" t="s">
        <v>5110</v>
      </c>
      <c r="H2313" s="4">
        <v>0.41999999999999998</v>
      </c>
      <c r="I2313" s="8">
        <v>7</v>
      </c>
      <c r="J2313" s="5">
        <v>45</v>
      </c>
      <c r="K2313" s="4">
        <v>6</v>
      </c>
      <c r="L2313" s="1" t="s">
        <v>46</v>
      </c>
      <c r="M2313" s="1" t="s">
        <v>47</v>
      </c>
      <c r="N2313" s="1" t="s">
        <v>16451</v>
      </c>
      <c r="O2313" s="1" t="s">
        <v>48</v>
      </c>
      <c r="P2313" s="1" t="s">
        <v>16452</v>
      </c>
      <c r="Q2313" s="1" t="s">
        <v>145</v>
      </c>
      <c r="R2313" s="1" t="s">
        <v>145</v>
      </c>
      <c r="S2313" s="1"/>
      <c r="T2313" s="1" t="s">
        <v>50</v>
      </c>
      <c r="U2313" s="1"/>
      <c r="V2313" s="1"/>
      <c r="W2313" s="1"/>
      <c r="X2313" s="5">
        <v>100</v>
      </c>
      <c r="Y2313" s="7">
        <v>7500000</v>
      </c>
      <c r="Z2313" s="1"/>
      <c r="AA2313" s="1" t="s">
        <v>16453</v>
      </c>
      <c r="AB2313" s="1" t="s">
        <v>2067</v>
      </c>
      <c r="AC2313" s="1" t="s">
        <v>2068</v>
      </c>
      <c r="AD2313" s="1" t="s">
        <v>2067</v>
      </c>
      <c r="AE2313" s="1" t="s">
        <v>51</v>
      </c>
      <c r="AF2313" s="1" t="s">
        <v>51</v>
      </c>
      <c r="AG2313" s="1" t="s">
        <v>47</v>
      </c>
      <c r="AH2313" s="1"/>
      <c r="AI2313" s="1"/>
      <c r="AJ2313" s="3">
        <v>1</v>
      </c>
      <c r="AK2313" s="1" t="s">
        <v>52</v>
      </c>
      <c r="AL2313" s="3">
        <v>4</v>
      </c>
      <c r="AM2313" s="8">
        <v>6.75</v>
      </c>
      <c r="AN2313" s="1"/>
      <c r="AO2313" s="1" t="s">
        <v>16454</v>
      </c>
      <c r="AP2313" s="1" t="s">
        <v>5110</v>
      </c>
      <c r="AQ2313" s="1" t="s">
        <v>16455</v>
      </c>
      <c r="AR2313" s="1" t="s">
        <v>16456</v>
      </c>
    </row>
    <row r="2314">
      <c r="A2314" s="2">
        <f ca="1">DATE(2007,12,03)</f>
        <v>0</v>
      </c>
      <c r="B2314" s="2">
        <f ca="1">DATE(2007,12,13)</f>
        <v>0</v>
      </c>
      <c r="C2314" s="1" t="s">
        <v>16457</v>
      </c>
      <c r="D2314" s="3">
        <v>3674</v>
      </c>
      <c r="E2314" s="1" t="s">
        <v>43</v>
      </c>
      <c r="F2314" s="1" t="s">
        <v>16458</v>
      </c>
      <c r="G2314" s="1" t="s">
        <v>15222</v>
      </c>
      <c r="H2314" s="4">
        <v>0.69999999999999996</v>
      </c>
      <c r="I2314" s="8">
        <v>7</v>
      </c>
      <c r="J2314" s="5">
        <v>60</v>
      </c>
      <c r="K2314" s="4">
        <v>10</v>
      </c>
      <c r="L2314" s="1" t="s">
        <v>46</v>
      </c>
      <c r="M2314" s="1" t="s">
        <v>47</v>
      </c>
      <c r="N2314" s="3">
        <v>586264103</v>
      </c>
      <c r="O2314" s="1" t="s">
        <v>48</v>
      </c>
      <c r="P2314" s="1" t="s">
        <v>16459</v>
      </c>
      <c r="Q2314" s="1" t="s">
        <v>145</v>
      </c>
      <c r="R2314" s="1" t="s">
        <v>145</v>
      </c>
      <c r="S2314" s="8">
        <v>4.2000000000000002</v>
      </c>
      <c r="T2314" s="1" t="s">
        <v>50</v>
      </c>
      <c r="U2314" s="1"/>
      <c r="V2314" s="1"/>
      <c r="W2314" s="1"/>
      <c r="X2314" s="1"/>
      <c r="Y2314" s="7">
        <v>6000000</v>
      </c>
      <c r="Z2314" s="1"/>
      <c r="AA2314" s="1" t="s">
        <v>16453</v>
      </c>
      <c r="AB2314" s="1" t="s">
        <v>2067</v>
      </c>
      <c r="AC2314" s="1" t="s">
        <v>2068</v>
      </c>
      <c r="AD2314" s="1" t="s">
        <v>2067</v>
      </c>
      <c r="AE2314" s="1" t="s">
        <v>51</v>
      </c>
      <c r="AF2314" s="1" t="s">
        <v>51</v>
      </c>
      <c r="AG2314" s="1" t="s">
        <v>47</v>
      </c>
      <c r="AH2314" s="1"/>
      <c r="AI2314" s="1"/>
      <c r="AJ2314" s="3">
        <v>1</v>
      </c>
      <c r="AK2314" s="1" t="s">
        <v>52</v>
      </c>
      <c r="AL2314" s="3">
        <v>4</v>
      </c>
      <c r="AM2314" s="8">
        <v>10</v>
      </c>
      <c r="AN2314" s="1"/>
      <c r="AO2314" s="1" t="s">
        <v>16460</v>
      </c>
      <c r="AP2314" s="1" t="s">
        <v>15222</v>
      </c>
      <c r="AQ2314" s="1" t="s">
        <v>16461</v>
      </c>
      <c r="AR2314" s="1" t="s">
        <v>16459</v>
      </c>
    </row>
    <row r="2315">
      <c r="A2315" s="2">
        <f ca="1">DATE(2007,07,05)</f>
        <v>0</v>
      </c>
      <c r="B2315" s="2">
        <f ca="1">DATE(2007,12,14)</f>
        <v>0</v>
      </c>
      <c r="C2315" s="1" t="s">
        <v>16462</v>
      </c>
      <c r="D2315" s="3">
        <v>6799</v>
      </c>
      <c r="E2315" s="1" t="s">
        <v>43</v>
      </c>
      <c r="F2315" s="1" t="s">
        <v>16463</v>
      </c>
      <c r="G2315" s="1" t="s">
        <v>10548</v>
      </c>
      <c r="H2315" s="4">
        <v>0.64000000000000001</v>
      </c>
      <c r="I2315" s="4">
        <v>8</v>
      </c>
      <c r="J2315" s="5">
        <v>6.4000000000000004</v>
      </c>
      <c r="K2315" s="4">
        <v>8</v>
      </c>
      <c r="L2315" s="1" t="s">
        <v>46</v>
      </c>
      <c r="M2315" s="1" t="s">
        <v>47</v>
      </c>
      <c r="N2315" s="3">
        <v>402738108</v>
      </c>
      <c r="O2315" s="1" t="s">
        <v>87</v>
      </c>
      <c r="P2315" s="1" t="s">
        <v>16464</v>
      </c>
      <c r="Q2315" s="1" t="s">
        <v>145</v>
      </c>
      <c r="R2315" s="1" t="s">
        <v>145</v>
      </c>
      <c r="S2315" s="8">
        <v>4</v>
      </c>
      <c r="T2315" s="1" t="s">
        <v>50</v>
      </c>
      <c r="U2315" s="8">
        <v>13</v>
      </c>
      <c r="V2315" s="8">
        <v>11</v>
      </c>
      <c r="W2315" s="7">
        <v>1000000</v>
      </c>
      <c r="X2315" s="5">
        <v>12</v>
      </c>
      <c r="Y2315" s="7">
        <v>800000</v>
      </c>
      <c r="Z2315" s="1"/>
      <c r="AA2315" s="1" t="s">
        <v>16465</v>
      </c>
      <c r="AB2315" s="1" t="s">
        <v>2067</v>
      </c>
      <c r="AC2315" s="1" t="s">
        <v>2068</v>
      </c>
      <c r="AD2315" s="1" t="s">
        <v>2067</v>
      </c>
      <c r="AE2315" s="1" t="s">
        <v>51</v>
      </c>
      <c r="AF2315" s="1" t="s">
        <v>51</v>
      </c>
      <c r="AG2315" s="1" t="s">
        <v>51</v>
      </c>
      <c r="AH2315" s="1"/>
      <c r="AI2315" s="1"/>
      <c r="AJ2315" s="3">
        <v>1</v>
      </c>
      <c r="AK2315" s="1" t="s">
        <v>52</v>
      </c>
      <c r="AL2315" s="3">
        <v>2</v>
      </c>
      <c r="AM2315" s="8">
        <v>7.8499999999999996</v>
      </c>
      <c r="AN2315" s="1"/>
      <c r="AO2315" s="1" t="s">
        <v>16466</v>
      </c>
      <c r="AP2315" s="1" t="s">
        <v>10548</v>
      </c>
      <c r="AQ2315" s="1" t="s">
        <v>16467</v>
      </c>
      <c r="AR2315" s="1" t="s">
        <v>16464</v>
      </c>
    </row>
    <row r="2316">
      <c r="A2316" s="2">
        <f ca="1">DATE(2007,12,03)</f>
        <v>0</v>
      </c>
      <c r="B2316" s="2">
        <f ca="1">DATE(2007,12,18)</f>
        <v>0</v>
      </c>
      <c r="C2316" s="1" t="s">
        <v>16468</v>
      </c>
      <c r="D2316" s="3">
        <v>2869</v>
      </c>
      <c r="E2316" s="1" t="s">
        <v>744</v>
      </c>
      <c r="F2316" s="1" t="s">
        <v>16469</v>
      </c>
      <c r="G2316" s="1" t="s">
        <v>45</v>
      </c>
      <c r="H2316" s="4">
        <v>0.67200000000000004</v>
      </c>
      <c r="I2316" s="4">
        <v>7</v>
      </c>
      <c r="J2316" s="5">
        <v>172.80000000000001</v>
      </c>
      <c r="K2316" s="4">
        <v>9.5999999999999996</v>
      </c>
      <c r="L2316" s="1" t="s">
        <v>651</v>
      </c>
      <c r="M2316" s="1" t="s">
        <v>47</v>
      </c>
      <c r="N2316" s="1" t="s">
        <v>16470</v>
      </c>
      <c r="O2316" s="1" t="s">
        <v>108</v>
      </c>
      <c r="P2316" s="1" t="s">
        <v>16471</v>
      </c>
      <c r="Q2316" s="1" t="s">
        <v>145</v>
      </c>
      <c r="R2316" s="1" t="s">
        <v>145</v>
      </c>
      <c r="S2316" s="8">
        <v>4.2000000000000002</v>
      </c>
      <c r="T2316" s="1" t="s">
        <v>50</v>
      </c>
      <c r="U2316" s="1"/>
      <c r="V2316" s="1"/>
      <c r="W2316" s="1"/>
      <c r="X2316" s="5">
        <v>250</v>
      </c>
      <c r="Y2316" s="7">
        <v>15000000</v>
      </c>
      <c r="Z2316" s="7">
        <v>3000000</v>
      </c>
      <c r="AA2316" s="1" t="s">
        <v>16472</v>
      </c>
      <c r="AB2316" s="1" t="s">
        <v>5265</v>
      </c>
      <c r="AC2316" s="1" t="s">
        <v>7759</v>
      </c>
      <c r="AD2316" s="1" t="s">
        <v>5265</v>
      </c>
      <c r="AE2316" s="1" t="s">
        <v>47</v>
      </c>
      <c r="AF2316" s="1" t="s">
        <v>51</v>
      </c>
      <c r="AG2316" s="1" t="s">
        <v>51</v>
      </c>
      <c r="AH2316" s="1"/>
      <c r="AI2316" s="1"/>
      <c r="AJ2316" s="3">
        <v>1</v>
      </c>
      <c r="AK2316" s="1" t="s">
        <v>52</v>
      </c>
      <c r="AL2316" s="3">
        <v>3</v>
      </c>
      <c r="AM2316" s="8">
        <v>9.7300000000000004</v>
      </c>
      <c r="AN2316" s="1"/>
      <c r="AO2316" s="1" t="s">
        <v>16473</v>
      </c>
      <c r="AP2316" s="1" t="s">
        <v>45</v>
      </c>
      <c r="AQ2316" s="1" t="s">
        <v>16474</v>
      </c>
      <c r="AR2316" s="1" t="s">
        <v>16475</v>
      </c>
    </row>
    <row r="2317">
      <c r="A2317" s="2">
        <f ca="1">DATE(2007,08,20)</f>
        <v>0</v>
      </c>
      <c r="B2317" s="2">
        <f ca="1">DATE(2007,12,18)</f>
        <v>0</v>
      </c>
      <c r="C2317" s="1" t="s">
        <v>16476</v>
      </c>
      <c r="D2317" s="3">
        <v>3645</v>
      </c>
      <c r="E2317" s="1" t="s">
        <v>43</v>
      </c>
      <c r="F2317" s="1" t="s">
        <v>16477</v>
      </c>
      <c r="G2317" s="1" t="s">
        <v>789</v>
      </c>
      <c r="H2317" s="4">
        <v>0.91000000000000003</v>
      </c>
      <c r="I2317" s="4">
        <v>7</v>
      </c>
      <c r="J2317" s="5">
        <v>100</v>
      </c>
      <c r="K2317" s="4">
        <v>13</v>
      </c>
      <c r="L2317" s="1" t="s">
        <v>46</v>
      </c>
      <c r="M2317" s="1" t="s">
        <v>47</v>
      </c>
      <c r="N2317" s="3">
        <v>686275108</v>
      </c>
      <c r="O2317" s="1" t="s">
        <v>48</v>
      </c>
      <c r="P2317" s="1" t="s">
        <v>16478</v>
      </c>
      <c r="Q2317" s="1" t="s">
        <v>145</v>
      </c>
      <c r="R2317" s="1" t="s">
        <v>145</v>
      </c>
      <c r="S2317" s="6">
        <v>4.2307699999999997</v>
      </c>
      <c r="T2317" s="1" t="s">
        <v>50</v>
      </c>
      <c r="U2317" s="1"/>
      <c r="V2317" s="1"/>
      <c r="W2317" s="1"/>
      <c r="X2317" s="5">
        <v>100</v>
      </c>
      <c r="Y2317" s="7">
        <v>5695246</v>
      </c>
      <c r="Z2317" s="7">
        <v>1997062</v>
      </c>
      <c r="AA2317" s="1" t="s">
        <v>16472</v>
      </c>
      <c r="AB2317" s="1" t="s">
        <v>5265</v>
      </c>
      <c r="AC2317" s="1" t="s">
        <v>7759</v>
      </c>
      <c r="AD2317" s="1" t="s">
        <v>5265</v>
      </c>
      <c r="AE2317" s="1" t="s">
        <v>51</v>
      </c>
      <c r="AF2317" s="1" t="s">
        <v>51</v>
      </c>
      <c r="AG2317" s="1" t="s">
        <v>47</v>
      </c>
      <c r="AH2317" s="1"/>
      <c r="AI2317" s="1"/>
      <c r="AJ2317" s="3">
        <v>1</v>
      </c>
      <c r="AK2317" s="1" t="s">
        <v>52</v>
      </c>
      <c r="AL2317" s="3">
        <v>3</v>
      </c>
      <c r="AM2317" s="8">
        <v>17.489999999999998</v>
      </c>
      <c r="AN2317" s="1"/>
      <c r="AO2317" s="1" t="s">
        <v>16479</v>
      </c>
      <c r="AP2317" s="1" t="s">
        <v>789</v>
      </c>
      <c r="AQ2317" s="1" t="s">
        <v>16480</v>
      </c>
      <c r="AR2317" s="1" t="s">
        <v>16478</v>
      </c>
    </row>
    <row r="2318">
      <c r="A2318" s="2">
        <f ca="1">DATE(2007,06,15)</f>
        <v>0</v>
      </c>
      <c r="B2318" s="2">
        <f ca="1">DATE(2007,12,18)</f>
        <v>0</v>
      </c>
      <c r="C2318" s="1" t="s">
        <v>16481</v>
      </c>
      <c r="D2318" s="3">
        <v>6726</v>
      </c>
      <c r="E2318" s="1" t="s">
        <v>43</v>
      </c>
      <c r="F2318" s="1" t="s">
        <v>16482</v>
      </c>
      <c r="G2318" s="1" t="s">
        <v>16483</v>
      </c>
      <c r="H2318" s="4">
        <v>0.90000000000000002</v>
      </c>
      <c r="I2318" s="4">
        <v>4.5</v>
      </c>
      <c r="J2318" s="5">
        <v>25</v>
      </c>
      <c r="K2318" s="4">
        <v>20</v>
      </c>
      <c r="L2318" s="1" t="s">
        <v>46</v>
      </c>
      <c r="M2318" s="1" t="s">
        <v>47</v>
      </c>
      <c r="N2318" s="1" t="s">
        <v>16484</v>
      </c>
      <c r="O2318" s="1" t="s">
        <v>87</v>
      </c>
      <c r="P2318" s="1" t="s">
        <v>16485</v>
      </c>
      <c r="Q2318" s="1" t="s">
        <v>145</v>
      </c>
      <c r="R2318" s="1" t="s">
        <v>145</v>
      </c>
      <c r="S2318" s="1"/>
      <c r="T2318" s="1" t="s">
        <v>50</v>
      </c>
      <c r="U2318" s="8">
        <v>20</v>
      </c>
      <c r="V2318" s="8">
        <v>20</v>
      </c>
      <c r="W2318" s="7">
        <v>500000</v>
      </c>
      <c r="X2318" s="5">
        <v>10</v>
      </c>
      <c r="Y2318" s="7">
        <v>1250000</v>
      </c>
      <c r="Z2318" s="1"/>
      <c r="AA2318" s="1"/>
      <c r="AB2318" s="1"/>
      <c r="AC2318" s="1"/>
      <c r="AD2318" s="1"/>
      <c r="AE2318" s="1" t="s">
        <v>51</v>
      </c>
      <c r="AF2318" s="1" t="s">
        <v>51</v>
      </c>
      <c r="AG2318" s="1" t="s">
        <v>51</v>
      </c>
      <c r="AH2318" s="1"/>
      <c r="AI2318" s="1"/>
      <c r="AJ2318" s="3">
        <v>2</v>
      </c>
      <c r="AK2318" s="1" t="s">
        <v>89</v>
      </c>
      <c r="AL2318" s="3">
        <v>9</v>
      </c>
      <c r="AM2318" s="1"/>
      <c r="AN2318" s="1"/>
      <c r="AO2318" s="1" t="s">
        <v>16486</v>
      </c>
      <c r="AP2318" s="1" t="s">
        <v>16487</v>
      </c>
      <c r="AQ2318" s="1" t="s">
        <v>16488</v>
      </c>
      <c r="AR2318" s="1" t="s">
        <v>16489</v>
      </c>
    </row>
    <row r="2319">
      <c r="A2319" s="2">
        <f ca="1">DATE(2007,12,05)</f>
        <v>0</v>
      </c>
      <c r="B2319" s="2">
        <f ca="1">DATE(2007,12,19)</f>
        <v>0</v>
      </c>
      <c r="C2319" s="1" t="s">
        <v>16490</v>
      </c>
      <c r="D2319" s="3">
        <v>7372</v>
      </c>
      <c r="E2319" s="1" t="s">
        <v>43</v>
      </c>
      <c r="F2319" s="1" t="s">
        <v>16491</v>
      </c>
      <c r="G2319" s="1" t="s">
        <v>12096</v>
      </c>
      <c r="H2319" s="4">
        <v>1.4950000000000001</v>
      </c>
      <c r="I2319" s="4">
        <v>5.75</v>
      </c>
      <c r="J2319" s="5">
        <v>161.19999999999999</v>
      </c>
      <c r="K2319" s="4">
        <v>26</v>
      </c>
      <c r="L2319" s="1" t="s">
        <v>46</v>
      </c>
      <c r="M2319" s="1" t="s">
        <v>47</v>
      </c>
      <c r="N2319" s="1" t="s">
        <v>16492</v>
      </c>
      <c r="O2319" s="1" t="s">
        <v>108</v>
      </c>
      <c r="P2319" s="1" t="s">
        <v>16493</v>
      </c>
      <c r="Q2319" s="1" t="s">
        <v>145</v>
      </c>
      <c r="R2319" s="1" t="s">
        <v>145</v>
      </c>
      <c r="S2319" s="4">
        <v>1.7250000000000001</v>
      </c>
      <c r="T2319" s="1" t="s">
        <v>50</v>
      </c>
      <c r="U2319" s="1"/>
      <c r="V2319" s="1"/>
      <c r="W2319" s="1"/>
      <c r="X2319" s="1"/>
      <c r="Y2319" s="7">
        <v>6200000</v>
      </c>
      <c r="Z2319" s="1"/>
      <c r="AA2319" s="1" t="s">
        <v>16494</v>
      </c>
      <c r="AB2319" s="1" t="s">
        <v>2067</v>
      </c>
      <c r="AC2319" s="1" t="s">
        <v>2068</v>
      </c>
      <c r="AD2319" s="1" t="s">
        <v>2067</v>
      </c>
      <c r="AE2319" s="1" t="s">
        <v>51</v>
      </c>
      <c r="AF2319" s="1" t="s">
        <v>51</v>
      </c>
      <c r="AG2319" s="1" t="s">
        <v>47</v>
      </c>
      <c r="AH2319" s="1"/>
      <c r="AI2319" s="1"/>
      <c r="AJ2319" s="3">
        <v>1</v>
      </c>
      <c r="AK2319" s="1" t="s">
        <v>52</v>
      </c>
      <c r="AL2319" s="3">
        <v>4</v>
      </c>
      <c r="AM2319" s="8">
        <v>35.5</v>
      </c>
      <c r="AN2319" s="1"/>
      <c r="AO2319" s="1" t="s">
        <v>16495</v>
      </c>
      <c r="AP2319" s="1" t="s">
        <v>12096</v>
      </c>
      <c r="AQ2319" s="1" t="s">
        <v>16496</v>
      </c>
      <c r="AR2319" s="1" t="s">
        <v>16493</v>
      </c>
    </row>
    <row r="2320">
      <c r="A2320" s="2">
        <f ca="1">DATE(2007,08,29)</f>
        <v>0</v>
      </c>
      <c r="B2320" s="2">
        <f ca="1">DATE(2008,01,11)</f>
        <v>0</v>
      </c>
      <c r="C2320" s="1" t="s">
        <v>16497</v>
      </c>
      <c r="D2320" s="3">
        <v>6726</v>
      </c>
      <c r="E2320" s="1" t="s">
        <v>43</v>
      </c>
      <c r="F2320" s="1" t="s">
        <v>16498</v>
      </c>
      <c r="G2320" s="1" t="s">
        <v>14294</v>
      </c>
      <c r="H2320" s="4">
        <v>0.69999999999999996</v>
      </c>
      <c r="I2320" s="8">
        <v>7</v>
      </c>
      <c r="J2320" s="5">
        <v>150</v>
      </c>
      <c r="K2320" s="4">
        <v>10</v>
      </c>
      <c r="L2320" s="1" t="s">
        <v>46</v>
      </c>
      <c r="M2320" s="1" t="s">
        <v>47</v>
      </c>
      <c r="N2320" s="1" t="s">
        <v>16499</v>
      </c>
      <c r="O2320" s="1" t="s">
        <v>87</v>
      </c>
      <c r="P2320" s="1" t="s">
        <v>16500</v>
      </c>
      <c r="Q2320" s="1" t="s">
        <v>145</v>
      </c>
      <c r="R2320" s="1" t="s">
        <v>145</v>
      </c>
      <c r="S2320" s="1"/>
      <c r="T2320" s="1" t="s">
        <v>50</v>
      </c>
      <c r="U2320" s="8">
        <v>10</v>
      </c>
      <c r="V2320" s="8">
        <v>10</v>
      </c>
      <c r="W2320" s="7">
        <v>15000000</v>
      </c>
      <c r="X2320" s="5">
        <v>150</v>
      </c>
      <c r="Y2320" s="7">
        <v>15000000</v>
      </c>
      <c r="Z2320" s="1"/>
      <c r="AA2320" s="1"/>
      <c r="AB2320" s="1"/>
      <c r="AC2320" s="1"/>
      <c r="AD2320" s="1"/>
      <c r="AE2320" s="1" t="s">
        <v>51</v>
      </c>
      <c r="AF2320" s="1" t="s">
        <v>51</v>
      </c>
      <c r="AG2320" s="1" t="s">
        <v>51</v>
      </c>
      <c r="AH2320" s="1"/>
      <c r="AI2320" s="1"/>
      <c r="AJ2320" s="3">
        <v>1</v>
      </c>
      <c r="AK2320" s="1" t="s">
        <v>52</v>
      </c>
      <c r="AL2320" s="3">
        <v>3</v>
      </c>
      <c r="AM2320" s="8">
        <v>10</v>
      </c>
      <c r="AN2320" s="1"/>
      <c r="AO2320" s="1" t="s">
        <v>16501</v>
      </c>
      <c r="AP2320" s="1" t="s">
        <v>14294</v>
      </c>
      <c r="AQ2320" s="1" t="s">
        <v>16502</v>
      </c>
      <c r="AR2320" s="1" t="s">
        <v>16500</v>
      </c>
    </row>
    <row r="2321">
      <c r="A2321" s="2">
        <f ca="1">DATE(2007,08,06)</f>
        <v>0</v>
      </c>
      <c r="B2321" s="2">
        <f ca="1">DATE(2008,01,16)</f>
        <v>0</v>
      </c>
      <c r="C2321" s="1" t="s">
        <v>16503</v>
      </c>
      <c r="D2321" s="3">
        <v>6726</v>
      </c>
      <c r="E2321" s="1" t="s">
        <v>2887</v>
      </c>
      <c r="F2321" s="1" t="s">
        <v>16504</v>
      </c>
      <c r="G2321" s="1" t="s">
        <v>10277</v>
      </c>
      <c r="H2321" s="4">
        <v>0.40000000000000002</v>
      </c>
      <c r="I2321" s="4">
        <v>4</v>
      </c>
      <c r="J2321" s="5">
        <v>100</v>
      </c>
      <c r="K2321" s="4">
        <v>10</v>
      </c>
      <c r="L2321" s="1" t="s">
        <v>31</v>
      </c>
      <c r="M2321" s="1" t="s">
        <v>47</v>
      </c>
      <c r="N2321" s="1" t="s">
        <v>16505</v>
      </c>
      <c r="O2321" s="1" t="s">
        <v>87</v>
      </c>
      <c r="P2321" s="1" t="s">
        <v>16506</v>
      </c>
      <c r="Q2321" s="1" t="s">
        <v>145</v>
      </c>
      <c r="R2321" s="1" t="s">
        <v>145</v>
      </c>
      <c r="S2321" s="8">
        <v>2.2000000000000002</v>
      </c>
      <c r="T2321" s="1" t="s">
        <v>50</v>
      </c>
      <c r="U2321" s="8">
        <v>10</v>
      </c>
      <c r="V2321" s="8">
        <v>10</v>
      </c>
      <c r="W2321" s="7">
        <v>10000000</v>
      </c>
      <c r="X2321" s="5">
        <v>100</v>
      </c>
      <c r="Y2321" s="7">
        <v>10000000</v>
      </c>
      <c r="Z2321" s="1"/>
      <c r="AA2321" s="1"/>
      <c r="AB2321" s="1" t="s">
        <v>2067</v>
      </c>
      <c r="AC2321" s="1" t="s">
        <v>2067</v>
      </c>
      <c r="AD2321" s="1" t="s">
        <v>2067</v>
      </c>
      <c r="AE2321" s="1" t="s">
        <v>51</v>
      </c>
      <c r="AF2321" s="1" t="s">
        <v>51</v>
      </c>
      <c r="AG2321" s="1" t="s">
        <v>51</v>
      </c>
      <c r="AH2321" s="1"/>
      <c r="AI2321" s="1"/>
      <c r="AJ2321" s="3">
        <v>1</v>
      </c>
      <c r="AK2321" s="1" t="s">
        <v>52</v>
      </c>
      <c r="AL2321" s="3">
        <v>2</v>
      </c>
      <c r="AM2321" s="1"/>
      <c r="AN2321" s="1"/>
      <c r="AO2321" s="1" t="s">
        <v>16507</v>
      </c>
      <c r="AP2321" s="1" t="s">
        <v>10277</v>
      </c>
      <c r="AQ2321" s="1" t="s">
        <v>16508</v>
      </c>
      <c r="AR2321" s="1" t="s">
        <v>16506</v>
      </c>
    </row>
    <row r="2322">
      <c r="A2322" s="2">
        <f ca="1">DATE(2007,10,11)</f>
        <v>0</v>
      </c>
      <c r="B2322" s="2">
        <f ca="1">DATE(2008,01,17)</f>
        <v>0</v>
      </c>
      <c r="C2322" s="1" t="s">
        <v>16509</v>
      </c>
      <c r="D2322" s="3">
        <v>6726</v>
      </c>
      <c r="E2322" s="1" t="s">
        <v>43</v>
      </c>
      <c r="F2322" s="1" t="s">
        <v>16510</v>
      </c>
      <c r="G2322" s="1" t="s">
        <v>15222</v>
      </c>
      <c r="H2322" s="4">
        <v>0.57499999999999996</v>
      </c>
      <c r="I2322" s="4">
        <v>5.75</v>
      </c>
      <c r="J2322" s="5">
        <v>800</v>
      </c>
      <c r="K2322" s="4">
        <v>10</v>
      </c>
      <c r="L2322" s="1" t="s">
        <v>46</v>
      </c>
      <c r="M2322" s="1" t="s">
        <v>47</v>
      </c>
      <c r="N2322" s="1" t="s">
        <v>16511</v>
      </c>
      <c r="O2322" s="1" t="s">
        <v>87</v>
      </c>
      <c r="P2322" s="1" t="s">
        <v>16512</v>
      </c>
      <c r="Q2322" s="1" t="s">
        <v>145</v>
      </c>
      <c r="R2322" s="1" t="s">
        <v>145</v>
      </c>
      <c r="S2322" s="4">
        <v>0.90600000000000003</v>
      </c>
      <c r="T2322" s="1" t="s">
        <v>50</v>
      </c>
      <c r="U2322" s="8">
        <v>10</v>
      </c>
      <c r="V2322" s="8">
        <v>10</v>
      </c>
      <c r="W2322" s="7">
        <v>50000000</v>
      </c>
      <c r="X2322" s="5">
        <v>500</v>
      </c>
      <c r="Y2322" s="7">
        <v>80000000</v>
      </c>
      <c r="Z2322" s="1"/>
      <c r="AA2322" s="1" t="s">
        <v>16513</v>
      </c>
      <c r="AB2322" s="1" t="s">
        <v>2067</v>
      </c>
      <c r="AC2322" s="1" t="s">
        <v>2068</v>
      </c>
      <c r="AD2322" s="1" t="s">
        <v>2067</v>
      </c>
      <c r="AE2322" s="1" t="s">
        <v>51</v>
      </c>
      <c r="AF2322" s="1" t="s">
        <v>51</v>
      </c>
      <c r="AG2322" s="1" t="s">
        <v>51</v>
      </c>
      <c r="AH2322" s="1"/>
      <c r="AI2322" s="1"/>
      <c r="AJ2322" s="3">
        <v>1</v>
      </c>
      <c r="AK2322" s="1" t="s">
        <v>52</v>
      </c>
      <c r="AL2322" s="3">
        <v>1</v>
      </c>
      <c r="AM2322" s="1"/>
      <c r="AN2322" s="1"/>
      <c r="AO2322" s="1" t="s">
        <v>15222</v>
      </c>
      <c r="AP2322" s="1" t="s">
        <v>15222</v>
      </c>
      <c r="AQ2322" s="1" t="s">
        <v>15222</v>
      </c>
      <c r="AR2322" s="1" t="s">
        <v>16512</v>
      </c>
    </row>
    <row r="2323">
      <c r="A2323" s="2">
        <f ca="1">DATE(2007,09,27)</f>
        <v>0</v>
      </c>
      <c r="B2323" s="2">
        <f ca="1">DATE(2008,01,17)</f>
        <v>0</v>
      </c>
      <c r="C2323" s="1" t="s">
        <v>16514</v>
      </c>
      <c r="D2323" s="3">
        <v>6726</v>
      </c>
      <c r="E2323" s="1" t="s">
        <v>43</v>
      </c>
      <c r="F2323" s="1" t="s">
        <v>16515</v>
      </c>
      <c r="G2323" s="1" t="s">
        <v>1297</v>
      </c>
      <c r="H2323" s="4">
        <v>0.69999999999999996</v>
      </c>
      <c r="I2323" s="8">
        <v>7</v>
      </c>
      <c r="J2323" s="5">
        <v>200</v>
      </c>
      <c r="K2323" s="4">
        <v>10</v>
      </c>
      <c r="L2323" s="1" t="s">
        <v>46</v>
      </c>
      <c r="M2323" s="1" t="s">
        <v>47</v>
      </c>
      <c r="N2323" s="1" t="s">
        <v>16516</v>
      </c>
      <c r="O2323" s="1" t="s">
        <v>87</v>
      </c>
      <c r="P2323" s="1" t="s">
        <v>16517</v>
      </c>
      <c r="Q2323" s="1" t="s">
        <v>145</v>
      </c>
      <c r="R2323" s="1" t="s">
        <v>145</v>
      </c>
      <c r="S2323" s="1"/>
      <c r="T2323" s="1" t="s">
        <v>50</v>
      </c>
      <c r="U2323" s="8">
        <v>10</v>
      </c>
      <c r="V2323" s="8">
        <v>10</v>
      </c>
      <c r="W2323" s="7">
        <v>20000000</v>
      </c>
      <c r="X2323" s="5">
        <v>200</v>
      </c>
      <c r="Y2323" s="7">
        <v>20000000</v>
      </c>
      <c r="Z2323" s="1"/>
      <c r="AA2323" s="1" t="s">
        <v>16518</v>
      </c>
      <c r="AB2323" s="1" t="s">
        <v>2067</v>
      </c>
      <c r="AC2323" s="1" t="s">
        <v>6689</v>
      </c>
      <c r="AD2323" s="1" t="s">
        <v>2067</v>
      </c>
      <c r="AE2323" s="1" t="s">
        <v>51</v>
      </c>
      <c r="AF2323" s="1" t="s">
        <v>51</v>
      </c>
      <c r="AG2323" s="1" t="s">
        <v>51</v>
      </c>
      <c r="AH2323" s="1"/>
      <c r="AI2323" s="1"/>
      <c r="AJ2323" s="3">
        <v>1</v>
      </c>
      <c r="AK2323" s="1" t="s">
        <v>52</v>
      </c>
      <c r="AL2323" s="3">
        <v>5</v>
      </c>
      <c r="AM2323" s="1"/>
      <c r="AN2323" s="1"/>
      <c r="AO2323" s="1" t="s">
        <v>16519</v>
      </c>
      <c r="AP2323" s="1" t="s">
        <v>1297</v>
      </c>
      <c r="AQ2323" s="1" t="s">
        <v>16520</v>
      </c>
      <c r="AR2323" s="1" t="s">
        <v>16521</v>
      </c>
    </row>
    <row r="2324">
      <c r="A2324" s="2">
        <f ca="1">DATE(2007,09,12)</f>
        <v>0</v>
      </c>
      <c r="B2324" s="2">
        <f ca="1">DATE(2008,01,17)</f>
        <v>0</v>
      </c>
      <c r="C2324" s="1" t="s">
        <v>16522</v>
      </c>
      <c r="D2324" s="3">
        <v>4922</v>
      </c>
      <c r="E2324" s="1" t="s">
        <v>43</v>
      </c>
      <c r="F2324" s="1" t="s">
        <v>16523</v>
      </c>
      <c r="G2324" s="1" t="s">
        <v>16524</v>
      </c>
      <c r="H2324" s="4">
        <v>1.2</v>
      </c>
      <c r="I2324" s="4">
        <v>6</v>
      </c>
      <c r="J2324" s="5">
        <v>325</v>
      </c>
      <c r="K2324" s="4">
        <v>20</v>
      </c>
      <c r="L2324" s="1" t="s">
        <v>85</v>
      </c>
      <c r="M2324" s="1" t="s">
        <v>47</v>
      </c>
      <c r="N2324" s="1" t="s">
        <v>16525</v>
      </c>
      <c r="O2324" s="1" t="s">
        <v>108</v>
      </c>
      <c r="P2324" s="1" t="s">
        <v>16526</v>
      </c>
      <c r="Q2324" s="1" t="s">
        <v>145</v>
      </c>
      <c r="R2324" s="1" t="s">
        <v>145</v>
      </c>
      <c r="S2324" s="8">
        <v>3.6000000000000001</v>
      </c>
      <c r="T2324" s="1" t="s">
        <v>50</v>
      </c>
      <c r="U2324" s="1"/>
      <c r="V2324" s="1"/>
      <c r="W2324" s="7">
        <v>13000000</v>
      </c>
      <c r="X2324" s="1"/>
      <c r="Y2324" s="7">
        <v>16250000</v>
      </c>
      <c r="Z2324" s="1"/>
      <c r="AA2324" s="1" t="s">
        <v>16513</v>
      </c>
      <c r="AB2324" s="1" t="s">
        <v>2067</v>
      </c>
      <c r="AC2324" s="1" t="s">
        <v>2068</v>
      </c>
      <c r="AD2324" s="1" t="s">
        <v>2067</v>
      </c>
      <c r="AE2324" s="1" t="s">
        <v>51</v>
      </c>
      <c r="AF2324" s="1" t="s">
        <v>51</v>
      </c>
      <c r="AG2324" s="1" t="s">
        <v>51</v>
      </c>
      <c r="AH2324" s="1"/>
      <c r="AI2324" s="1"/>
      <c r="AJ2324" s="3">
        <v>3</v>
      </c>
      <c r="AK2324" s="1" t="s">
        <v>16527</v>
      </c>
      <c r="AL2324" s="3">
        <v>12</v>
      </c>
      <c r="AM2324" s="1"/>
      <c r="AN2324" s="1"/>
      <c r="AO2324" s="1" t="s">
        <v>16528</v>
      </c>
      <c r="AP2324" s="1" t="s">
        <v>16529</v>
      </c>
      <c r="AQ2324" s="1" t="s">
        <v>16530</v>
      </c>
      <c r="AR2324" s="1" t="s">
        <v>16531</v>
      </c>
    </row>
    <row r="2325">
      <c r="A2325" s="1"/>
      <c r="B2325" s="2">
        <f ca="1">DATE(2008,01,22)</f>
        <v>0</v>
      </c>
      <c r="C2325" s="1" t="s">
        <v>16532</v>
      </c>
      <c r="D2325" s="3">
        <v>6036</v>
      </c>
      <c r="E2325" s="1" t="s">
        <v>43</v>
      </c>
      <c r="F2325" s="1" t="s">
        <v>16533</v>
      </c>
      <c r="G2325" s="1" t="s">
        <v>13399</v>
      </c>
      <c r="H2325" s="1" t="s">
        <v>57</v>
      </c>
      <c r="I2325" s="1" t="s">
        <v>57</v>
      </c>
      <c r="J2325" s="5">
        <v>85.400000000000006</v>
      </c>
      <c r="K2325" s="4">
        <v>10</v>
      </c>
      <c r="L2325" s="1" t="s">
        <v>46</v>
      </c>
      <c r="M2325" s="1" t="s">
        <v>47</v>
      </c>
      <c r="N2325" s="1" t="s">
        <v>16534</v>
      </c>
      <c r="O2325" s="1" t="s">
        <v>48</v>
      </c>
      <c r="P2325" s="1" t="s">
        <v>13401</v>
      </c>
      <c r="Q2325" s="1"/>
      <c r="R2325" s="1"/>
      <c r="S2325" s="1"/>
      <c r="T2325" s="1" t="s">
        <v>50</v>
      </c>
      <c r="U2325" s="1"/>
      <c r="V2325" s="1"/>
      <c r="W2325" s="1"/>
      <c r="X2325" s="1"/>
      <c r="Y2325" s="7">
        <v>8542500</v>
      </c>
      <c r="Z2325" s="1"/>
      <c r="AA2325" s="1"/>
      <c r="AB2325" s="1"/>
      <c r="AC2325" s="1"/>
      <c r="AD2325" s="1"/>
      <c r="AE2325" s="1" t="s">
        <v>51</v>
      </c>
      <c r="AF2325" s="1" t="s">
        <v>51</v>
      </c>
      <c r="AG2325" s="1" t="s">
        <v>51</v>
      </c>
      <c r="AH2325" s="1"/>
      <c r="AI2325" s="1"/>
      <c r="AJ2325" s="3">
        <v>1</v>
      </c>
      <c r="AK2325" s="1" t="s">
        <v>52</v>
      </c>
      <c r="AL2325" s="3">
        <v>1</v>
      </c>
      <c r="AM2325" s="8">
        <v>9.5999999999999996</v>
      </c>
      <c r="AN2325" s="1"/>
      <c r="AO2325" s="1" t="s">
        <v>13399</v>
      </c>
      <c r="AP2325" s="1" t="s">
        <v>13399</v>
      </c>
      <c r="AQ2325" s="1" t="s">
        <v>13399</v>
      </c>
      <c r="AR2325" s="1" t="s">
        <v>13401</v>
      </c>
    </row>
    <row r="2326">
      <c r="A2326" s="2">
        <f ca="1">DATE(2007,11,01)</f>
        <v>0</v>
      </c>
      <c r="B2326" s="2">
        <f ca="1">DATE(2008,01,23)</f>
        <v>0</v>
      </c>
      <c r="C2326" s="1" t="s">
        <v>16535</v>
      </c>
      <c r="D2326" s="3">
        <v>6726</v>
      </c>
      <c r="E2326" s="1" t="s">
        <v>43</v>
      </c>
      <c r="F2326" s="1" t="s">
        <v>16536</v>
      </c>
      <c r="G2326" s="1" t="s">
        <v>16537</v>
      </c>
      <c r="H2326" s="4">
        <v>0.57499999999999996</v>
      </c>
      <c r="I2326" s="4">
        <v>5.75</v>
      </c>
      <c r="J2326" s="5">
        <v>800</v>
      </c>
      <c r="K2326" s="4">
        <v>10</v>
      </c>
      <c r="L2326" s="1" t="s">
        <v>46</v>
      </c>
      <c r="M2326" s="1" t="s">
        <v>47</v>
      </c>
      <c r="N2326" s="1" t="s">
        <v>16538</v>
      </c>
      <c r="O2326" s="1" t="s">
        <v>87</v>
      </c>
      <c r="P2326" s="1" t="s">
        <v>16539</v>
      </c>
      <c r="Q2326" s="1" t="s">
        <v>145</v>
      </c>
      <c r="R2326" s="1" t="s">
        <v>145</v>
      </c>
      <c r="S2326" s="8">
        <v>1.5</v>
      </c>
      <c r="T2326" s="1" t="s">
        <v>50</v>
      </c>
      <c r="U2326" s="8">
        <v>10</v>
      </c>
      <c r="V2326" s="8">
        <v>10</v>
      </c>
      <c r="W2326" s="7">
        <v>75000000</v>
      </c>
      <c r="X2326" s="5">
        <v>750</v>
      </c>
      <c r="Y2326" s="7">
        <v>80000000</v>
      </c>
      <c r="Z2326" s="1"/>
      <c r="AA2326" s="1" t="s">
        <v>16540</v>
      </c>
      <c r="AB2326" s="1" t="s">
        <v>2067</v>
      </c>
      <c r="AC2326" s="1" t="s">
        <v>2068</v>
      </c>
      <c r="AD2326" s="1" t="s">
        <v>2067</v>
      </c>
      <c r="AE2326" s="1" t="s">
        <v>51</v>
      </c>
      <c r="AF2326" s="1" t="s">
        <v>51</v>
      </c>
      <c r="AG2326" s="1" t="s">
        <v>51</v>
      </c>
      <c r="AH2326" s="1"/>
      <c r="AI2326" s="1"/>
      <c r="AJ2326" s="3">
        <v>2</v>
      </c>
      <c r="AK2326" s="1" t="s">
        <v>89</v>
      </c>
      <c r="AL2326" s="3">
        <v>3</v>
      </c>
      <c r="AM2326" s="1"/>
      <c r="AN2326" s="1"/>
      <c r="AO2326" s="1" t="s">
        <v>16541</v>
      </c>
      <c r="AP2326" s="1" t="s">
        <v>16542</v>
      </c>
      <c r="AQ2326" s="1" t="s">
        <v>16543</v>
      </c>
      <c r="AR2326" s="1" t="s">
        <v>16544</v>
      </c>
    </row>
    <row r="2327">
      <c r="A2327" s="2">
        <f ca="1">DATE(2007,09,28)</f>
        <v>0</v>
      </c>
      <c r="B2327" s="2">
        <f ca="1">DATE(2008,01,24)</f>
        <v>0</v>
      </c>
      <c r="C2327" s="1" t="s">
        <v>16545</v>
      </c>
      <c r="D2327" s="3">
        <v>6799</v>
      </c>
      <c r="E2327" s="1" t="s">
        <v>43</v>
      </c>
      <c r="F2327" s="1" t="s">
        <v>16546</v>
      </c>
      <c r="G2327" s="1" t="s">
        <v>16547</v>
      </c>
      <c r="H2327" s="4">
        <v>0.69999999999999996</v>
      </c>
      <c r="I2327" s="8">
        <v>7</v>
      </c>
      <c r="J2327" s="5">
        <v>200</v>
      </c>
      <c r="K2327" s="4">
        <v>10</v>
      </c>
      <c r="L2327" s="1" t="s">
        <v>46</v>
      </c>
      <c r="M2327" s="1" t="s">
        <v>47</v>
      </c>
      <c r="N2327" s="1" t="s">
        <v>16548</v>
      </c>
      <c r="O2327" s="1" t="s">
        <v>108</v>
      </c>
      <c r="P2327" s="1" t="s">
        <v>16549</v>
      </c>
      <c r="Q2327" s="1" t="s">
        <v>145</v>
      </c>
      <c r="R2327" s="1" t="s">
        <v>145</v>
      </c>
      <c r="S2327" s="1"/>
      <c r="T2327" s="1" t="s">
        <v>50</v>
      </c>
      <c r="U2327" s="8">
        <v>10</v>
      </c>
      <c r="V2327" s="8">
        <v>10</v>
      </c>
      <c r="W2327" s="7">
        <v>20000000</v>
      </c>
      <c r="X2327" s="5">
        <v>200</v>
      </c>
      <c r="Y2327" s="7">
        <v>20000000</v>
      </c>
      <c r="Z2327" s="1"/>
      <c r="AA2327" s="1" t="s">
        <v>16550</v>
      </c>
      <c r="AB2327" s="1" t="s">
        <v>2067</v>
      </c>
      <c r="AC2327" s="1" t="s">
        <v>9674</v>
      </c>
      <c r="AD2327" s="1" t="s">
        <v>2067</v>
      </c>
      <c r="AE2327" s="1" t="s">
        <v>51</v>
      </c>
      <c r="AF2327" s="1" t="s">
        <v>51</v>
      </c>
      <c r="AG2327" s="1" t="s">
        <v>51</v>
      </c>
      <c r="AH2327" s="1"/>
      <c r="AI2327" s="1"/>
      <c r="AJ2327" s="3">
        <v>2</v>
      </c>
      <c r="AK2327" s="1" t="s">
        <v>89</v>
      </c>
      <c r="AL2327" s="3">
        <v>2</v>
      </c>
      <c r="AM2327" s="8">
        <v>9.9499999999999993</v>
      </c>
      <c r="AN2327" s="1"/>
      <c r="AO2327" s="1" t="s">
        <v>16551</v>
      </c>
      <c r="AP2327" s="1" t="s">
        <v>16552</v>
      </c>
      <c r="AQ2327" s="1" t="s">
        <v>16553</v>
      </c>
      <c r="AR2327" s="1" t="s">
        <v>16549</v>
      </c>
    </row>
    <row r="2328">
      <c r="A2328" s="2">
        <f ca="1">DATE(2007,09,19)</f>
        <v>0</v>
      </c>
      <c r="B2328" s="2">
        <f ca="1">DATE(2008,01,24)</f>
        <v>0</v>
      </c>
      <c r="C2328" s="1" t="s">
        <v>16554</v>
      </c>
      <c r="D2328" s="3">
        <v>7389</v>
      </c>
      <c r="E2328" s="1" t="s">
        <v>43</v>
      </c>
      <c r="F2328" s="1" t="s">
        <v>16555</v>
      </c>
      <c r="G2328" s="1" t="s">
        <v>16556</v>
      </c>
      <c r="H2328" s="4">
        <v>1.1379999999999999</v>
      </c>
      <c r="I2328" s="4">
        <v>6.5</v>
      </c>
      <c r="J2328" s="5">
        <v>245</v>
      </c>
      <c r="K2328" s="4">
        <v>17.5</v>
      </c>
      <c r="L2328" s="1" t="s">
        <v>46</v>
      </c>
      <c r="M2328" s="1" t="s">
        <v>47</v>
      </c>
      <c r="N2328" s="3">
        <v>767735103</v>
      </c>
      <c r="O2328" s="1" t="s">
        <v>108</v>
      </c>
      <c r="P2328" s="1" t="s">
        <v>16557</v>
      </c>
      <c r="Q2328" s="1" t="s">
        <v>145</v>
      </c>
      <c r="R2328" s="1" t="s">
        <v>145</v>
      </c>
      <c r="S2328" s="1"/>
      <c r="T2328" s="1" t="s">
        <v>50</v>
      </c>
      <c r="U2328" s="1"/>
      <c r="V2328" s="1"/>
      <c r="W2328" s="1"/>
      <c r="X2328" s="5">
        <v>200</v>
      </c>
      <c r="Y2328" s="7">
        <v>9964184</v>
      </c>
      <c r="Z2328" s="7">
        <v>4035816</v>
      </c>
      <c r="AA2328" s="1" t="s">
        <v>16558</v>
      </c>
      <c r="AB2328" s="1" t="s">
        <v>5265</v>
      </c>
      <c r="AC2328" s="1" t="s">
        <v>7759</v>
      </c>
      <c r="AD2328" s="1" t="s">
        <v>5265</v>
      </c>
      <c r="AE2328" s="1" t="s">
        <v>51</v>
      </c>
      <c r="AF2328" s="1" t="s">
        <v>51</v>
      </c>
      <c r="AG2328" s="1" t="s">
        <v>47</v>
      </c>
      <c r="AH2328" s="1"/>
      <c r="AI2328" s="1"/>
      <c r="AJ2328" s="3">
        <v>3</v>
      </c>
      <c r="AK2328" s="1" t="s">
        <v>110</v>
      </c>
      <c r="AL2328" s="3">
        <v>6</v>
      </c>
      <c r="AM2328" s="8">
        <v>23.75</v>
      </c>
      <c r="AN2328" s="1"/>
      <c r="AO2328" s="1" t="s">
        <v>16559</v>
      </c>
      <c r="AP2328" s="1" t="s">
        <v>16560</v>
      </c>
      <c r="AQ2328" s="1" t="s">
        <v>16561</v>
      </c>
      <c r="AR2328" s="1" t="s">
        <v>16562</v>
      </c>
    </row>
    <row r="2329">
      <c r="A2329" s="2">
        <f ca="1">DATE(2007,08,31)</f>
        <v>0</v>
      </c>
      <c r="B2329" s="2">
        <f ca="1">DATE(2008,01,25)</f>
        <v>0</v>
      </c>
      <c r="C2329" s="1" t="s">
        <v>16563</v>
      </c>
      <c r="D2329" s="3">
        <v>8099</v>
      </c>
      <c r="E2329" s="1" t="s">
        <v>43</v>
      </c>
      <c r="F2329" s="1" t="s">
        <v>16564</v>
      </c>
      <c r="G2329" s="1" t="s">
        <v>16565</v>
      </c>
      <c r="H2329" s="4">
        <v>1.1200000000000001</v>
      </c>
      <c r="I2329" s="4">
        <v>7</v>
      </c>
      <c r="J2329" s="5">
        <v>83.200000000000003</v>
      </c>
      <c r="K2329" s="4">
        <v>16</v>
      </c>
      <c r="L2329" s="1" t="s">
        <v>46</v>
      </c>
      <c r="M2329" s="1" t="s">
        <v>47</v>
      </c>
      <c r="N2329" s="1" t="s">
        <v>16566</v>
      </c>
      <c r="O2329" s="1" t="s">
        <v>48</v>
      </c>
      <c r="P2329" s="1" t="s">
        <v>16567</v>
      </c>
      <c r="Q2329" s="1" t="s">
        <v>145</v>
      </c>
      <c r="R2329" s="1" t="s">
        <v>145</v>
      </c>
      <c r="S2329" s="10">
        <v>4.1875</v>
      </c>
      <c r="T2329" s="1" t="s">
        <v>50</v>
      </c>
      <c r="U2329" s="1"/>
      <c r="V2329" s="1"/>
      <c r="W2329" s="1"/>
      <c r="X2329" s="5">
        <v>105</v>
      </c>
      <c r="Y2329" s="7">
        <v>3300000</v>
      </c>
      <c r="Z2329" s="7">
        <v>1900000</v>
      </c>
      <c r="AA2329" s="1" t="s">
        <v>16568</v>
      </c>
      <c r="AB2329" s="1" t="s">
        <v>5265</v>
      </c>
      <c r="AC2329" s="1" t="s">
        <v>7759</v>
      </c>
      <c r="AD2329" s="1" t="s">
        <v>5265</v>
      </c>
      <c r="AE2329" s="1" t="s">
        <v>51</v>
      </c>
      <c r="AF2329" s="1" t="s">
        <v>51</v>
      </c>
      <c r="AG2329" s="1" t="s">
        <v>47</v>
      </c>
      <c r="AH2329" s="1"/>
      <c r="AI2329" s="1"/>
      <c r="AJ2329" s="3">
        <v>2</v>
      </c>
      <c r="AK2329" s="1" t="s">
        <v>89</v>
      </c>
      <c r="AL2329" s="3">
        <v>4</v>
      </c>
      <c r="AM2329" s="8">
        <v>20.48</v>
      </c>
      <c r="AN2329" s="1"/>
      <c r="AO2329" s="1" t="s">
        <v>16569</v>
      </c>
      <c r="AP2329" s="1" t="s">
        <v>16570</v>
      </c>
      <c r="AQ2329" s="1" t="s">
        <v>16571</v>
      </c>
      <c r="AR2329" s="1" t="s">
        <v>16567</v>
      </c>
    </row>
    <row r="2330">
      <c r="A2330" s="2">
        <f ca="1">DATE(2008,01,08)</f>
        <v>0</v>
      </c>
      <c r="B2330" s="2">
        <f ca="1">DATE(2008,01,28)</f>
        <v>0</v>
      </c>
      <c r="C2330" s="1" t="s">
        <v>16572</v>
      </c>
      <c r="D2330" s="3">
        <v>7376</v>
      </c>
      <c r="E2330" s="1" t="s">
        <v>744</v>
      </c>
      <c r="F2330" s="1" t="s">
        <v>16573</v>
      </c>
      <c r="G2330" s="1" t="s">
        <v>45</v>
      </c>
      <c r="H2330" s="4">
        <v>0.66500000000000004</v>
      </c>
      <c r="I2330" s="4">
        <v>7</v>
      </c>
      <c r="J2330" s="5">
        <v>46.299999999999997</v>
      </c>
      <c r="K2330" s="4">
        <v>9.5</v>
      </c>
      <c r="L2330" s="1" t="s">
        <v>651</v>
      </c>
      <c r="M2330" s="1" t="s">
        <v>47</v>
      </c>
      <c r="N2330" s="1" t="s">
        <v>16574</v>
      </c>
      <c r="O2330" s="1" t="s">
        <v>48</v>
      </c>
      <c r="P2330" s="1" t="s">
        <v>16575</v>
      </c>
      <c r="Q2330" s="1" t="s">
        <v>145</v>
      </c>
      <c r="R2330" s="1" t="s">
        <v>145</v>
      </c>
      <c r="S2330" s="8">
        <v>4.2000000000000002</v>
      </c>
      <c r="T2330" s="1" t="s">
        <v>50</v>
      </c>
      <c r="U2330" s="1"/>
      <c r="V2330" s="1"/>
      <c r="W2330" s="1"/>
      <c r="X2330" s="5">
        <v>100</v>
      </c>
      <c r="Y2330" s="7">
        <v>4874012</v>
      </c>
      <c r="Z2330" s="1"/>
      <c r="AA2330" s="1" t="s">
        <v>16576</v>
      </c>
      <c r="AB2330" s="1" t="s">
        <v>2067</v>
      </c>
      <c r="AC2330" s="1" t="s">
        <v>2068</v>
      </c>
      <c r="AD2330" s="1" t="s">
        <v>2067</v>
      </c>
      <c r="AE2330" s="1" t="s">
        <v>47</v>
      </c>
      <c r="AF2330" s="1" t="s">
        <v>51</v>
      </c>
      <c r="AG2330" s="1" t="s">
        <v>47</v>
      </c>
      <c r="AH2330" s="1"/>
      <c r="AI2330" s="1"/>
      <c r="AJ2330" s="3">
        <v>1</v>
      </c>
      <c r="AK2330" s="1" t="s">
        <v>89</v>
      </c>
      <c r="AL2330" s="3">
        <v>3</v>
      </c>
      <c r="AM2330" s="8">
        <v>8.75</v>
      </c>
      <c r="AN2330" s="1"/>
      <c r="AO2330" s="1" t="s">
        <v>16577</v>
      </c>
      <c r="AP2330" s="1" t="s">
        <v>14784</v>
      </c>
      <c r="AQ2330" s="1" t="s">
        <v>16578</v>
      </c>
      <c r="AR2330" s="1" t="s">
        <v>16579</v>
      </c>
    </row>
    <row r="2331">
      <c r="A2331" s="2">
        <f ca="1">DATE(2007,09,21)</f>
        <v>0</v>
      </c>
      <c r="B2331" s="2">
        <f ca="1">DATE(2008,01,28)</f>
        <v>0</v>
      </c>
      <c r="C2331" s="1" t="s">
        <v>16580</v>
      </c>
      <c r="D2331" s="3">
        <v>6726</v>
      </c>
      <c r="E2331" s="1" t="s">
        <v>43</v>
      </c>
      <c r="F2331" s="1"/>
      <c r="G2331" s="1" t="s">
        <v>45</v>
      </c>
      <c r="H2331" s="4">
        <v>0.67500000000000004</v>
      </c>
      <c r="I2331" s="4">
        <v>4.5</v>
      </c>
      <c r="J2331" s="5">
        <v>120</v>
      </c>
      <c r="K2331" s="4">
        <v>15</v>
      </c>
      <c r="L2331" s="1" t="s">
        <v>46</v>
      </c>
      <c r="M2331" s="1" t="s">
        <v>47</v>
      </c>
      <c r="N2331" s="1" t="s">
        <v>16581</v>
      </c>
      <c r="O2331" s="1"/>
      <c r="P2331" s="1" t="s">
        <v>16582</v>
      </c>
      <c r="Q2331" s="1" t="s">
        <v>145</v>
      </c>
      <c r="R2331" s="1" t="s">
        <v>145</v>
      </c>
      <c r="S2331" s="8">
        <v>3</v>
      </c>
      <c r="T2331" s="1" t="s">
        <v>50</v>
      </c>
      <c r="U2331" s="8">
        <v>20</v>
      </c>
      <c r="V2331" s="8">
        <v>20</v>
      </c>
      <c r="W2331" s="7">
        <v>50000</v>
      </c>
      <c r="X2331" s="5">
        <v>1</v>
      </c>
      <c r="Y2331" s="7">
        <v>8000000</v>
      </c>
      <c r="Z2331" s="1"/>
      <c r="AA2331" s="1"/>
      <c r="AB2331" s="1"/>
      <c r="AC2331" s="1"/>
      <c r="AD2331" s="1"/>
      <c r="AE2331" s="1" t="s">
        <v>51</v>
      </c>
      <c r="AF2331" s="1" t="s">
        <v>51</v>
      </c>
      <c r="AG2331" s="1" t="s">
        <v>51</v>
      </c>
      <c r="AH2331" s="1"/>
      <c r="AI2331" s="1"/>
      <c r="AJ2331" s="3">
        <v>1</v>
      </c>
      <c r="AK2331" s="1" t="s">
        <v>52</v>
      </c>
      <c r="AL2331" s="3">
        <v>43</v>
      </c>
      <c r="AM2331" s="8">
        <v>15.050000000000001</v>
      </c>
      <c r="AN2331" s="1"/>
      <c r="AO2331" s="1" t="s">
        <v>16583</v>
      </c>
      <c r="AP2331" s="1" t="s">
        <v>45</v>
      </c>
      <c r="AQ2331" s="1" t="s">
        <v>16584</v>
      </c>
      <c r="AR2331" s="1" t="s">
        <v>16585</v>
      </c>
    </row>
    <row r="2332">
      <c r="A2332" s="2">
        <f ca="1">DATE(2008,01,09)</f>
        <v>0</v>
      </c>
      <c r="B2332" s="2">
        <f ca="1">DATE(2008,01,28)</f>
        <v>0</v>
      </c>
      <c r="C2332" s="1" t="s">
        <v>16586</v>
      </c>
      <c r="D2332" s="3">
        <v>3674</v>
      </c>
      <c r="E2332" s="1" t="s">
        <v>744</v>
      </c>
      <c r="F2332" s="1" t="s">
        <v>16587</v>
      </c>
      <c r="G2332" s="1" t="s">
        <v>12593</v>
      </c>
      <c r="H2332" s="4">
        <v>0.84999999999999998</v>
      </c>
      <c r="I2332" s="4">
        <v>6.5380000000000003</v>
      </c>
      <c r="J2332" s="5">
        <v>130</v>
      </c>
      <c r="K2332" s="4">
        <v>13</v>
      </c>
      <c r="L2332" s="1" t="s">
        <v>651</v>
      </c>
      <c r="M2332" s="1" t="s">
        <v>47</v>
      </c>
      <c r="N2332" s="1" t="s">
        <v>16588</v>
      </c>
      <c r="O2332" s="1" t="s">
        <v>16589</v>
      </c>
      <c r="P2332" s="1" t="s">
        <v>16590</v>
      </c>
      <c r="Q2332" s="1" t="s">
        <v>145</v>
      </c>
      <c r="R2332" s="1" t="s">
        <v>145</v>
      </c>
      <c r="S2332" s="8">
        <v>3.8999999999999999</v>
      </c>
      <c r="T2332" s="1" t="s">
        <v>50</v>
      </c>
      <c r="U2332" s="1"/>
      <c r="V2332" s="1"/>
      <c r="W2332" s="7">
        <v>10000000</v>
      </c>
      <c r="X2332" s="5">
        <v>202.19999999999999</v>
      </c>
      <c r="Y2332" s="7">
        <v>9212500</v>
      </c>
      <c r="Z2332" s="7">
        <v>787500</v>
      </c>
      <c r="AA2332" s="1" t="s">
        <v>16591</v>
      </c>
      <c r="AB2332" s="1" t="s">
        <v>5265</v>
      </c>
      <c r="AC2332" s="1" t="s">
        <v>7759</v>
      </c>
      <c r="AD2332" s="1" t="s">
        <v>5265</v>
      </c>
      <c r="AE2332" s="1" t="s">
        <v>47</v>
      </c>
      <c r="AF2332" s="1" t="s">
        <v>51</v>
      </c>
      <c r="AG2332" s="1" t="s">
        <v>51</v>
      </c>
      <c r="AH2332" s="1"/>
      <c r="AI2332" s="1"/>
      <c r="AJ2332" s="3">
        <v>2</v>
      </c>
      <c r="AK2332" s="1" t="s">
        <v>89</v>
      </c>
      <c r="AL2332" s="3">
        <v>5</v>
      </c>
      <c r="AM2332" s="8">
        <v>12.9</v>
      </c>
      <c r="AN2332" s="1"/>
      <c r="AO2332" s="1" t="s">
        <v>16592</v>
      </c>
      <c r="AP2332" s="1" t="s">
        <v>12599</v>
      </c>
      <c r="AQ2332" s="1" t="s">
        <v>16593</v>
      </c>
      <c r="AR2332" s="1" t="s">
        <v>16594</v>
      </c>
    </row>
    <row r="2333">
      <c r="A2333" s="2">
        <f ca="1">DATE(2008,01,07)</f>
        <v>0</v>
      </c>
      <c r="B2333" s="2">
        <f ca="1">DATE(2008,01,29)</f>
        <v>0</v>
      </c>
      <c r="C2333" s="1" t="s">
        <v>16595</v>
      </c>
      <c r="D2333" s="3">
        <v>4941</v>
      </c>
      <c r="E2333" s="1" t="s">
        <v>1956</v>
      </c>
      <c r="F2333" s="1" t="s">
        <v>16596</v>
      </c>
      <c r="G2333" s="1" t="s">
        <v>12527</v>
      </c>
      <c r="H2333" s="4">
        <v>0.83999999999999997</v>
      </c>
      <c r="I2333" s="8">
        <v>7</v>
      </c>
      <c r="J2333" s="5">
        <v>144</v>
      </c>
      <c r="K2333" s="4">
        <v>12</v>
      </c>
      <c r="L2333" s="1" t="s">
        <v>46</v>
      </c>
      <c r="M2333" s="1" t="s">
        <v>47</v>
      </c>
      <c r="N2333" s="1" t="s">
        <v>16597</v>
      </c>
      <c r="O2333" s="1" t="s">
        <v>108</v>
      </c>
      <c r="P2333" s="1" t="s">
        <v>16598</v>
      </c>
      <c r="Q2333" s="1" t="s">
        <v>145</v>
      </c>
      <c r="R2333" s="1" t="s">
        <v>145</v>
      </c>
      <c r="S2333" s="6">
        <v>4.1666699999999999</v>
      </c>
      <c r="T2333" s="1" t="s">
        <v>50</v>
      </c>
      <c r="U2333" s="8">
        <v>19</v>
      </c>
      <c r="V2333" s="8">
        <v>17</v>
      </c>
      <c r="W2333" s="7">
        <v>16705314</v>
      </c>
      <c r="X2333" s="5">
        <v>300.69999999999999</v>
      </c>
      <c r="Y2333" s="7">
        <v>8710000</v>
      </c>
      <c r="Z2333" s="7">
        <v>3290000</v>
      </c>
      <c r="AA2333" s="1" t="s">
        <v>16599</v>
      </c>
      <c r="AB2333" s="1" t="s">
        <v>2067</v>
      </c>
      <c r="AC2333" s="1" t="s">
        <v>2068</v>
      </c>
      <c r="AD2333" s="1" t="s">
        <v>2067</v>
      </c>
      <c r="AE2333" s="1" t="s">
        <v>51</v>
      </c>
      <c r="AF2333" s="1" t="s">
        <v>51</v>
      </c>
      <c r="AG2333" s="1" t="s">
        <v>51</v>
      </c>
      <c r="AH2333" s="1"/>
      <c r="AI2333" s="1"/>
      <c r="AJ2333" s="3">
        <v>2</v>
      </c>
      <c r="AK2333" s="1" t="s">
        <v>89</v>
      </c>
      <c r="AL2333" s="3">
        <v>4</v>
      </c>
      <c r="AM2333" s="3">
        <v>12</v>
      </c>
      <c r="AN2333" s="3">
        <v>12</v>
      </c>
      <c r="AO2333" s="1" t="s">
        <v>16600</v>
      </c>
      <c r="AP2333" s="1" t="s">
        <v>12530</v>
      </c>
      <c r="AQ2333" s="1" t="s">
        <v>16601</v>
      </c>
      <c r="AR2333" s="1" t="s">
        <v>16602</v>
      </c>
    </row>
    <row r="2334">
      <c r="A2334" s="2">
        <f ca="1">DATE(2007,10,26)</f>
        <v>0</v>
      </c>
      <c r="B2334" s="2">
        <f ca="1">DATE(2008,01,31)</f>
        <v>0</v>
      </c>
      <c r="C2334" s="1" t="s">
        <v>16603</v>
      </c>
      <c r="D2334" s="3">
        <v>6799</v>
      </c>
      <c r="E2334" s="1" t="s">
        <v>2887</v>
      </c>
      <c r="F2334" s="1" t="s">
        <v>16604</v>
      </c>
      <c r="G2334" s="1" t="s">
        <v>400</v>
      </c>
      <c r="H2334" s="4">
        <v>0.69999999999999996</v>
      </c>
      <c r="I2334" s="8">
        <v>7</v>
      </c>
      <c r="J2334" s="5">
        <v>150</v>
      </c>
      <c r="K2334" s="8">
        <v>10</v>
      </c>
      <c r="L2334" s="1" t="s">
        <v>31</v>
      </c>
      <c r="M2334" s="1" t="s">
        <v>47</v>
      </c>
      <c r="N2334" s="1"/>
      <c r="O2334" s="1" t="s">
        <v>16605</v>
      </c>
      <c r="P2334" s="1" t="s">
        <v>16606</v>
      </c>
      <c r="Q2334" s="1" t="s">
        <v>145</v>
      </c>
      <c r="R2334" s="1" t="s">
        <v>145</v>
      </c>
      <c r="S2334" s="1"/>
      <c r="T2334" s="1" t="s">
        <v>60</v>
      </c>
      <c r="U2334" s="8">
        <v>10</v>
      </c>
      <c r="V2334" s="8">
        <v>10</v>
      </c>
      <c r="W2334" s="7">
        <v>15000000</v>
      </c>
      <c r="X2334" s="5">
        <v>150</v>
      </c>
      <c r="Y2334" s="7">
        <v>15000000</v>
      </c>
      <c r="Z2334" s="1"/>
      <c r="AA2334" s="1"/>
      <c r="AB2334" s="1"/>
      <c r="AC2334" s="1"/>
      <c r="AD2334" s="1"/>
      <c r="AE2334" s="1" t="s">
        <v>51</v>
      </c>
      <c r="AF2334" s="1" t="s">
        <v>51</v>
      </c>
      <c r="AG2334" s="1" t="s">
        <v>51</v>
      </c>
      <c r="AH2334" s="1"/>
      <c r="AI2334" s="1"/>
      <c r="AJ2334" s="3">
        <v>1</v>
      </c>
      <c r="AK2334" s="1" t="s">
        <v>89</v>
      </c>
      <c r="AL2334" s="3">
        <v>2</v>
      </c>
      <c r="AM2334" s="1"/>
      <c r="AN2334" s="1"/>
      <c r="AO2334" s="1" t="s">
        <v>16607</v>
      </c>
      <c r="AP2334" s="1" t="s">
        <v>16608</v>
      </c>
      <c r="AQ2334" s="1" t="s">
        <v>16609</v>
      </c>
      <c r="AR2334" s="1" t="s">
        <v>16610</v>
      </c>
    </row>
    <row r="2335">
      <c r="A2335" s="2">
        <f ca="1">DATE(2007,10,19)</f>
        <v>0</v>
      </c>
      <c r="B2335" s="2">
        <f ca="1">DATE(2008,02,08)</f>
        <v>0</v>
      </c>
      <c r="C2335" s="1" t="s">
        <v>16611</v>
      </c>
      <c r="D2335" s="3">
        <v>6726</v>
      </c>
      <c r="E2335" s="1" t="s">
        <v>16612</v>
      </c>
      <c r="F2335" s="1" t="s">
        <v>16613</v>
      </c>
      <c r="G2335" s="1" t="s">
        <v>16614</v>
      </c>
      <c r="H2335" s="4">
        <v>0.56000000000000005</v>
      </c>
      <c r="I2335" s="4">
        <v>7</v>
      </c>
      <c r="J2335" s="5">
        <v>36</v>
      </c>
      <c r="K2335" s="4">
        <v>8</v>
      </c>
      <c r="L2335" s="1" t="s">
        <v>46</v>
      </c>
      <c r="M2335" s="1" t="s">
        <v>47</v>
      </c>
      <c r="N2335" s="1"/>
      <c r="O2335" s="1" t="s">
        <v>77</v>
      </c>
      <c r="P2335" s="1" t="s">
        <v>16615</v>
      </c>
      <c r="Q2335" s="1" t="s">
        <v>145</v>
      </c>
      <c r="R2335" s="1" t="s">
        <v>145</v>
      </c>
      <c r="S2335" s="1"/>
      <c r="T2335" s="1" t="s">
        <v>50</v>
      </c>
      <c r="U2335" s="8">
        <v>8</v>
      </c>
      <c r="V2335" s="8">
        <v>8</v>
      </c>
      <c r="W2335" s="7">
        <v>4500000</v>
      </c>
      <c r="X2335" s="5">
        <v>36</v>
      </c>
      <c r="Y2335" s="7">
        <v>4500000</v>
      </c>
      <c r="Z2335" s="1"/>
      <c r="AA2335" s="1" t="s">
        <v>16616</v>
      </c>
      <c r="AB2335" s="1" t="s">
        <v>2067</v>
      </c>
      <c r="AC2335" s="1" t="s">
        <v>2068</v>
      </c>
      <c r="AD2335" s="1" t="s">
        <v>2067</v>
      </c>
      <c r="AE2335" s="1" t="s">
        <v>51</v>
      </c>
      <c r="AF2335" s="1" t="s">
        <v>51</v>
      </c>
      <c r="AG2335" s="1" t="s">
        <v>51</v>
      </c>
      <c r="AH2335" s="1"/>
      <c r="AI2335" s="1"/>
      <c r="AJ2335" s="3">
        <v>2</v>
      </c>
      <c r="AK2335" s="1" t="s">
        <v>89</v>
      </c>
      <c r="AL2335" s="3">
        <v>2</v>
      </c>
      <c r="AM2335" s="1"/>
      <c r="AN2335" s="1"/>
      <c r="AO2335" s="1" t="s">
        <v>16617</v>
      </c>
      <c r="AP2335" s="1" t="s">
        <v>16618</v>
      </c>
      <c r="AQ2335" s="1" t="s">
        <v>16619</v>
      </c>
      <c r="AR2335" s="1" t="s">
        <v>16615</v>
      </c>
    </row>
    <row r="2336">
      <c r="A2336" s="2">
        <f ca="1">DATE(2007,02,14)</f>
        <v>0</v>
      </c>
      <c r="B2336" s="2">
        <f ca="1">DATE(2008,02,12)</f>
        <v>0</v>
      </c>
      <c r="C2336" s="1" t="s">
        <v>16620</v>
      </c>
      <c r="D2336" s="3">
        <v>3873</v>
      </c>
      <c r="E2336" s="1" t="s">
        <v>845</v>
      </c>
      <c r="F2336" s="1" t="s">
        <v>16621</v>
      </c>
      <c r="G2336" s="1" t="s">
        <v>15172</v>
      </c>
      <c r="H2336" s="4">
        <v>0.34999999999999998</v>
      </c>
      <c r="I2336" s="4">
        <v>10</v>
      </c>
      <c r="J2336" s="5">
        <v>2.8999999999999999</v>
      </c>
      <c r="K2336" s="4">
        <v>3.5</v>
      </c>
      <c r="L2336" s="1" t="s">
        <v>46</v>
      </c>
      <c r="M2336" s="1" t="s">
        <v>47</v>
      </c>
      <c r="N2336" s="1" t="s">
        <v>16622</v>
      </c>
      <c r="O2336" s="1" t="s">
        <v>87</v>
      </c>
      <c r="P2336" s="1" t="s">
        <v>15174</v>
      </c>
      <c r="Q2336" s="1" t="s">
        <v>145</v>
      </c>
      <c r="R2336" s="1" t="s">
        <v>145</v>
      </c>
      <c r="S2336" s="8">
        <v>6</v>
      </c>
      <c r="T2336" s="1" t="s">
        <v>50</v>
      </c>
      <c r="U2336" s="8">
        <v>4</v>
      </c>
      <c r="V2336" s="8">
        <v>3</v>
      </c>
      <c r="W2336" s="7">
        <v>300000</v>
      </c>
      <c r="X2336" s="5">
        <v>1.1000000000000001</v>
      </c>
      <c r="Y2336" s="7">
        <v>838000</v>
      </c>
      <c r="Z2336" s="1"/>
      <c r="AA2336" s="2">
        <f ca="1">DATE(2008,03,13)</f>
        <v>0</v>
      </c>
      <c r="AB2336" s="1"/>
      <c r="AC2336" s="3">
        <v>30</v>
      </c>
      <c r="AD2336" s="1"/>
      <c r="AE2336" s="1" t="s">
        <v>51</v>
      </c>
      <c r="AF2336" s="1" t="s">
        <v>51</v>
      </c>
      <c r="AG2336" s="1" t="s">
        <v>51</v>
      </c>
      <c r="AH2336" s="1"/>
      <c r="AI2336" s="1"/>
      <c r="AJ2336" s="3">
        <v>1</v>
      </c>
      <c r="AK2336" s="1" t="s">
        <v>52</v>
      </c>
      <c r="AL2336" s="3">
        <v>1</v>
      </c>
      <c r="AM2336" s="8">
        <v>7.5999999999999996</v>
      </c>
      <c r="AN2336" s="1"/>
      <c r="AO2336" s="1" t="s">
        <v>15172</v>
      </c>
      <c r="AP2336" s="1" t="s">
        <v>15172</v>
      </c>
      <c r="AQ2336" s="1" t="s">
        <v>15172</v>
      </c>
      <c r="AR2336" s="1" t="s">
        <v>15174</v>
      </c>
    </row>
    <row r="2337">
      <c r="A2337" s="2">
        <f ca="1">DATE(2007,09,11)</f>
        <v>0</v>
      </c>
      <c r="B2337" s="2">
        <f ca="1">DATE(2008,02,14)</f>
        <v>0</v>
      </c>
      <c r="C2337" s="1" t="s">
        <v>16623</v>
      </c>
      <c r="D2337" s="3">
        <v>7372</v>
      </c>
      <c r="E2337" s="1" t="s">
        <v>43</v>
      </c>
      <c r="F2337" s="1" t="s">
        <v>16624</v>
      </c>
      <c r="G2337" s="1" t="s">
        <v>796</v>
      </c>
      <c r="H2337" s="4">
        <v>0.63</v>
      </c>
      <c r="I2337" s="4">
        <v>7</v>
      </c>
      <c r="J2337" s="5">
        <v>61.799999999999997</v>
      </c>
      <c r="K2337" s="4">
        <v>9</v>
      </c>
      <c r="L2337" s="1" t="s">
        <v>46</v>
      </c>
      <c r="M2337" s="1" t="s">
        <v>47</v>
      </c>
      <c r="N2337" s="1" t="s">
        <v>16625</v>
      </c>
      <c r="O2337" s="1" t="s">
        <v>48</v>
      </c>
      <c r="P2337" s="1" t="s">
        <v>16626</v>
      </c>
      <c r="Q2337" s="1" t="s">
        <v>145</v>
      </c>
      <c r="R2337" s="1" t="s">
        <v>145</v>
      </c>
      <c r="S2337" s="8">
        <v>4.2000000000000002</v>
      </c>
      <c r="T2337" s="1" t="s">
        <v>50</v>
      </c>
      <c r="U2337" s="1"/>
      <c r="V2337" s="1"/>
      <c r="W2337" s="1"/>
      <c r="X2337" s="5">
        <v>74.799999999999997</v>
      </c>
      <c r="Y2337" s="7">
        <v>6000000</v>
      </c>
      <c r="Z2337" s="7">
        <v>861919</v>
      </c>
      <c r="AA2337" s="1" t="s">
        <v>16627</v>
      </c>
      <c r="AB2337" s="1" t="s">
        <v>5265</v>
      </c>
      <c r="AC2337" s="1" t="s">
        <v>7759</v>
      </c>
      <c r="AD2337" s="1" t="s">
        <v>5265</v>
      </c>
      <c r="AE2337" s="1" t="s">
        <v>51</v>
      </c>
      <c r="AF2337" s="1" t="s">
        <v>51</v>
      </c>
      <c r="AG2337" s="1" t="s">
        <v>47</v>
      </c>
      <c r="AH2337" s="1"/>
      <c r="AI2337" s="1"/>
      <c r="AJ2337" s="3">
        <v>1</v>
      </c>
      <c r="AK2337" s="1" t="s">
        <v>89</v>
      </c>
      <c r="AL2337" s="3">
        <v>4</v>
      </c>
      <c r="AM2337" s="8">
        <v>8.7799999999999994</v>
      </c>
      <c r="AN2337" s="1"/>
      <c r="AO2337" s="1" t="s">
        <v>16628</v>
      </c>
      <c r="AP2337" s="1" t="s">
        <v>7208</v>
      </c>
      <c r="AQ2337" s="1" t="s">
        <v>16629</v>
      </c>
      <c r="AR2337" s="1" t="s">
        <v>16626</v>
      </c>
    </row>
    <row r="2338">
      <c r="A2338" s="2">
        <f ca="1">DATE(2007,11,30)</f>
        <v>0</v>
      </c>
      <c r="B2338" s="2">
        <f ca="1">DATE(2008,02,14)</f>
        <v>0</v>
      </c>
      <c r="C2338" s="1" t="s">
        <v>16630</v>
      </c>
      <c r="D2338" s="3">
        <v>6726</v>
      </c>
      <c r="E2338" s="1" t="s">
        <v>43</v>
      </c>
      <c r="F2338" s="1" t="s">
        <v>16631</v>
      </c>
      <c r="G2338" s="1" t="s">
        <v>1297</v>
      </c>
      <c r="H2338" s="4">
        <v>0.59999999999999998</v>
      </c>
      <c r="I2338" s="4">
        <v>6</v>
      </c>
      <c r="J2338" s="5">
        <v>400</v>
      </c>
      <c r="K2338" s="4">
        <v>10</v>
      </c>
      <c r="L2338" s="1" t="s">
        <v>46</v>
      </c>
      <c r="M2338" s="1" t="s">
        <v>47</v>
      </c>
      <c r="N2338" s="1" t="s">
        <v>16632</v>
      </c>
      <c r="O2338" s="1" t="s">
        <v>3689</v>
      </c>
      <c r="P2338" s="1" t="s">
        <v>16633</v>
      </c>
      <c r="Q2338" s="1" t="s">
        <v>145</v>
      </c>
      <c r="R2338" s="1" t="s">
        <v>145</v>
      </c>
      <c r="S2338" s="8">
        <v>1.1000000000000001</v>
      </c>
      <c r="T2338" s="1" t="s">
        <v>50</v>
      </c>
      <c r="U2338" s="8">
        <v>10</v>
      </c>
      <c r="V2338" s="8">
        <v>10</v>
      </c>
      <c r="W2338" s="7">
        <v>40000000</v>
      </c>
      <c r="X2338" s="5">
        <v>400</v>
      </c>
      <c r="Y2338" s="7">
        <v>40000000</v>
      </c>
      <c r="Z2338" s="1"/>
      <c r="AA2338" s="1" t="s">
        <v>16634</v>
      </c>
      <c r="AB2338" s="1" t="s">
        <v>2067</v>
      </c>
      <c r="AC2338" s="1" t="s">
        <v>2068</v>
      </c>
      <c r="AD2338" s="1" t="s">
        <v>2067</v>
      </c>
      <c r="AE2338" s="1" t="s">
        <v>51</v>
      </c>
      <c r="AF2338" s="1" t="s">
        <v>51</v>
      </c>
      <c r="AG2338" s="1" t="s">
        <v>51</v>
      </c>
      <c r="AH2338" s="1"/>
      <c r="AI2338" s="1"/>
      <c r="AJ2338" s="3">
        <v>1</v>
      </c>
      <c r="AK2338" s="1" t="s">
        <v>52</v>
      </c>
      <c r="AL2338" s="3">
        <v>5</v>
      </c>
      <c r="AM2338" s="1"/>
      <c r="AN2338" s="1"/>
      <c r="AO2338" s="1" t="s">
        <v>16635</v>
      </c>
      <c r="AP2338" s="1" t="s">
        <v>1297</v>
      </c>
      <c r="AQ2338" s="1" t="s">
        <v>16636</v>
      </c>
      <c r="AR2338" s="1" t="s">
        <v>16637</v>
      </c>
    </row>
    <row r="2339">
      <c r="A2339" s="2">
        <f ca="1">DATE(2007,09,19)</f>
        <v>0</v>
      </c>
      <c r="B2339" s="2">
        <f ca="1">DATE(2008,02,14)</f>
        <v>0</v>
      </c>
      <c r="C2339" s="1" t="s">
        <v>16638</v>
      </c>
      <c r="D2339" s="3">
        <v>3842</v>
      </c>
      <c r="E2339" s="1" t="s">
        <v>43</v>
      </c>
      <c r="F2339" s="1" t="s">
        <v>16639</v>
      </c>
      <c r="G2339" s="1" t="s">
        <v>16215</v>
      </c>
      <c r="H2339" s="4">
        <v>0.69999999999999996</v>
      </c>
      <c r="I2339" s="8">
        <v>7</v>
      </c>
      <c r="J2339" s="5">
        <v>51</v>
      </c>
      <c r="K2339" s="4">
        <v>10</v>
      </c>
      <c r="L2339" s="1" t="s">
        <v>46</v>
      </c>
      <c r="M2339" s="1" t="s">
        <v>47</v>
      </c>
      <c r="N2339" s="3">
        <v>560879108</v>
      </c>
      <c r="O2339" s="1" t="s">
        <v>48</v>
      </c>
      <c r="P2339" s="1" t="s">
        <v>16640</v>
      </c>
      <c r="Q2339" s="1" t="s">
        <v>145</v>
      </c>
      <c r="R2339" s="1" t="s">
        <v>145</v>
      </c>
      <c r="S2339" s="8">
        <v>4.2000000000000002</v>
      </c>
      <c r="T2339" s="1" t="s">
        <v>50</v>
      </c>
      <c r="U2339" s="1"/>
      <c r="V2339" s="1"/>
      <c r="W2339" s="1"/>
      <c r="X2339" s="5">
        <v>86.299999999999997</v>
      </c>
      <c r="Y2339" s="7">
        <v>5100000</v>
      </c>
      <c r="Z2339" s="1"/>
      <c r="AA2339" s="1" t="s">
        <v>16634</v>
      </c>
      <c r="AB2339" s="1" t="s">
        <v>2067</v>
      </c>
      <c r="AC2339" s="1" t="s">
        <v>2068</v>
      </c>
      <c r="AD2339" s="1" t="s">
        <v>2067</v>
      </c>
      <c r="AE2339" s="1" t="s">
        <v>51</v>
      </c>
      <c r="AF2339" s="1" t="s">
        <v>51</v>
      </c>
      <c r="AG2339" s="1" t="s">
        <v>47</v>
      </c>
      <c r="AH2339" s="1"/>
      <c r="AI2339" s="1"/>
      <c r="AJ2339" s="3">
        <v>2</v>
      </c>
      <c r="AK2339" s="1" t="s">
        <v>89</v>
      </c>
      <c r="AL2339" s="3">
        <v>5</v>
      </c>
      <c r="AM2339" s="8">
        <v>9.7200000000000006</v>
      </c>
      <c r="AN2339" s="1"/>
      <c r="AO2339" s="1" t="s">
        <v>16641</v>
      </c>
      <c r="AP2339" s="1" t="s">
        <v>16220</v>
      </c>
      <c r="AQ2339" s="1" t="s">
        <v>16642</v>
      </c>
      <c r="AR2339" s="1" t="s">
        <v>16643</v>
      </c>
    </row>
    <row r="2340">
      <c r="A2340" s="2">
        <f ca="1">DATE(2007,02,13)</f>
        <v>0</v>
      </c>
      <c r="B2340" s="2">
        <f ca="1">DATE(2008,02,19)</f>
        <v>0</v>
      </c>
      <c r="C2340" s="1" t="s">
        <v>16644</v>
      </c>
      <c r="D2340" s="3">
        <v>8731</v>
      </c>
      <c r="E2340" s="1" t="s">
        <v>43</v>
      </c>
      <c r="F2340" s="1" t="s">
        <v>16645</v>
      </c>
      <c r="G2340" s="1" t="s">
        <v>16646</v>
      </c>
      <c r="H2340" s="4">
        <v>0.36799999999999999</v>
      </c>
      <c r="I2340" s="8">
        <v>7</v>
      </c>
      <c r="J2340" s="5">
        <v>5.7999999999999998</v>
      </c>
      <c r="K2340" s="4">
        <v>5.25</v>
      </c>
      <c r="L2340" s="1" t="s">
        <v>46</v>
      </c>
      <c r="M2340" s="1" t="s">
        <v>47</v>
      </c>
      <c r="N2340" s="1" t="s">
        <v>16647</v>
      </c>
      <c r="O2340" s="1" t="s">
        <v>48</v>
      </c>
      <c r="P2340" s="1" t="s">
        <v>16648</v>
      </c>
      <c r="Q2340" s="1" t="s">
        <v>145</v>
      </c>
      <c r="R2340" s="1" t="s">
        <v>145</v>
      </c>
      <c r="S2340" s="8">
        <v>4.2000000000000002</v>
      </c>
      <c r="T2340" s="1" t="s">
        <v>50</v>
      </c>
      <c r="U2340" s="1"/>
      <c r="V2340" s="1"/>
      <c r="W2340" s="1"/>
      <c r="X2340" s="5">
        <v>35</v>
      </c>
      <c r="Y2340" s="7">
        <v>1100000</v>
      </c>
      <c r="Z2340" s="1"/>
      <c r="AA2340" s="1" t="s">
        <v>16649</v>
      </c>
      <c r="AB2340" s="1" t="s">
        <v>2067</v>
      </c>
      <c r="AC2340" s="1" t="s">
        <v>2068</v>
      </c>
      <c r="AD2340" s="1" t="s">
        <v>2067</v>
      </c>
      <c r="AE2340" s="1" t="s">
        <v>51</v>
      </c>
      <c r="AF2340" s="1" t="s">
        <v>51</v>
      </c>
      <c r="AG2340" s="1" t="s">
        <v>47</v>
      </c>
      <c r="AH2340" s="1"/>
      <c r="AI2340" s="1"/>
      <c r="AJ2340" s="3">
        <v>1</v>
      </c>
      <c r="AK2340" s="1" t="s">
        <v>52</v>
      </c>
      <c r="AL2340" s="3">
        <v>1</v>
      </c>
      <c r="AM2340" s="8">
        <v>5</v>
      </c>
      <c r="AN2340" s="1"/>
      <c r="AO2340" s="1" t="s">
        <v>16650</v>
      </c>
      <c r="AP2340" s="1" t="s">
        <v>16646</v>
      </c>
      <c r="AQ2340" s="1" t="s">
        <v>16646</v>
      </c>
      <c r="AR2340" s="1" t="s">
        <v>16651</v>
      </c>
    </row>
    <row r="2341">
      <c r="A2341" s="2">
        <f ca="1">DATE(2007,11,16)</f>
        <v>0</v>
      </c>
      <c r="B2341" s="2">
        <f ca="1">DATE(2008,02,26)</f>
        <v>0</v>
      </c>
      <c r="C2341" s="1" t="s">
        <v>16652</v>
      </c>
      <c r="D2341" s="3">
        <v>6726</v>
      </c>
      <c r="E2341" s="1" t="s">
        <v>43</v>
      </c>
      <c r="F2341" s="1" t="s">
        <v>16653</v>
      </c>
      <c r="G2341" s="1" t="s">
        <v>15222</v>
      </c>
      <c r="H2341" s="4">
        <v>0.69999999999999996</v>
      </c>
      <c r="I2341" s="8">
        <v>7</v>
      </c>
      <c r="J2341" s="5">
        <v>350</v>
      </c>
      <c r="K2341" s="4">
        <v>10</v>
      </c>
      <c r="L2341" s="1" t="s">
        <v>46</v>
      </c>
      <c r="M2341" s="1" t="s">
        <v>47</v>
      </c>
      <c r="N2341" s="1" t="s">
        <v>16654</v>
      </c>
      <c r="O2341" s="1" t="s">
        <v>87</v>
      </c>
      <c r="P2341" s="1" t="s">
        <v>16655</v>
      </c>
      <c r="Q2341" s="1" t="s">
        <v>145</v>
      </c>
      <c r="R2341" s="1" t="s">
        <v>145</v>
      </c>
      <c r="S2341" s="8">
        <v>1.5600000000000001</v>
      </c>
      <c r="T2341" s="1" t="s">
        <v>50</v>
      </c>
      <c r="U2341" s="8">
        <v>10</v>
      </c>
      <c r="V2341" s="8">
        <v>10</v>
      </c>
      <c r="W2341" s="7">
        <v>37500000</v>
      </c>
      <c r="X2341" s="5">
        <v>375</v>
      </c>
      <c r="Y2341" s="7">
        <v>35000000</v>
      </c>
      <c r="Z2341" s="1"/>
      <c r="AA2341" s="1" t="s">
        <v>16656</v>
      </c>
      <c r="AB2341" s="1" t="s">
        <v>2067</v>
      </c>
      <c r="AC2341" s="1" t="s">
        <v>2068</v>
      </c>
      <c r="AD2341" s="1" t="s">
        <v>2067</v>
      </c>
      <c r="AE2341" s="1" t="s">
        <v>51</v>
      </c>
      <c r="AF2341" s="1" t="s">
        <v>51</v>
      </c>
      <c r="AG2341" s="1" t="s">
        <v>51</v>
      </c>
      <c r="AH2341" s="1"/>
      <c r="AI2341" s="1"/>
      <c r="AJ2341" s="3">
        <v>1</v>
      </c>
      <c r="AK2341" s="1" t="s">
        <v>52</v>
      </c>
      <c r="AL2341" s="3">
        <v>7</v>
      </c>
      <c r="AM2341" s="8">
        <v>9.8100000000000005</v>
      </c>
      <c r="AN2341" s="1"/>
      <c r="AO2341" s="1" t="s">
        <v>16657</v>
      </c>
      <c r="AP2341" s="1" t="s">
        <v>15222</v>
      </c>
      <c r="AQ2341" s="1" t="s">
        <v>16658</v>
      </c>
      <c r="AR2341" s="1" t="s">
        <v>16659</v>
      </c>
    </row>
    <row r="2342">
      <c r="A2342" s="2">
        <f ca="1">DATE(2007,11,09)</f>
        <v>0</v>
      </c>
      <c r="B2342" s="2">
        <f ca="1">DATE(2008,02,27)</f>
        <v>0</v>
      </c>
      <c r="C2342" s="1" t="s">
        <v>16660</v>
      </c>
      <c r="D2342" s="3">
        <v>6726</v>
      </c>
      <c r="E2342" s="1" t="s">
        <v>744</v>
      </c>
      <c r="F2342" s="1" t="s">
        <v>16661</v>
      </c>
      <c r="G2342" s="1" t="s">
        <v>7222</v>
      </c>
      <c r="H2342" s="4">
        <v>0.56000000000000005</v>
      </c>
      <c r="I2342" s="4">
        <v>7</v>
      </c>
      <c r="J2342" s="5">
        <v>36</v>
      </c>
      <c r="K2342" s="4">
        <v>8</v>
      </c>
      <c r="L2342" s="1" t="s">
        <v>1057</v>
      </c>
      <c r="M2342" s="1" t="s">
        <v>47</v>
      </c>
      <c r="N2342" s="1"/>
      <c r="O2342" s="1" t="s">
        <v>77</v>
      </c>
      <c r="P2342" s="1" t="s">
        <v>16662</v>
      </c>
      <c r="Q2342" s="1" t="s">
        <v>145</v>
      </c>
      <c r="R2342" s="1" t="s">
        <v>145</v>
      </c>
      <c r="S2342" s="4">
        <v>2.125</v>
      </c>
      <c r="T2342" s="1" t="s">
        <v>50</v>
      </c>
      <c r="U2342" s="8">
        <v>8</v>
      </c>
      <c r="V2342" s="8">
        <v>8</v>
      </c>
      <c r="W2342" s="7">
        <v>4500000</v>
      </c>
      <c r="X2342" s="5">
        <v>36</v>
      </c>
      <c r="Y2342" s="7">
        <v>4500000</v>
      </c>
      <c r="Z2342" s="1"/>
      <c r="AA2342" s="1" t="s">
        <v>16663</v>
      </c>
      <c r="AB2342" s="1" t="s">
        <v>2067</v>
      </c>
      <c r="AC2342" s="1" t="s">
        <v>2068</v>
      </c>
      <c r="AD2342" s="1" t="s">
        <v>2067</v>
      </c>
      <c r="AE2342" s="1" t="s">
        <v>51</v>
      </c>
      <c r="AF2342" s="1" t="s">
        <v>51</v>
      </c>
      <c r="AG2342" s="1" t="s">
        <v>51</v>
      </c>
      <c r="AH2342" s="1"/>
      <c r="AI2342" s="1"/>
      <c r="AJ2342" s="3">
        <v>1</v>
      </c>
      <c r="AK2342" s="1" t="s">
        <v>52</v>
      </c>
      <c r="AL2342" s="3">
        <v>2</v>
      </c>
      <c r="AM2342" s="1"/>
      <c r="AN2342" s="1"/>
      <c r="AO2342" s="1" t="s">
        <v>16664</v>
      </c>
      <c r="AP2342" s="1" t="s">
        <v>7222</v>
      </c>
      <c r="AQ2342" s="1" t="s">
        <v>16665</v>
      </c>
      <c r="AR2342" s="1" t="s">
        <v>16662</v>
      </c>
    </row>
    <row r="2343">
      <c r="A2343" s="2">
        <f ca="1">DATE(2007,09,18)</f>
        <v>0</v>
      </c>
      <c r="B2343" s="2">
        <f ca="1">DATE(2008,03,07)</f>
        <v>0</v>
      </c>
      <c r="C2343" s="1" t="s">
        <v>16666</v>
      </c>
      <c r="D2343" s="3">
        <v>6726</v>
      </c>
      <c r="E2343" s="1" t="s">
        <v>845</v>
      </c>
      <c r="F2343" s="1"/>
      <c r="G2343" s="1" t="s">
        <v>7368</v>
      </c>
      <c r="H2343" s="4">
        <v>0.56000000000000005</v>
      </c>
      <c r="I2343" s="4">
        <v>7</v>
      </c>
      <c r="J2343" s="5">
        <v>32</v>
      </c>
      <c r="K2343" s="4">
        <v>8</v>
      </c>
      <c r="L2343" s="1" t="s">
        <v>1057</v>
      </c>
      <c r="M2343" s="1" t="s">
        <v>47</v>
      </c>
      <c r="N2343" s="3">
        <v>406548107</v>
      </c>
      <c r="O2343" s="1"/>
      <c r="P2343" s="1" t="s">
        <v>16667</v>
      </c>
      <c r="Q2343" s="1" t="s">
        <v>145</v>
      </c>
      <c r="R2343" s="1" t="s">
        <v>145</v>
      </c>
      <c r="S2343" s="8">
        <v>2.1000000000000001</v>
      </c>
      <c r="T2343" s="1" t="s">
        <v>50</v>
      </c>
      <c r="U2343" s="8">
        <v>8</v>
      </c>
      <c r="V2343" s="8">
        <v>8</v>
      </c>
      <c r="W2343" s="7">
        <v>4000000</v>
      </c>
      <c r="X2343" s="5">
        <v>32</v>
      </c>
      <c r="Y2343" s="7">
        <v>4000000</v>
      </c>
      <c r="Z2343" s="1"/>
      <c r="AA2343" s="1" t="s">
        <v>16668</v>
      </c>
      <c r="AB2343" s="1" t="s">
        <v>2067</v>
      </c>
      <c r="AC2343" s="1" t="s">
        <v>2068</v>
      </c>
      <c r="AD2343" s="1" t="s">
        <v>2067</v>
      </c>
      <c r="AE2343" s="1" t="s">
        <v>51</v>
      </c>
      <c r="AF2343" s="1" t="s">
        <v>51</v>
      </c>
      <c r="AG2343" s="1" t="s">
        <v>51</v>
      </c>
      <c r="AH2343" s="1"/>
      <c r="AI2343" s="1"/>
      <c r="AJ2343" s="3">
        <v>1</v>
      </c>
      <c r="AK2343" s="1" t="s">
        <v>52</v>
      </c>
      <c r="AL2343" s="3">
        <v>3</v>
      </c>
      <c r="AM2343" s="1"/>
      <c r="AN2343" s="1"/>
      <c r="AO2343" s="1" t="s">
        <v>16669</v>
      </c>
      <c r="AP2343" s="1" t="s">
        <v>7368</v>
      </c>
      <c r="AQ2343" s="1" t="s">
        <v>16670</v>
      </c>
      <c r="AR2343" s="1" t="s">
        <v>16671</v>
      </c>
    </row>
    <row r="2344">
      <c r="A2344" s="2">
        <f ca="1">DATE(2007,06,19)</f>
        <v>0</v>
      </c>
      <c r="B2344" s="2">
        <f ca="1">DATE(2008,03,11)</f>
        <v>0</v>
      </c>
      <c r="C2344" s="1" t="s">
        <v>16672</v>
      </c>
      <c r="D2344" s="3">
        <v>4953</v>
      </c>
      <c r="E2344" s="1" t="s">
        <v>43</v>
      </c>
      <c r="F2344" s="1" t="s">
        <v>16673</v>
      </c>
      <c r="G2344" s="1" t="s">
        <v>2938</v>
      </c>
      <c r="H2344" s="4">
        <v>0.80500000000000005</v>
      </c>
      <c r="I2344" s="4">
        <v>7</v>
      </c>
      <c r="J2344" s="5">
        <v>22</v>
      </c>
      <c r="K2344" s="4">
        <v>11.5</v>
      </c>
      <c r="L2344" s="1" t="s">
        <v>46</v>
      </c>
      <c r="M2344" s="1" t="s">
        <v>47</v>
      </c>
      <c r="N2344" s="1" t="s">
        <v>16674</v>
      </c>
      <c r="O2344" s="1" t="s">
        <v>48</v>
      </c>
      <c r="P2344" s="1" t="s">
        <v>16675</v>
      </c>
      <c r="Q2344" s="1" t="s">
        <v>145</v>
      </c>
      <c r="R2344" s="1" t="s">
        <v>145</v>
      </c>
      <c r="S2344" s="8">
        <v>4.2000000000000002</v>
      </c>
      <c r="T2344" s="1" t="s">
        <v>50</v>
      </c>
      <c r="U2344" s="1"/>
      <c r="V2344" s="1"/>
      <c r="W2344" s="1"/>
      <c r="X2344" s="5">
        <v>37</v>
      </c>
      <c r="Y2344" s="7">
        <v>1914000</v>
      </c>
      <c r="Z2344" s="1"/>
      <c r="AA2344" s="1" t="s">
        <v>16676</v>
      </c>
      <c r="AB2344" s="1" t="s">
        <v>2067</v>
      </c>
      <c r="AC2344" s="1" t="s">
        <v>2068</v>
      </c>
      <c r="AD2344" s="1" t="s">
        <v>2067</v>
      </c>
      <c r="AE2344" s="1" t="s">
        <v>51</v>
      </c>
      <c r="AF2344" s="1" t="s">
        <v>51</v>
      </c>
      <c r="AG2344" s="1" t="s">
        <v>51</v>
      </c>
      <c r="AH2344" s="1"/>
      <c r="AI2344" s="1"/>
      <c r="AJ2344" s="3">
        <v>1</v>
      </c>
      <c r="AK2344" s="1" t="s">
        <v>52</v>
      </c>
      <c r="AL2344" s="3">
        <v>2</v>
      </c>
      <c r="AM2344" s="8">
        <v>14.19</v>
      </c>
      <c r="AN2344" s="1"/>
      <c r="AO2344" s="1" t="s">
        <v>16677</v>
      </c>
      <c r="AP2344" s="1" t="s">
        <v>2938</v>
      </c>
      <c r="AQ2344" s="1" t="s">
        <v>16678</v>
      </c>
      <c r="AR2344" s="1" t="s">
        <v>16675</v>
      </c>
    </row>
    <row r="2345">
      <c r="A2345" s="2">
        <f ca="1">DATE(2007,08,17)</f>
        <v>0</v>
      </c>
      <c r="B2345" s="2">
        <f ca="1">DATE(2008,03,18)</f>
        <v>0</v>
      </c>
      <c r="C2345" s="1" t="s">
        <v>16679</v>
      </c>
      <c r="D2345" s="3">
        <v>3841</v>
      </c>
      <c r="E2345" s="1" t="s">
        <v>43</v>
      </c>
      <c r="F2345" s="1" t="s">
        <v>16680</v>
      </c>
      <c r="G2345" s="1" t="s">
        <v>15222</v>
      </c>
      <c r="H2345" s="4">
        <v>1.26</v>
      </c>
      <c r="I2345" s="4">
        <v>7</v>
      </c>
      <c r="J2345" s="5">
        <v>81</v>
      </c>
      <c r="K2345" s="4">
        <v>18</v>
      </c>
      <c r="L2345" s="1" t="s">
        <v>46</v>
      </c>
      <c r="M2345" s="1" t="s">
        <v>47</v>
      </c>
      <c r="N2345" s="1" t="s">
        <v>16681</v>
      </c>
      <c r="O2345" s="1" t="s">
        <v>48</v>
      </c>
      <c r="P2345" s="1" t="s">
        <v>16682</v>
      </c>
      <c r="Q2345" s="1" t="s">
        <v>145</v>
      </c>
      <c r="R2345" s="1" t="s">
        <v>145</v>
      </c>
      <c r="S2345" s="8">
        <v>4.2000000000000002</v>
      </c>
      <c r="T2345" s="1" t="s">
        <v>50</v>
      </c>
      <c r="U2345" s="1"/>
      <c r="V2345" s="1"/>
      <c r="W2345" s="1"/>
      <c r="X2345" s="5">
        <v>150</v>
      </c>
      <c r="Y2345" s="7">
        <v>4500000</v>
      </c>
      <c r="Z2345" s="1"/>
      <c r="AA2345" s="1" t="s">
        <v>16683</v>
      </c>
      <c r="AB2345" s="1" t="s">
        <v>5265</v>
      </c>
      <c r="AC2345" s="1" t="s">
        <v>7759</v>
      </c>
      <c r="AD2345" s="1" t="s">
        <v>5265</v>
      </c>
      <c r="AE2345" s="1" t="s">
        <v>51</v>
      </c>
      <c r="AF2345" s="1" t="s">
        <v>51</v>
      </c>
      <c r="AG2345" s="1" t="s">
        <v>47</v>
      </c>
      <c r="AH2345" s="1"/>
      <c r="AI2345" s="1"/>
      <c r="AJ2345" s="3">
        <v>1</v>
      </c>
      <c r="AK2345" s="1" t="s">
        <v>52</v>
      </c>
      <c r="AL2345" s="3">
        <v>4</v>
      </c>
      <c r="AM2345" s="8">
        <v>17.699999999999999</v>
      </c>
      <c r="AN2345" s="1"/>
      <c r="AO2345" s="1" t="s">
        <v>16684</v>
      </c>
      <c r="AP2345" s="1" t="s">
        <v>15222</v>
      </c>
      <c r="AQ2345" s="1" t="s">
        <v>16685</v>
      </c>
      <c r="AR2345" s="1" t="s">
        <v>16682</v>
      </c>
    </row>
    <row r="2346">
      <c r="A2346" s="2">
        <f ca="1">DATE(2007,11,09)</f>
        <v>0</v>
      </c>
      <c r="B2346" s="2">
        <f ca="1">DATE(2008,03,18)</f>
        <v>0</v>
      </c>
      <c r="C2346" s="1" t="s">
        <v>16686</v>
      </c>
      <c r="D2346" s="3">
        <v>6099</v>
      </c>
      <c r="E2346" s="1" t="s">
        <v>43</v>
      </c>
      <c r="F2346" s="1" t="s">
        <v>16687</v>
      </c>
      <c r="G2346" s="1" t="s">
        <v>16688</v>
      </c>
      <c r="H2346" s="4">
        <v>1.232</v>
      </c>
      <c r="I2346" s="4">
        <v>2.7999999999999998</v>
      </c>
      <c r="J2346" s="5">
        <v>17864</v>
      </c>
      <c r="K2346" s="8">
        <v>44</v>
      </c>
      <c r="L2346" s="1" t="s">
        <v>152</v>
      </c>
      <c r="M2346" s="1" t="s">
        <v>47</v>
      </c>
      <c r="N2346" s="1" t="s">
        <v>16689</v>
      </c>
      <c r="O2346" s="1" t="s">
        <v>108</v>
      </c>
      <c r="P2346" s="1" t="s">
        <v>16690</v>
      </c>
      <c r="Q2346" s="4">
        <v>0.77000000000000002</v>
      </c>
      <c r="R2346" s="4">
        <v>0.77000000000000002</v>
      </c>
      <c r="S2346" s="8">
        <v>1.26</v>
      </c>
      <c r="T2346" s="1" t="s">
        <v>60</v>
      </c>
      <c r="U2346" s="1"/>
      <c r="V2346" s="1"/>
      <c r="W2346" s="1"/>
      <c r="X2346" s="9">
        <v>10000</v>
      </c>
      <c r="Y2346" s="7">
        <v>406000000</v>
      </c>
      <c r="Z2346" s="1"/>
      <c r="AA2346" s="1"/>
      <c r="AB2346" s="1" t="s">
        <v>2067</v>
      </c>
      <c r="AC2346" s="1" t="s">
        <v>2068</v>
      </c>
      <c r="AD2346" s="1" t="s">
        <v>2067</v>
      </c>
      <c r="AE2346" s="1" t="s">
        <v>51</v>
      </c>
      <c r="AF2346" s="1" t="s">
        <v>51</v>
      </c>
      <c r="AG2346" s="1" t="s">
        <v>51</v>
      </c>
      <c r="AH2346" s="1"/>
      <c r="AI2346" s="1"/>
      <c r="AJ2346" s="3">
        <v>8</v>
      </c>
      <c r="AK2346" s="1" t="s">
        <v>16691</v>
      </c>
      <c r="AL2346" s="3">
        <v>8</v>
      </c>
      <c r="AM2346" s="1"/>
      <c r="AN2346" s="1"/>
      <c r="AO2346" s="1" t="s">
        <v>16692</v>
      </c>
      <c r="AP2346" s="1" t="s">
        <v>16693</v>
      </c>
      <c r="AQ2346" s="1" t="s">
        <v>16694</v>
      </c>
      <c r="AR2346" s="1" t="s">
        <v>16695</v>
      </c>
    </row>
    <row r="2347">
      <c r="A2347" s="2">
        <f ca="1">DATE(2007,08,10)</f>
        <v>0</v>
      </c>
      <c r="B2347" s="2">
        <f ca="1">DATE(2008,03,19)</f>
        <v>0</v>
      </c>
      <c r="C2347" s="1" t="s">
        <v>16696</v>
      </c>
      <c r="D2347" s="3">
        <v>5812</v>
      </c>
      <c r="E2347" s="1" t="s">
        <v>43</v>
      </c>
      <c r="F2347" s="1" t="s">
        <v>16697</v>
      </c>
      <c r="G2347" s="1" t="s">
        <v>1223</v>
      </c>
      <c r="H2347" s="4">
        <v>0.35699999999999998</v>
      </c>
      <c r="I2347" s="4">
        <v>7</v>
      </c>
      <c r="J2347" s="5">
        <v>5.0999999999999996</v>
      </c>
      <c r="K2347" s="4">
        <v>5.0999999999999996</v>
      </c>
      <c r="L2347" s="1" t="s">
        <v>46</v>
      </c>
      <c r="M2347" s="1" t="s">
        <v>47</v>
      </c>
      <c r="N2347" s="1" t="s">
        <v>16698</v>
      </c>
      <c r="O2347" s="1" t="s">
        <v>77</v>
      </c>
      <c r="P2347" s="1" t="s">
        <v>3923</v>
      </c>
      <c r="Q2347" s="1" t="s">
        <v>145</v>
      </c>
      <c r="R2347" s="1" t="s">
        <v>145</v>
      </c>
      <c r="S2347" s="1"/>
      <c r="T2347" s="1" t="s">
        <v>50</v>
      </c>
      <c r="U2347" s="8">
        <v>6</v>
      </c>
      <c r="V2347" s="8">
        <v>6</v>
      </c>
      <c r="W2347" s="7">
        <v>2500000</v>
      </c>
      <c r="X2347" s="5">
        <v>15</v>
      </c>
      <c r="Y2347" s="7">
        <v>1000000</v>
      </c>
      <c r="Z2347" s="1"/>
      <c r="AA2347" s="1" t="s">
        <v>16699</v>
      </c>
      <c r="AB2347" s="1" t="s">
        <v>2067</v>
      </c>
      <c r="AC2347" s="1" t="s">
        <v>9674</v>
      </c>
      <c r="AD2347" s="1" t="s">
        <v>2067</v>
      </c>
      <c r="AE2347" s="1" t="s">
        <v>51</v>
      </c>
      <c r="AF2347" s="1" t="s">
        <v>51</v>
      </c>
      <c r="AG2347" s="1" t="s">
        <v>51</v>
      </c>
      <c r="AH2347" s="1"/>
      <c r="AI2347" s="1"/>
      <c r="AJ2347" s="3">
        <v>1</v>
      </c>
      <c r="AK2347" s="1" t="s">
        <v>52</v>
      </c>
      <c r="AL2347" s="3">
        <v>1</v>
      </c>
      <c r="AM2347" s="1"/>
      <c r="AN2347" s="1"/>
      <c r="AO2347" s="1" t="s">
        <v>1223</v>
      </c>
      <c r="AP2347" s="1" t="s">
        <v>1223</v>
      </c>
      <c r="AQ2347" s="1" t="s">
        <v>1223</v>
      </c>
      <c r="AR2347" s="1" t="s">
        <v>3923</v>
      </c>
    </row>
    <row r="2348">
      <c r="A2348" s="2">
        <f ca="1">DATE(2007,12,20)</f>
        <v>0</v>
      </c>
      <c r="B2348" s="2">
        <f ca="1">DATE(2008,04,21)</f>
        <v>0</v>
      </c>
      <c r="C2348" s="1" t="s">
        <v>16700</v>
      </c>
      <c r="D2348" s="3">
        <v>2819</v>
      </c>
      <c r="E2348" s="1" t="s">
        <v>43</v>
      </c>
      <c r="F2348" s="1" t="s">
        <v>16701</v>
      </c>
      <c r="G2348" s="1" t="s">
        <v>16702</v>
      </c>
      <c r="H2348" s="4">
        <v>1.9199999999999999</v>
      </c>
      <c r="I2348" s="4">
        <v>6</v>
      </c>
      <c r="J2348" s="5">
        <v>960</v>
      </c>
      <c r="K2348" s="4">
        <v>32</v>
      </c>
      <c r="L2348" s="1" t="s">
        <v>46</v>
      </c>
      <c r="M2348" s="1" t="s">
        <v>47</v>
      </c>
      <c r="N2348" s="1" t="s">
        <v>16703</v>
      </c>
      <c r="O2348" s="1" t="s">
        <v>108</v>
      </c>
      <c r="P2348" s="1" t="s">
        <v>16704</v>
      </c>
      <c r="Q2348" s="1" t="s">
        <v>145</v>
      </c>
      <c r="R2348" s="1" t="s">
        <v>145</v>
      </c>
      <c r="S2348" s="1"/>
      <c r="T2348" s="1" t="s">
        <v>50</v>
      </c>
      <c r="U2348" s="1"/>
      <c r="V2348" s="1"/>
      <c r="W2348" s="1"/>
      <c r="X2348" s="5">
        <v>100</v>
      </c>
      <c r="Y2348" s="7">
        <v>30000000</v>
      </c>
      <c r="Z2348" s="1"/>
      <c r="AA2348" s="1" t="s">
        <v>16705</v>
      </c>
      <c r="AB2348" s="1" t="s">
        <v>2067</v>
      </c>
      <c r="AC2348" s="1" t="s">
        <v>2068</v>
      </c>
      <c r="AD2348" s="1" t="s">
        <v>2067</v>
      </c>
      <c r="AE2348" s="1" t="s">
        <v>51</v>
      </c>
      <c r="AF2348" s="1" t="s">
        <v>51</v>
      </c>
      <c r="AG2348" s="1" t="s">
        <v>51</v>
      </c>
      <c r="AH2348" s="1"/>
      <c r="AI2348" s="1"/>
      <c r="AJ2348" s="3">
        <v>3</v>
      </c>
      <c r="AK2348" s="1" t="s">
        <v>110</v>
      </c>
      <c r="AL2348" s="3">
        <v>5</v>
      </c>
      <c r="AM2348" s="8">
        <v>50.399999999999999</v>
      </c>
      <c r="AN2348" s="1"/>
      <c r="AO2348" s="1" t="s">
        <v>16706</v>
      </c>
      <c r="AP2348" s="1" t="s">
        <v>16707</v>
      </c>
      <c r="AQ2348" s="1" t="s">
        <v>16708</v>
      </c>
      <c r="AR2348" s="1" t="s">
        <v>16709</v>
      </c>
    </row>
    <row r="2349">
      <c r="A2349" s="2">
        <f ca="1">DATE(2007,08,27)</f>
        <v>0</v>
      </c>
      <c r="B2349" s="2">
        <f ca="1">DATE(2008,04,22)</f>
        <v>0</v>
      </c>
      <c r="C2349" s="1" t="s">
        <v>16710</v>
      </c>
      <c r="D2349" s="3">
        <v>4941</v>
      </c>
      <c r="E2349" s="1" t="s">
        <v>43</v>
      </c>
      <c r="F2349" s="1" t="s">
        <v>16711</v>
      </c>
      <c r="G2349" s="1" t="s">
        <v>16712</v>
      </c>
      <c r="H2349" s="4">
        <v>0.64500000000000002</v>
      </c>
      <c r="I2349" s="4">
        <v>3</v>
      </c>
      <c r="J2349" s="9">
        <v>1247</v>
      </c>
      <c r="K2349" s="4">
        <v>21.5</v>
      </c>
      <c r="L2349" s="1" t="s">
        <v>46</v>
      </c>
      <c r="M2349" s="1" t="s">
        <v>47</v>
      </c>
      <c r="N2349" s="1" t="s">
        <v>16713</v>
      </c>
      <c r="O2349" s="1" t="s">
        <v>108</v>
      </c>
      <c r="P2349" s="1" t="s">
        <v>16714</v>
      </c>
      <c r="Q2349" s="4">
        <v>0.59999999999999998</v>
      </c>
      <c r="R2349" s="4">
        <v>0.59999999999999998</v>
      </c>
      <c r="S2349" s="8">
        <v>1.8</v>
      </c>
      <c r="T2349" s="1" t="s">
        <v>50</v>
      </c>
      <c r="U2349" s="1"/>
      <c r="V2349" s="1"/>
      <c r="W2349" s="1"/>
      <c r="X2349" s="9">
        <v>1500</v>
      </c>
      <c r="Y2349" s="7">
        <v>58000000</v>
      </c>
      <c r="Z2349" s="1"/>
      <c r="AA2349" s="1" t="s">
        <v>16715</v>
      </c>
      <c r="AB2349" s="1" t="s">
        <v>16716</v>
      </c>
      <c r="AC2349" s="1" t="s">
        <v>7759</v>
      </c>
      <c r="AD2349" s="1" t="s">
        <v>16717</v>
      </c>
      <c r="AE2349" s="1" t="s">
        <v>51</v>
      </c>
      <c r="AF2349" s="1" t="s">
        <v>51</v>
      </c>
      <c r="AG2349" s="1" t="s">
        <v>51</v>
      </c>
      <c r="AH2349" s="1"/>
      <c r="AI2349" s="1"/>
      <c r="AJ2349" s="3">
        <v>3</v>
      </c>
      <c r="AK2349" s="1" t="s">
        <v>110</v>
      </c>
      <c r="AL2349" s="3">
        <v>16</v>
      </c>
      <c r="AM2349" s="8">
        <v>20.600000000000001</v>
      </c>
      <c r="AN2349" s="1"/>
      <c r="AO2349" s="1" t="s">
        <v>16718</v>
      </c>
      <c r="AP2349" s="1" t="s">
        <v>16719</v>
      </c>
      <c r="AQ2349" s="1" t="s">
        <v>16720</v>
      </c>
      <c r="AR2349" s="1" t="s">
        <v>16721</v>
      </c>
    </row>
    <row r="2350">
      <c r="A2350" s="2">
        <f ca="1">DATE(2008,02,20)</f>
        <v>0</v>
      </c>
      <c r="B2350" s="2">
        <f ca="1">DATE(2008,04,24)</f>
        <v>0</v>
      </c>
      <c r="C2350" s="1" t="s">
        <v>16722</v>
      </c>
      <c r="D2350" s="3">
        <v>6798</v>
      </c>
      <c r="E2350" s="1" t="s">
        <v>43</v>
      </c>
      <c r="F2350" s="1" t="s">
        <v>16723</v>
      </c>
      <c r="G2350" s="1" t="s">
        <v>16724</v>
      </c>
      <c r="H2350" s="4">
        <v>1.6799999999999999</v>
      </c>
      <c r="I2350" s="8">
        <v>7</v>
      </c>
      <c r="J2350" s="5">
        <v>240</v>
      </c>
      <c r="K2350" s="4">
        <v>24</v>
      </c>
      <c r="L2350" s="1" t="s">
        <v>46</v>
      </c>
      <c r="M2350" s="1" t="s">
        <v>47</v>
      </c>
      <c r="N2350" s="1" t="s">
        <v>16725</v>
      </c>
      <c r="O2350" s="1" t="s">
        <v>108</v>
      </c>
      <c r="P2350" s="1" t="s">
        <v>16726</v>
      </c>
      <c r="Q2350" s="1" t="s">
        <v>145</v>
      </c>
      <c r="R2350" s="1" t="s">
        <v>145</v>
      </c>
      <c r="S2350" s="8">
        <v>4.2000000000000002</v>
      </c>
      <c r="T2350" s="1" t="s">
        <v>50</v>
      </c>
      <c r="U2350" s="1"/>
      <c r="V2350" s="1"/>
      <c r="W2350" s="1"/>
      <c r="X2350" s="5">
        <v>200</v>
      </c>
      <c r="Y2350" s="7">
        <v>10000000</v>
      </c>
      <c r="Z2350" s="1"/>
      <c r="AA2350" s="1" t="s">
        <v>16727</v>
      </c>
      <c r="AB2350" s="1" t="s">
        <v>2067</v>
      </c>
      <c r="AC2350" s="1" t="s">
        <v>2068</v>
      </c>
      <c r="AD2350" s="1" t="s">
        <v>2067</v>
      </c>
      <c r="AE2350" s="1" t="s">
        <v>51</v>
      </c>
      <c r="AF2350" s="1" t="s">
        <v>51</v>
      </c>
      <c r="AG2350" s="1" t="s">
        <v>51</v>
      </c>
      <c r="AH2350" s="1"/>
      <c r="AI2350" s="1"/>
      <c r="AJ2350" s="3">
        <v>2</v>
      </c>
      <c r="AK2350" s="1" t="s">
        <v>89</v>
      </c>
      <c r="AL2350" s="3">
        <v>5</v>
      </c>
      <c r="AM2350" s="8">
        <v>24.68</v>
      </c>
      <c r="AN2350" s="1"/>
      <c r="AO2350" s="1" t="s">
        <v>16728</v>
      </c>
      <c r="AP2350" s="1" t="s">
        <v>16729</v>
      </c>
      <c r="AQ2350" s="1" t="s">
        <v>16730</v>
      </c>
      <c r="AR2350" s="1" t="s">
        <v>16726</v>
      </c>
    </row>
    <row r="2351">
      <c r="A2351" s="2">
        <f ca="1">DATE(2007,11,20)</f>
        <v>0</v>
      </c>
      <c r="B2351" s="2">
        <f ca="1">DATE(2008,04,24)</f>
        <v>0</v>
      </c>
      <c r="C2351" s="1" t="s">
        <v>16731</v>
      </c>
      <c r="D2351" s="3">
        <v>1311</v>
      </c>
      <c r="E2351" s="1" t="s">
        <v>43</v>
      </c>
      <c r="F2351" s="1" t="s">
        <v>16732</v>
      </c>
      <c r="G2351" s="1" t="s">
        <v>16733</v>
      </c>
      <c r="H2351" s="4">
        <v>1.25</v>
      </c>
      <c r="I2351" s="4">
        <v>6.25</v>
      </c>
      <c r="J2351" s="5">
        <v>217</v>
      </c>
      <c r="K2351" s="4">
        <v>20</v>
      </c>
      <c r="L2351" s="1" t="s">
        <v>4851</v>
      </c>
      <c r="M2351" s="1" t="s">
        <v>47</v>
      </c>
      <c r="N2351" s="3">
        <v>966389108</v>
      </c>
      <c r="O2351" s="1" t="s">
        <v>108</v>
      </c>
      <c r="P2351" s="1" t="s">
        <v>16734</v>
      </c>
      <c r="Q2351" s="1" t="s">
        <v>145</v>
      </c>
      <c r="R2351" s="1" t="s">
        <v>145</v>
      </c>
      <c r="S2351" s="8">
        <v>3.75</v>
      </c>
      <c r="T2351" s="1" t="s">
        <v>50</v>
      </c>
      <c r="U2351" s="1"/>
      <c r="V2351" s="1"/>
      <c r="W2351" s="7">
        <v>10300000</v>
      </c>
      <c r="X2351" s="5">
        <v>195</v>
      </c>
      <c r="Y2351" s="7">
        <v>10850000</v>
      </c>
      <c r="Z2351" s="1"/>
      <c r="AA2351" s="2">
        <f ca="1">DATE(2008,10,21)</f>
        <v>0</v>
      </c>
      <c r="AB2351" s="1"/>
      <c r="AC2351" s="3">
        <v>180</v>
      </c>
      <c r="AD2351" s="1"/>
      <c r="AE2351" s="1" t="s">
        <v>51</v>
      </c>
      <c r="AF2351" s="1" t="s">
        <v>51</v>
      </c>
      <c r="AG2351" s="1" t="s">
        <v>51</v>
      </c>
      <c r="AH2351" s="1"/>
      <c r="AI2351" s="1"/>
      <c r="AJ2351" s="3">
        <v>2</v>
      </c>
      <c r="AK2351" s="1" t="s">
        <v>89</v>
      </c>
      <c r="AL2351" s="3">
        <v>5</v>
      </c>
      <c r="AM2351" s="8">
        <v>20.850000000000001</v>
      </c>
      <c r="AN2351" s="1"/>
      <c r="AO2351" s="1" t="s">
        <v>16735</v>
      </c>
      <c r="AP2351" s="1" t="s">
        <v>16736</v>
      </c>
      <c r="AQ2351" s="1" t="s">
        <v>16737</v>
      </c>
      <c r="AR2351" s="1" t="s">
        <v>16734</v>
      </c>
    </row>
    <row r="2352">
      <c r="A2352" s="2">
        <f ca="1">DATE(2007,07,26)</f>
        <v>0</v>
      </c>
      <c r="B2352" s="2">
        <f ca="1">DATE(2008,04,30)</f>
        <v>0</v>
      </c>
      <c r="C2352" s="1" t="s">
        <v>16738</v>
      </c>
      <c r="D2352" s="3">
        <v>1311</v>
      </c>
      <c r="E2352" s="1" t="s">
        <v>43</v>
      </c>
      <c r="F2352" s="1" t="s">
        <v>16739</v>
      </c>
      <c r="G2352" s="1" t="s">
        <v>16740</v>
      </c>
      <c r="H2352" s="4">
        <v>1.3300000000000001</v>
      </c>
      <c r="I2352" s="4">
        <v>7</v>
      </c>
      <c r="J2352" s="5">
        <v>156.80000000000001</v>
      </c>
      <c r="K2352" s="4">
        <v>19</v>
      </c>
      <c r="L2352" s="1" t="s">
        <v>31</v>
      </c>
      <c r="M2352" s="1" t="s">
        <v>47</v>
      </c>
      <c r="N2352" s="1" t="s">
        <v>16741</v>
      </c>
      <c r="O2352" s="1" t="s">
        <v>108</v>
      </c>
      <c r="P2352" s="1" t="s">
        <v>16742</v>
      </c>
      <c r="Q2352" s="1" t="s">
        <v>145</v>
      </c>
      <c r="R2352" s="1" t="s">
        <v>145</v>
      </c>
      <c r="S2352" s="6">
        <v>4.1578900000000001</v>
      </c>
      <c r="T2352" s="1" t="s">
        <v>50</v>
      </c>
      <c r="U2352" s="1"/>
      <c r="V2352" s="1"/>
      <c r="W2352" s="7">
        <v>12500000</v>
      </c>
      <c r="X2352" s="1"/>
      <c r="Y2352" s="7">
        <v>8250000</v>
      </c>
      <c r="Z2352" s="1"/>
      <c r="AA2352" s="1" t="s">
        <v>16743</v>
      </c>
      <c r="AB2352" s="1" t="s">
        <v>2067</v>
      </c>
      <c r="AC2352" s="1" t="s">
        <v>2068</v>
      </c>
      <c r="AD2352" s="1" t="s">
        <v>2067</v>
      </c>
      <c r="AE2352" s="1" t="s">
        <v>51</v>
      </c>
      <c r="AF2352" s="1" t="s">
        <v>51</v>
      </c>
      <c r="AG2352" s="1" t="s">
        <v>51</v>
      </c>
      <c r="AH2352" s="1"/>
      <c r="AI2352" s="1"/>
      <c r="AJ2352" s="3">
        <v>3</v>
      </c>
      <c r="AK2352" s="1" t="s">
        <v>110</v>
      </c>
      <c r="AL2352" s="3">
        <v>12</v>
      </c>
      <c r="AM2352" s="8">
        <v>19.649999999999999</v>
      </c>
      <c r="AN2352" s="1"/>
      <c r="AO2352" s="1" t="s">
        <v>16744</v>
      </c>
      <c r="AP2352" s="1" t="s">
        <v>16745</v>
      </c>
      <c r="AQ2352" s="1" t="s">
        <v>16746</v>
      </c>
      <c r="AR2352" s="1" t="s">
        <v>16747</v>
      </c>
    </row>
    <row r="2353">
      <c r="A2353" s="2">
        <f ca="1">DATE(2008,01,04)</f>
        <v>0</v>
      </c>
      <c r="B2353" s="2">
        <f ca="1">DATE(2008,05,07)</f>
        <v>0</v>
      </c>
      <c r="C2353" s="1" t="s">
        <v>16748</v>
      </c>
      <c r="D2353" s="3">
        <v>3561</v>
      </c>
      <c r="E2353" s="1" t="s">
        <v>43</v>
      </c>
      <c r="F2353" s="1" t="s">
        <v>16749</v>
      </c>
      <c r="G2353" s="1" t="s">
        <v>16750</v>
      </c>
      <c r="H2353" s="4">
        <v>1.2150000000000001</v>
      </c>
      <c r="I2353" s="4">
        <v>6.75</v>
      </c>
      <c r="J2353" s="5">
        <v>337.5</v>
      </c>
      <c r="K2353" s="4">
        <v>18</v>
      </c>
      <c r="L2353" s="1" t="s">
        <v>46</v>
      </c>
      <c r="M2353" s="1" t="s">
        <v>47</v>
      </c>
      <c r="N2353" s="3">
        <v>194014106</v>
      </c>
      <c r="O2353" s="1" t="s">
        <v>108</v>
      </c>
      <c r="P2353" s="1" t="s">
        <v>16751</v>
      </c>
      <c r="Q2353" s="4">
        <v>1.3500000000000001</v>
      </c>
      <c r="R2353" s="4">
        <v>1.3500000000000001</v>
      </c>
      <c r="S2353" s="8">
        <v>4.0499999999999998</v>
      </c>
      <c r="T2353" s="1" t="s">
        <v>50</v>
      </c>
      <c r="U2353" s="1"/>
      <c r="V2353" s="1"/>
      <c r="W2353" s="1"/>
      <c r="X2353" s="5">
        <v>300</v>
      </c>
      <c r="Y2353" s="7">
        <v>9039732</v>
      </c>
      <c r="Z2353" s="7">
        <v>9710268</v>
      </c>
      <c r="AA2353" s="1" t="s">
        <v>16752</v>
      </c>
      <c r="AB2353" s="1" t="s">
        <v>16753</v>
      </c>
      <c r="AC2353" s="1" t="s">
        <v>7759</v>
      </c>
      <c r="AD2353" s="1" t="s">
        <v>16754</v>
      </c>
      <c r="AE2353" s="1" t="s">
        <v>51</v>
      </c>
      <c r="AF2353" s="1" t="s">
        <v>51</v>
      </c>
      <c r="AG2353" s="1" t="s">
        <v>51</v>
      </c>
      <c r="AH2353" s="1"/>
      <c r="AI2353" s="1"/>
      <c r="AJ2353" s="3">
        <v>3</v>
      </c>
      <c r="AK2353" s="1" t="s">
        <v>110</v>
      </c>
      <c r="AL2353" s="3">
        <v>7</v>
      </c>
      <c r="AM2353" s="8">
        <v>22.5</v>
      </c>
      <c r="AN2353" s="1"/>
      <c r="AO2353" s="1" t="s">
        <v>16755</v>
      </c>
      <c r="AP2353" s="1" t="s">
        <v>16756</v>
      </c>
      <c r="AQ2353" s="1" t="s">
        <v>16757</v>
      </c>
      <c r="AR2353" s="1" t="s">
        <v>16758</v>
      </c>
    </row>
    <row r="2354">
      <c r="A2354" s="2">
        <f ca="1">DATE(2008,02,06)</f>
        <v>0</v>
      </c>
      <c r="B2354" s="2">
        <f ca="1">DATE(2008,05,08)</f>
        <v>0</v>
      </c>
      <c r="C2354" s="1" t="s">
        <v>16759</v>
      </c>
      <c r="D2354" s="3">
        <v>3433</v>
      </c>
      <c r="E2354" s="1" t="s">
        <v>43</v>
      </c>
      <c r="F2354" s="1" t="s">
        <v>16760</v>
      </c>
      <c r="G2354" s="1" t="s">
        <v>11331</v>
      </c>
      <c r="H2354" s="4">
        <v>0.69999999999999996</v>
      </c>
      <c r="I2354" s="8">
        <v>7</v>
      </c>
      <c r="J2354" s="5">
        <v>55</v>
      </c>
      <c r="K2354" s="4">
        <v>10</v>
      </c>
      <c r="L2354" s="1" t="s">
        <v>5129</v>
      </c>
      <c r="M2354" s="1" t="s">
        <v>47</v>
      </c>
      <c r="N2354" s="1" t="s">
        <v>16761</v>
      </c>
      <c r="O2354" s="1" t="s">
        <v>48</v>
      </c>
      <c r="P2354" s="1" t="s">
        <v>16762</v>
      </c>
      <c r="Q2354" s="1" t="s">
        <v>145</v>
      </c>
      <c r="R2354" s="1" t="s">
        <v>145</v>
      </c>
      <c r="S2354" s="8">
        <v>4.2000000000000002</v>
      </c>
      <c r="T2354" s="1" t="s">
        <v>50</v>
      </c>
      <c r="U2354" s="1"/>
      <c r="V2354" s="1"/>
      <c r="W2354" s="1"/>
      <c r="X2354" s="5">
        <v>57.5</v>
      </c>
      <c r="Y2354" s="7">
        <v>5500000</v>
      </c>
      <c r="Z2354" s="1"/>
      <c r="AA2354" s="1" t="s">
        <v>16763</v>
      </c>
      <c r="AB2354" s="1" t="s">
        <v>2067</v>
      </c>
      <c r="AC2354" s="1" t="s">
        <v>2068</v>
      </c>
      <c r="AD2354" s="1" t="s">
        <v>2067</v>
      </c>
      <c r="AE2354" s="1" t="s">
        <v>51</v>
      </c>
      <c r="AF2354" s="1" t="s">
        <v>51</v>
      </c>
      <c r="AG2354" s="1" t="s">
        <v>51</v>
      </c>
      <c r="AH2354" s="1"/>
      <c r="AI2354" s="1"/>
      <c r="AJ2354" s="3">
        <v>1</v>
      </c>
      <c r="AK2354" s="1" t="s">
        <v>52</v>
      </c>
      <c r="AL2354" s="3">
        <v>3</v>
      </c>
      <c r="AM2354" s="8">
        <v>8.8000000000000007</v>
      </c>
      <c r="AN2354" s="1"/>
      <c r="AO2354" s="1" t="s">
        <v>16764</v>
      </c>
      <c r="AP2354" s="1" t="s">
        <v>11331</v>
      </c>
      <c r="AQ2354" s="1" t="s">
        <v>16765</v>
      </c>
      <c r="AR2354" s="1" t="s">
        <v>16762</v>
      </c>
    </row>
    <row r="2355">
      <c r="A2355" s="2">
        <f ca="1">DATE(2007,10,15)</f>
        <v>0</v>
      </c>
      <c r="B2355" s="2">
        <f ca="1">DATE(2008,05,08)</f>
        <v>0</v>
      </c>
      <c r="C2355" s="1" t="s">
        <v>16766</v>
      </c>
      <c r="D2355" s="3">
        <v>4922</v>
      </c>
      <c r="E2355" s="1" t="s">
        <v>43</v>
      </c>
      <c r="F2355" s="1" t="s">
        <v>16767</v>
      </c>
      <c r="G2355" s="1" t="s">
        <v>16768</v>
      </c>
      <c r="H2355" s="4">
        <v>0.98999999999999999</v>
      </c>
      <c r="I2355" s="4">
        <v>6</v>
      </c>
      <c r="J2355" s="5">
        <v>309.39999999999998</v>
      </c>
      <c r="K2355" s="4">
        <v>16.5</v>
      </c>
      <c r="L2355" s="1" t="s">
        <v>85</v>
      </c>
      <c r="M2355" s="1" t="s">
        <v>47</v>
      </c>
      <c r="N2355" s="3">
        <v>958254104</v>
      </c>
      <c r="O2355" s="1" t="s">
        <v>108</v>
      </c>
      <c r="P2355" s="1" t="s">
        <v>16769</v>
      </c>
      <c r="Q2355" s="4">
        <v>1.212</v>
      </c>
      <c r="R2355" s="4">
        <v>1.212</v>
      </c>
      <c r="S2355" s="6">
        <v>3.5757599999999998</v>
      </c>
      <c r="T2355" s="1" t="s">
        <v>50</v>
      </c>
      <c r="U2355" s="1"/>
      <c r="V2355" s="1"/>
      <c r="W2355" s="7">
        <v>18750000</v>
      </c>
      <c r="X2355" s="1"/>
      <c r="Y2355" s="7">
        <v>18750000</v>
      </c>
      <c r="Z2355" s="1"/>
      <c r="AA2355" s="1" t="s">
        <v>16763</v>
      </c>
      <c r="AB2355" s="1" t="s">
        <v>2067</v>
      </c>
      <c r="AC2355" s="1" t="s">
        <v>2068</v>
      </c>
      <c r="AD2355" s="1" t="s">
        <v>2067</v>
      </c>
      <c r="AE2355" s="1" t="s">
        <v>51</v>
      </c>
      <c r="AF2355" s="1" t="s">
        <v>51</v>
      </c>
      <c r="AG2355" s="1" t="s">
        <v>51</v>
      </c>
      <c r="AH2355" s="1"/>
      <c r="AI2355" s="1"/>
      <c r="AJ2355" s="3">
        <v>4</v>
      </c>
      <c r="AK2355" s="1" t="s">
        <v>1209</v>
      </c>
      <c r="AL2355" s="3">
        <v>13</v>
      </c>
      <c r="AM2355" s="8">
        <v>16.800000000000001</v>
      </c>
      <c r="AN2355" s="1"/>
      <c r="AO2355" s="1" t="s">
        <v>16770</v>
      </c>
      <c r="AP2355" s="1" t="s">
        <v>16771</v>
      </c>
      <c r="AQ2355" s="1" t="s">
        <v>16772</v>
      </c>
      <c r="AR2355" s="1" t="s">
        <v>16773</v>
      </c>
    </row>
    <row r="2356">
      <c r="A2356" s="2">
        <f ca="1">DATE(2008,02,11)</f>
        <v>0</v>
      </c>
      <c r="B2356" s="2">
        <f ca="1">DATE(2008,05,14)</f>
        <v>0</v>
      </c>
      <c r="C2356" s="1" t="s">
        <v>16774</v>
      </c>
      <c r="D2356" s="3">
        <v>6798</v>
      </c>
      <c r="E2356" s="1" t="s">
        <v>43</v>
      </c>
      <c r="F2356" s="1" t="s">
        <v>16775</v>
      </c>
      <c r="G2356" s="1" t="s">
        <v>15389</v>
      </c>
      <c r="H2356" s="4">
        <v>1.25</v>
      </c>
      <c r="I2356" s="4">
        <v>6.25</v>
      </c>
      <c r="J2356" s="5">
        <v>200</v>
      </c>
      <c r="K2356" s="4">
        <v>20</v>
      </c>
      <c r="L2356" s="1" t="s">
        <v>46</v>
      </c>
      <c r="M2356" s="1" t="s">
        <v>47</v>
      </c>
      <c r="N2356" s="1" t="s">
        <v>16776</v>
      </c>
      <c r="O2356" s="1" t="s">
        <v>48</v>
      </c>
      <c r="P2356" s="1" t="s">
        <v>16777</v>
      </c>
      <c r="Q2356" s="4">
        <v>0.64500000000000002</v>
      </c>
      <c r="R2356" s="4">
        <v>0.64500000000000002</v>
      </c>
      <c r="S2356" s="8">
        <v>3.75</v>
      </c>
      <c r="T2356" s="1" t="s">
        <v>50</v>
      </c>
      <c r="U2356" s="1"/>
      <c r="V2356" s="1"/>
      <c r="W2356" s="1"/>
      <c r="X2356" s="5">
        <v>400</v>
      </c>
      <c r="Y2356" s="7">
        <v>10000000</v>
      </c>
      <c r="Z2356" s="1"/>
      <c r="AA2356" s="1" t="s">
        <v>16778</v>
      </c>
      <c r="AB2356" s="1" t="s">
        <v>2067</v>
      </c>
      <c r="AC2356" s="1" t="s">
        <v>2068</v>
      </c>
      <c r="AD2356" s="1" t="s">
        <v>2067</v>
      </c>
      <c r="AE2356" s="1" t="s">
        <v>51</v>
      </c>
      <c r="AF2356" s="1" t="s">
        <v>51</v>
      </c>
      <c r="AG2356" s="1" t="s">
        <v>51</v>
      </c>
      <c r="AH2356" s="1" t="s">
        <v>16779</v>
      </c>
      <c r="AI2356" s="1" t="s">
        <v>16780</v>
      </c>
      <c r="AJ2356" s="3">
        <v>2</v>
      </c>
      <c r="AK2356" s="1" t="s">
        <v>89</v>
      </c>
      <c r="AL2356" s="3">
        <v>9</v>
      </c>
      <c r="AM2356" s="8">
        <v>19.350000000000001</v>
      </c>
      <c r="AN2356" s="1"/>
      <c r="AO2356" s="1" t="s">
        <v>16781</v>
      </c>
      <c r="AP2356" s="1" t="s">
        <v>16409</v>
      </c>
      <c r="AQ2356" s="1" t="s">
        <v>16782</v>
      </c>
      <c r="AR2356" s="1" t="s">
        <v>16783</v>
      </c>
    </row>
    <row r="2357">
      <c r="A2357" s="2">
        <f ca="1">DATE(2007,12,20)</f>
        <v>0</v>
      </c>
      <c r="B2357" s="2">
        <f ca="1">DATE(2008,05,14)</f>
        <v>0</v>
      </c>
      <c r="C2357" s="1" t="s">
        <v>16784</v>
      </c>
      <c r="D2357" s="3">
        <v>2621</v>
      </c>
      <c r="E2357" s="1" t="s">
        <v>43</v>
      </c>
      <c r="F2357" s="1" t="s">
        <v>16785</v>
      </c>
      <c r="G2357" s="1" t="s">
        <v>16786</v>
      </c>
      <c r="H2357" s="4">
        <v>0.78000000000000003</v>
      </c>
      <c r="I2357" s="4">
        <v>6.5</v>
      </c>
      <c r="J2357" s="5">
        <v>168</v>
      </c>
      <c r="K2357" s="4">
        <v>12</v>
      </c>
      <c r="L2357" s="1" t="s">
        <v>46</v>
      </c>
      <c r="M2357" s="1" t="s">
        <v>47</v>
      </c>
      <c r="N2357" s="1" t="s">
        <v>16787</v>
      </c>
      <c r="O2357" s="1" t="s">
        <v>108</v>
      </c>
      <c r="P2357" s="1" t="s">
        <v>16788</v>
      </c>
      <c r="Q2357" s="1" t="s">
        <v>145</v>
      </c>
      <c r="R2357" s="1" t="s">
        <v>145</v>
      </c>
      <c r="S2357" s="8">
        <v>3.8999999999999999</v>
      </c>
      <c r="T2357" s="1" t="s">
        <v>50</v>
      </c>
      <c r="U2357" s="1"/>
      <c r="V2357" s="1"/>
      <c r="W2357" s="1"/>
      <c r="X2357" s="5">
        <v>345</v>
      </c>
      <c r="Y2357" s="7">
        <v>14000000</v>
      </c>
      <c r="Z2357" s="1"/>
      <c r="AA2357" s="1" t="s">
        <v>16778</v>
      </c>
      <c r="AB2357" s="1" t="s">
        <v>2067</v>
      </c>
      <c r="AC2357" s="1" t="s">
        <v>2068</v>
      </c>
      <c r="AD2357" s="1" t="s">
        <v>2067</v>
      </c>
      <c r="AE2357" s="1" t="s">
        <v>51</v>
      </c>
      <c r="AF2357" s="1" t="s">
        <v>51</v>
      </c>
      <c r="AG2357" s="1" t="s">
        <v>51</v>
      </c>
      <c r="AH2357" s="1"/>
      <c r="AI2357" s="1"/>
      <c r="AJ2357" s="3">
        <v>2</v>
      </c>
      <c r="AK2357" s="1" t="s">
        <v>89</v>
      </c>
      <c r="AL2357" s="3">
        <v>8</v>
      </c>
      <c r="AM2357" s="8">
        <v>10</v>
      </c>
      <c r="AN2357" s="1"/>
      <c r="AO2357" s="1" t="s">
        <v>16789</v>
      </c>
      <c r="AP2357" s="1" t="s">
        <v>16790</v>
      </c>
      <c r="AQ2357" s="1" t="s">
        <v>16791</v>
      </c>
      <c r="AR2357" s="1" t="s">
        <v>16792</v>
      </c>
    </row>
    <row r="2358">
      <c r="A2358" s="2">
        <f ca="1">DATE(2008,04,29)</f>
        <v>0</v>
      </c>
      <c r="B2358" s="2">
        <f ca="1">DATE(2008,05,15)</f>
        <v>0</v>
      </c>
      <c r="C2358" s="1" t="s">
        <v>16793</v>
      </c>
      <c r="D2358" s="3">
        <v>6726</v>
      </c>
      <c r="E2358" s="1" t="s">
        <v>845</v>
      </c>
      <c r="F2358" s="1" t="s">
        <v>16794</v>
      </c>
      <c r="G2358" s="1" t="s">
        <v>16795</v>
      </c>
      <c r="H2358" s="4">
        <v>0.56000000000000005</v>
      </c>
      <c r="I2358" s="4">
        <v>11.199999999999999</v>
      </c>
      <c r="J2358" s="5">
        <v>18.800000000000001</v>
      </c>
      <c r="K2358" s="4">
        <v>5</v>
      </c>
      <c r="L2358" s="1" t="s">
        <v>46</v>
      </c>
      <c r="M2358" s="1" t="s">
        <v>47</v>
      </c>
      <c r="N2358" s="1" t="s">
        <v>16796</v>
      </c>
      <c r="O2358" s="1" t="s">
        <v>77</v>
      </c>
      <c r="P2358" s="1" t="s">
        <v>16797</v>
      </c>
      <c r="Q2358" s="1" t="s">
        <v>145</v>
      </c>
      <c r="R2358" s="1" t="s">
        <v>145</v>
      </c>
      <c r="S2358" s="1"/>
      <c r="T2358" s="1" t="s">
        <v>50</v>
      </c>
      <c r="U2358" s="8">
        <v>8</v>
      </c>
      <c r="V2358" s="8">
        <v>8</v>
      </c>
      <c r="W2358" s="7">
        <v>3750000</v>
      </c>
      <c r="X2358" s="5">
        <v>30</v>
      </c>
      <c r="Y2358" s="7">
        <v>3750000</v>
      </c>
      <c r="Z2358" s="1"/>
      <c r="AA2358" s="1" t="s">
        <v>16798</v>
      </c>
      <c r="AB2358" s="1" t="s">
        <v>2067</v>
      </c>
      <c r="AC2358" s="1" t="s">
        <v>2068</v>
      </c>
      <c r="AD2358" s="1" t="s">
        <v>2067</v>
      </c>
      <c r="AE2358" s="1" t="s">
        <v>51</v>
      </c>
      <c r="AF2358" s="1" t="s">
        <v>51</v>
      </c>
      <c r="AG2358" s="1" t="s">
        <v>51</v>
      </c>
      <c r="AH2358" s="1"/>
      <c r="AI2358" s="1"/>
      <c r="AJ2358" s="3">
        <v>2</v>
      </c>
      <c r="AK2358" s="1" t="s">
        <v>89</v>
      </c>
      <c r="AL2358" s="3">
        <v>2</v>
      </c>
      <c r="AM2358" s="1"/>
      <c r="AN2358" s="1"/>
      <c r="AO2358" s="1" t="s">
        <v>16799</v>
      </c>
      <c r="AP2358" s="1" t="s">
        <v>16800</v>
      </c>
      <c r="AQ2358" s="1" t="s">
        <v>16801</v>
      </c>
      <c r="AR2358" s="1" t="s">
        <v>16797</v>
      </c>
    </row>
    <row r="2359">
      <c r="A2359" s="2">
        <f ca="1">DATE(2008,05,16)</f>
        <v>0</v>
      </c>
      <c r="B2359" s="2">
        <f ca="1">DATE(2008,05,28)</f>
        <v>0</v>
      </c>
      <c r="C2359" s="1" t="s">
        <v>16802</v>
      </c>
      <c r="D2359" s="3">
        <v>4412</v>
      </c>
      <c r="E2359" s="1" t="s">
        <v>3764</v>
      </c>
      <c r="F2359" s="1" t="s">
        <v>16803</v>
      </c>
      <c r="G2359" s="1" t="s">
        <v>12535</v>
      </c>
      <c r="H2359" s="4">
        <v>1.2350000000000001</v>
      </c>
      <c r="I2359" s="4">
        <v>6.5</v>
      </c>
      <c r="J2359" s="5">
        <v>190</v>
      </c>
      <c r="K2359" s="4">
        <v>19</v>
      </c>
      <c r="L2359" s="1" t="s">
        <v>46</v>
      </c>
      <c r="M2359" s="1" t="s">
        <v>47</v>
      </c>
      <c r="N2359" s="1" t="s">
        <v>16804</v>
      </c>
      <c r="O2359" s="1" t="s">
        <v>108</v>
      </c>
      <c r="P2359" s="1" t="s">
        <v>16805</v>
      </c>
      <c r="Q2359" s="1" t="s">
        <v>145</v>
      </c>
      <c r="R2359" s="1" t="s">
        <v>145</v>
      </c>
      <c r="S2359" s="1"/>
      <c r="T2359" s="1" t="s">
        <v>50</v>
      </c>
      <c r="U2359" s="8">
        <v>22</v>
      </c>
      <c r="V2359" s="8">
        <v>20</v>
      </c>
      <c r="W2359" s="7">
        <v>10000000</v>
      </c>
      <c r="X2359" s="5">
        <v>210</v>
      </c>
      <c r="Y2359" s="1"/>
      <c r="Z2359" s="7">
        <v>10000000</v>
      </c>
      <c r="AA2359" s="1" t="s">
        <v>16806</v>
      </c>
      <c r="AB2359" s="1" t="s">
        <v>5265</v>
      </c>
      <c r="AC2359" s="1" t="s">
        <v>7759</v>
      </c>
      <c r="AD2359" s="1" t="s">
        <v>5265</v>
      </c>
      <c r="AE2359" s="1" t="s">
        <v>51</v>
      </c>
      <c r="AF2359" s="1" t="s">
        <v>51</v>
      </c>
      <c r="AG2359" s="1" t="s">
        <v>51</v>
      </c>
      <c r="AH2359" s="1"/>
      <c r="AI2359" s="1"/>
      <c r="AJ2359" s="3">
        <v>2</v>
      </c>
      <c r="AK2359" s="1" t="s">
        <v>89</v>
      </c>
      <c r="AL2359" s="3">
        <v>5</v>
      </c>
      <c r="AM2359" s="1"/>
      <c r="AN2359" s="1"/>
      <c r="AO2359" s="1" t="s">
        <v>16807</v>
      </c>
      <c r="AP2359" s="1" t="s">
        <v>12541</v>
      </c>
      <c r="AQ2359" s="1" t="s">
        <v>16808</v>
      </c>
      <c r="AR2359" s="1" t="s">
        <v>16809</v>
      </c>
    </row>
    <row r="2360">
      <c r="A2360" s="2">
        <f ca="1">DATE(2007,10,16)</f>
        <v>0</v>
      </c>
      <c r="B2360" s="2">
        <f ca="1">DATE(2008,06,11)</f>
        <v>0</v>
      </c>
      <c r="C2360" s="1" t="s">
        <v>16810</v>
      </c>
      <c r="D2360" s="3">
        <v>6799</v>
      </c>
      <c r="E2360" s="1" t="s">
        <v>43</v>
      </c>
      <c r="F2360" s="1" t="s">
        <v>16811</v>
      </c>
      <c r="G2360" s="1" t="s">
        <v>16812</v>
      </c>
      <c r="H2360" s="4">
        <v>0.98799999999999999</v>
      </c>
      <c r="I2360" s="4">
        <v>7</v>
      </c>
      <c r="J2360" s="5">
        <v>141.19999999999999</v>
      </c>
      <c r="K2360" s="8">
        <v>14.119999999999999</v>
      </c>
      <c r="L2360" s="1" t="s">
        <v>46</v>
      </c>
      <c r="M2360" s="1" t="s">
        <v>47</v>
      </c>
      <c r="N2360" s="1" t="s">
        <v>16813</v>
      </c>
      <c r="O2360" s="1" t="s">
        <v>108</v>
      </c>
      <c r="P2360" s="1" t="s">
        <v>16814</v>
      </c>
      <c r="Q2360" s="1" t="s">
        <v>145</v>
      </c>
      <c r="R2360" s="1" t="s">
        <v>145</v>
      </c>
      <c r="S2360" s="1"/>
      <c r="T2360" s="1" t="s">
        <v>50</v>
      </c>
      <c r="U2360" s="1"/>
      <c r="V2360" s="1"/>
      <c r="W2360" s="1"/>
      <c r="X2360" s="5">
        <v>150</v>
      </c>
      <c r="Y2360" s="7">
        <v>10000000</v>
      </c>
      <c r="Z2360" s="1"/>
      <c r="AA2360" s="1" t="s">
        <v>16815</v>
      </c>
      <c r="AB2360" s="1" t="s">
        <v>2067</v>
      </c>
      <c r="AC2360" s="1" t="s">
        <v>2068</v>
      </c>
      <c r="AD2360" s="1" t="s">
        <v>2067</v>
      </c>
      <c r="AE2360" s="1" t="s">
        <v>51</v>
      </c>
      <c r="AF2360" s="1" t="s">
        <v>51</v>
      </c>
      <c r="AG2360" s="1" t="s">
        <v>51</v>
      </c>
      <c r="AH2360" s="1"/>
      <c r="AI2360" s="1"/>
      <c r="AJ2360" s="3">
        <v>3</v>
      </c>
      <c r="AK2360" s="1" t="s">
        <v>110</v>
      </c>
      <c r="AL2360" s="3">
        <v>5</v>
      </c>
      <c r="AM2360" s="8">
        <v>12.119999999999999</v>
      </c>
      <c r="AN2360" s="1"/>
      <c r="AO2360" s="1" t="s">
        <v>16816</v>
      </c>
      <c r="AP2360" s="1" t="s">
        <v>16817</v>
      </c>
      <c r="AQ2360" s="1" t="s">
        <v>16818</v>
      </c>
      <c r="AR2360" s="1" t="s">
        <v>16814</v>
      </c>
    </row>
    <row r="2361">
      <c r="A2361" s="2">
        <f ca="1">DATE(2007,09,14)</f>
        <v>0</v>
      </c>
      <c r="B2361" s="2">
        <f ca="1">DATE(2008,06,17)</f>
        <v>0</v>
      </c>
      <c r="C2361" s="1" t="s">
        <v>16819</v>
      </c>
      <c r="D2361" s="3">
        <v>7812</v>
      </c>
      <c r="E2361" s="1" t="s">
        <v>43</v>
      </c>
      <c r="F2361" s="1" t="s">
        <v>16820</v>
      </c>
      <c r="G2361" s="1" t="s">
        <v>8151</v>
      </c>
      <c r="H2361" s="4">
        <v>0.97999999999999998</v>
      </c>
      <c r="I2361" s="8">
        <v>7</v>
      </c>
      <c r="J2361" s="5">
        <v>189</v>
      </c>
      <c r="K2361" s="4">
        <v>14</v>
      </c>
      <c r="L2361" s="1" t="s">
        <v>46</v>
      </c>
      <c r="M2361" s="1" t="s">
        <v>47</v>
      </c>
      <c r="N2361" s="1" t="s">
        <v>16821</v>
      </c>
      <c r="O2361" s="1" t="s">
        <v>48</v>
      </c>
      <c r="P2361" s="1" t="s">
        <v>16822</v>
      </c>
      <c r="Q2361" s="1" t="s">
        <v>145</v>
      </c>
      <c r="R2361" s="1" t="s">
        <v>145</v>
      </c>
      <c r="S2361" s="8">
        <v>4.2000000000000002</v>
      </c>
      <c r="T2361" s="1" t="s">
        <v>50</v>
      </c>
      <c r="U2361" s="1"/>
      <c r="V2361" s="1"/>
      <c r="W2361" s="1"/>
      <c r="X2361" s="5">
        <v>250</v>
      </c>
      <c r="Y2361" s="7">
        <v>13500000</v>
      </c>
      <c r="Z2361" s="1"/>
      <c r="AA2361" s="1" t="s">
        <v>16823</v>
      </c>
      <c r="AB2361" s="1" t="s">
        <v>2067</v>
      </c>
      <c r="AC2361" s="1" t="s">
        <v>2068</v>
      </c>
      <c r="AD2361" s="1" t="s">
        <v>2067</v>
      </c>
      <c r="AE2361" s="1" t="s">
        <v>51</v>
      </c>
      <c r="AF2361" s="1" t="s">
        <v>51</v>
      </c>
      <c r="AG2361" s="1" t="s">
        <v>47</v>
      </c>
      <c r="AH2361" s="1"/>
      <c r="AI2361" s="1"/>
      <c r="AJ2361" s="3">
        <v>2</v>
      </c>
      <c r="AK2361" s="1" t="s">
        <v>89</v>
      </c>
      <c r="AL2361" s="3">
        <v>4</v>
      </c>
      <c r="AM2361" s="8">
        <v>13.5</v>
      </c>
      <c r="AN2361" s="1"/>
      <c r="AO2361" s="1" t="s">
        <v>16824</v>
      </c>
      <c r="AP2361" s="1" t="s">
        <v>8158</v>
      </c>
      <c r="AQ2361" s="1" t="s">
        <v>16825</v>
      </c>
      <c r="AR2361" s="1" t="s">
        <v>16826</v>
      </c>
    </row>
    <row r="2362">
      <c r="A2362" s="2">
        <f ca="1">DATE(2008,06,04)</f>
        <v>0</v>
      </c>
      <c r="B2362" s="2">
        <f ca="1">DATE(2008,06,17)</f>
        <v>0</v>
      </c>
      <c r="C2362" s="1" t="s">
        <v>16827</v>
      </c>
      <c r="D2362" s="3">
        <v>4412</v>
      </c>
      <c r="E2362" s="1" t="s">
        <v>1956</v>
      </c>
      <c r="F2362" s="1" t="s">
        <v>16828</v>
      </c>
      <c r="G2362" s="1" t="s">
        <v>15127</v>
      </c>
      <c r="H2362" s="4">
        <v>1.05</v>
      </c>
      <c r="I2362" s="4">
        <v>7</v>
      </c>
      <c r="J2362" s="5">
        <v>125</v>
      </c>
      <c r="K2362" s="8">
        <v>15</v>
      </c>
      <c r="L2362" s="1" t="s">
        <v>58</v>
      </c>
      <c r="M2362" s="1" t="s">
        <v>47</v>
      </c>
      <c r="N2362" s="1" t="s">
        <v>16829</v>
      </c>
      <c r="O2362" s="1" t="s">
        <v>108</v>
      </c>
      <c r="P2362" s="1" t="s">
        <v>16830</v>
      </c>
      <c r="Q2362" s="4">
        <v>1.3999999999999999</v>
      </c>
      <c r="R2362" s="4">
        <v>1.3999999999999999</v>
      </c>
      <c r="S2362" s="8">
        <v>4.2000000000000002</v>
      </c>
      <c r="T2362" s="1" t="s">
        <v>60</v>
      </c>
      <c r="U2362" s="8">
        <v>19</v>
      </c>
      <c r="V2362" s="8">
        <v>17</v>
      </c>
      <c r="W2362" s="7">
        <v>8333333</v>
      </c>
      <c r="X2362" s="5">
        <v>150</v>
      </c>
      <c r="Y2362" s="7">
        <v>8333333</v>
      </c>
      <c r="Z2362" s="1"/>
      <c r="AA2362" s="1"/>
      <c r="AB2362" s="1"/>
      <c r="AC2362" s="3">
        <v>180</v>
      </c>
      <c r="AD2362" s="1"/>
      <c r="AE2362" s="1" t="s">
        <v>51</v>
      </c>
      <c r="AF2362" s="1" t="s">
        <v>51</v>
      </c>
      <c r="AG2362" s="1" t="s">
        <v>51</v>
      </c>
      <c r="AH2362" s="1"/>
      <c r="AI2362" s="1"/>
      <c r="AJ2362" s="3">
        <v>2</v>
      </c>
      <c r="AK2362" s="1" t="s">
        <v>89</v>
      </c>
      <c r="AL2362" s="3">
        <v>2</v>
      </c>
      <c r="AM2362" s="8">
        <v>14.25</v>
      </c>
      <c r="AN2362" s="1"/>
      <c r="AO2362" s="1" t="s">
        <v>16831</v>
      </c>
      <c r="AP2362" s="1" t="s">
        <v>15132</v>
      </c>
      <c r="AQ2362" s="1" t="s">
        <v>16832</v>
      </c>
      <c r="AR2362" s="1" t="s">
        <v>16833</v>
      </c>
    </row>
    <row r="2363">
      <c r="A2363" s="2">
        <f ca="1">DATE(2007,11,13)</f>
        <v>0</v>
      </c>
      <c r="B2363" s="2">
        <f ca="1">DATE(2008,06,19)</f>
        <v>0</v>
      </c>
      <c r="C2363" s="1" t="s">
        <v>16834</v>
      </c>
      <c r="D2363" s="3">
        <v>3691</v>
      </c>
      <c r="E2363" s="1" t="s">
        <v>744</v>
      </c>
      <c r="F2363" s="1" t="s">
        <v>16835</v>
      </c>
      <c r="G2363" s="1" t="s">
        <v>15172</v>
      </c>
      <c r="H2363" s="4">
        <v>0.33000000000000002</v>
      </c>
      <c r="I2363" s="4">
        <v>10.154</v>
      </c>
      <c r="J2363" s="5">
        <v>1.7</v>
      </c>
      <c r="K2363" s="4">
        <v>3.25</v>
      </c>
      <c r="L2363" s="1" t="s">
        <v>46</v>
      </c>
      <c r="M2363" s="1" t="s">
        <v>47</v>
      </c>
      <c r="N2363" s="1" t="s">
        <v>16836</v>
      </c>
      <c r="O2363" s="1" t="s">
        <v>87</v>
      </c>
      <c r="P2363" s="1" t="s">
        <v>15174</v>
      </c>
      <c r="Q2363" s="1" t="s">
        <v>145</v>
      </c>
      <c r="R2363" s="1" t="s">
        <v>145</v>
      </c>
      <c r="S2363" s="6">
        <v>6.1538500000000003</v>
      </c>
      <c r="T2363" s="1" t="s">
        <v>50</v>
      </c>
      <c r="U2363" s="8">
        <v>4</v>
      </c>
      <c r="V2363" s="8">
        <v>3</v>
      </c>
      <c r="W2363" s="7">
        <v>600000</v>
      </c>
      <c r="X2363" s="5">
        <v>2.1000000000000001</v>
      </c>
      <c r="Y2363" s="7">
        <v>525000</v>
      </c>
      <c r="Z2363" s="1"/>
      <c r="AA2363" s="1" t="s">
        <v>16837</v>
      </c>
      <c r="AB2363" s="1" t="s">
        <v>2067</v>
      </c>
      <c r="AC2363" s="1" t="s">
        <v>6689</v>
      </c>
      <c r="AD2363" s="1" t="s">
        <v>2067</v>
      </c>
      <c r="AE2363" s="1" t="s">
        <v>51</v>
      </c>
      <c r="AF2363" s="1" t="s">
        <v>51</v>
      </c>
      <c r="AG2363" s="1" t="s">
        <v>51</v>
      </c>
      <c r="AH2363" s="1"/>
      <c r="AI2363" s="1"/>
      <c r="AJ2363" s="3">
        <v>1</v>
      </c>
      <c r="AK2363" s="1" t="s">
        <v>52</v>
      </c>
      <c r="AL2363" s="3">
        <v>1</v>
      </c>
      <c r="AM2363" s="8">
        <v>6.4199999999999999</v>
      </c>
      <c r="AN2363" s="3">
        <v>7</v>
      </c>
      <c r="AO2363" s="1" t="s">
        <v>15172</v>
      </c>
      <c r="AP2363" s="1" t="s">
        <v>15172</v>
      </c>
      <c r="AQ2363" s="1" t="s">
        <v>15172</v>
      </c>
      <c r="AR2363" s="1" t="s">
        <v>15174</v>
      </c>
    </row>
    <row r="2364">
      <c r="A2364" s="2">
        <f ca="1">DATE(2008,06,17)</f>
        <v>0</v>
      </c>
      <c r="B2364" s="2">
        <f ca="1">DATE(2008,06,26)</f>
        <v>0</v>
      </c>
      <c r="C2364" s="1" t="s">
        <v>16838</v>
      </c>
      <c r="D2364" s="3">
        <v>4412</v>
      </c>
      <c r="E2364" s="1" t="s">
        <v>3764</v>
      </c>
      <c r="F2364" s="1" t="s">
        <v>16839</v>
      </c>
      <c r="G2364" s="1" t="s">
        <v>15331</v>
      </c>
      <c r="H2364" s="4">
        <v>0.69999999999999996</v>
      </c>
      <c r="I2364" s="8">
        <v>7</v>
      </c>
      <c r="J2364" s="5">
        <v>220</v>
      </c>
      <c r="K2364" s="4">
        <v>10</v>
      </c>
      <c r="L2364" s="1" t="s">
        <v>46</v>
      </c>
      <c r="M2364" s="1" t="s">
        <v>47</v>
      </c>
      <c r="N2364" s="1" t="s">
        <v>16840</v>
      </c>
      <c r="O2364" s="1" t="s">
        <v>108</v>
      </c>
      <c r="P2364" s="1" t="s">
        <v>16841</v>
      </c>
      <c r="Q2364" s="1" t="s">
        <v>145</v>
      </c>
      <c r="R2364" s="1" t="s">
        <v>145</v>
      </c>
      <c r="S2364" s="8">
        <v>1</v>
      </c>
      <c r="T2364" s="1" t="s">
        <v>50</v>
      </c>
      <c r="U2364" s="8">
        <v>10</v>
      </c>
      <c r="V2364" s="8">
        <v>10</v>
      </c>
      <c r="W2364" s="7">
        <v>22000000</v>
      </c>
      <c r="X2364" s="5">
        <v>220</v>
      </c>
      <c r="Y2364" s="7">
        <v>22000000</v>
      </c>
      <c r="Z2364" s="1"/>
      <c r="AA2364" s="1" t="s">
        <v>16842</v>
      </c>
      <c r="AB2364" s="1" t="s">
        <v>2067</v>
      </c>
      <c r="AC2364" s="1" t="s">
        <v>2068</v>
      </c>
      <c r="AD2364" s="1" t="s">
        <v>2067</v>
      </c>
      <c r="AE2364" s="1" t="s">
        <v>51</v>
      </c>
      <c r="AF2364" s="1" t="s">
        <v>51</v>
      </c>
      <c r="AG2364" s="1" t="s">
        <v>51</v>
      </c>
      <c r="AH2364" s="1"/>
      <c r="AI2364" s="1"/>
      <c r="AJ2364" s="3">
        <v>2</v>
      </c>
      <c r="AK2364" s="1" t="s">
        <v>89</v>
      </c>
      <c r="AL2364" s="3">
        <v>3</v>
      </c>
      <c r="AM2364" s="1"/>
      <c r="AN2364" s="1"/>
      <c r="AO2364" s="1" t="s">
        <v>16843</v>
      </c>
      <c r="AP2364" s="1" t="s">
        <v>15335</v>
      </c>
      <c r="AQ2364" s="1" t="s">
        <v>16844</v>
      </c>
      <c r="AR2364" s="1" t="s">
        <v>16845</v>
      </c>
    </row>
    <row r="2365">
      <c r="A2365" s="2">
        <f ca="1">DATE(2008,04,01)</f>
        <v>0</v>
      </c>
      <c r="B2365" s="2">
        <f ca="1">DATE(2008,07,01)</f>
        <v>0</v>
      </c>
      <c r="C2365" s="1" t="s">
        <v>16846</v>
      </c>
      <c r="D2365" s="3">
        <v>3559</v>
      </c>
      <c r="E2365" s="1" t="s">
        <v>43</v>
      </c>
      <c r="F2365" s="1" t="s">
        <v>16847</v>
      </c>
      <c r="G2365" s="1" t="s">
        <v>15190</v>
      </c>
      <c r="H2365" s="4">
        <v>0.59499999999999997</v>
      </c>
      <c r="I2365" s="8">
        <v>7</v>
      </c>
      <c r="J2365" s="5">
        <v>119</v>
      </c>
      <c r="K2365" s="4">
        <v>8.5</v>
      </c>
      <c r="L2365" s="1" t="s">
        <v>46</v>
      </c>
      <c r="M2365" s="1" t="s">
        <v>47</v>
      </c>
      <c r="N2365" s="1" t="s">
        <v>16848</v>
      </c>
      <c r="O2365" s="1" t="s">
        <v>48</v>
      </c>
      <c r="P2365" s="1" t="s">
        <v>16849</v>
      </c>
      <c r="Q2365" s="4">
        <v>1.3999999999999999</v>
      </c>
      <c r="R2365" s="4">
        <v>1.3999999999999999</v>
      </c>
      <c r="S2365" s="8">
        <v>4.2000000000000002</v>
      </c>
      <c r="T2365" s="1" t="s">
        <v>50</v>
      </c>
      <c r="U2365" s="1"/>
      <c r="V2365" s="1"/>
      <c r="W2365" s="1"/>
      <c r="X2365" s="5">
        <v>175</v>
      </c>
      <c r="Y2365" s="7">
        <v>8078566</v>
      </c>
      <c r="Z2365" s="7">
        <v>5921434</v>
      </c>
      <c r="AA2365" s="1" t="s">
        <v>16850</v>
      </c>
      <c r="AB2365" s="1" t="s">
        <v>5265</v>
      </c>
      <c r="AC2365" s="1" t="s">
        <v>7759</v>
      </c>
      <c r="AD2365" s="1" t="s">
        <v>5265</v>
      </c>
      <c r="AE2365" s="1" t="s">
        <v>51</v>
      </c>
      <c r="AF2365" s="1" t="s">
        <v>51</v>
      </c>
      <c r="AG2365" s="1" t="s">
        <v>51</v>
      </c>
      <c r="AH2365" s="1"/>
      <c r="AI2365" s="1"/>
      <c r="AJ2365" s="3">
        <v>2</v>
      </c>
      <c r="AK2365" s="1" t="s">
        <v>89</v>
      </c>
      <c r="AL2365" s="3">
        <v>6</v>
      </c>
      <c r="AM2365" s="8">
        <v>11</v>
      </c>
      <c r="AN2365" s="1"/>
      <c r="AO2365" s="1" t="s">
        <v>16851</v>
      </c>
      <c r="AP2365" s="1" t="s">
        <v>15195</v>
      </c>
      <c r="AQ2365" s="1" t="s">
        <v>16852</v>
      </c>
      <c r="AR2365" s="1" t="s">
        <v>16853</v>
      </c>
    </row>
    <row r="2366">
      <c r="A2366" s="2">
        <f ca="1">DATE(2007,04,26)</f>
        <v>0</v>
      </c>
      <c r="B2366" s="2">
        <f ca="1">DATE(2008,07,23)</f>
        <v>0</v>
      </c>
      <c r="C2366" s="1" t="s">
        <v>16854</v>
      </c>
      <c r="D2366" s="3">
        <v>3674</v>
      </c>
      <c r="E2366" s="1" t="s">
        <v>43</v>
      </c>
      <c r="F2366" s="1" t="s">
        <v>16855</v>
      </c>
      <c r="G2366" s="1" t="s">
        <v>11830</v>
      </c>
      <c r="H2366" s="4">
        <v>0.98999999999999999</v>
      </c>
      <c r="I2366" s="4">
        <v>6</v>
      </c>
      <c r="J2366" s="5">
        <v>500</v>
      </c>
      <c r="K2366" s="4">
        <v>16.5</v>
      </c>
      <c r="L2366" s="1" t="s">
        <v>46</v>
      </c>
      <c r="M2366" s="1" t="s">
        <v>47</v>
      </c>
      <c r="N2366" s="1" t="s">
        <v>16856</v>
      </c>
      <c r="O2366" s="1" t="s">
        <v>48</v>
      </c>
      <c r="P2366" s="1" t="s">
        <v>16857</v>
      </c>
      <c r="Q2366" s="1" t="s">
        <v>145</v>
      </c>
      <c r="R2366" s="1" t="s">
        <v>145</v>
      </c>
      <c r="S2366" s="8">
        <v>3.6000000000000001</v>
      </c>
      <c r="T2366" s="1" t="s">
        <v>50</v>
      </c>
      <c r="U2366" s="1"/>
      <c r="V2366" s="1"/>
      <c r="W2366" s="1"/>
      <c r="X2366" s="5">
        <v>200</v>
      </c>
      <c r="Y2366" s="1"/>
      <c r="Z2366" s="7">
        <v>30300000</v>
      </c>
      <c r="AA2366" s="1" t="s">
        <v>16858</v>
      </c>
      <c r="AB2366" s="1" t="s">
        <v>5265</v>
      </c>
      <c r="AC2366" s="1" t="s">
        <v>7759</v>
      </c>
      <c r="AD2366" s="1" t="s">
        <v>5265</v>
      </c>
      <c r="AE2366" s="1" t="s">
        <v>51</v>
      </c>
      <c r="AF2366" s="1" t="s">
        <v>51</v>
      </c>
      <c r="AG2366" s="1" t="s">
        <v>51</v>
      </c>
      <c r="AH2366" s="1"/>
      <c r="AI2366" s="1" t="s">
        <v>16859</v>
      </c>
      <c r="AJ2366" s="3">
        <v>2</v>
      </c>
      <c r="AK2366" s="1" t="s">
        <v>110</v>
      </c>
      <c r="AL2366" s="3">
        <v>6</v>
      </c>
      <c r="AM2366" s="8">
        <v>14.59</v>
      </c>
      <c r="AN2366" s="1"/>
      <c r="AO2366" s="1" t="s">
        <v>16860</v>
      </c>
      <c r="AP2366" s="1" t="s">
        <v>14853</v>
      </c>
      <c r="AQ2366" s="1" t="s">
        <v>16861</v>
      </c>
      <c r="AR2366" s="1" t="s">
        <v>16862</v>
      </c>
    </row>
    <row r="2367">
      <c r="A2367" s="2">
        <f ca="1">DATE(2007,12,28)</f>
        <v>0</v>
      </c>
      <c r="B2367" s="2">
        <f ca="1">DATE(2008,07,23)</f>
        <v>0</v>
      </c>
      <c r="C2367" s="1" t="s">
        <v>16863</v>
      </c>
      <c r="D2367" s="3">
        <v>6726</v>
      </c>
      <c r="E2367" s="1" t="s">
        <v>1204</v>
      </c>
      <c r="F2367" s="1" t="s">
        <v>16864</v>
      </c>
      <c r="G2367" s="1" t="s">
        <v>15222</v>
      </c>
      <c r="H2367" s="4">
        <v>0.69999999999999996</v>
      </c>
      <c r="I2367" s="8">
        <v>7</v>
      </c>
      <c r="J2367" s="5">
        <v>50</v>
      </c>
      <c r="K2367" s="4">
        <v>10</v>
      </c>
      <c r="L2367" s="1" t="s">
        <v>46</v>
      </c>
      <c r="M2367" s="1" t="s">
        <v>47</v>
      </c>
      <c r="N2367" s="1" t="s">
        <v>16865</v>
      </c>
      <c r="O2367" s="1" t="s">
        <v>87</v>
      </c>
      <c r="P2367" s="1" t="s">
        <v>16866</v>
      </c>
      <c r="Q2367" s="1" t="s">
        <v>145</v>
      </c>
      <c r="R2367" s="1" t="s">
        <v>145</v>
      </c>
      <c r="S2367" s="8">
        <v>1.8</v>
      </c>
      <c r="T2367" s="1" t="s">
        <v>50</v>
      </c>
      <c r="U2367" s="8">
        <v>10</v>
      </c>
      <c r="V2367" s="8">
        <v>10</v>
      </c>
      <c r="W2367" s="7">
        <v>10000000</v>
      </c>
      <c r="X2367" s="5">
        <v>100</v>
      </c>
      <c r="Y2367" s="7">
        <v>5000000</v>
      </c>
      <c r="Z2367" s="1"/>
      <c r="AA2367" s="1" t="s">
        <v>16867</v>
      </c>
      <c r="AB2367" s="1" t="s">
        <v>2067</v>
      </c>
      <c r="AC2367" s="1" t="s">
        <v>2068</v>
      </c>
      <c r="AD2367" s="1" t="s">
        <v>2067</v>
      </c>
      <c r="AE2367" s="1" t="s">
        <v>51</v>
      </c>
      <c r="AF2367" s="1" t="s">
        <v>51</v>
      </c>
      <c r="AG2367" s="1" t="s">
        <v>51</v>
      </c>
      <c r="AH2367" s="1"/>
      <c r="AI2367" s="1"/>
      <c r="AJ2367" s="3">
        <v>1</v>
      </c>
      <c r="AK2367" s="1" t="s">
        <v>52</v>
      </c>
      <c r="AL2367" s="3">
        <v>4</v>
      </c>
      <c r="AM2367" s="1"/>
      <c r="AN2367" s="1"/>
      <c r="AO2367" s="1" t="s">
        <v>16868</v>
      </c>
      <c r="AP2367" s="1" t="s">
        <v>15222</v>
      </c>
      <c r="AQ2367" s="1" t="s">
        <v>16869</v>
      </c>
      <c r="AR2367" s="1" t="s">
        <v>16866</v>
      </c>
    </row>
    <row r="2368">
      <c r="A2368" s="2">
        <f ca="1">DATE(2008,04,30)</f>
        <v>0</v>
      </c>
      <c r="B2368" s="2">
        <f ca="1">DATE(2008,07,24)</f>
        <v>0</v>
      </c>
      <c r="C2368" s="1" t="s">
        <v>16870</v>
      </c>
      <c r="D2368" s="3">
        <v>6331</v>
      </c>
      <c r="E2368" s="1" t="s">
        <v>43</v>
      </c>
      <c r="F2368" s="1" t="s">
        <v>16871</v>
      </c>
      <c r="G2368" s="1" t="s">
        <v>13399</v>
      </c>
      <c r="H2368" s="4">
        <v>0.48999999999999999</v>
      </c>
      <c r="I2368" s="8">
        <v>7</v>
      </c>
      <c r="J2368" s="5">
        <v>9.3000000000000007</v>
      </c>
      <c r="K2368" s="4">
        <v>7</v>
      </c>
      <c r="L2368" s="1" t="s">
        <v>46</v>
      </c>
      <c r="M2368" s="1" t="s">
        <v>47</v>
      </c>
      <c r="N2368" s="1" t="s">
        <v>16872</v>
      </c>
      <c r="O2368" s="1" t="s">
        <v>48</v>
      </c>
      <c r="P2368" s="1" t="s">
        <v>16873</v>
      </c>
      <c r="Q2368" s="1" t="s">
        <v>145</v>
      </c>
      <c r="R2368" s="1" t="s">
        <v>145</v>
      </c>
      <c r="S2368" s="8">
        <v>4</v>
      </c>
      <c r="T2368" s="1" t="s">
        <v>50</v>
      </c>
      <c r="U2368" s="8">
        <v>7</v>
      </c>
      <c r="V2368" s="8">
        <v>5</v>
      </c>
      <c r="W2368" s="7">
        <v>1333334</v>
      </c>
      <c r="X2368" s="5">
        <v>8</v>
      </c>
      <c r="Y2368" s="7">
        <v>1333334</v>
      </c>
      <c r="Z2368" s="1"/>
      <c r="AA2368" s="1" t="s">
        <v>16874</v>
      </c>
      <c r="AB2368" s="1" t="s">
        <v>2067</v>
      </c>
      <c r="AC2368" s="1" t="s">
        <v>9674</v>
      </c>
      <c r="AD2368" s="1" t="s">
        <v>2067</v>
      </c>
      <c r="AE2368" s="1" t="s">
        <v>51</v>
      </c>
      <c r="AF2368" s="1" t="s">
        <v>51</v>
      </c>
      <c r="AG2368" s="1" t="s">
        <v>51</v>
      </c>
      <c r="AH2368" s="1"/>
      <c r="AI2368" s="1"/>
      <c r="AJ2368" s="3">
        <v>1</v>
      </c>
      <c r="AK2368" s="1" t="s">
        <v>110</v>
      </c>
      <c r="AL2368" s="3">
        <v>3</v>
      </c>
      <c r="AM2368" s="1"/>
      <c r="AN2368" s="1"/>
      <c r="AO2368" s="1" t="s">
        <v>16875</v>
      </c>
      <c r="AP2368" s="1" t="s">
        <v>16876</v>
      </c>
      <c r="AQ2368" s="1" t="s">
        <v>16877</v>
      </c>
      <c r="AR2368" s="1" t="s">
        <v>16878</v>
      </c>
    </row>
    <row r="2369">
      <c r="A2369" s="2">
        <f ca="1">DATE(2008,07,07)</f>
        <v>0</v>
      </c>
      <c r="B2369" s="2">
        <f ca="1">DATE(2008,07,29)</f>
        <v>0</v>
      </c>
      <c r="C2369" s="1" t="s">
        <v>16879</v>
      </c>
      <c r="D2369" s="3">
        <v>8299</v>
      </c>
      <c r="E2369" s="1" t="s">
        <v>744</v>
      </c>
      <c r="F2369" s="1" t="s">
        <v>16880</v>
      </c>
      <c r="G2369" s="1" t="s">
        <v>15389</v>
      </c>
      <c r="H2369" s="4">
        <v>0.48999999999999999</v>
      </c>
      <c r="I2369" s="8">
        <v>7</v>
      </c>
      <c r="J2369" s="5">
        <v>61.299999999999997</v>
      </c>
      <c r="K2369" s="4">
        <v>7</v>
      </c>
      <c r="L2369" s="1" t="s">
        <v>651</v>
      </c>
      <c r="M2369" s="1" t="s">
        <v>47</v>
      </c>
      <c r="N2369" s="1" t="s">
        <v>16881</v>
      </c>
      <c r="O2369" s="1" t="s">
        <v>16197</v>
      </c>
      <c r="P2369" s="1" t="s">
        <v>16882</v>
      </c>
      <c r="Q2369" s="4">
        <v>1.3999999999999999</v>
      </c>
      <c r="R2369" s="4">
        <v>1.3999999999999999</v>
      </c>
      <c r="S2369" s="8">
        <v>4.2000000000000002</v>
      </c>
      <c r="T2369" s="1" t="s">
        <v>50</v>
      </c>
      <c r="U2369" s="1"/>
      <c r="V2369" s="1"/>
      <c r="W2369" s="1"/>
      <c r="X2369" s="5">
        <v>115</v>
      </c>
      <c r="Y2369" s="7">
        <v>8750000</v>
      </c>
      <c r="Z2369" s="1"/>
      <c r="AA2369" s="1" t="s">
        <v>16883</v>
      </c>
      <c r="AB2369" s="1" t="s">
        <v>13651</v>
      </c>
      <c r="AC2369" s="1" t="s">
        <v>16884</v>
      </c>
      <c r="AD2369" s="1" t="s">
        <v>13651</v>
      </c>
      <c r="AE2369" s="1" t="s">
        <v>47</v>
      </c>
      <c r="AF2369" s="1" t="s">
        <v>51</v>
      </c>
      <c r="AG2369" s="1" t="s">
        <v>47</v>
      </c>
      <c r="AH2369" s="1"/>
      <c r="AI2369" s="1"/>
      <c r="AJ2369" s="3">
        <v>2</v>
      </c>
      <c r="AK2369" s="1" t="s">
        <v>89</v>
      </c>
      <c r="AL2369" s="3">
        <v>4</v>
      </c>
      <c r="AM2369" s="1"/>
      <c r="AN2369" s="1"/>
      <c r="AO2369" s="1" t="s">
        <v>16885</v>
      </c>
      <c r="AP2369" s="1" t="s">
        <v>16409</v>
      </c>
      <c r="AQ2369" s="1" t="s">
        <v>16886</v>
      </c>
      <c r="AR2369" s="1" t="s">
        <v>16887</v>
      </c>
    </row>
    <row r="2370">
      <c r="A2370" s="2">
        <f ca="1">DATE(2008,07,11)</f>
        <v>0</v>
      </c>
      <c r="B2370" s="2">
        <f ca="1">DATE(2008,08,04)</f>
        <v>0</v>
      </c>
      <c r="C2370" s="1" t="s">
        <v>16888</v>
      </c>
      <c r="D2370" s="3">
        <v>7311</v>
      </c>
      <c r="E2370" s="1" t="s">
        <v>744</v>
      </c>
      <c r="F2370" s="1" t="s">
        <v>16889</v>
      </c>
      <c r="G2370" s="1" t="s">
        <v>45</v>
      </c>
      <c r="H2370" s="4">
        <v>0.47599999999999998</v>
      </c>
      <c r="I2370" s="8">
        <v>7</v>
      </c>
      <c r="J2370" s="5">
        <v>49</v>
      </c>
      <c r="K2370" s="4">
        <v>6.7999999999999998</v>
      </c>
      <c r="L2370" s="1" t="s">
        <v>651</v>
      </c>
      <c r="M2370" s="1" t="s">
        <v>47</v>
      </c>
      <c r="N2370" s="3">
        <v>169418100</v>
      </c>
      <c r="O2370" s="1" t="s">
        <v>108</v>
      </c>
      <c r="P2370" s="1" t="s">
        <v>16890</v>
      </c>
      <c r="Q2370" s="4">
        <v>1.3999999999999999</v>
      </c>
      <c r="R2370" s="4">
        <v>1.3999999999999999</v>
      </c>
      <c r="S2370" s="8">
        <v>4.2000000000000002</v>
      </c>
      <c r="T2370" s="1" t="s">
        <v>50</v>
      </c>
      <c r="U2370" s="1"/>
      <c r="V2370" s="1"/>
      <c r="W2370" s="1"/>
      <c r="X2370" s="5">
        <v>150</v>
      </c>
      <c r="Y2370" s="7">
        <v>7212500</v>
      </c>
      <c r="Z2370" s="1"/>
      <c r="AA2370" s="1" t="s">
        <v>16891</v>
      </c>
      <c r="AB2370" s="1" t="s">
        <v>5265</v>
      </c>
      <c r="AC2370" s="1" t="s">
        <v>7759</v>
      </c>
      <c r="AD2370" s="1" t="s">
        <v>5265</v>
      </c>
      <c r="AE2370" s="1" t="s">
        <v>47</v>
      </c>
      <c r="AF2370" s="1" t="s">
        <v>51</v>
      </c>
      <c r="AG2370" s="1" t="s">
        <v>51</v>
      </c>
      <c r="AH2370" s="1"/>
      <c r="AI2370" s="1"/>
      <c r="AJ2370" s="3">
        <v>1</v>
      </c>
      <c r="AK2370" s="1" t="s">
        <v>89</v>
      </c>
      <c r="AL2370" s="3">
        <v>3</v>
      </c>
      <c r="AM2370" s="8">
        <v>6.5</v>
      </c>
      <c r="AN2370" s="1"/>
      <c r="AO2370" s="1" t="s">
        <v>16892</v>
      </c>
      <c r="AP2370" s="1" t="s">
        <v>16893</v>
      </c>
      <c r="AQ2370" s="1" t="s">
        <v>16894</v>
      </c>
      <c r="AR2370" s="1" t="s">
        <v>16895</v>
      </c>
    </row>
    <row r="2371">
      <c r="A2371" s="2">
        <f ca="1">DATE(2008,04,25)</f>
        <v>0</v>
      </c>
      <c r="B2371" s="2">
        <f ca="1">DATE(2008,08,07)</f>
        <v>0</v>
      </c>
      <c r="C2371" s="1" t="s">
        <v>16896</v>
      </c>
      <c r="D2371" s="3">
        <v>7371</v>
      </c>
      <c r="E2371" s="1" t="s">
        <v>43</v>
      </c>
      <c r="F2371" s="1" t="s">
        <v>16897</v>
      </c>
      <c r="G2371" s="1" t="s">
        <v>16898</v>
      </c>
      <c r="H2371" s="4">
        <v>0.875</v>
      </c>
      <c r="I2371" s="4">
        <v>7</v>
      </c>
      <c r="J2371" s="5">
        <v>187.5</v>
      </c>
      <c r="K2371" s="4">
        <v>12.5</v>
      </c>
      <c r="L2371" s="1" t="s">
        <v>46</v>
      </c>
      <c r="M2371" s="1" t="s">
        <v>47</v>
      </c>
      <c r="N2371" s="3">
        <v>750086100</v>
      </c>
      <c r="O2371" s="1" t="s">
        <v>108</v>
      </c>
      <c r="P2371" s="1" t="s">
        <v>16899</v>
      </c>
      <c r="Q2371" s="4">
        <v>1.3999999999999999</v>
      </c>
      <c r="R2371" s="4">
        <v>1.3999999999999999</v>
      </c>
      <c r="S2371" s="8">
        <v>4.2000000000000002</v>
      </c>
      <c r="T2371" s="1" t="s">
        <v>50</v>
      </c>
      <c r="U2371" s="1"/>
      <c r="V2371" s="1"/>
      <c r="W2371" s="1"/>
      <c r="X2371" s="5">
        <v>400</v>
      </c>
      <c r="Y2371" s="7">
        <v>12700000</v>
      </c>
      <c r="Z2371" s="7">
        <v>2300000</v>
      </c>
      <c r="AA2371" s="1" t="s">
        <v>16900</v>
      </c>
      <c r="AB2371" s="1" t="s">
        <v>5265</v>
      </c>
      <c r="AC2371" s="1" t="s">
        <v>7759</v>
      </c>
      <c r="AD2371" s="1" t="s">
        <v>5265</v>
      </c>
      <c r="AE2371" s="1" t="s">
        <v>51</v>
      </c>
      <c r="AF2371" s="1" t="s">
        <v>51</v>
      </c>
      <c r="AG2371" s="1" t="s">
        <v>47</v>
      </c>
      <c r="AH2371" s="1"/>
      <c r="AI2371" s="1"/>
      <c r="AJ2371" s="3">
        <v>3</v>
      </c>
      <c r="AK2371" s="1" t="s">
        <v>110</v>
      </c>
      <c r="AL2371" s="3">
        <v>10</v>
      </c>
      <c r="AM2371" s="8">
        <v>10.01</v>
      </c>
      <c r="AN2371" s="1"/>
      <c r="AO2371" s="1" t="s">
        <v>16901</v>
      </c>
      <c r="AP2371" s="1" t="s">
        <v>16902</v>
      </c>
      <c r="AQ2371" s="1" t="s">
        <v>16903</v>
      </c>
      <c r="AR2371" s="1" t="s">
        <v>16904</v>
      </c>
    </row>
    <row r="2372">
      <c r="A2372" s="2">
        <f ca="1">DATE(2007,11,09)</f>
        <v>0</v>
      </c>
      <c r="B2372" s="2">
        <f ca="1">DATE(2008,08,11)</f>
        <v>0</v>
      </c>
      <c r="C2372" s="1" t="s">
        <v>16905</v>
      </c>
      <c r="D2372" s="3">
        <v>6726</v>
      </c>
      <c r="E2372" s="1" t="s">
        <v>43</v>
      </c>
      <c r="F2372" s="1" t="s">
        <v>16906</v>
      </c>
      <c r="G2372" s="1" t="s">
        <v>7222</v>
      </c>
      <c r="H2372" s="4">
        <v>0.41999999999999998</v>
      </c>
      <c r="I2372" s="8">
        <v>7</v>
      </c>
      <c r="J2372" s="5">
        <v>28.800000000000001</v>
      </c>
      <c r="K2372" s="4">
        <v>6</v>
      </c>
      <c r="L2372" s="1" t="s">
        <v>1057</v>
      </c>
      <c r="M2372" s="1" t="s">
        <v>47</v>
      </c>
      <c r="N2372" s="1" t="s">
        <v>16907</v>
      </c>
      <c r="O2372" s="1" t="s">
        <v>77</v>
      </c>
      <c r="P2372" s="1" t="s">
        <v>16662</v>
      </c>
      <c r="Q2372" s="1" t="s">
        <v>145</v>
      </c>
      <c r="R2372" s="1" t="s">
        <v>145</v>
      </c>
      <c r="S2372" s="8">
        <v>2.5</v>
      </c>
      <c r="T2372" s="1" t="s">
        <v>50</v>
      </c>
      <c r="U2372" s="8">
        <v>8</v>
      </c>
      <c r="V2372" s="8">
        <v>8</v>
      </c>
      <c r="W2372" s="7">
        <v>4000000</v>
      </c>
      <c r="X2372" s="5">
        <v>32</v>
      </c>
      <c r="Y2372" s="7">
        <v>4800000</v>
      </c>
      <c r="Z2372" s="1"/>
      <c r="AA2372" s="1" t="s">
        <v>16908</v>
      </c>
      <c r="AB2372" s="1" t="s">
        <v>2067</v>
      </c>
      <c r="AC2372" s="1" t="s">
        <v>2068</v>
      </c>
      <c r="AD2372" s="1" t="s">
        <v>2067</v>
      </c>
      <c r="AE2372" s="1" t="s">
        <v>51</v>
      </c>
      <c r="AF2372" s="1" t="s">
        <v>51</v>
      </c>
      <c r="AG2372" s="1" t="s">
        <v>51</v>
      </c>
      <c r="AH2372" s="1"/>
      <c r="AI2372" s="1"/>
      <c r="AJ2372" s="3">
        <v>1</v>
      </c>
      <c r="AK2372" s="1" t="s">
        <v>52</v>
      </c>
      <c r="AL2372" s="3">
        <v>2</v>
      </c>
      <c r="AM2372" s="1"/>
      <c r="AN2372" s="1"/>
      <c r="AO2372" s="1" t="s">
        <v>16664</v>
      </c>
      <c r="AP2372" s="1" t="s">
        <v>7222</v>
      </c>
      <c r="AQ2372" s="1" t="s">
        <v>16665</v>
      </c>
      <c r="AR2372" s="1" t="s">
        <v>16662</v>
      </c>
    </row>
    <row r="2373">
      <c r="A2373" s="2">
        <f ca="1">DATE(2008,07,30)</f>
        <v>0</v>
      </c>
      <c r="B2373" s="2">
        <f ca="1">DATE(2008,08,12)</f>
        <v>0</v>
      </c>
      <c r="C2373" s="1" t="s">
        <v>16909</v>
      </c>
      <c r="D2373" s="3">
        <v>6726</v>
      </c>
      <c r="E2373" s="1" t="s">
        <v>744</v>
      </c>
      <c r="F2373" s="1" t="s">
        <v>16910</v>
      </c>
      <c r="G2373" s="1" t="s">
        <v>16911</v>
      </c>
      <c r="H2373" s="4">
        <v>0.16</v>
      </c>
      <c r="I2373" s="4">
        <v>2</v>
      </c>
      <c r="J2373" s="5">
        <v>55</v>
      </c>
      <c r="K2373" s="4">
        <v>8</v>
      </c>
      <c r="L2373" s="1" t="s">
        <v>1057</v>
      </c>
      <c r="M2373" s="1" t="s">
        <v>47</v>
      </c>
      <c r="N2373" s="1" t="s">
        <v>16912</v>
      </c>
      <c r="O2373" s="1" t="s">
        <v>48</v>
      </c>
      <c r="P2373" s="1" t="s">
        <v>16913</v>
      </c>
      <c r="Q2373" s="1" t="s">
        <v>145</v>
      </c>
      <c r="R2373" s="1" t="s">
        <v>145</v>
      </c>
      <c r="S2373" s="6">
        <v>1.34375</v>
      </c>
      <c r="T2373" s="1" t="s">
        <v>50</v>
      </c>
      <c r="U2373" s="8">
        <v>8</v>
      </c>
      <c r="V2373" s="8">
        <v>8</v>
      </c>
      <c r="W2373" s="7">
        <v>6875000</v>
      </c>
      <c r="X2373" s="5">
        <v>55</v>
      </c>
      <c r="Y2373" s="7">
        <v>6875000</v>
      </c>
      <c r="Z2373" s="1"/>
      <c r="AA2373" s="1" t="s">
        <v>16914</v>
      </c>
      <c r="AB2373" s="1" t="s">
        <v>2067</v>
      </c>
      <c r="AC2373" s="1" t="s">
        <v>2068</v>
      </c>
      <c r="AD2373" s="1" t="s">
        <v>2067</v>
      </c>
      <c r="AE2373" s="1" t="s">
        <v>51</v>
      </c>
      <c r="AF2373" s="1" t="s">
        <v>51</v>
      </c>
      <c r="AG2373" s="1" t="s">
        <v>51</v>
      </c>
      <c r="AH2373" s="1"/>
      <c r="AI2373" s="1"/>
      <c r="AJ2373" s="3">
        <v>3</v>
      </c>
      <c r="AK2373" s="1" t="s">
        <v>110</v>
      </c>
      <c r="AL2373" s="3">
        <v>4</v>
      </c>
      <c r="AM2373" s="1"/>
      <c r="AN2373" s="1"/>
      <c r="AO2373" s="1" t="s">
        <v>16915</v>
      </c>
      <c r="AP2373" s="1" t="s">
        <v>16916</v>
      </c>
      <c r="AQ2373" s="1" t="s">
        <v>16917</v>
      </c>
      <c r="AR2373" s="1" t="s">
        <v>16913</v>
      </c>
    </row>
    <row r="2374">
      <c r="A2374" s="2">
        <f ca="1">DATE(2008,07,21)</f>
        <v>0</v>
      </c>
      <c r="B2374" s="2">
        <f ca="1">DATE(2008,08,14)</f>
        <v>0</v>
      </c>
      <c r="C2374" s="1" t="s">
        <v>16918</v>
      </c>
      <c r="D2374" s="3">
        <v>3519</v>
      </c>
      <c r="E2374" s="1" t="s">
        <v>166</v>
      </c>
      <c r="F2374" s="1" t="s">
        <v>16919</v>
      </c>
      <c r="G2374" s="1" t="s">
        <v>3766</v>
      </c>
      <c r="H2374" s="4">
        <v>0.76500000000000001</v>
      </c>
      <c r="I2374" s="4">
        <v>6.375</v>
      </c>
      <c r="J2374" s="5">
        <v>54</v>
      </c>
      <c r="K2374" s="8">
        <v>12</v>
      </c>
      <c r="L2374" s="1" t="s">
        <v>58</v>
      </c>
      <c r="M2374" s="1" t="s">
        <v>47</v>
      </c>
      <c r="N2374" s="3">
        <v>960908309</v>
      </c>
      <c r="O2374" s="1" t="s">
        <v>16920</v>
      </c>
      <c r="P2374" s="1" t="s">
        <v>16921</v>
      </c>
      <c r="Q2374" s="1" t="s">
        <v>145</v>
      </c>
      <c r="R2374" s="1" t="s">
        <v>145</v>
      </c>
      <c r="S2374" s="1"/>
      <c r="T2374" s="1" t="s">
        <v>60</v>
      </c>
      <c r="U2374" s="1"/>
      <c r="V2374" s="1"/>
      <c r="W2374" s="7">
        <v>4500000</v>
      </c>
      <c r="X2374" s="1"/>
      <c r="Y2374" s="7">
        <v>4500000</v>
      </c>
      <c r="Z2374" s="1"/>
      <c r="AA2374" s="1"/>
      <c r="AB2374" s="1"/>
      <c r="AC2374" s="1"/>
      <c r="AD2374" s="1"/>
      <c r="AE2374" s="1" t="s">
        <v>51</v>
      </c>
      <c r="AF2374" s="1" t="s">
        <v>51</v>
      </c>
      <c r="AG2374" s="1" t="s">
        <v>51</v>
      </c>
      <c r="AH2374" s="1"/>
      <c r="AI2374" s="1"/>
      <c r="AJ2374" s="3">
        <v>1</v>
      </c>
      <c r="AK2374" s="1" t="s">
        <v>52</v>
      </c>
      <c r="AL2374" s="3">
        <v>2</v>
      </c>
      <c r="AM2374" s="1"/>
      <c r="AN2374" s="1"/>
      <c r="AO2374" s="1" t="s">
        <v>16922</v>
      </c>
      <c r="AP2374" s="1" t="s">
        <v>3766</v>
      </c>
      <c r="AQ2374" s="1" t="s">
        <v>16923</v>
      </c>
      <c r="AR2374" s="1" t="s">
        <v>16924</v>
      </c>
    </row>
    <row r="2375">
      <c r="A2375" s="2">
        <f ca="1">DATE(2008,05,12)</f>
        <v>0</v>
      </c>
      <c r="B2375" s="2">
        <f ca="1">DATE(2008,08,22)</f>
        <v>0</v>
      </c>
      <c r="C2375" s="1" t="s">
        <v>16925</v>
      </c>
      <c r="D2375" s="3">
        <v>6726</v>
      </c>
      <c r="E2375" s="1" t="s">
        <v>43</v>
      </c>
      <c r="F2375" s="1" t="s">
        <v>16926</v>
      </c>
      <c r="G2375" s="1" t="s">
        <v>796</v>
      </c>
      <c r="H2375" s="4">
        <v>0.90000000000000002</v>
      </c>
      <c r="I2375" s="4">
        <v>4.5</v>
      </c>
      <c r="J2375" s="5">
        <v>142</v>
      </c>
      <c r="K2375" s="4">
        <v>20</v>
      </c>
      <c r="L2375" s="1" t="s">
        <v>46</v>
      </c>
      <c r="M2375" s="1" t="s">
        <v>47</v>
      </c>
      <c r="N2375" s="1" t="s">
        <v>16927</v>
      </c>
      <c r="O2375" s="1" t="s">
        <v>108</v>
      </c>
      <c r="P2375" s="1" t="s">
        <v>16928</v>
      </c>
      <c r="Q2375" s="1" t="s">
        <v>145</v>
      </c>
      <c r="R2375" s="1" t="s">
        <v>145</v>
      </c>
      <c r="S2375" s="8">
        <v>3</v>
      </c>
      <c r="T2375" s="1" t="s">
        <v>50</v>
      </c>
      <c r="U2375" s="8">
        <v>20</v>
      </c>
      <c r="V2375" s="8">
        <v>20</v>
      </c>
      <c r="W2375" s="7">
        <v>50000</v>
      </c>
      <c r="X2375" s="5">
        <v>1</v>
      </c>
      <c r="Y2375" s="7">
        <v>7100000</v>
      </c>
      <c r="Z2375" s="1"/>
      <c r="AA2375" s="2">
        <f ca="1">DATE(2009,02,18)</f>
        <v>0</v>
      </c>
      <c r="AB2375" s="1"/>
      <c r="AC2375" s="3">
        <v>180</v>
      </c>
      <c r="AD2375" s="1"/>
      <c r="AE2375" s="1" t="s">
        <v>51</v>
      </c>
      <c r="AF2375" s="1" t="s">
        <v>51</v>
      </c>
      <c r="AG2375" s="1" t="s">
        <v>51</v>
      </c>
      <c r="AH2375" s="1"/>
      <c r="AI2375" s="1"/>
      <c r="AJ2375" s="3">
        <v>1</v>
      </c>
      <c r="AK2375" s="1" t="s">
        <v>52</v>
      </c>
      <c r="AL2375" s="3">
        <v>4</v>
      </c>
      <c r="AM2375" s="1"/>
      <c r="AN2375" s="1"/>
      <c r="AO2375" s="1" t="s">
        <v>16929</v>
      </c>
      <c r="AP2375" s="1" t="s">
        <v>796</v>
      </c>
      <c r="AQ2375" s="1" t="s">
        <v>16930</v>
      </c>
      <c r="AR2375" s="1" t="s">
        <v>16928</v>
      </c>
    </row>
    <row r="2376">
      <c r="A2376" s="2">
        <f ca="1">DATE(2008,08,29)</f>
        <v>0</v>
      </c>
      <c r="B2376" s="2">
        <f ca="1">DATE(2008,09,05)</f>
        <v>0</v>
      </c>
      <c r="C2376" s="1" t="s">
        <v>16931</v>
      </c>
      <c r="D2376" s="3">
        <v>7372</v>
      </c>
      <c r="E2376" s="1" t="s">
        <v>744</v>
      </c>
      <c r="F2376" s="1" t="s">
        <v>16932</v>
      </c>
      <c r="G2376" s="1" t="s">
        <v>13399</v>
      </c>
      <c r="H2376" s="4">
        <v>0.48999999999999999</v>
      </c>
      <c r="I2376" s="8">
        <v>7</v>
      </c>
      <c r="J2376" s="5">
        <v>8.4000000000000004</v>
      </c>
      <c r="K2376" s="4">
        <v>7</v>
      </c>
      <c r="L2376" s="1" t="s">
        <v>46</v>
      </c>
      <c r="M2376" s="1" t="s">
        <v>47</v>
      </c>
      <c r="N2376" s="1" t="s">
        <v>16933</v>
      </c>
      <c r="O2376" s="1" t="s">
        <v>48</v>
      </c>
      <c r="P2376" s="1" t="s">
        <v>16934</v>
      </c>
      <c r="Q2376" s="1" t="s">
        <v>145</v>
      </c>
      <c r="R2376" s="1" t="s">
        <v>145</v>
      </c>
      <c r="S2376" s="1"/>
      <c r="T2376" s="1" t="s">
        <v>50</v>
      </c>
      <c r="U2376" s="1"/>
      <c r="V2376" s="1"/>
      <c r="W2376" s="1"/>
      <c r="X2376" s="5">
        <v>1.2</v>
      </c>
      <c r="Y2376" s="7">
        <v>1200000</v>
      </c>
      <c r="Z2376" s="1"/>
      <c r="AA2376" s="1" t="s">
        <v>16935</v>
      </c>
      <c r="AB2376" s="1" t="s">
        <v>5265</v>
      </c>
      <c r="AC2376" s="1" t="s">
        <v>5266</v>
      </c>
      <c r="AD2376" s="1" t="s">
        <v>5265</v>
      </c>
      <c r="AE2376" s="1" t="s">
        <v>51</v>
      </c>
      <c r="AF2376" s="1" t="s">
        <v>51</v>
      </c>
      <c r="AG2376" s="1" t="s">
        <v>47</v>
      </c>
      <c r="AH2376" s="1"/>
      <c r="AI2376" s="1"/>
      <c r="AJ2376" s="3">
        <v>1</v>
      </c>
      <c r="AK2376" s="1" t="s">
        <v>89</v>
      </c>
      <c r="AL2376" s="3">
        <v>2</v>
      </c>
      <c r="AM2376" s="1"/>
      <c r="AN2376" s="1"/>
      <c r="AO2376" s="1" t="s">
        <v>16936</v>
      </c>
      <c r="AP2376" s="1" t="s">
        <v>16937</v>
      </c>
      <c r="AQ2376" s="1" t="s">
        <v>16938</v>
      </c>
      <c r="AR2376" s="1" t="s">
        <v>16934</v>
      </c>
    </row>
    <row r="2377">
      <c r="A2377" s="2">
        <f ca="1">DATE(2008,06,06)</f>
        <v>0</v>
      </c>
      <c r="B2377" s="2">
        <f ca="1">DATE(2008,09,12)</f>
        <v>0</v>
      </c>
      <c r="C2377" s="1" t="s">
        <v>16939</v>
      </c>
      <c r="D2377" s="3">
        <v>6036</v>
      </c>
      <c r="E2377" s="1" t="s">
        <v>43</v>
      </c>
      <c r="F2377" s="1"/>
      <c r="G2377" s="1" t="s">
        <v>13399</v>
      </c>
      <c r="H2377" s="1" t="s">
        <v>57</v>
      </c>
      <c r="I2377" s="1" t="s">
        <v>57</v>
      </c>
      <c r="J2377" s="5">
        <v>89.299999999999997</v>
      </c>
      <c r="K2377" s="4">
        <v>10</v>
      </c>
      <c r="L2377" s="1" t="s">
        <v>46</v>
      </c>
      <c r="M2377" s="1" t="s">
        <v>47</v>
      </c>
      <c r="N2377" s="1" t="s">
        <v>16940</v>
      </c>
      <c r="O2377" s="1"/>
      <c r="P2377" s="1" t="s">
        <v>13401</v>
      </c>
      <c r="Q2377" s="1"/>
      <c r="R2377" s="1"/>
      <c r="S2377" s="1"/>
      <c r="T2377" s="1" t="s">
        <v>50</v>
      </c>
      <c r="U2377" s="8">
        <v>10</v>
      </c>
      <c r="V2377" s="8">
        <v>10</v>
      </c>
      <c r="W2377" s="7">
        <v>6375000</v>
      </c>
      <c r="X2377" s="5">
        <v>63.799999999999997</v>
      </c>
      <c r="Y2377" s="7">
        <v>8926875</v>
      </c>
      <c r="Z2377" s="1"/>
      <c r="AA2377" s="1"/>
      <c r="AB2377" s="1"/>
      <c r="AC2377" s="1"/>
      <c r="AD2377" s="1"/>
      <c r="AE2377" s="1" t="s">
        <v>51</v>
      </c>
      <c r="AF2377" s="1" t="s">
        <v>51</v>
      </c>
      <c r="AG2377" s="1" t="s">
        <v>51</v>
      </c>
      <c r="AH2377" s="1"/>
      <c r="AI2377" s="1"/>
      <c r="AJ2377" s="3">
        <v>1</v>
      </c>
      <c r="AK2377" s="1" t="s">
        <v>52</v>
      </c>
      <c r="AL2377" s="3">
        <v>1</v>
      </c>
      <c r="AM2377" s="1"/>
      <c r="AN2377" s="1"/>
      <c r="AO2377" s="1" t="s">
        <v>13399</v>
      </c>
      <c r="AP2377" s="1" t="s">
        <v>13399</v>
      </c>
      <c r="AQ2377" s="1" t="s">
        <v>13399</v>
      </c>
      <c r="AR2377" s="1" t="s">
        <v>13401</v>
      </c>
    </row>
    <row r="2378">
      <c r="A2378" s="2">
        <f ca="1">DATE(2008,05,13)</f>
        <v>0</v>
      </c>
      <c r="B2378" s="2">
        <f ca="1">DATE(2008,11,19)</f>
        <v>0</v>
      </c>
      <c r="C2378" s="1" t="s">
        <v>16941</v>
      </c>
      <c r="D2378" s="3">
        <v>8221</v>
      </c>
      <c r="E2378" s="1" t="s">
        <v>43</v>
      </c>
      <c r="F2378" s="1" t="s">
        <v>16942</v>
      </c>
      <c r="G2378" s="1" t="s">
        <v>15210</v>
      </c>
      <c r="H2378" s="4">
        <v>0.83999999999999997</v>
      </c>
      <c r="I2378" s="8">
        <v>7</v>
      </c>
      <c r="J2378" s="5">
        <v>126</v>
      </c>
      <c r="K2378" s="4">
        <v>12</v>
      </c>
      <c r="L2378" s="1" t="s">
        <v>46</v>
      </c>
      <c r="M2378" s="1" t="s">
        <v>47</v>
      </c>
      <c r="N2378" s="1" t="s">
        <v>16943</v>
      </c>
      <c r="O2378" s="1" t="s">
        <v>48</v>
      </c>
      <c r="P2378" s="1" t="s">
        <v>16944</v>
      </c>
      <c r="Q2378" s="4">
        <v>1.3999999999999999</v>
      </c>
      <c r="R2378" s="4">
        <v>1.3999999999999999</v>
      </c>
      <c r="S2378" s="8">
        <v>4.2000000000000002</v>
      </c>
      <c r="T2378" s="1" t="s">
        <v>50</v>
      </c>
      <c r="U2378" s="1"/>
      <c r="V2378" s="1"/>
      <c r="W2378" s="1"/>
      <c r="X2378" s="5">
        <v>230</v>
      </c>
      <c r="Y2378" s="7">
        <v>10500000</v>
      </c>
      <c r="Z2378" s="1"/>
      <c r="AA2378" s="1" t="s">
        <v>16945</v>
      </c>
      <c r="AB2378" s="1" t="s">
        <v>2067</v>
      </c>
      <c r="AC2378" s="1" t="s">
        <v>2068</v>
      </c>
      <c r="AD2378" s="1" t="s">
        <v>2067</v>
      </c>
      <c r="AE2378" s="1" t="s">
        <v>51</v>
      </c>
      <c r="AF2378" s="1" t="s">
        <v>51</v>
      </c>
      <c r="AG2378" s="1" t="s">
        <v>51</v>
      </c>
      <c r="AH2378" s="1"/>
      <c r="AI2378" s="1"/>
      <c r="AJ2378" s="3">
        <v>2</v>
      </c>
      <c r="AK2378" s="1" t="s">
        <v>89</v>
      </c>
      <c r="AL2378" s="3">
        <v>6</v>
      </c>
      <c r="AM2378" s="8">
        <v>11.85</v>
      </c>
      <c r="AN2378" s="1"/>
      <c r="AO2378" s="1" t="s">
        <v>16946</v>
      </c>
      <c r="AP2378" s="1" t="s">
        <v>15214</v>
      </c>
      <c r="AQ2378" s="1" t="s">
        <v>16947</v>
      </c>
      <c r="AR2378" s="1" t="s">
        <v>16948</v>
      </c>
    </row>
    <row r="2379">
      <c r="A2379" s="2">
        <f ca="1">DATE(2008,06,13)</f>
        <v>0</v>
      </c>
      <c r="B2379" s="2">
        <f ca="1">DATE(2009,01,28)</f>
        <v>0</v>
      </c>
      <c r="C2379" s="1" t="s">
        <v>16949</v>
      </c>
      <c r="D2379" s="3">
        <v>6021</v>
      </c>
      <c r="E2379" s="1" t="s">
        <v>43</v>
      </c>
      <c r="F2379" s="1" t="s">
        <v>16950</v>
      </c>
      <c r="G2379" s="1" t="s">
        <v>16951</v>
      </c>
      <c r="H2379" s="1" t="s">
        <v>57</v>
      </c>
      <c r="I2379" s="1" t="s">
        <v>57</v>
      </c>
      <c r="J2379" s="5">
        <v>11.1</v>
      </c>
      <c r="K2379" s="4">
        <v>10</v>
      </c>
      <c r="L2379" s="1" t="s">
        <v>46</v>
      </c>
      <c r="M2379" s="1" t="s">
        <v>47</v>
      </c>
      <c r="N2379" s="1" t="s">
        <v>16952</v>
      </c>
      <c r="O2379" s="1" t="s">
        <v>77</v>
      </c>
      <c r="P2379" s="1" t="s">
        <v>16953</v>
      </c>
      <c r="Q2379" s="1"/>
      <c r="R2379" s="1"/>
      <c r="S2379" s="1"/>
      <c r="T2379" s="1" t="s">
        <v>50</v>
      </c>
      <c r="U2379" s="8">
        <v>10</v>
      </c>
      <c r="V2379" s="8">
        <v>10</v>
      </c>
      <c r="W2379" s="7">
        <v>1437500</v>
      </c>
      <c r="X2379" s="5">
        <v>14.4</v>
      </c>
      <c r="Y2379" s="7">
        <v>1113334</v>
      </c>
      <c r="Z2379" s="1"/>
      <c r="AA2379" s="1"/>
      <c r="AB2379" s="1"/>
      <c r="AC2379" s="1"/>
      <c r="AD2379" s="1"/>
      <c r="AE2379" s="1" t="s">
        <v>51</v>
      </c>
      <c r="AF2379" s="1" t="s">
        <v>51</v>
      </c>
      <c r="AG2379" s="1" t="s">
        <v>51</v>
      </c>
      <c r="AH2379" s="1"/>
      <c r="AI2379" s="1"/>
      <c r="AJ2379" s="3">
        <v>1</v>
      </c>
      <c r="AK2379" s="1" t="s">
        <v>52</v>
      </c>
      <c r="AL2379" s="3">
        <v>1</v>
      </c>
      <c r="AM2379" s="8">
        <v>10.5</v>
      </c>
      <c r="AN2379" s="1"/>
      <c r="AO2379" s="1" t="s">
        <v>16951</v>
      </c>
      <c r="AP2379" s="1" t="s">
        <v>16951</v>
      </c>
      <c r="AQ2379" s="1" t="s">
        <v>16951</v>
      </c>
      <c r="AR2379" s="1" t="s">
        <v>16953</v>
      </c>
    </row>
    <row r="2380">
      <c r="A2380" s="2">
        <f ca="1">DATE(2008,12,19)</f>
        <v>0</v>
      </c>
      <c r="B2380" s="2">
        <f ca="1">DATE(2009,02,10)</f>
        <v>0</v>
      </c>
      <c r="C2380" s="1" t="s">
        <v>16954</v>
      </c>
      <c r="D2380" s="3">
        <v>2023</v>
      </c>
      <c r="E2380" s="1" t="s">
        <v>43</v>
      </c>
      <c r="F2380" s="1" t="s">
        <v>16955</v>
      </c>
      <c r="G2380" s="1" t="s">
        <v>16956</v>
      </c>
      <c r="H2380" s="4">
        <v>1.2</v>
      </c>
      <c r="I2380" s="4">
        <v>5</v>
      </c>
      <c r="J2380" s="5">
        <v>720</v>
      </c>
      <c r="K2380" s="4">
        <v>24</v>
      </c>
      <c r="L2380" s="1" t="s">
        <v>152</v>
      </c>
      <c r="M2380" s="1" t="s">
        <v>47</v>
      </c>
      <c r="N2380" s="3">
        <v>582839106</v>
      </c>
      <c r="O2380" s="1" t="s">
        <v>108</v>
      </c>
      <c r="P2380" s="1" t="s">
        <v>16957</v>
      </c>
      <c r="Q2380" s="4">
        <v>1</v>
      </c>
      <c r="R2380" s="4">
        <v>1</v>
      </c>
      <c r="S2380" s="8">
        <v>3</v>
      </c>
      <c r="T2380" s="1" t="s">
        <v>50</v>
      </c>
      <c r="U2380" s="1"/>
      <c r="V2380" s="1"/>
      <c r="W2380" s="1"/>
      <c r="X2380" s="9">
        <v>1000</v>
      </c>
      <c r="Y2380" s="7">
        <v>30000000</v>
      </c>
      <c r="Z2380" s="1"/>
      <c r="AA2380" s="2">
        <f ca="1">DATE(2009,08,09)</f>
        <v>0</v>
      </c>
      <c r="AB2380" s="4">
        <v>12.5</v>
      </c>
      <c r="AC2380" s="3">
        <v>180</v>
      </c>
      <c r="AD2380" s="8">
        <v>25000000</v>
      </c>
      <c r="AE2380" s="1" t="s">
        <v>51</v>
      </c>
      <c r="AF2380" s="1" t="s">
        <v>51</v>
      </c>
      <c r="AG2380" s="1" t="s">
        <v>51</v>
      </c>
      <c r="AH2380" s="1" t="s">
        <v>16958</v>
      </c>
      <c r="AI2380" s="1" t="s">
        <v>16959</v>
      </c>
      <c r="AJ2380" s="3">
        <v>5</v>
      </c>
      <c r="AK2380" s="1" t="s">
        <v>3985</v>
      </c>
      <c r="AL2380" s="3">
        <v>8</v>
      </c>
      <c r="AM2380" s="8">
        <v>26.43</v>
      </c>
      <c r="AN2380" s="1"/>
      <c r="AO2380" s="1" t="s">
        <v>16960</v>
      </c>
      <c r="AP2380" s="1" t="s">
        <v>16961</v>
      </c>
      <c r="AQ2380" s="1" t="s">
        <v>16962</v>
      </c>
      <c r="AR2380" s="1" t="s">
        <v>16963</v>
      </c>
    </row>
    <row r="2381">
      <c r="A2381" s="2">
        <f ca="1">DATE(2008,11,21)</f>
        <v>0</v>
      </c>
      <c r="B2381" s="2">
        <f ca="1">DATE(2009,02,24)</f>
        <v>0</v>
      </c>
      <c r="C2381" s="1" t="s">
        <v>16964</v>
      </c>
      <c r="D2381" s="3">
        <v>6726</v>
      </c>
      <c r="E2381" s="1" t="s">
        <v>43</v>
      </c>
      <c r="F2381" s="1" t="s">
        <v>16965</v>
      </c>
      <c r="G2381" s="1" t="s">
        <v>16966</v>
      </c>
      <c r="H2381" s="4">
        <v>0.67500000000000004</v>
      </c>
      <c r="I2381" s="4">
        <v>4.5</v>
      </c>
      <c r="J2381" s="5">
        <v>172.5</v>
      </c>
      <c r="K2381" s="4">
        <v>15</v>
      </c>
      <c r="L2381" s="1" t="s">
        <v>46</v>
      </c>
      <c r="M2381" s="1" t="s">
        <v>47</v>
      </c>
      <c r="N2381" s="3">
        <v>670695105</v>
      </c>
      <c r="O2381" s="1" t="s">
        <v>108</v>
      </c>
      <c r="P2381" s="1" t="s">
        <v>16967</v>
      </c>
      <c r="Q2381" s="1" t="s">
        <v>145</v>
      </c>
      <c r="R2381" s="1" t="s">
        <v>145</v>
      </c>
      <c r="S2381" s="8">
        <v>3</v>
      </c>
      <c r="T2381" s="1" t="s">
        <v>50</v>
      </c>
      <c r="U2381" s="8">
        <v>15</v>
      </c>
      <c r="V2381" s="8">
        <v>15</v>
      </c>
      <c r="W2381" s="7">
        <v>1000</v>
      </c>
      <c r="X2381" s="5">
        <v>0</v>
      </c>
      <c r="Y2381" s="7">
        <v>11500000</v>
      </c>
      <c r="Z2381" s="1"/>
      <c r="AA2381" s="2">
        <f ca="1">DATE(2009,08,23)</f>
        <v>0</v>
      </c>
      <c r="AB2381" s="1"/>
      <c r="AC2381" s="3">
        <v>180</v>
      </c>
      <c r="AD2381" s="1"/>
      <c r="AE2381" s="1" t="s">
        <v>51</v>
      </c>
      <c r="AF2381" s="1" t="s">
        <v>51</v>
      </c>
      <c r="AG2381" s="1" t="s">
        <v>51</v>
      </c>
      <c r="AH2381" s="1"/>
      <c r="AI2381" s="1"/>
      <c r="AJ2381" s="3">
        <v>14</v>
      </c>
      <c r="AK2381" s="1" t="s">
        <v>16968</v>
      </c>
      <c r="AL2381" s="3">
        <v>14</v>
      </c>
      <c r="AM2381" s="8">
        <v>15.039999999999999</v>
      </c>
      <c r="AN2381" s="1"/>
      <c r="AO2381" s="1" t="s">
        <v>16969</v>
      </c>
      <c r="AP2381" s="1" t="s">
        <v>16970</v>
      </c>
      <c r="AQ2381" s="1" t="s">
        <v>16971</v>
      </c>
      <c r="AR2381" s="1" t="s">
        <v>16972</v>
      </c>
    </row>
    <row r="2382">
      <c r="A2382" s="2">
        <f ca="1">DATE(2008,08,13)</f>
        <v>0</v>
      </c>
      <c r="B2382" s="2">
        <f ca="1">DATE(2009,03,12)</f>
        <v>0</v>
      </c>
      <c r="C2382" s="1" t="s">
        <v>16973</v>
      </c>
      <c r="D2382" s="3">
        <v>3651</v>
      </c>
      <c r="E2382" s="1" t="s">
        <v>744</v>
      </c>
      <c r="F2382" s="1" t="s">
        <v>16974</v>
      </c>
      <c r="G2382" s="1" t="s">
        <v>15172</v>
      </c>
      <c r="H2382" s="4">
        <v>0.34999999999999998</v>
      </c>
      <c r="I2382" s="4">
        <v>10</v>
      </c>
      <c r="J2382" s="5">
        <v>1.8999999999999999</v>
      </c>
      <c r="K2382" s="4">
        <v>3.5</v>
      </c>
      <c r="L2382" s="1" t="s">
        <v>46</v>
      </c>
      <c r="M2382" s="1" t="s">
        <v>47</v>
      </c>
      <c r="N2382" s="1" t="s">
        <v>16975</v>
      </c>
      <c r="O2382" s="1" t="s">
        <v>3689</v>
      </c>
      <c r="P2382" s="1" t="s">
        <v>15174</v>
      </c>
      <c r="Q2382" s="1" t="s">
        <v>145</v>
      </c>
      <c r="R2382" s="1" t="s">
        <v>145</v>
      </c>
      <c r="S2382" s="8">
        <v>6</v>
      </c>
      <c r="T2382" s="1" t="s">
        <v>50</v>
      </c>
      <c r="U2382" s="8">
        <v>4</v>
      </c>
      <c r="V2382" s="8">
        <v>3.25</v>
      </c>
      <c r="W2382" s="7">
        <v>500000</v>
      </c>
      <c r="X2382" s="5">
        <v>1.8</v>
      </c>
      <c r="Y2382" s="7">
        <v>550000</v>
      </c>
      <c r="Z2382" s="1"/>
      <c r="AA2382" s="2">
        <f ca="1">DATE(2009,06,10)</f>
        <v>0</v>
      </c>
      <c r="AB2382" s="4">
        <v>1.3899999999999999</v>
      </c>
      <c r="AC2382" s="3">
        <v>90</v>
      </c>
      <c r="AD2382" s="8">
        <v>550000</v>
      </c>
      <c r="AE2382" s="1" t="s">
        <v>51</v>
      </c>
      <c r="AF2382" s="1" t="s">
        <v>51</v>
      </c>
      <c r="AG2382" s="1" t="s">
        <v>51</v>
      </c>
      <c r="AH2382" s="1"/>
      <c r="AI2382" s="1"/>
      <c r="AJ2382" s="3">
        <v>1</v>
      </c>
      <c r="AK2382" s="1" t="s">
        <v>52</v>
      </c>
      <c r="AL2382" s="3">
        <v>1</v>
      </c>
      <c r="AM2382" s="8">
        <v>4.2000000000000002</v>
      </c>
      <c r="AN2382" s="1"/>
      <c r="AO2382" s="1" t="s">
        <v>15172</v>
      </c>
      <c r="AP2382" s="1" t="s">
        <v>15172</v>
      </c>
      <c r="AQ2382" s="1" t="s">
        <v>15172</v>
      </c>
      <c r="AR2382" s="1" t="s">
        <v>15174</v>
      </c>
    </row>
    <row r="2383">
      <c r="A2383" s="2">
        <f ca="1">DATE(2009,01,16)</f>
        <v>0</v>
      </c>
      <c r="B2383" s="2">
        <f ca="1">DATE(2009,03,26)</f>
        <v>0</v>
      </c>
      <c r="C2383" s="1" t="s">
        <v>16976</v>
      </c>
      <c r="D2383" s="3">
        <v>6726</v>
      </c>
      <c r="E2383" s="1" t="s">
        <v>43</v>
      </c>
      <c r="F2383" s="1" t="s">
        <v>16977</v>
      </c>
      <c r="G2383" s="1" t="s">
        <v>15247</v>
      </c>
      <c r="H2383" s="1" t="s">
        <v>57</v>
      </c>
      <c r="I2383" s="1" t="s">
        <v>57</v>
      </c>
      <c r="J2383" s="5">
        <v>218</v>
      </c>
      <c r="K2383" s="4">
        <v>20</v>
      </c>
      <c r="L2383" s="1" t="s">
        <v>46</v>
      </c>
      <c r="M2383" s="1" t="s">
        <v>47</v>
      </c>
      <c r="N2383" s="1" t="s">
        <v>16978</v>
      </c>
      <c r="O2383" s="1" t="s">
        <v>108</v>
      </c>
      <c r="P2383" s="1" t="s">
        <v>16979</v>
      </c>
      <c r="Q2383" s="1"/>
      <c r="R2383" s="1"/>
      <c r="S2383" s="1"/>
      <c r="T2383" s="1" t="s">
        <v>50</v>
      </c>
      <c r="U2383" s="8">
        <v>20</v>
      </c>
      <c r="V2383" s="8">
        <v>20</v>
      </c>
      <c r="W2383" s="7">
        <v>50000</v>
      </c>
      <c r="X2383" s="5">
        <v>1</v>
      </c>
      <c r="Y2383" s="7">
        <v>10900000</v>
      </c>
      <c r="Z2383" s="1"/>
      <c r="AA2383" s="1"/>
      <c r="AB2383" s="1"/>
      <c r="AC2383" s="1"/>
      <c r="AD2383" s="1"/>
      <c r="AE2383" s="1" t="s">
        <v>51</v>
      </c>
      <c r="AF2383" s="1" t="s">
        <v>51</v>
      </c>
      <c r="AG2383" s="1" t="s">
        <v>51</v>
      </c>
      <c r="AH2383" s="1"/>
      <c r="AI2383" s="1"/>
      <c r="AJ2383" s="3">
        <v>2</v>
      </c>
      <c r="AK2383" s="1" t="s">
        <v>89</v>
      </c>
      <c r="AL2383" s="3">
        <v>13</v>
      </c>
      <c r="AM2383" s="1"/>
      <c r="AN2383" s="1"/>
      <c r="AO2383" s="1" t="s">
        <v>16980</v>
      </c>
      <c r="AP2383" s="1" t="s">
        <v>15251</v>
      </c>
      <c r="AQ2383" s="1" t="s">
        <v>16981</v>
      </c>
      <c r="AR2383" s="1" t="s">
        <v>16982</v>
      </c>
    </row>
    <row r="2384">
      <c r="A2384" s="2">
        <f ca="1">DATE(2009,03,17)</f>
        <v>0</v>
      </c>
      <c r="B2384" s="2">
        <f ca="1">DATE(2009,04,01)</f>
        <v>0</v>
      </c>
      <c r="C2384" s="1" t="s">
        <v>16983</v>
      </c>
      <c r="D2384" s="3">
        <v>7375</v>
      </c>
      <c r="E2384" s="1" t="s">
        <v>744</v>
      </c>
      <c r="F2384" s="1" t="s">
        <v>16984</v>
      </c>
      <c r="G2384" s="1" t="s">
        <v>16985</v>
      </c>
      <c r="H2384" s="4">
        <v>1.1200000000000001</v>
      </c>
      <c r="I2384" s="4">
        <v>7</v>
      </c>
      <c r="J2384" s="5">
        <v>120</v>
      </c>
      <c r="K2384" s="4">
        <v>16</v>
      </c>
      <c r="L2384" s="1" t="s">
        <v>651</v>
      </c>
      <c r="M2384" s="1" t="s">
        <v>47</v>
      </c>
      <c r="N2384" s="1" t="s">
        <v>16986</v>
      </c>
      <c r="O2384" s="1" t="s">
        <v>48</v>
      </c>
      <c r="P2384" s="1" t="s">
        <v>16987</v>
      </c>
      <c r="Q2384" s="4">
        <v>1.3999999999999999</v>
      </c>
      <c r="R2384" s="4">
        <v>1.3999999999999999</v>
      </c>
      <c r="S2384" s="8">
        <v>4.2000000000000002</v>
      </c>
      <c r="T2384" s="1" t="s">
        <v>50</v>
      </c>
      <c r="U2384" s="8">
        <v>16</v>
      </c>
      <c r="V2384" s="8">
        <v>14</v>
      </c>
      <c r="W2384" s="7">
        <v>7500000</v>
      </c>
      <c r="X2384" s="5">
        <v>112.5</v>
      </c>
      <c r="Y2384" s="7">
        <v>3750000</v>
      </c>
      <c r="Z2384" s="7">
        <v>3750000</v>
      </c>
      <c r="AA2384" s="2">
        <f ca="1">DATE(2009,09,28)</f>
        <v>0</v>
      </c>
      <c r="AB2384" s="4">
        <v>7.3170000000000002</v>
      </c>
      <c r="AC2384" s="3">
        <v>180</v>
      </c>
      <c r="AD2384" s="8">
        <v>7500000</v>
      </c>
      <c r="AE2384" s="1" t="s">
        <v>47</v>
      </c>
      <c r="AF2384" s="1" t="s">
        <v>51</v>
      </c>
      <c r="AG2384" s="1" t="s">
        <v>51</v>
      </c>
      <c r="AH2384" s="1"/>
      <c r="AI2384" s="1"/>
      <c r="AJ2384" s="3">
        <v>2</v>
      </c>
      <c r="AK2384" s="1" t="s">
        <v>110</v>
      </c>
      <c r="AL2384" s="3">
        <v>4</v>
      </c>
      <c r="AM2384" s="8">
        <v>20.02</v>
      </c>
      <c r="AN2384" s="1"/>
      <c r="AO2384" s="1" t="s">
        <v>16988</v>
      </c>
      <c r="AP2384" s="1" t="s">
        <v>16989</v>
      </c>
      <c r="AQ2384" s="1" t="s">
        <v>16990</v>
      </c>
      <c r="AR2384" s="1" t="s">
        <v>16991</v>
      </c>
    </row>
    <row r="2385">
      <c r="A2385" s="2">
        <f ca="1">DATE(2008,12,22)</f>
        <v>0</v>
      </c>
      <c r="B2385" s="2">
        <f ca="1">DATE(2009,04,14)</f>
        <v>0</v>
      </c>
      <c r="C2385" s="1" t="s">
        <v>16992</v>
      </c>
      <c r="D2385" s="3">
        <v>8221</v>
      </c>
      <c r="E2385" s="1" t="s">
        <v>43</v>
      </c>
      <c r="F2385" s="1" t="s">
        <v>16993</v>
      </c>
      <c r="G2385" s="1" t="s">
        <v>14219</v>
      </c>
      <c r="H2385" s="4">
        <v>0.68300000000000005</v>
      </c>
      <c r="I2385" s="4">
        <v>6.5</v>
      </c>
      <c r="J2385" s="5">
        <v>141.80000000000001</v>
      </c>
      <c r="K2385" s="4">
        <v>10.5</v>
      </c>
      <c r="L2385" s="1" t="s">
        <v>46</v>
      </c>
      <c r="M2385" s="1" t="s">
        <v>47</v>
      </c>
      <c r="N2385" s="1" t="s">
        <v>16994</v>
      </c>
      <c r="O2385" s="1" t="s">
        <v>108</v>
      </c>
      <c r="P2385" s="1" t="s">
        <v>16995</v>
      </c>
      <c r="Q2385" s="4">
        <v>1.3</v>
      </c>
      <c r="R2385" s="4">
        <v>1.3</v>
      </c>
      <c r="S2385" s="8">
        <v>3.8999999999999999</v>
      </c>
      <c r="T2385" s="1" t="s">
        <v>50</v>
      </c>
      <c r="U2385" s="1"/>
      <c r="V2385" s="1"/>
      <c r="W2385" s="1"/>
      <c r="X2385" s="5">
        <v>230</v>
      </c>
      <c r="Y2385" s="7">
        <v>3500000</v>
      </c>
      <c r="Z2385" s="7">
        <v>10000000</v>
      </c>
      <c r="AA2385" s="2">
        <f ca="1">DATE(2009,10,11)</f>
        <v>0</v>
      </c>
      <c r="AB2385" s="4">
        <v>25.870000000000001</v>
      </c>
      <c r="AC2385" s="3">
        <v>180</v>
      </c>
      <c r="AD2385" s="8">
        <v>13500000</v>
      </c>
      <c r="AE2385" s="1" t="s">
        <v>51</v>
      </c>
      <c r="AF2385" s="1" t="s">
        <v>51</v>
      </c>
      <c r="AG2385" s="1" t="s">
        <v>47</v>
      </c>
      <c r="AH2385" s="1"/>
      <c r="AI2385" s="1"/>
      <c r="AJ2385" s="3">
        <v>2</v>
      </c>
      <c r="AK2385" s="1" t="s">
        <v>89</v>
      </c>
      <c r="AL2385" s="3">
        <v>6</v>
      </c>
      <c r="AM2385" s="8">
        <v>11.1</v>
      </c>
      <c r="AN2385" s="1"/>
      <c r="AO2385" s="1" t="s">
        <v>16996</v>
      </c>
      <c r="AP2385" s="1" t="s">
        <v>14223</v>
      </c>
      <c r="AQ2385" s="1" t="s">
        <v>16997</v>
      </c>
      <c r="AR2385" s="1" t="s">
        <v>16998</v>
      </c>
    </row>
    <row r="2386">
      <c r="A2386" s="2">
        <f ca="1">DATE(2008,09,23)</f>
        <v>0</v>
      </c>
      <c r="B2386" s="2">
        <f ca="1">DATE(2009,04,15)</f>
        <v>0</v>
      </c>
      <c r="C2386" s="1" t="s">
        <v>16999</v>
      </c>
      <c r="D2386" s="3">
        <v>7372</v>
      </c>
      <c r="E2386" s="1" t="s">
        <v>43</v>
      </c>
      <c r="F2386" s="1" t="s">
        <v>17000</v>
      </c>
      <c r="G2386" s="1" t="s">
        <v>17001</v>
      </c>
      <c r="H2386" s="4">
        <v>1.26</v>
      </c>
      <c r="I2386" s="4">
        <v>7</v>
      </c>
      <c r="J2386" s="5">
        <v>112.5</v>
      </c>
      <c r="K2386" s="4">
        <v>18</v>
      </c>
      <c r="L2386" s="1" t="s">
        <v>46</v>
      </c>
      <c r="M2386" s="1" t="s">
        <v>47</v>
      </c>
      <c r="N2386" s="3">
        <v>777780107</v>
      </c>
      <c r="O2386" s="1" t="s">
        <v>108</v>
      </c>
      <c r="P2386" s="1" t="s">
        <v>17002</v>
      </c>
      <c r="Q2386" s="1" t="s">
        <v>145</v>
      </c>
      <c r="R2386" s="1" t="s">
        <v>145</v>
      </c>
      <c r="S2386" s="1"/>
      <c r="T2386" s="1" t="s">
        <v>50</v>
      </c>
      <c r="U2386" s="1"/>
      <c r="V2386" s="1"/>
      <c r="W2386" s="1"/>
      <c r="X2386" s="5">
        <v>115</v>
      </c>
      <c r="Y2386" s="7">
        <v>3125000</v>
      </c>
      <c r="Z2386" s="7">
        <v>3125000</v>
      </c>
      <c r="AA2386" s="2">
        <f ca="1">DATE(2009,10,12)</f>
        <v>0</v>
      </c>
      <c r="AB2386" s="4">
        <v>30.765999999999998</v>
      </c>
      <c r="AC2386" s="3">
        <v>180</v>
      </c>
      <c r="AD2386" s="8">
        <v>6250000</v>
      </c>
      <c r="AE2386" s="1" t="s">
        <v>51</v>
      </c>
      <c r="AF2386" s="1" t="s">
        <v>51</v>
      </c>
      <c r="AG2386" s="1" t="s">
        <v>51</v>
      </c>
      <c r="AH2386" s="1"/>
      <c r="AI2386" s="1"/>
      <c r="AJ2386" s="3">
        <v>2</v>
      </c>
      <c r="AK2386" s="1" t="s">
        <v>89</v>
      </c>
      <c r="AL2386" s="3">
        <v>5</v>
      </c>
      <c r="AM2386" s="8">
        <v>25.120000000000001</v>
      </c>
      <c r="AN2386" s="1"/>
      <c r="AO2386" s="1" t="s">
        <v>17003</v>
      </c>
      <c r="AP2386" s="1" t="s">
        <v>17004</v>
      </c>
      <c r="AQ2386" s="1" t="s">
        <v>17005</v>
      </c>
      <c r="AR2386" s="1" t="s">
        <v>17002</v>
      </c>
    </row>
    <row r="2387">
      <c r="A2387" s="2">
        <f ca="1">DATE(2009,01,30)</f>
        <v>0</v>
      </c>
      <c r="B2387" s="2">
        <f ca="1">DATE(2009,04,27)</f>
        <v>0</v>
      </c>
      <c r="C2387" s="1" t="s">
        <v>17006</v>
      </c>
      <c r="D2387" s="3">
        <v>6726</v>
      </c>
      <c r="E2387" s="1" t="s">
        <v>43</v>
      </c>
      <c r="F2387" s="1" t="s">
        <v>17007</v>
      </c>
      <c r="G2387" s="1" t="s">
        <v>17008</v>
      </c>
      <c r="H2387" s="4">
        <v>0.67500000000000004</v>
      </c>
      <c r="I2387" s="4">
        <v>4.5</v>
      </c>
      <c r="J2387" s="5">
        <v>43.5</v>
      </c>
      <c r="K2387" s="4">
        <v>15</v>
      </c>
      <c r="L2387" s="1" t="s">
        <v>46</v>
      </c>
      <c r="M2387" s="1" t="s">
        <v>47</v>
      </c>
      <c r="N2387" s="1" t="s">
        <v>17009</v>
      </c>
      <c r="O2387" s="1" t="s">
        <v>3689</v>
      </c>
      <c r="P2387" s="1" t="s">
        <v>17010</v>
      </c>
      <c r="Q2387" s="1" t="s">
        <v>145</v>
      </c>
      <c r="R2387" s="1" t="s">
        <v>145</v>
      </c>
      <c r="S2387" s="8">
        <v>3</v>
      </c>
      <c r="T2387" s="1" t="s">
        <v>50</v>
      </c>
      <c r="U2387" s="8">
        <v>15</v>
      </c>
      <c r="V2387" s="8">
        <v>15</v>
      </c>
      <c r="W2387" s="7">
        <v>1000</v>
      </c>
      <c r="X2387" s="5">
        <v>0</v>
      </c>
      <c r="Y2387" s="7">
        <v>2900000</v>
      </c>
      <c r="Z2387" s="1"/>
      <c r="AA2387" s="1"/>
      <c r="AB2387" s="1"/>
      <c r="AC2387" s="1"/>
      <c r="AD2387" s="1"/>
      <c r="AE2387" s="1" t="s">
        <v>51</v>
      </c>
      <c r="AF2387" s="1" t="s">
        <v>51</v>
      </c>
      <c r="AG2387" s="1" t="s">
        <v>51</v>
      </c>
      <c r="AH2387" s="1"/>
      <c r="AI2387" s="1"/>
      <c r="AJ2387" s="3">
        <v>4</v>
      </c>
      <c r="AK2387" s="1" t="s">
        <v>1209</v>
      </c>
      <c r="AL2387" s="3">
        <v>8</v>
      </c>
      <c r="AM2387" s="8">
        <v>15</v>
      </c>
      <c r="AN2387" s="1"/>
      <c r="AO2387" s="1" t="s">
        <v>17011</v>
      </c>
      <c r="AP2387" s="1" t="s">
        <v>17012</v>
      </c>
      <c r="AQ2387" s="1" t="s">
        <v>17013</v>
      </c>
      <c r="AR2387" s="1" t="s">
        <v>17014</v>
      </c>
    </row>
    <row r="2388">
      <c r="A2388" s="2">
        <f ca="1">DATE(2009,01,30)</f>
        <v>0</v>
      </c>
      <c r="B2388" s="2">
        <f ca="1">DATE(2009,04,27)</f>
        <v>0</v>
      </c>
      <c r="C2388" s="1" t="s">
        <v>17015</v>
      </c>
      <c r="D2388" s="3">
        <v>6726</v>
      </c>
      <c r="E2388" s="1" t="s">
        <v>43</v>
      </c>
      <c r="F2388" s="1" t="s">
        <v>17016</v>
      </c>
      <c r="G2388" s="1" t="s">
        <v>17008</v>
      </c>
      <c r="H2388" s="4">
        <v>0.67500000000000004</v>
      </c>
      <c r="I2388" s="4">
        <v>4.5</v>
      </c>
      <c r="J2388" s="5">
        <v>21.800000000000001</v>
      </c>
      <c r="K2388" s="4">
        <v>15</v>
      </c>
      <c r="L2388" s="1" t="s">
        <v>46</v>
      </c>
      <c r="M2388" s="1" t="s">
        <v>47</v>
      </c>
      <c r="N2388" s="3">
        <v>670702109</v>
      </c>
      <c r="O2388" s="1" t="s">
        <v>3689</v>
      </c>
      <c r="P2388" s="1" t="s">
        <v>17017</v>
      </c>
      <c r="Q2388" s="1" t="s">
        <v>145</v>
      </c>
      <c r="R2388" s="1" t="s">
        <v>145</v>
      </c>
      <c r="S2388" s="8">
        <v>3</v>
      </c>
      <c r="T2388" s="1" t="s">
        <v>50</v>
      </c>
      <c r="U2388" s="8">
        <v>15</v>
      </c>
      <c r="V2388" s="8">
        <v>15</v>
      </c>
      <c r="W2388" s="7">
        <v>1000</v>
      </c>
      <c r="X2388" s="5">
        <v>0</v>
      </c>
      <c r="Y2388" s="7">
        <v>1455000</v>
      </c>
      <c r="Z2388" s="1"/>
      <c r="AA2388" s="1"/>
      <c r="AB2388" s="1"/>
      <c r="AC2388" s="1"/>
      <c r="AD2388" s="1"/>
      <c r="AE2388" s="1" t="s">
        <v>51</v>
      </c>
      <c r="AF2388" s="1" t="s">
        <v>51</v>
      </c>
      <c r="AG2388" s="1" t="s">
        <v>51</v>
      </c>
      <c r="AH2388" s="1"/>
      <c r="AI2388" s="1"/>
      <c r="AJ2388" s="3">
        <v>4</v>
      </c>
      <c r="AK2388" s="1" t="s">
        <v>1209</v>
      </c>
      <c r="AL2388" s="3">
        <v>11</v>
      </c>
      <c r="AM2388" s="8">
        <v>15</v>
      </c>
      <c r="AN2388" s="1"/>
      <c r="AO2388" s="1" t="s">
        <v>17018</v>
      </c>
      <c r="AP2388" s="1" t="s">
        <v>17012</v>
      </c>
      <c r="AQ2388" s="1" t="s">
        <v>17019</v>
      </c>
      <c r="AR2388" s="1" t="s">
        <v>17020</v>
      </c>
    </row>
    <row r="2389">
      <c r="A2389" s="2">
        <f ca="1">DATE(2009,01,30)</f>
        <v>0</v>
      </c>
      <c r="B2389" s="2">
        <f ca="1">DATE(2009,04,27)</f>
        <v>0</v>
      </c>
      <c r="C2389" s="1" t="s">
        <v>17021</v>
      </c>
      <c r="D2389" s="3">
        <v>6726</v>
      </c>
      <c r="E2389" s="1" t="s">
        <v>43</v>
      </c>
      <c r="F2389" s="1" t="s">
        <v>17022</v>
      </c>
      <c r="G2389" s="1" t="s">
        <v>17008</v>
      </c>
      <c r="H2389" s="4">
        <v>0.67500000000000004</v>
      </c>
      <c r="I2389" s="4">
        <v>4.5</v>
      </c>
      <c r="J2389" s="5">
        <v>35.100000000000001</v>
      </c>
      <c r="K2389" s="4">
        <v>15</v>
      </c>
      <c r="L2389" s="1" t="s">
        <v>46</v>
      </c>
      <c r="M2389" s="1" t="s">
        <v>47</v>
      </c>
      <c r="N2389" s="3">
        <v>670706100</v>
      </c>
      <c r="O2389" s="1" t="s">
        <v>3689</v>
      </c>
      <c r="P2389" s="1" t="s">
        <v>17023</v>
      </c>
      <c r="Q2389" s="1" t="s">
        <v>145</v>
      </c>
      <c r="R2389" s="1" t="s">
        <v>145</v>
      </c>
      <c r="S2389" s="8">
        <v>3</v>
      </c>
      <c r="T2389" s="1" t="s">
        <v>50</v>
      </c>
      <c r="U2389" s="8">
        <v>15</v>
      </c>
      <c r="V2389" s="8">
        <v>15</v>
      </c>
      <c r="W2389" s="7">
        <v>1000</v>
      </c>
      <c r="X2389" s="5">
        <v>0</v>
      </c>
      <c r="Y2389" s="7">
        <v>2340000</v>
      </c>
      <c r="Z2389" s="1"/>
      <c r="AA2389" s="1"/>
      <c r="AB2389" s="1"/>
      <c r="AC2389" s="1"/>
      <c r="AD2389" s="1"/>
      <c r="AE2389" s="1" t="s">
        <v>51</v>
      </c>
      <c r="AF2389" s="1" t="s">
        <v>51</v>
      </c>
      <c r="AG2389" s="1" t="s">
        <v>51</v>
      </c>
      <c r="AH2389" s="1"/>
      <c r="AI2389" s="1"/>
      <c r="AJ2389" s="3">
        <v>4</v>
      </c>
      <c r="AK2389" s="1" t="s">
        <v>1209</v>
      </c>
      <c r="AL2389" s="3">
        <v>9</v>
      </c>
      <c r="AM2389" s="8">
        <v>15</v>
      </c>
      <c r="AN2389" s="1"/>
      <c r="AO2389" s="1" t="s">
        <v>17024</v>
      </c>
      <c r="AP2389" s="1" t="s">
        <v>17012</v>
      </c>
      <c r="AQ2389" s="1" t="s">
        <v>17025</v>
      </c>
      <c r="AR2389" s="1" t="s">
        <v>17026</v>
      </c>
    </row>
    <row r="2390">
      <c r="A2390" s="2">
        <f ca="1">DATE(2009,01,30)</f>
        <v>0</v>
      </c>
      <c r="B2390" s="2">
        <f ca="1">DATE(2009,04,27)</f>
        <v>0</v>
      </c>
      <c r="C2390" s="1" t="s">
        <v>17027</v>
      </c>
      <c r="D2390" s="3">
        <v>6726</v>
      </c>
      <c r="E2390" s="1" t="s">
        <v>43</v>
      </c>
      <c r="F2390" s="1" t="s">
        <v>17028</v>
      </c>
      <c r="G2390" s="1" t="s">
        <v>17008</v>
      </c>
      <c r="H2390" s="4">
        <v>0.67500000000000004</v>
      </c>
      <c r="I2390" s="4">
        <v>4.5</v>
      </c>
      <c r="J2390" s="5">
        <v>16.5</v>
      </c>
      <c r="K2390" s="4">
        <v>15</v>
      </c>
      <c r="L2390" s="1" t="s">
        <v>46</v>
      </c>
      <c r="M2390" s="1" t="s">
        <v>47</v>
      </c>
      <c r="N2390" s="1" t="s">
        <v>17029</v>
      </c>
      <c r="O2390" s="1" t="s">
        <v>3689</v>
      </c>
      <c r="P2390" s="1" t="s">
        <v>17030</v>
      </c>
      <c r="Q2390" s="1" t="s">
        <v>145</v>
      </c>
      <c r="R2390" s="1" t="s">
        <v>145</v>
      </c>
      <c r="S2390" s="8">
        <v>3</v>
      </c>
      <c r="T2390" s="1" t="s">
        <v>50</v>
      </c>
      <c r="U2390" s="8">
        <v>15</v>
      </c>
      <c r="V2390" s="8">
        <v>15</v>
      </c>
      <c r="W2390" s="7">
        <v>1000</v>
      </c>
      <c r="X2390" s="5">
        <v>0</v>
      </c>
      <c r="Y2390" s="7">
        <v>1100000</v>
      </c>
      <c r="Z2390" s="1"/>
      <c r="AA2390" s="1"/>
      <c r="AB2390" s="1"/>
      <c r="AC2390" s="1"/>
      <c r="AD2390" s="1"/>
      <c r="AE2390" s="1" t="s">
        <v>51</v>
      </c>
      <c r="AF2390" s="1" t="s">
        <v>51</v>
      </c>
      <c r="AG2390" s="1" t="s">
        <v>51</v>
      </c>
      <c r="AH2390" s="1"/>
      <c r="AI2390" s="1"/>
      <c r="AJ2390" s="3">
        <v>4</v>
      </c>
      <c r="AK2390" s="1" t="s">
        <v>1209</v>
      </c>
      <c r="AL2390" s="3">
        <v>8</v>
      </c>
      <c r="AM2390" s="8">
        <v>15.01</v>
      </c>
      <c r="AN2390" s="1"/>
      <c r="AO2390" s="1" t="s">
        <v>17031</v>
      </c>
      <c r="AP2390" s="1" t="s">
        <v>17012</v>
      </c>
      <c r="AQ2390" s="1" t="s">
        <v>17032</v>
      </c>
      <c r="AR2390" s="1" t="s">
        <v>17033</v>
      </c>
    </row>
    <row r="2391">
      <c r="A2391" s="2">
        <f ca="1">DATE(2008,04,14)</f>
        <v>0</v>
      </c>
      <c r="B2391" s="2">
        <f ca="1">DATE(2009,05,13)</f>
        <v>0</v>
      </c>
      <c r="C2391" s="1" t="s">
        <v>17034</v>
      </c>
      <c r="D2391" s="3">
        <v>4899</v>
      </c>
      <c r="E2391" s="1" t="s">
        <v>43</v>
      </c>
      <c r="F2391" s="1" t="s">
        <v>17035</v>
      </c>
      <c r="G2391" s="1" t="s">
        <v>10704</v>
      </c>
      <c r="H2391" s="4">
        <v>1.3300000000000001</v>
      </c>
      <c r="I2391" s="4">
        <v>7</v>
      </c>
      <c r="J2391" s="5">
        <v>279.30000000000001</v>
      </c>
      <c r="K2391" s="4">
        <v>19</v>
      </c>
      <c r="L2391" s="1" t="s">
        <v>46</v>
      </c>
      <c r="M2391" s="1" t="s">
        <v>47</v>
      </c>
      <c r="N2391" s="1" t="s">
        <v>17036</v>
      </c>
      <c r="O2391" s="1" t="s">
        <v>108</v>
      </c>
      <c r="P2391" s="1" t="s">
        <v>17037</v>
      </c>
      <c r="Q2391" s="1" t="s">
        <v>145</v>
      </c>
      <c r="R2391" s="1" t="s">
        <v>145</v>
      </c>
      <c r="S2391" s="8">
        <v>4.2000000000000002</v>
      </c>
      <c r="T2391" s="1" t="s">
        <v>50</v>
      </c>
      <c r="U2391" s="1"/>
      <c r="V2391" s="1"/>
      <c r="W2391" s="1"/>
      <c r="X2391" s="5">
        <v>250</v>
      </c>
      <c r="Y2391" s="7">
        <v>1366256</v>
      </c>
      <c r="Z2391" s="7">
        <v>13333744</v>
      </c>
      <c r="AA2391" s="2">
        <f ca="1">DATE(2009,11,09)</f>
        <v>0</v>
      </c>
      <c r="AB2391" s="4">
        <v>32.761000000000003</v>
      </c>
      <c r="AC2391" s="3">
        <v>180</v>
      </c>
      <c r="AD2391" s="8">
        <v>14700000</v>
      </c>
      <c r="AE2391" s="1" t="s">
        <v>51</v>
      </c>
      <c r="AF2391" s="1" t="s">
        <v>51</v>
      </c>
      <c r="AG2391" s="1" t="s">
        <v>47</v>
      </c>
      <c r="AH2391" s="1"/>
      <c r="AI2391" s="1"/>
      <c r="AJ2391" s="3">
        <v>2</v>
      </c>
      <c r="AK2391" s="1" t="s">
        <v>89</v>
      </c>
      <c r="AL2391" s="3">
        <v>5</v>
      </c>
      <c r="AM2391" s="8">
        <v>21.5</v>
      </c>
      <c r="AN2391" s="1"/>
      <c r="AO2391" s="1" t="s">
        <v>17038</v>
      </c>
      <c r="AP2391" s="1" t="s">
        <v>6680</v>
      </c>
      <c r="AQ2391" s="1" t="s">
        <v>17039</v>
      </c>
      <c r="AR2391" s="1" t="s">
        <v>17040</v>
      </c>
    </row>
    <row r="2392">
      <c r="A2392" s="2">
        <f ca="1">DATE(2008,03,21)</f>
        <v>0</v>
      </c>
      <c r="B2392" s="2">
        <f ca="1">DATE(2009,05,19)</f>
        <v>0</v>
      </c>
      <c r="C2392" s="1" t="s">
        <v>17041</v>
      </c>
      <c r="D2392" s="3">
        <v>7372</v>
      </c>
      <c r="E2392" s="1" t="s">
        <v>43</v>
      </c>
      <c r="F2392" s="1" t="s">
        <v>17042</v>
      </c>
      <c r="G2392" s="1" t="s">
        <v>17043</v>
      </c>
      <c r="H2392" s="4">
        <v>0.875</v>
      </c>
      <c r="I2392" s="4">
        <v>7</v>
      </c>
      <c r="J2392" s="5">
        <v>151.5</v>
      </c>
      <c r="K2392" s="4">
        <v>12.5</v>
      </c>
      <c r="L2392" s="1" t="s">
        <v>46</v>
      </c>
      <c r="M2392" s="1" t="s">
        <v>47</v>
      </c>
      <c r="N2392" s="1" t="s">
        <v>17044</v>
      </c>
      <c r="O2392" s="1" t="s">
        <v>108</v>
      </c>
      <c r="P2392" s="1" t="s">
        <v>17045</v>
      </c>
      <c r="Q2392" s="1" t="s">
        <v>145</v>
      </c>
      <c r="R2392" s="1" t="s">
        <v>145</v>
      </c>
      <c r="S2392" s="8">
        <v>4.2000000000000002</v>
      </c>
      <c r="T2392" s="1" t="s">
        <v>50</v>
      </c>
      <c r="U2392" s="1"/>
      <c r="V2392" s="1"/>
      <c r="W2392" s="1"/>
      <c r="X2392" s="5">
        <v>250</v>
      </c>
      <c r="Y2392" s="7">
        <v>9000000</v>
      </c>
      <c r="Z2392" s="7">
        <v>3116279</v>
      </c>
      <c r="AA2392" s="2">
        <f ca="1">DATE(2009,11,15)</f>
        <v>0</v>
      </c>
      <c r="AB2392" s="4">
        <v>18.876999999999999</v>
      </c>
      <c r="AC2392" s="3">
        <v>180</v>
      </c>
      <c r="AD2392" s="8">
        <v>12116279</v>
      </c>
      <c r="AE2392" s="1" t="s">
        <v>51</v>
      </c>
      <c r="AF2392" s="1" t="s">
        <v>51</v>
      </c>
      <c r="AG2392" s="1" t="s">
        <v>47</v>
      </c>
      <c r="AH2392" s="1"/>
      <c r="AI2392" s="1"/>
      <c r="AJ2392" s="3">
        <v>3</v>
      </c>
      <c r="AK2392" s="1" t="s">
        <v>110</v>
      </c>
      <c r="AL2392" s="3">
        <v>6</v>
      </c>
      <c r="AM2392" s="8">
        <v>13.75</v>
      </c>
      <c r="AN2392" s="1"/>
      <c r="AO2392" s="1" t="s">
        <v>17046</v>
      </c>
      <c r="AP2392" s="1" t="s">
        <v>17047</v>
      </c>
      <c r="AQ2392" s="1" t="s">
        <v>17048</v>
      </c>
      <c r="AR2392" s="1" t="s">
        <v>17049</v>
      </c>
    </row>
    <row r="2393">
      <c r="A2393" s="2">
        <f ca="1">DATE(2009,01,30)</f>
        <v>0</v>
      </c>
      <c r="B2393" s="2">
        <f ca="1">DATE(2009,05,21)</f>
        <v>0</v>
      </c>
      <c r="C2393" s="1" t="s">
        <v>17050</v>
      </c>
      <c r="D2393" s="3">
        <v>7389</v>
      </c>
      <c r="E2393" s="1" t="s">
        <v>43</v>
      </c>
      <c r="F2393" s="1" t="s">
        <v>6794</v>
      </c>
      <c r="G2393" s="1" t="s">
        <v>45</v>
      </c>
      <c r="H2393" s="4">
        <v>1.3999999999999999</v>
      </c>
      <c r="I2393" s="8">
        <v>7</v>
      </c>
      <c r="J2393" s="5">
        <v>60</v>
      </c>
      <c r="K2393" s="4">
        <v>20</v>
      </c>
      <c r="L2393" s="1" t="s">
        <v>46</v>
      </c>
      <c r="M2393" s="1" t="s">
        <v>47</v>
      </c>
      <c r="N2393" s="1" t="s">
        <v>17051</v>
      </c>
      <c r="O2393" s="1" t="s">
        <v>48</v>
      </c>
      <c r="P2393" s="1" t="s">
        <v>17052</v>
      </c>
      <c r="Q2393" s="4">
        <v>1.3999999999999999</v>
      </c>
      <c r="R2393" s="4">
        <v>1.3999999999999999</v>
      </c>
      <c r="S2393" s="8">
        <v>4.2000000000000002</v>
      </c>
      <c r="T2393" s="1" t="s">
        <v>50</v>
      </c>
      <c r="U2393" s="1"/>
      <c r="V2393" s="1"/>
      <c r="W2393" s="1"/>
      <c r="X2393" s="5">
        <v>40</v>
      </c>
      <c r="Y2393" s="7">
        <v>1572684</v>
      </c>
      <c r="Z2393" s="7">
        <v>1427316</v>
      </c>
      <c r="AA2393" s="2">
        <f ca="1">DATE(2009,11,17)</f>
        <v>0</v>
      </c>
      <c r="AB2393" s="4">
        <v>13.885999999999999</v>
      </c>
      <c r="AC2393" s="3">
        <v>180</v>
      </c>
      <c r="AD2393" s="8">
        <v>3000000</v>
      </c>
      <c r="AE2393" s="1" t="s">
        <v>51</v>
      </c>
      <c r="AF2393" s="1" t="s">
        <v>51</v>
      </c>
      <c r="AG2393" s="1" t="s">
        <v>47</v>
      </c>
      <c r="AH2393" s="1"/>
      <c r="AI2393" s="1"/>
      <c r="AJ2393" s="3">
        <v>1</v>
      </c>
      <c r="AK2393" s="1" t="s">
        <v>52</v>
      </c>
      <c r="AL2393" s="3">
        <v>4</v>
      </c>
      <c r="AM2393" s="8">
        <v>31.890000000000001</v>
      </c>
      <c r="AN2393" s="1"/>
      <c r="AO2393" s="1" t="s">
        <v>17053</v>
      </c>
      <c r="AP2393" s="1" t="s">
        <v>45</v>
      </c>
      <c r="AQ2393" s="1" t="s">
        <v>17054</v>
      </c>
      <c r="AR2393" s="1" t="s">
        <v>17055</v>
      </c>
    </row>
    <row r="2394">
      <c r="A2394" s="2">
        <f ca="1">DATE(2009,01,26)</f>
        <v>0</v>
      </c>
      <c r="B2394" s="2">
        <f ca="1">DATE(2009,05,26)</f>
        <v>0</v>
      </c>
      <c r="C2394" s="1" t="s">
        <v>17056</v>
      </c>
      <c r="D2394" s="3">
        <v>6726</v>
      </c>
      <c r="E2394" s="1" t="s">
        <v>43</v>
      </c>
      <c r="F2394" s="1" t="s">
        <v>17057</v>
      </c>
      <c r="G2394" s="1" t="s">
        <v>17058</v>
      </c>
      <c r="H2394" s="4">
        <v>0.90000000000000002</v>
      </c>
      <c r="I2394" s="4">
        <v>4.5</v>
      </c>
      <c r="J2394" s="5">
        <v>275</v>
      </c>
      <c r="K2394" s="4">
        <v>20</v>
      </c>
      <c r="L2394" s="1" t="s">
        <v>46</v>
      </c>
      <c r="M2394" s="1" t="s">
        <v>47</v>
      </c>
      <c r="N2394" s="1" t="s">
        <v>17059</v>
      </c>
      <c r="O2394" s="1" t="s">
        <v>108</v>
      </c>
      <c r="P2394" s="1" t="s">
        <v>17060</v>
      </c>
      <c r="Q2394" s="4">
        <v>0.94999999999999996</v>
      </c>
      <c r="R2394" s="4">
        <v>0.55000000000000004</v>
      </c>
      <c r="S2394" s="8">
        <v>3</v>
      </c>
      <c r="T2394" s="1" t="s">
        <v>50</v>
      </c>
      <c r="U2394" s="1"/>
      <c r="V2394" s="1"/>
      <c r="W2394" s="1"/>
      <c r="X2394" s="1"/>
      <c r="Y2394" s="7">
        <v>13750000</v>
      </c>
      <c r="Z2394" s="1"/>
      <c r="AA2394" s="1"/>
      <c r="AB2394" s="1"/>
      <c r="AC2394" s="1"/>
      <c r="AD2394" s="1"/>
      <c r="AE2394" s="1" t="s">
        <v>51</v>
      </c>
      <c r="AF2394" s="1" t="s">
        <v>51</v>
      </c>
      <c r="AG2394" s="1" t="s">
        <v>51</v>
      </c>
      <c r="AH2394" s="1"/>
      <c r="AI2394" s="1"/>
      <c r="AJ2394" s="3">
        <v>2</v>
      </c>
      <c r="AK2394" s="1" t="s">
        <v>89</v>
      </c>
      <c r="AL2394" s="3">
        <v>14</v>
      </c>
      <c r="AM2394" s="8">
        <v>20</v>
      </c>
      <c r="AN2394" s="1"/>
      <c r="AO2394" s="1" t="s">
        <v>17061</v>
      </c>
      <c r="AP2394" s="1" t="s">
        <v>17062</v>
      </c>
      <c r="AQ2394" s="1" t="s">
        <v>17063</v>
      </c>
      <c r="AR2394" s="1" t="s">
        <v>17064</v>
      </c>
    </row>
    <row r="2395">
      <c r="A2395" s="2">
        <f ca="1">DATE(2009,02,20)</f>
        <v>0</v>
      </c>
      <c r="B2395" s="2">
        <f ca="1">DATE(2009,06,02)</f>
        <v>0</v>
      </c>
      <c r="C2395" s="1" t="s">
        <v>17065</v>
      </c>
      <c r="D2395" s="3">
        <v>6798</v>
      </c>
      <c r="E2395" s="1" t="s">
        <v>43</v>
      </c>
      <c r="F2395" s="1" t="s">
        <v>17066</v>
      </c>
      <c r="G2395" s="1" t="s">
        <v>17067</v>
      </c>
      <c r="H2395" s="4">
        <v>1.25</v>
      </c>
      <c r="I2395" s="4">
        <v>6.25</v>
      </c>
      <c r="J2395" s="5">
        <v>200</v>
      </c>
      <c r="K2395" s="4">
        <v>20</v>
      </c>
      <c r="L2395" s="1" t="s">
        <v>46</v>
      </c>
      <c r="M2395" s="1" t="s">
        <v>47</v>
      </c>
      <c r="N2395" s="1" t="s">
        <v>17068</v>
      </c>
      <c r="O2395" s="1" t="s">
        <v>108</v>
      </c>
      <c r="P2395" s="1" t="s">
        <v>17069</v>
      </c>
      <c r="Q2395" s="4">
        <v>1.25</v>
      </c>
      <c r="R2395" s="4">
        <v>1.25</v>
      </c>
      <c r="S2395" s="8">
        <v>3.75</v>
      </c>
      <c r="T2395" s="1" t="s">
        <v>50</v>
      </c>
      <c r="U2395" s="1"/>
      <c r="V2395" s="1"/>
      <c r="W2395" s="7">
        <v>10000000</v>
      </c>
      <c r="X2395" s="1"/>
      <c r="Y2395" s="7">
        <v>10000000</v>
      </c>
      <c r="Z2395" s="1"/>
      <c r="AA2395" s="1"/>
      <c r="AB2395" s="1"/>
      <c r="AC2395" s="1"/>
      <c r="AD2395" s="1"/>
      <c r="AE2395" s="1" t="s">
        <v>51</v>
      </c>
      <c r="AF2395" s="1" t="s">
        <v>51</v>
      </c>
      <c r="AG2395" s="1" t="s">
        <v>51</v>
      </c>
      <c r="AH2395" s="1"/>
      <c r="AI2395" s="1"/>
      <c r="AJ2395" s="3">
        <v>3</v>
      </c>
      <c r="AK2395" s="1" t="s">
        <v>8132</v>
      </c>
      <c r="AL2395" s="3">
        <v>7</v>
      </c>
      <c r="AM2395" s="8">
        <v>19.469999999999999</v>
      </c>
      <c r="AN2395" s="1"/>
      <c r="AO2395" s="1" t="s">
        <v>17070</v>
      </c>
      <c r="AP2395" s="1" t="s">
        <v>17071</v>
      </c>
      <c r="AQ2395" s="1" t="s">
        <v>17072</v>
      </c>
      <c r="AR2395" s="1" t="s">
        <v>17073</v>
      </c>
    </row>
    <row r="2396">
      <c r="A2396" s="2">
        <f ca="1">DATE(2007,04,19)</f>
        <v>0</v>
      </c>
      <c r="B2396" s="2">
        <f ca="1">DATE(2009,06,11)</f>
        <v>0</v>
      </c>
      <c r="C2396" s="1" t="s">
        <v>17074</v>
      </c>
      <c r="D2396" s="3">
        <v>6798</v>
      </c>
      <c r="E2396" s="1" t="s">
        <v>43</v>
      </c>
      <c r="F2396" s="1" t="s">
        <v>17075</v>
      </c>
      <c r="G2396" s="1" t="s">
        <v>17076</v>
      </c>
      <c r="H2396" s="4">
        <v>0.77000000000000002</v>
      </c>
      <c r="I2396" s="4">
        <v>7</v>
      </c>
      <c r="J2396" s="5">
        <v>100.09999999999999</v>
      </c>
      <c r="K2396" s="4">
        <v>11</v>
      </c>
      <c r="L2396" s="1" t="s">
        <v>46</v>
      </c>
      <c r="M2396" s="1" t="s">
        <v>47</v>
      </c>
      <c r="N2396" s="1" t="s">
        <v>17077</v>
      </c>
      <c r="O2396" s="1" t="s">
        <v>108</v>
      </c>
      <c r="P2396" s="1" t="s">
        <v>17078</v>
      </c>
      <c r="Q2396" s="1" t="s">
        <v>145</v>
      </c>
      <c r="R2396" s="1" t="s">
        <v>145</v>
      </c>
      <c r="S2396" s="8">
        <v>4.2000000000000002</v>
      </c>
      <c r="T2396" s="1" t="s">
        <v>50</v>
      </c>
      <c r="U2396" s="1"/>
      <c r="V2396" s="1"/>
      <c r="W2396" s="1"/>
      <c r="X2396" s="5">
        <v>300</v>
      </c>
      <c r="Y2396" s="7">
        <v>9100000</v>
      </c>
      <c r="Z2396" s="1"/>
      <c r="AA2396" s="2">
        <f ca="1">DATE(2009,12,08)</f>
        <v>0</v>
      </c>
      <c r="AB2396" s="4">
        <v>54.268000000000001</v>
      </c>
      <c r="AC2396" s="3">
        <v>180</v>
      </c>
      <c r="AD2396" s="8">
        <v>9100000</v>
      </c>
      <c r="AE2396" s="1" t="s">
        <v>51</v>
      </c>
      <c r="AF2396" s="1" t="s">
        <v>51</v>
      </c>
      <c r="AG2396" s="1" t="s">
        <v>51</v>
      </c>
      <c r="AH2396" s="1"/>
      <c r="AI2396" s="1"/>
      <c r="AJ2396" s="3">
        <v>1</v>
      </c>
      <c r="AK2396" s="1" t="s">
        <v>52</v>
      </c>
      <c r="AL2396" s="3">
        <v>4</v>
      </c>
      <c r="AM2396" s="8">
        <v>11.550000000000001</v>
      </c>
      <c r="AN2396" s="1"/>
      <c r="AO2396" s="1" t="s">
        <v>17079</v>
      </c>
      <c r="AP2396" s="1" t="s">
        <v>17076</v>
      </c>
      <c r="AQ2396" s="1" t="s">
        <v>17080</v>
      </c>
      <c r="AR2396" s="1" t="s">
        <v>17078</v>
      </c>
    </row>
    <row r="2397">
      <c r="A2397" s="2">
        <f ca="1">DATE(2009,05,26)</f>
        <v>0</v>
      </c>
      <c r="B2397" s="2">
        <f ca="1">DATE(2009,06,23)</f>
        <v>0</v>
      </c>
      <c r="C2397" s="1" t="s">
        <v>17081</v>
      </c>
      <c r="D2397" s="3">
        <v>2899</v>
      </c>
      <c r="E2397" s="1" t="s">
        <v>744</v>
      </c>
      <c r="F2397" s="1" t="s">
        <v>17082</v>
      </c>
      <c r="G2397" s="1" t="s">
        <v>16786</v>
      </c>
      <c r="H2397" s="4">
        <v>0.63</v>
      </c>
      <c r="I2397" s="4">
        <v>7</v>
      </c>
      <c r="J2397" s="5">
        <v>72.799999999999997</v>
      </c>
      <c r="K2397" s="4">
        <v>9</v>
      </c>
      <c r="L2397" s="1" t="s">
        <v>651</v>
      </c>
      <c r="M2397" s="1" t="s">
        <v>47</v>
      </c>
      <c r="N2397" s="3">
        <v>163868102</v>
      </c>
      <c r="O2397" s="1" t="s">
        <v>108</v>
      </c>
      <c r="P2397" s="1" t="s">
        <v>17083</v>
      </c>
      <c r="Q2397" s="4">
        <v>1.3999999999999999</v>
      </c>
      <c r="R2397" s="4">
        <v>1.3999999999999999</v>
      </c>
      <c r="S2397" s="8">
        <v>4.2000000000000002</v>
      </c>
      <c r="T2397" s="1" t="s">
        <v>50</v>
      </c>
      <c r="U2397" s="1"/>
      <c r="V2397" s="1"/>
      <c r="W2397" s="1"/>
      <c r="X2397" s="1"/>
      <c r="Y2397" s="7">
        <v>6328000</v>
      </c>
      <c r="Z2397" s="7">
        <v>1759000</v>
      </c>
      <c r="AA2397" s="2">
        <f ca="1">DATE(2009,12,20)</f>
        <v>0</v>
      </c>
      <c r="AB2397" s="4">
        <v>0.371</v>
      </c>
      <c r="AC2397" s="3">
        <v>180</v>
      </c>
      <c r="AD2397" s="8">
        <v>8087000</v>
      </c>
      <c r="AE2397" s="1" t="s">
        <v>47</v>
      </c>
      <c r="AF2397" s="1" t="s">
        <v>51</v>
      </c>
      <c r="AG2397" s="1" t="s">
        <v>51</v>
      </c>
      <c r="AH2397" s="1"/>
      <c r="AI2397" s="1"/>
      <c r="AJ2397" s="3">
        <v>2</v>
      </c>
      <c r="AK2397" s="1" t="s">
        <v>89</v>
      </c>
      <c r="AL2397" s="3">
        <v>4</v>
      </c>
      <c r="AM2397" s="8">
        <v>9</v>
      </c>
      <c r="AN2397" s="1"/>
      <c r="AO2397" s="1" t="s">
        <v>17084</v>
      </c>
      <c r="AP2397" s="1" t="s">
        <v>16790</v>
      </c>
      <c r="AQ2397" s="1" t="s">
        <v>17085</v>
      </c>
      <c r="AR2397" s="1" t="s">
        <v>17083</v>
      </c>
    </row>
    <row r="2398">
      <c r="A2398" s="2">
        <f ca="1">DATE(2009,06,01)</f>
        <v>0</v>
      </c>
      <c r="B2398" s="2">
        <f ca="1">DATE(2009,06,24)</f>
        <v>0</v>
      </c>
      <c r="C2398" s="1" t="s">
        <v>17086</v>
      </c>
      <c r="D2398" s="3">
        <v>3589</v>
      </c>
      <c r="E2398" s="1" t="s">
        <v>744</v>
      </c>
      <c r="F2398" s="1" t="s">
        <v>17087</v>
      </c>
      <c r="G2398" s="1" t="s">
        <v>17088</v>
      </c>
      <c r="H2398" s="4">
        <v>1.1200000000000001</v>
      </c>
      <c r="I2398" s="4">
        <v>7</v>
      </c>
      <c r="J2398" s="5">
        <v>88</v>
      </c>
      <c r="K2398" s="8">
        <v>16</v>
      </c>
      <c r="L2398" s="1" t="s">
        <v>651</v>
      </c>
      <c r="M2398" s="1" t="s">
        <v>47</v>
      </c>
      <c r="N2398" s="3">
        <v>266043108</v>
      </c>
      <c r="O2398" s="1" t="s">
        <v>108</v>
      </c>
      <c r="P2398" s="1" t="s">
        <v>17089</v>
      </c>
      <c r="Q2398" s="1" t="s">
        <v>145</v>
      </c>
      <c r="R2398" s="1" t="s">
        <v>145</v>
      </c>
      <c r="S2398" s="10">
        <v>4.1875</v>
      </c>
      <c r="T2398" s="1" t="s">
        <v>60</v>
      </c>
      <c r="U2398" s="1"/>
      <c r="V2398" s="1"/>
      <c r="W2398" s="7">
        <v>5000000</v>
      </c>
      <c r="X2398" s="1"/>
      <c r="Y2398" s="7">
        <v>5500000</v>
      </c>
      <c r="Z2398" s="1"/>
      <c r="AA2398" s="1"/>
      <c r="AB2398" s="1"/>
      <c r="AC2398" s="3">
        <v>180</v>
      </c>
      <c r="AD2398" s="8">
        <v>5500000</v>
      </c>
      <c r="AE2398" s="1" t="s">
        <v>47</v>
      </c>
      <c r="AF2398" s="1" t="s">
        <v>51</v>
      </c>
      <c r="AG2398" s="1" t="s">
        <v>51</v>
      </c>
      <c r="AH2398" s="1"/>
      <c r="AI2398" s="1"/>
      <c r="AJ2398" s="3">
        <v>1</v>
      </c>
      <c r="AK2398" s="1" t="s">
        <v>52</v>
      </c>
      <c r="AL2398" s="3">
        <v>1</v>
      </c>
      <c r="AM2398" s="1"/>
      <c r="AN2398" s="1"/>
      <c r="AO2398" s="1" t="s">
        <v>17090</v>
      </c>
      <c r="AP2398" s="1" t="s">
        <v>17088</v>
      </c>
      <c r="AQ2398" s="1" t="s">
        <v>17088</v>
      </c>
      <c r="AR2398" s="1" t="s">
        <v>17091</v>
      </c>
    </row>
    <row r="2399">
      <c r="A2399" s="2">
        <f ca="1">DATE(2009,01,23)</f>
        <v>0</v>
      </c>
      <c r="B2399" s="2">
        <f ca="1">DATE(2009,06,24)</f>
        <v>0</v>
      </c>
      <c r="C2399" s="1" t="s">
        <v>17092</v>
      </c>
      <c r="D2399" s="3">
        <v>7372</v>
      </c>
      <c r="E2399" s="1" t="s">
        <v>43</v>
      </c>
      <c r="F2399" s="1" t="s">
        <v>17093</v>
      </c>
      <c r="G2399" s="1" t="s">
        <v>15190</v>
      </c>
      <c r="H2399" s="4">
        <v>0.97999999999999998</v>
      </c>
      <c r="I2399" s="8">
        <v>7</v>
      </c>
      <c r="J2399" s="5">
        <v>88.200000000000003</v>
      </c>
      <c r="K2399" s="4">
        <v>14</v>
      </c>
      <c r="L2399" s="1" t="s">
        <v>46</v>
      </c>
      <c r="M2399" s="1" t="s">
        <v>47</v>
      </c>
      <c r="N2399" s="1" t="s">
        <v>17094</v>
      </c>
      <c r="O2399" s="1" t="s">
        <v>48</v>
      </c>
      <c r="P2399" s="1" t="s">
        <v>17095</v>
      </c>
      <c r="Q2399" s="4">
        <v>1.3999999999999999</v>
      </c>
      <c r="R2399" s="4">
        <v>1.3999999999999999</v>
      </c>
      <c r="S2399" s="8">
        <v>4.2000000000000002</v>
      </c>
      <c r="T2399" s="1" t="s">
        <v>50</v>
      </c>
      <c r="U2399" s="1"/>
      <c r="V2399" s="1"/>
      <c r="W2399" s="1"/>
      <c r="X2399" s="5">
        <v>86.299999999999997</v>
      </c>
      <c r="Y2399" s="7">
        <v>6300000</v>
      </c>
      <c r="Z2399" s="1"/>
      <c r="AA2399" s="2">
        <f ca="1">DATE(2009,12,21)</f>
        <v>0</v>
      </c>
      <c r="AB2399" s="4">
        <v>28.183</v>
      </c>
      <c r="AC2399" s="3">
        <v>180</v>
      </c>
      <c r="AD2399" s="8">
        <v>6300000</v>
      </c>
      <c r="AE2399" s="1" t="s">
        <v>51</v>
      </c>
      <c r="AF2399" s="1" t="s">
        <v>51</v>
      </c>
      <c r="AG2399" s="1" t="s">
        <v>47</v>
      </c>
      <c r="AH2399" s="1"/>
      <c r="AI2399" s="1"/>
      <c r="AJ2399" s="3">
        <v>2</v>
      </c>
      <c r="AK2399" s="1" t="s">
        <v>89</v>
      </c>
      <c r="AL2399" s="3">
        <v>4</v>
      </c>
      <c r="AM2399" s="8">
        <v>17</v>
      </c>
      <c r="AN2399" s="1"/>
      <c r="AO2399" s="1" t="s">
        <v>17096</v>
      </c>
      <c r="AP2399" s="1" t="s">
        <v>15195</v>
      </c>
      <c r="AQ2399" s="1" t="s">
        <v>17097</v>
      </c>
      <c r="AR2399" s="1" t="s">
        <v>17095</v>
      </c>
    </row>
    <row r="2400">
      <c r="A2400" s="2">
        <f ca="1">DATE(2008,06,16)</f>
        <v>0</v>
      </c>
      <c r="B2400" s="2">
        <f ca="1">DATE(2009,06,25)</f>
        <v>0</v>
      </c>
      <c r="C2400" s="1" t="s">
        <v>17098</v>
      </c>
      <c r="D2400" s="3">
        <v>6798</v>
      </c>
      <c r="E2400" s="1" t="s">
        <v>43</v>
      </c>
      <c r="F2400" s="1" t="s">
        <v>17099</v>
      </c>
      <c r="G2400" s="1" t="s">
        <v>13593</v>
      </c>
      <c r="H2400" s="4">
        <v>1.3</v>
      </c>
      <c r="I2400" s="4">
        <v>6.5</v>
      </c>
      <c r="J2400" s="5">
        <v>170</v>
      </c>
      <c r="K2400" s="4">
        <v>20</v>
      </c>
      <c r="L2400" s="1" t="s">
        <v>46</v>
      </c>
      <c r="M2400" s="1" t="s">
        <v>47</v>
      </c>
      <c r="N2400" s="1" t="s">
        <v>17100</v>
      </c>
      <c r="O2400" s="1" t="s">
        <v>108</v>
      </c>
      <c r="P2400" s="1" t="s">
        <v>17101</v>
      </c>
      <c r="Q2400" s="1" t="s">
        <v>145</v>
      </c>
      <c r="R2400" s="1" t="s">
        <v>145</v>
      </c>
      <c r="S2400" s="8">
        <v>3.8999999999999999</v>
      </c>
      <c r="T2400" s="1" t="s">
        <v>50</v>
      </c>
      <c r="U2400" s="1"/>
      <c r="V2400" s="1"/>
      <c r="W2400" s="1"/>
      <c r="X2400" s="5">
        <v>250</v>
      </c>
      <c r="Y2400" s="7">
        <v>8500000</v>
      </c>
      <c r="Z2400" s="1"/>
      <c r="AA2400" s="1" t="s">
        <v>17102</v>
      </c>
      <c r="AB2400" s="1" t="s">
        <v>17103</v>
      </c>
      <c r="AC2400" s="1" t="s">
        <v>2068</v>
      </c>
      <c r="AD2400" s="1" t="s">
        <v>17104</v>
      </c>
      <c r="AE2400" s="1" t="s">
        <v>51</v>
      </c>
      <c r="AF2400" s="1" t="s">
        <v>51</v>
      </c>
      <c r="AG2400" s="1" t="s">
        <v>51</v>
      </c>
      <c r="AH2400" s="1"/>
      <c r="AI2400" s="1"/>
      <c r="AJ2400" s="3">
        <v>2</v>
      </c>
      <c r="AK2400" s="1" t="s">
        <v>89</v>
      </c>
      <c r="AL2400" s="3">
        <v>8</v>
      </c>
      <c r="AM2400" s="8">
        <v>19.420000000000002</v>
      </c>
      <c r="AN2400" s="1"/>
      <c r="AO2400" s="1" t="s">
        <v>17105</v>
      </c>
      <c r="AP2400" s="1" t="s">
        <v>13599</v>
      </c>
      <c r="AQ2400" s="1" t="s">
        <v>17106</v>
      </c>
      <c r="AR2400" s="1" t="s">
        <v>17101</v>
      </c>
    </row>
    <row r="2401">
      <c r="A2401" s="2">
        <f ca="1">DATE(2009,04,24)</f>
        <v>0</v>
      </c>
      <c r="B2401" s="2">
        <f ca="1">DATE(2009,06,25)</f>
        <v>0</v>
      </c>
      <c r="C2401" s="1" t="s">
        <v>17107</v>
      </c>
      <c r="D2401" s="3">
        <v>6726</v>
      </c>
      <c r="E2401" s="1" t="s">
        <v>43</v>
      </c>
      <c r="F2401" s="1" t="s">
        <v>17108</v>
      </c>
      <c r="G2401" s="1" t="s">
        <v>17109</v>
      </c>
      <c r="H2401" s="4">
        <v>0.90000000000000002</v>
      </c>
      <c r="I2401" s="4">
        <v>4.5</v>
      </c>
      <c r="J2401" s="5">
        <v>190</v>
      </c>
      <c r="K2401" s="4">
        <v>20</v>
      </c>
      <c r="L2401" s="1" t="s">
        <v>46</v>
      </c>
      <c r="M2401" s="1" t="s">
        <v>47</v>
      </c>
      <c r="N2401" s="1" t="s">
        <v>17110</v>
      </c>
      <c r="O2401" s="1" t="s">
        <v>108</v>
      </c>
      <c r="P2401" s="1" t="s">
        <v>17111</v>
      </c>
      <c r="Q2401" s="1" t="s">
        <v>145</v>
      </c>
      <c r="R2401" s="1" t="s">
        <v>145</v>
      </c>
      <c r="S2401" s="8">
        <v>3</v>
      </c>
      <c r="T2401" s="1" t="s">
        <v>50</v>
      </c>
      <c r="U2401" s="8">
        <v>20</v>
      </c>
      <c r="V2401" s="8">
        <v>20</v>
      </c>
      <c r="W2401" s="7">
        <v>50000</v>
      </c>
      <c r="X2401" s="5">
        <v>1</v>
      </c>
      <c r="Y2401" s="7">
        <v>9500000</v>
      </c>
      <c r="Z2401" s="1"/>
      <c r="AA2401" s="1"/>
      <c r="AB2401" s="1"/>
      <c r="AC2401" s="1"/>
      <c r="AD2401" s="1"/>
      <c r="AE2401" s="1" t="s">
        <v>51</v>
      </c>
      <c r="AF2401" s="1" t="s">
        <v>51</v>
      </c>
      <c r="AG2401" s="1" t="s">
        <v>51</v>
      </c>
      <c r="AH2401" s="1"/>
      <c r="AI2401" s="1"/>
      <c r="AJ2401" s="3">
        <v>3</v>
      </c>
      <c r="AK2401" s="1" t="s">
        <v>110</v>
      </c>
      <c r="AL2401" s="3">
        <v>9</v>
      </c>
      <c r="AM2401" s="8">
        <v>20</v>
      </c>
      <c r="AN2401" s="1"/>
      <c r="AO2401" s="1" t="s">
        <v>17112</v>
      </c>
      <c r="AP2401" s="1" t="s">
        <v>17113</v>
      </c>
      <c r="AQ2401" s="1" t="s">
        <v>17114</v>
      </c>
      <c r="AR2401" s="1" t="s">
        <v>17115</v>
      </c>
    </row>
    <row r="2402">
      <c r="A2402" s="2">
        <f ca="1">DATE(2008,01,11)</f>
        <v>0</v>
      </c>
      <c r="B2402" s="2">
        <f ca="1">DATE(2009,06,30)</f>
        <v>0</v>
      </c>
      <c r="C2402" s="1" t="s">
        <v>17116</v>
      </c>
      <c r="D2402" s="3">
        <v>7372</v>
      </c>
      <c r="E2402" s="1" t="s">
        <v>43</v>
      </c>
      <c r="F2402" s="1" t="s">
        <v>17117</v>
      </c>
      <c r="G2402" s="1" t="s">
        <v>17118</v>
      </c>
      <c r="H2402" s="4">
        <v>1.1200000000000001</v>
      </c>
      <c r="I2402" s="4">
        <v>7</v>
      </c>
      <c r="J2402" s="5">
        <v>106.7</v>
      </c>
      <c r="K2402" s="4">
        <v>16</v>
      </c>
      <c r="L2402" s="1" t="s">
        <v>46</v>
      </c>
      <c r="M2402" s="1" t="s">
        <v>47</v>
      </c>
      <c r="N2402" s="1" t="s">
        <v>17119</v>
      </c>
      <c r="O2402" s="1" t="s">
        <v>48</v>
      </c>
      <c r="P2402" s="1" t="s">
        <v>17120</v>
      </c>
      <c r="Q2402" s="1" t="s">
        <v>145</v>
      </c>
      <c r="R2402" s="1" t="s">
        <v>145</v>
      </c>
      <c r="S2402" s="8">
        <v>4.2000000000000002</v>
      </c>
      <c r="T2402" s="1" t="s">
        <v>50</v>
      </c>
      <c r="U2402" s="1"/>
      <c r="V2402" s="1"/>
      <c r="W2402" s="1"/>
      <c r="X2402" s="5">
        <v>86.299999999999997</v>
      </c>
      <c r="Y2402" s="7">
        <v>5000000</v>
      </c>
      <c r="Z2402" s="7">
        <v>1666667</v>
      </c>
      <c r="AA2402" s="2">
        <f ca="1">DATE(2009,12,27)</f>
        <v>0</v>
      </c>
      <c r="AB2402" s="4">
        <v>31.177</v>
      </c>
      <c r="AC2402" s="3">
        <v>180</v>
      </c>
      <c r="AD2402" s="8">
        <v>6666667</v>
      </c>
      <c r="AE2402" s="1" t="s">
        <v>51</v>
      </c>
      <c r="AF2402" s="1" t="s">
        <v>51</v>
      </c>
      <c r="AG2402" s="1" t="s">
        <v>47</v>
      </c>
      <c r="AH2402" s="1"/>
      <c r="AI2402" s="1"/>
      <c r="AJ2402" s="3">
        <v>2</v>
      </c>
      <c r="AK2402" s="1" t="s">
        <v>89</v>
      </c>
      <c r="AL2402" s="3">
        <v>5</v>
      </c>
      <c r="AM2402" s="8">
        <v>20.02</v>
      </c>
      <c r="AN2402" s="1"/>
      <c r="AO2402" s="1" t="s">
        <v>17121</v>
      </c>
      <c r="AP2402" s="1" t="s">
        <v>17122</v>
      </c>
      <c r="AQ2402" s="1" t="s">
        <v>17123</v>
      </c>
      <c r="AR2402" s="1" t="s">
        <v>17124</v>
      </c>
    </row>
    <row r="2403">
      <c r="A2403" s="2">
        <f ca="1">DATE(2008,11,14)</f>
        <v>0</v>
      </c>
      <c r="B2403" s="2">
        <f ca="1">DATE(2009,07,13)</f>
        <v>0</v>
      </c>
      <c r="C2403" s="1" t="s">
        <v>17125</v>
      </c>
      <c r="D2403" s="3">
        <v>6021</v>
      </c>
      <c r="E2403" s="1" t="s">
        <v>43</v>
      </c>
      <c r="F2403" s="1" t="s">
        <v>17126</v>
      </c>
      <c r="G2403" s="1" t="s">
        <v>1542</v>
      </c>
      <c r="H2403" s="1" t="s">
        <v>57</v>
      </c>
      <c r="I2403" s="1" t="s">
        <v>57</v>
      </c>
      <c r="J2403" s="5">
        <v>122</v>
      </c>
      <c r="K2403" s="4">
        <v>10</v>
      </c>
      <c r="L2403" s="1" t="s">
        <v>46</v>
      </c>
      <c r="M2403" s="1" t="s">
        <v>47</v>
      </c>
      <c r="N2403" s="1" t="s">
        <v>17127</v>
      </c>
      <c r="O2403" s="1" t="s">
        <v>48</v>
      </c>
      <c r="P2403" s="1" t="s">
        <v>1543</v>
      </c>
      <c r="Q2403" s="1"/>
      <c r="R2403" s="1"/>
      <c r="S2403" s="1"/>
      <c r="T2403" s="1" t="s">
        <v>50</v>
      </c>
      <c r="U2403" s="8">
        <v>10</v>
      </c>
      <c r="V2403" s="8">
        <v>10</v>
      </c>
      <c r="W2403" s="7">
        <v>12563750</v>
      </c>
      <c r="X2403" s="5">
        <v>125.59999999999999</v>
      </c>
      <c r="Y2403" s="7">
        <v>12200000</v>
      </c>
      <c r="Z2403" s="1"/>
      <c r="AA2403" s="1"/>
      <c r="AB2403" s="1"/>
      <c r="AC2403" s="1"/>
      <c r="AD2403" s="1"/>
      <c r="AE2403" s="1" t="s">
        <v>51</v>
      </c>
      <c r="AF2403" s="1" t="s">
        <v>51</v>
      </c>
      <c r="AG2403" s="1" t="s">
        <v>51</v>
      </c>
      <c r="AH2403" s="1"/>
      <c r="AI2403" s="1"/>
      <c r="AJ2403" s="3">
        <v>1</v>
      </c>
      <c r="AK2403" s="1" t="s">
        <v>52</v>
      </c>
      <c r="AL2403" s="3">
        <v>1</v>
      </c>
      <c r="AM2403" s="8">
        <v>14.83</v>
      </c>
      <c r="AN2403" s="1"/>
      <c r="AO2403" s="1" t="s">
        <v>1542</v>
      </c>
      <c r="AP2403" s="1" t="s">
        <v>1542</v>
      </c>
      <c r="AQ2403" s="1" t="s">
        <v>1542</v>
      </c>
      <c r="AR2403" s="1" t="s">
        <v>1543</v>
      </c>
    </row>
    <row r="2404">
      <c r="A2404" s="2">
        <f ca="1">DATE(2008,07,25)</f>
        <v>0</v>
      </c>
      <c r="B2404" s="2">
        <f ca="1">DATE(2009,07,29)</f>
        <v>0</v>
      </c>
      <c r="C2404" s="1" t="s">
        <v>17128</v>
      </c>
      <c r="D2404" s="3">
        <v>3313</v>
      </c>
      <c r="E2404" s="1" t="s">
        <v>43</v>
      </c>
      <c r="F2404" s="1" t="s">
        <v>17129</v>
      </c>
      <c r="G2404" s="1" t="s">
        <v>17130</v>
      </c>
      <c r="H2404" s="4">
        <v>0.48999999999999999</v>
      </c>
      <c r="I2404" s="8">
        <v>7</v>
      </c>
      <c r="J2404" s="5">
        <v>98</v>
      </c>
      <c r="K2404" s="4">
        <v>7</v>
      </c>
      <c r="L2404" s="1" t="s">
        <v>46</v>
      </c>
      <c r="M2404" s="1" t="s">
        <v>47</v>
      </c>
      <c r="N2404" s="1" t="s">
        <v>17131</v>
      </c>
      <c r="O2404" s="1" t="s">
        <v>48</v>
      </c>
      <c r="P2404" s="1" t="s">
        <v>17132</v>
      </c>
      <c r="Q2404" s="1" t="s">
        <v>145</v>
      </c>
      <c r="R2404" s="1" t="s">
        <v>145</v>
      </c>
      <c r="S2404" s="8">
        <v>4.0499999999999998</v>
      </c>
      <c r="T2404" s="1" t="s">
        <v>50</v>
      </c>
      <c r="U2404" s="1"/>
      <c r="V2404" s="1"/>
      <c r="W2404" s="1"/>
      <c r="X2404" s="5">
        <v>150</v>
      </c>
      <c r="Y2404" s="7">
        <v>5600000</v>
      </c>
      <c r="Z2404" s="7">
        <v>8400000</v>
      </c>
      <c r="AA2404" s="2">
        <f ca="1">DATE(2010,01,25)</f>
        <v>0</v>
      </c>
      <c r="AB2404" s="4">
        <v>19.298999999999999</v>
      </c>
      <c r="AC2404" s="3">
        <v>180</v>
      </c>
      <c r="AD2404" s="8">
        <v>14000000</v>
      </c>
      <c r="AE2404" s="1" t="s">
        <v>51</v>
      </c>
      <c r="AF2404" s="1" t="s">
        <v>51</v>
      </c>
      <c r="AG2404" s="1" t="s">
        <v>51</v>
      </c>
      <c r="AH2404" s="1"/>
      <c r="AI2404" s="1"/>
      <c r="AJ2404" s="3">
        <v>3</v>
      </c>
      <c r="AK2404" s="1" t="s">
        <v>110</v>
      </c>
      <c r="AL2404" s="3">
        <v>4</v>
      </c>
      <c r="AM2404" s="1"/>
      <c r="AN2404" s="1"/>
      <c r="AO2404" s="1" t="s">
        <v>17133</v>
      </c>
      <c r="AP2404" s="1" t="s">
        <v>17134</v>
      </c>
      <c r="AQ2404" s="1" t="s">
        <v>17135</v>
      </c>
      <c r="AR2404" s="1" t="s">
        <v>17136</v>
      </c>
    </row>
    <row r="2405">
      <c r="A2405" s="2">
        <f ca="1">DATE(2009,05,22)</f>
        <v>0</v>
      </c>
      <c r="B2405" s="2">
        <f ca="1">DATE(2009,07,29)</f>
        <v>0</v>
      </c>
      <c r="C2405" s="1" t="s">
        <v>17137</v>
      </c>
      <c r="D2405" s="3">
        <v>6798</v>
      </c>
      <c r="E2405" s="1" t="s">
        <v>43</v>
      </c>
      <c r="F2405" s="1" t="s">
        <v>17138</v>
      </c>
      <c r="G2405" s="1" t="s">
        <v>16242</v>
      </c>
      <c r="H2405" s="4">
        <v>1.2</v>
      </c>
      <c r="I2405" s="4">
        <v>6</v>
      </c>
      <c r="J2405" s="5">
        <v>294.10000000000002</v>
      </c>
      <c r="K2405" s="4">
        <v>20</v>
      </c>
      <c r="L2405" s="1" t="s">
        <v>46</v>
      </c>
      <c r="M2405" s="1" t="s">
        <v>47</v>
      </c>
      <c r="N2405" s="1" t="s">
        <v>17139</v>
      </c>
      <c r="O2405" s="1" t="s">
        <v>108</v>
      </c>
      <c r="P2405" s="1" t="s">
        <v>17140</v>
      </c>
      <c r="Q2405" s="4">
        <v>2.7999999999999998</v>
      </c>
      <c r="R2405" s="4">
        <v>0.80000000000000004</v>
      </c>
      <c r="S2405" s="8">
        <v>2.3999999999999999</v>
      </c>
      <c r="T2405" s="1" t="s">
        <v>50</v>
      </c>
      <c r="U2405" s="1"/>
      <c r="V2405" s="1"/>
      <c r="W2405" s="1"/>
      <c r="X2405" s="5">
        <v>750</v>
      </c>
      <c r="Y2405" s="7">
        <v>14706327</v>
      </c>
      <c r="Z2405" s="1"/>
      <c r="AA2405" s="1"/>
      <c r="AB2405" s="1"/>
      <c r="AC2405" s="1"/>
      <c r="AD2405" s="1"/>
      <c r="AE2405" s="1" t="s">
        <v>51</v>
      </c>
      <c r="AF2405" s="1" t="s">
        <v>51</v>
      </c>
      <c r="AG2405" s="1" t="s">
        <v>51</v>
      </c>
      <c r="AH2405" s="1"/>
      <c r="AI2405" s="1"/>
      <c r="AJ2405" s="3">
        <v>3</v>
      </c>
      <c r="AK2405" s="1" t="s">
        <v>110</v>
      </c>
      <c r="AL2405" s="3">
        <v>5</v>
      </c>
      <c r="AM2405" s="1"/>
      <c r="AN2405" s="1"/>
      <c r="AO2405" s="1" t="s">
        <v>17141</v>
      </c>
      <c r="AP2405" s="1" t="s">
        <v>16247</v>
      </c>
      <c r="AQ2405" s="1" t="s">
        <v>17142</v>
      </c>
      <c r="AR2405" s="1" t="s">
        <v>17143</v>
      </c>
    </row>
    <row r="2406">
      <c r="A2406" s="2">
        <f ca="1">DATE(2007,08,03)</f>
        <v>0</v>
      </c>
      <c r="B2406" s="2">
        <f ca="1">DATE(2009,07,29)</f>
        <v>0</v>
      </c>
      <c r="C2406" s="1" t="s">
        <v>17144</v>
      </c>
      <c r="D2406" s="3">
        <v>6726</v>
      </c>
      <c r="E2406" s="1" t="s">
        <v>43</v>
      </c>
      <c r="F2406" s="1" t="s">
        <v>17145</v>
      </c>
      <c r="G2406" s="1" t="s">
        <v>17146</v>
      </c>
      <c r="H2406" s="4">
        <v>0.90000000000000002</v>
      </c>
      <c r="I2406" s="4">
        <v>4.5</v>
      </c>
      <c r="J2406" s="5">
        <v>137</v>
      </c>
      <c r="K2406" s="4">
        <v>20</v>
      </c>
      <c r="L2406" s="1" t="s">
        <v>46</v>
      </c>
      <c r="M2406" s="1" t="s">
        <v>47</v>
      </c>
      <c r="N2406" s="1" t="s">
        <v>17147</v>
      </c>
      <c r="O2406" s="1" t="s">
        <v>108</v>
      </c>
      <c r="P2406" s="1" t="s">
        <v>17148</v>
      </c>
      <c r="Q2406" s="1" t="s">
        <v>145</v>
      </c>
      <c r="R2406" s="1" t="s">
        <v>145</v>
      </c>
      <c r="S2406" s="8">
        <v>3</v>
      </c>
      <c r="T2406" s="1" t="s">
        <v>50</v>
      </c>
      <c r="U2406" s="8">
        <v>25</v>
      </c>
      <c r="V2406" s="8">
        <v>25</v>
      </c>
      <c r="W2406" s="7">
        <v>200000</v>
      </c>
      <c r="X2406" s="5">
        <v>5</v>
      </c>
      <c r="Y2406" s="7">
        <v>6850000</v>
      </c>
      <c r="Z2406" s="1"/>
      <c r="AA2406" s="1"/>
      <c r="AB2406" s="1"/>
      <c r="AC2406" s="1"/>
      <c r="AD2406" s="1"/>
      <c r="AE2406" s="1" t="s">
        <v>51</v>
      </c>
      <c r="AF2406" s="1" t="s">
        <v>51</v>
      </c>
      <c r="AG2406" s="1" t="s">
        <v>51</v>
      </c>
      <c r="AH2406" s="1"/>
      <c r="AI2406" s="1"/>
      <c r="AJ2406" s="3">
        <v>1</v>
      </c>
      <c r="AK2406" s="1" t="s">
        <v>52</v>
      </c>
      <c r="AL2406" s="3">
        <v>14</v>
      </c>
      <c r="AM2406" s="1"/>
      <c r="AN2406" s="1"/>
      <c r="AO2406" s="1" t="s">
        <v>17149</v>
      </c>
      <c r="AP2406" s="1" t="s">
        <v>17146</v>
      </c>
      <c r="AQ2406" s="1" t="s">
        <v>17150</v>
      </c>
      <c r="AR2406" s="1" t="s">
        <v>17151</v>
      </c>
    </row>
    <row r="2407">
      <c r="A2407" s="2">
        <f ca="1">DATE(2008,08,12)</f>
        <v>0</v>
      </c>
      <c r="B2407" s="2">
        <f ca="1">DATE(2009,07,29)</f>
        <v>0</v>
      </c>
      <c r="C2407" s="1" t="s">
        <v>17152</v>
      </c>
      <c r="D2407" s="3">
        <v>1389</v>
      </c>
      <c r="E2407" s="1" t="s">
        <v>744</v>
      </c>
      <c r="F2407" s="1" t="s">
        <v>17153</v>
      </c>
      <c r="G2407" s="1" t="s">
        <v>1542</v>
      </c>
      <c r="H2407" s="4">
        <v>0.47999999999999998</v>
      </c>
      <c r="I2407" s="4">
        <v>8</v>
      </c>
      <c r="J2407" s="5">
        <v>10.199999999999999</v>
      </c>
      <c r="K2407" s="4">
        <v>6</v>
      </c>
      <c r="L2407" s="1" t="s">
        <v>1057</v>
      </c>
      <c r="M2407" s="1" t="s">
        <v>47</v>
      </c>
      <c r="N2407" s="1" t="s">
        <v>17154</v>
      </c>
      <c r="O2407" s="1" t="s">
        <v>48</v>
      </c>
      <c r="P2407" s="1" t="s">
        <v>17155</v>
      </c>
      <c r="Q2407" s="1" t="s">
        <v>145</v>
      </c>
      <c r="R2407" s="1" t="s">
        <v>145</v>
      </c>
      <c r="S2407" s="1"/>
      <c r="T2407" s="1" t="s">
        <v>50</v>
      </c>
      <c r="U2407" s="1"/>
      <c r="V2407" s="1"/>
      <c r="W2407" s="1"/>
      <c r="X2407" s="5">
        <v>10</v>
      </c>
      <c r="Y2407" s="7">
        <v>1700000</v>
      </c>
      <c r="Z2407" s="1"/>
      <c r="AA2407" s="2">
        <f ca="1">DATE(2009,10,27)</f>
        <v>0</v>
      </c>
      <c r="AB2407" s="4">
        <v>34.128</v>
      </c>
      <c r="AC2407" s="3">
        <v>90</v>
      </c>
      <c r="AD2407" s="8">
        <v>1166667</v>
      </c>
      <c r="AE2407" s="1" t="s">
        <v>51</v>
      </c>
      <c r="AF2407" s="1" t="s">
        <v>51</v>
      </c>
      <c r="AG2407" s="1" t="s">
        <v>51</v>
      </c>
      <c r="AH2407" s="1"/>
      <c r="AI2407" s="1"/>
      <c r="AJ2407" s="3">
        <v>1</v>
      </c>
      <c r="AK2407" s="1" t="s">
        <v>89</v>
      </c>
      <c r="AL2407" s="3">
        <v>2</v>
      </c>
      <c r="AM2407" s="8">
        <v>5.5700000000000003</v>
      </c>
      <c r="AN2407" s="1"/>
      <c r="AO2407" s="1" t="s">
        <v>17156</v>
      </c>
      <c r="AP2407" s="1" t="s">
        <v>17157</v>
      </c>
      <c r="AQ2407" s="1" t="s">
        <v>17158</v>
      </c>
      <c r="AR2407" s="1" t="s">
        <v>17155</v>
      </c>
    </row>
    <row r="2408">
      <c r="A2408" s="2">
        <f ca="1">DATE(2009,07,16)</f>
        <v>0</v>
      </c>
      <c r="B2408" s="2">
        <f ca="1">DATE(2009,08,05)</f>
        <v>0</v>
      </c>
      <c r="C2408" s="1" t="s">
        <v>17159</v>
      </c>
      <c r="D2408" s="3">
        <v>7372</v>
      </c>
      <c r="E2408" s="1" t="s">
        <v>845</v>
      </c>
      <c r="F2408" s="1" t="s">
        <v>17160</v>
      </c>
      <c r="G2408" s="1" t="s">
        <v>17161</v>
      </c>
      <c r="H2408" s="4">
        <v>0.83999999999999997</v>
      </c>
      <c r="I2408" s="8">
        <v>7</v>
      </c>
      <c r="J2408" s="5">
        <v>57.600000000000001</v>
      </c>
      <c r="K2408" s="4">
        <v>12</v>
      </c>
      <c r="L2408" s="1" t="s">
        <v>651</v>
      </c>
      <c r="M2408" s="1" t="s">
        <v>47</v>
      </c>
      <c r="N2408" s="1" t="s">
        <v>17162</v>
      </c>
      <c r="O2408" s="1" t="s">
        <v>48</v>
      </c>
      <c r="P2408" s="1" t="s">
        <v>17163</v>
      </c>
      <c r="Q2408" s="1" t="s">
        <v>145</v>
      </c>
      <c r="R2408" s="1" t="s">
        <v>145</v>
      </c>
      <c r="S2408" s="6">
        <v>4.1666699999999999</v>
      </c>
      <c r="T2408" s="1" t="s">
        <v>50</v>
      </c>
      <c r="U2408" s="8">
        <v>13</v>
      </c>
      <c r="V2408" s="8">
        <v>11</v>
      </c>
      <c r="W2408" s="7">
        <v>4800000</v>
      </c>
      <c r="X2408" s="5">
        <v>57.600000000000001</v>
      </c>
      <c r="Y2408" s="7">
        <v>4000000</v>
      </c>
      <c r="Z2408" s="7">
        <v>800000</v>
      </c>
      <c r="AA2408" s="1" t="s">
        <v>17164</v>
      </c>
      <c r="AB2408" s="1" t="s">
        <v>17165</v>
      </c>
      <c r="AC2408" s="1" t="s">
        <v>10049</v>
      </c>
      <c r="AD2408" s="1" t="s">
        <v>17166</v>
      </c>
      <c r="AE2408" s="1" t="s">
        <v>47</v>
      </c>
      <c r="AF2408" s="1" t="s">
        <v>51</v>
      </c>
      <c r="AG2408" s="1" t="s">
        <v>51</v>
      </c>
      <c r="AH2408" s="1"/>
      <c r="AI2408" s="1"/>
      <c r="AJ2408" s="3">
        <v>2</v>
      </c>
      <c r="AK2408" s="1" t="s">
        <v>89</v>
      </c>
      <c r="AL2408" s="3">
        <v>6</v>
      </c>
      <c r="AM2408" s="1"/>
      <c r="AN2408" s="1"/>
      <c r="AO2408" s="1" t="s">
        <v>17167</v>
      </c>
      <c r="AP2408" s="1" t="s">
        <v>17168</v>
      </c>
      <c r="AQ2408" s="1" t="s">
        <v>17169</v>
      </c>
      <c r="AR2408" s="1" t="s">
        <v>17163</v>
      </c>
    </row>
    <row r="2409">
      <c r="A2409" s="2">
        <f ca="1">DATE(2008,08,21)</f>
        <v>0</v>
      </c>
      <c r="B2409" s="2">
        <f ca="1">DATE(2009,08,05)</f>
        <v>0</v>
      </c>
      <c r="C2409" s="1" t="s">
        <v>17170</v>
      </c>
      <c r="D2409" s="3">
        <v>3674</v>
      </c>
      <c r="E2409" s="1" t="s">
        <v>43</v>
      </c>
      <c r="F2409" s="1" t="s">
        <v>2996</v>
      </c>
      <c r="G2409" s="1" t="s">
        <v>17171</v>
      </c>
      <c r="H2409" s="4">
        <v>0.90000000000000002</v>
      </c>
      <c r="I2409" s="4">
        <v>6</v>
      </c>
      <c r="J2409" s="5">
        <v>648</v>
      </c>
      <c r="K2409" s="4">
        <v>15</v>
      </c>
      <c r="L2409" s="1" t="s">
        <v>1057</v>
      </c>
      <c r="M2409" s="1" t="s">
        <v>47</v>
      </c>
      <c r="N2409" s="1" t="s">
        <v>17172</v>
      </c>
      <c r="O2409" s="1" t="s">
        <v>48</v>
      </c>
      <c r="P2409" s="1" t="s">
        <v>17173</v>
      </c>
      <c r="Q2409" s="1" t="s">
        <v>145</v>
      </c>
      <c r="R2409" s="1" t="s">
        <v>145</v>
      </c>
      <c r="S2409" s="8">
        <v>3.6000000000000001</v>
      </c>
      <c r="T2409" s="1" t="s">
        <v>50</v>
      </c>
      <c r="U2409" s="1"/>
      <c r="V2409" s="1"/>
      <c r="W2409" s="1"/>
      <c r="X2409" s="5">
        <v>400</v>
      </c>
      <c r="Y2409" s="7">
        <v>21500000</v>
      </c>
      <c r="Z2409" s="7">
        <v>21700000</v>
      </c>
      <c r="AA2409" s="1" t="s">
        <v>17174</v>
      </c>
      <c r="AB2409" s="1" t="s">
        <v>17175</v>
      </c>
      <c r="AC2409" s="1" t="s">
        <v>7759</v>
      </c>
      <c r="AD2409" s="1" t="s">
        <v>17176</v>
      </c>
      <c r="AE2409" s="1" t="s">
        <v>51</v>
      </c>
      <c r="AF2409" s="1" t="s">
        <v>51</v>
      </c>
      <c r="AG2409" s="1" t="s">
        <v>51</v>
      </c>
      <c r="AH2409" s="1"/>
      <c r="AI2409" s="1"/>
      <c r="AJ2409" s="3">
        <v>4</v>
      </c>
      <c r="AK2409" s="1" t="s">
        <v>1209</v>
      </c>
      <c r="AL2409" s="3">
        <v>11</v>
      </c>
      <c r="AM2409" s="1"/>
      <c r="AN2409" s="1"/>
      <c r="AO2409" s="1" t="s">
        <v>17177</v>
      </c>
      <c r="AP2409" s="1" t="s">
        <v>17178</v>
      </c>
      <c r="AQ2409" s="1" t="s">
        <v>17179</v>
      </c>
      <c r="AR2409" s="1" t="s">
        <v>17180</v>
      </c>
    </row>
    <row r="2410">
      <c r="A2410" s="2">
        <f ca="1">DATE(2007,05,01)</f>
        <v>0</v>
      </c>
      <c r="B2410" s="2">
        <f ca="1">DATE(2009,08,10)</f>
        <v>0</v>
      </c>
      <c r="C2410" s="1" t="s">
        <v>17181</v>
      </c>
      <c r="D2410" s="3">
        <v>2834</v>
      </c>
      <c r="E2410" s="1" t="s">
        <v>43</v>
      </c>
      <c r="F2410" s="1" t="s">
        <v>17182</v>
      </c>
      <c r="G2410" s="1" t="s">
        <v>17183</v>
      </c>
      <c r="H2410" s="4">
        <v>1.19</v>
      </c>
      <c r="I2410" s="8">
        <v>7</v>
      </c>
      <c r="J2410" s="5">
        <v>85</v>
      </c>
      <c r="K2410" s="4">
        <v>17</v>
      </c>
      <c r="L2410" s="1" t="s">
        <v>46</v>
      </c>
      <c r="M2410" s="1" t="s">
        <v>47</v>
      </c>
      <c r="N2410" s="3">
        <v>230770109</v>
      </c>
      <c r="O2410" s="1" t="s">
        <v>48</v>
      </c>
      <c r="P2410" s="1" t="s">
        <v>17184</v>
      </c>
      <c r="Q2410" s="1" t="s">
        <v>145</v>
      </c>
      <c r="R2410" s="1" t="s">
        <v>145</v>
      </c>
      <c r="S2410" s="1"/>
      <c r="T2410" s="1" t="s">
        <v>50</v>
      </c>
      <c r="U2410" s="1"/>
      <c r="V2410" s="1"/>
      <c r="W2410" s="1"/>
      <c r="X2410" s="5">
        <v>115</v>
      </c>
      <c r="Y2410" s="7">
        <v>5000000</v>
      </c>
      <c r="Z2410" s="1"/>
      <c r="AA2410" s="1" t="s">
        <v>17185</v>
      </c>
      <c r="AB2410" s="1" t="s">
        <v>17186</v>
      </c>
      <c r="AC2410" s="1" t="s">
        <v>2068</v>
      </c>
      <c r="AD2410" s="1" t="s">
        <v>17187</v>
      </c>
      <c r="AE2410" s="1" t="s">
        <v>51</v>
      </c>
      <c r="AF2410" s="1" t="s">
        <v>51</v>
      </c>
      <c r="AG2410" s="1" t="s">
        <v>47</v>
      </c>
      <c r="AH2410" s="1"/>
      <c r="AI2410" s="1"/>
      <c r="AJ2410" s="3">
        <v>3</v>
      </c>
      <c r="AK2410" s="1" t="s">
        <v>110</v>
      </c>
      <c r="AL2410" s="3">
        <v>4</v>
      </c>
      <c r="AM2410" s="1"/>
      <c r="AN2410" s="1"/>
      <c r="AO2410" s="1" t="s">
        <v>17188</v>
      </c>
      <c r="AP2410" s="1" t="s">
        <v>17189</v>
      </c>
      <c r="AQ2410" s="1" t="s">
        <v>17190</v>
      </c>
      <c r="AR2410" s="1" t="s">
        <v>17184</v>
      </c>
    </row>
    <row r="2411">
      <c r="A2411" s="2">
        <f ca="1">DATE(2008,09,12)</f>
        <v>0</v>
      </c>
      <c r="B2411" s="2">
        <f ca="1">DATE(2009,08,11)</f>
        <v>0</v>
      </c>
      <c r="C2411" s="1" t="s">
        <v>17191</v>
      </c>
      <c r="D2411" s="3">
        <v>7372</v>
      </c>
      <c r="E2411" s="1" t="s">
        <v>43</v>
      </c>
      <c r="F2411" s="1" t="s">
        <v>17192</v>
      </c>
      <c r="G2411" s="1" t="s">
        <v>17193</v>
      </c>
      <c r="H2411" s="4">
        <v>1.008</v>
      </c>
      <c r="I2411" s="4">
        <v>6.5</v>
      </c>
      <c r="J2411" s="5">
        <v>367.39999999999998</v>
      </c>
      <c r="K2411" s="4">
        <v>15.5</v>
      </c>
      <c r="L2411" s="1" t="s">
        <v>5129</v>
      </c>
      <c r="M2411" s="1" t="s">
        <v>47</v>
      </c>
      <c r="N2411" s="1" t="s">
        <v>17194</v>
      </c>
      <c r="O2411" s="1" t="s">
        <v>108</v>
      </c>
      <c r="P2411" s="1" t="s">
        <v>17195</v>
      </c>
      <c r="Q2411" s="4">
        <v>1.3</v>
      </c>
      <c r="R2411" s="4">
        <v>1.3</v>
      </c>
      <c r="S2411" s="8">
        <v>3.8999999999999999</v>
      </c>
      <c r="T2411" s="1" t="s">
        <v>50</v>
      </c>
      <c r="U2411" s="1"/>
      <c r="V2411" s="1"/>
      <c r="W2411" s="1"/>
      <c r="X2411" s="5">
        <v>460</v>
      </c>
      <c r="Y2411" s="7">
        <v>10725000</v>
      </c>
      <c r="Z2411" s="7">
        <v>12975000</v>
      </c>
      <c r="AA2411" s="2">
        <f ca="1">DATE(2010,02,07)</f>
        <v>0</v>
      </c>
      <c r="AB2411" s="4">
        <v>26.783000000000001</v>
      </c>
      <c r="AC2411" s="3">
        <v>180</v>
      </c>
      <c r="AD2411" s="8">
        <v>23700000</v>
      </c>
      <c r="AE2411" s="1" t="s">
        <v>51</v>
      </c>
      <c r="AF2411" s="1" t="s">
        <v>51</v>
      </c>
      <c r="AG2411" s="1" t="s">
        <v>51</v>
      </c>
      <c r="AH2411" s="1"/>
      <c r="AI2411" s="1"/>
      <c r="AJ2411" s="3">
        <v>4</v>
      </c>
      <c r="AK2411" s="1" t="s">
        <v>1209</v>
      </c>
      <c r="AL2411" s="3">
        <v>11</v>
      </c>
      <c r="AM2411" s="1"/>
      <c r="AN2411" s="1"/>
      <c r="AO2411" s="1" t="s">
        <v>17196</v>
      </c>
      <c r="AP2411" s="1" t="s">
        <v>17197</v>
      </c>
      <c r="AQ2411" s="1" t="s">
        <v>17198</v>
      </c>
      <c r="AR2411" s="1" t="s">
        <v>17195</v>
      </c>
    </row>
    <row r="2412">
      <c r="A2412" s="2">
        <f ca="1">DATE(2009,06,05)</f>
        <v>0</v>
      </c>
      <c r="B2412" s="2">
        <f ca="1">DATE(2009,08,11)</f>
        <v>0</v>
      </c>
      <c r="C2412" s="1" t="s">
        <v>17199</v>
      </c>
      <c r="D2412" s="3">
        <v>6798</v>
      </c>
      <c r="E2412" s="1" t="s">
        <v>43</v>
      </c>
      <c r="F2412" s="1" t="s">
        <v>17200</v>
      </c>
      <c r="G2412" s="1" t="s">
        <v>17201</v>
      </c>
      <c r="H2412" s="4">
        <v>1.2</v>
      </c>
      <c r="I2412" s="4">
        <v>6</v>
      </c>
      <c r="J2412" s="5">
        <v>810</v>
      </c>
      <c r="K2412" s="4">
        <v>20</v>
      </c>
      <c r="L2412" s="1" t="s">
        <v>46</v>
      </c>
      <c r="M2412" s="1" t="s">
        <v>47</v>
      </c>
      <c r="N2412" s="1" t="s">
        <v>17202</v>
      </c>
      <c r="O2412" s="1" t="s">
        <v>108</v>
      </c>
      <c r="P2412" s="1" t="s">
        <v>17203</v>
      </c>
      <c r="Q2412" s="4">
        <v>2.7999999999999998</v>
      </c>
      <c r="R2412" s="4">
        <v>0.80000000000000004</v>
      </c>
      <c r="S2412" s="8">
        <v>2.3999999999999999</v>
      </c>
      <c r="T2412" s="1" t="s">
        <v>50</v>
      </c>
      <c r="U2412" s="1"/>
      <c r="V2412" s="1"/>
      <c r="W2412" s="1"/>
      <c r="X2412" s="5">
        <v>500</v>
      </c>
      <c r="Y2412" s="7">
        <v>40500000</v>
      </c>
      <c r="Z2412" s="1"/>
      <c r="AA2412" s="1" t="s">
        <v>17204</v>
      </c>
      <c r="AB2412" s="1" t="s">
        <v>2067</v>
      </c>
      <c r="AC2412" s="1" t="s">
        <v>2068</v>
      </c>
      <c r="AD2412" s="1" t="s">
        <v>2067</v>
      </c>
      <c r="AE2412" s="1" t="s">
        <v>51</v>
      </c>
      <c r="AF2412" s="1" t="s">
        <v>51</v>
      </c>
      <c r="AG2412" s="1" t="s">
        <v>51</v>
      </c>
      <c r="AH2412" s="1"/>
      <c r="AI2412" s="1"/>
      <c r="AJ2412" s="3">
        <v>3</v>
      </c>
      <c r="AK2412" s="1" t="s">
        <v>110</v>
      </c>
      <c r="AL2412" s="3">
        <v>9</v>
      </c>
      <c r="AM2412" s="1"/>
      <c r="AN2412" s="1"/>
      <c r="AO2412" s="1" t="s">
        <v>17205</v>
      </c>
      <c r="AP2412" s="1" t="s">
        <v>17206</v>
      </c>
      <c r="AQ2412" s="1" t="s">
        <v>17207</v>
      </c>
      <c r="AR2412" s="1" t="s">
        <v>17208</v>
      </c>
    </row>
    <row r="2413">
      <c r="A2413" s="2">
        <f ca="1">DATE(2009,06,03)</f>
        <v>0</v>
      </c>
      <c r="B2413" s="2">
        <f ca="1">DATE(2009,09,04)</f>
        <v>0</v>
      </c>
      <c r="C2413" s="1" t="s">
        <v>17209</v>
      </c>
      <c r="D2413" s="3">
        <v>3356</v>
      </c>
      <c r="E2413" s="1" t="s">
        <v>744</v>
      </c>
      <c r="F2413" s="1" t="s">
        <v>17210</v>
      </c>
      <c r="G2413" s="1" t="s">
        <v>17211</v>
      </c>
      <c r="H2413" s="4">
        <v>0.28000000000000003</v>
      </c>
      <c r="I2413" s="4">
        <v>7</v>
      </c>
      <c r="J2413" s="5">
        <v>9.1999999999999993</v>
      </c>
      <c r="K2413" s="4">
        <v>4</v>
      </c>
      <c r="L2413" s="1" t="s">
        <v>46</v>
      </c>
      <c r="M2413" s="1" t="s">
        <v>47</v>
      </c>
      <c r="N2413" s="3">
        <v>532352309</v>
      </c>
      <c r="O2413" s="1" t="s">
        <v>48</v>
      </c>
      <c r="P2413" s="1" t="s">
        <v>17212</v>
      </c>
      <c r="Q2413" s="1" t="s">
        <v>145</v>
      </c>
      <c r="R2413" s="1" t="s">
        <v>145</v>
      </c>
      <c r="S2413" s="8">
        <v>4.2000000000000002</v>
      </c>
      <c r="T2413" s="1" t="s">
        <v>50</v>
      </c>
      <c r="U2413" s="1"/>
      <c r="V2413" s="1"/>
      <c r="W2413" s="1"/>
      <c r="X2413" s="1"/>
      <c r="Y2413" s="7">
        <v>2300000</v>
      </c>
      <c r="Z2413" s="1"/>
      <c r="AA2413" s="2">
        <f ca="1">DATE(2010,03,03)</f>
        <v>0</v>
      </c>
      <c r="AB2413" s="4">
        <v>9.6669999999999998</v>
      </c>
      <c r="AC2413" s="3">
        <v>180</v>
      </c>
      <c r="AD2413" s="8">
        <v>2300000</v>
      </c>
      <c r="AE2413" s="1" t="s">
        <v>51</v>
      </c>
      <c r="AF2413" s="1" t="s">
        <v>51</v>
      </c>
      <c r="AG2413" s="1" t="s">
        <v>51</v>
      </c>
      <c r="AH2413" s="1"/>
      <c r="AI2413" s="1"/>
      <c r="AJ2413" s="3">
        <v>2</v>
      </c>
      <c r="AK2413" s="1" t="s">
        <v>89</v>
      </c>
      <c r="AL2413" s="3">
        <v>2</v>
      </c>
      <c r="AM2413" s="1"/>
      <c r="AN2413" s="1"/>
      <c r="AO2413" s="1" t="s">
        <v>17213</v>
      </c>
      <c r="AP2413" s="1" t="s">
        <v>17214</v>
      </c>
      <c r="AQ2413" s="1" t="s">
        <v>17215</v>
      </c>
      <c r="AR2413" s="1" t="s">
        <v>17216</v>
      </c>
    </row>
    <row r="2414">
      <c r="A2414" s="2">
        <f ca="1">DATE(2009,04,03)</f>
        <v>0</v>
      </c>
      <c r="B2414" s="2">
        <f ca="1">DATE(2009,09,09)</f>
        <v>0</v>
      </c>
      <c r="C2414" s="1" t="s">
        <v>17217</v>
      </c>
      <c r="D2414" s="3">
        <v>8711</v>
      </c>
      <c r="E2414" s="1" t="s">
        <v>744</v>
      </c>
      <c r="F2414" s="1" t="s">
        <v>17218</v>
      </c>
      <c r="G2414" s="1" t="s">
        <v>1542</v>
      </c>
      <c r="H2414" s="4">
        <v>0.41999999999999998</v>
      </c>
      <c r="I2414" s="4">
        <v>6.2220000000000004</v>
      </c>
      <c r="J2414" s="5">
        <v>11.5</v>
      </c>
      <c r="K2414" s="4">
        <v>6.75</v>
      </c>
      <c r="L2414" s="1" t="s">
        <v>46</v>
      </c>
      <c r="M2414" s="1" t="s">
        <v>47</v>
      </c>
      <c r="N2414" s="1"/>
      <c r="O2414" s="1" t="s">
        <v>48</v>
      </c>
      <c r="P2414" s="1" t="s">
        <v>17155</v>
      </c>
      <c r="Q2414" s="1" t="s">
        <v>145</v>
      </c>
      <c r="R2414" s="1" t="s">
        <v>145</v>
      </c>
      <c r="S2414" s="1"/>
      <c r="T2414" s="1" t="s">
        <v>50</v>
      </c>
      <c r="U2414" s="8">
        <v>6</v>
      </c>
      <c r="V2414" s="8">
        <v>6</v>
      </c>
      <c r="W2414" s="7">
        <v>1166667</v>
      </c>
      <c r="X2414" s="5">
        <v>7</v>
      </c>
      <c r="Y2414" s="7">
        <v>1700000</v>
      </c>
      <c r="Z2414" s="1"/>
      <c r="AA2414" s="2">
        <f ca="1">DATE(2009,12,08)</f>
        <v>0</v>
      </c>
      <c r="AB2414" s="4">
        <v>24.709</v>
      </c>
      <c r="AC2414" s="3">
        <v>90</v>
      </c>
      <c r="AD2414" s="8">
        <v>1166667</v>
      </c>
      <c r="AE2414" s="1" t="s">
        <v>51</v>
      </c>
      <c r="AF2414" s="1" t="s">
        <v>51</v>
      </c>
      <c r="AG2414" s="1" t="s">
        <v>51</v>
      </c>
      <c r="AH2414" s="1"/>
      <c r="AI2414" s="1"/>
      <c r="AJ2414" s="3">
        <v>1</v>
      </c>
      <c r="AK2414" s="1" t="s">
        <v>89</v>
      </c>
      <c r="AL2414" s="3">
        <v>2</v>
      </c>
      <c r="AM2414" s="1"/>
      <c r="AN2414" s="1"/>
      <c r="AO2414" s="1" t="s">
        <v>17156</v>
      </c>
      <c r="AP2414" s="1" t="s">
        <v>17157</v>
      </c>
      <c r="AQ2414" s="1" t="s">
        <v>17158</v>
      </c>
      <c r="AR2414" s="1" t="s">
        <v>17155</v>
      </c>
    </row>
    <row r="2415">
      <c r="A2415" s="2">
        <f ca="1">DATE(2009,06,26)</f>
        <v>0</v>
      </c>
      <c r="B2415" s="2">
        <f ca="1">DATE(2009,09,16)</f>
        <v>0</v>
      </c>
      <c r="C2415" s="1" t="s">
        <v>17219</v>
      </c>
      <c r="D2415" s="3">
        <v>6798</v>
      </c>
      <c r="E2415" s="1" t="s">
        <v>43</v>
      </c>
      <c r="F2415" s="1" t="s">
        <v>17220</v>
      </c>
      <c r="G2415" s="1" t="s">
        <v>16537</v>
      </c>
      <c r="H2415" s="4">
        <v>0.59999999999999998</v>
      </c>
      <c r="I2415" s="4">
        <v>4</v>
      </c>
      <c r="J2415" s="5">
        <v>200</v>
      </c>
      <c r="K2415" s="4">
        <v>15</v>
      </c>
      <c r="L2415" s="1" t="s">
        <v>46</v>
      </c>
      <c r="M2415" s="1" t="s">
        <v>47</v>
      </c>
      <c r="N2415" s="3">
        <v>226553105</v>
      </c>
      <c r="O2415" s="1" t="s">
        <v>108</v>
      </c>
      <c r="P2415" s="1" t="s">
        <v>17221</v>
      </c>
      <c r="Q2415" s="4">
        <v>1.8</v>
      </c>
      <c r="R2415" s="4">
        <v>0.80000000000000004</v>
      </c>
      <c r="S2415" s="8">
        <v>2.3999999999999999</v>
      </c>
      <c r="T2415" s="1" t="s">
        <v>50</v>
      </c>
      <c r="U2415" s="1"/>
      <c r="V2415" s="1"/>
      <c r="W2415" s="1"/>
      <c r="X2415" s="5">
        <v>500</v>
      </c>
      <c r="Y2415" s="7">
        <v>13333334</v>
      </c>
      <c r="Z2415" s="1"/>
      <c r="AA2415" s="1" t="s">
        <v>17222</v>
      </c>
      <c r="AB2415" s="1" t="s">
        <v>17223</v>
      </c>
      <c r="AC2415" s="1" t="s">
        <v>2068</v>
      </c>
      <c r="AD2415" s="1" t="s">
        <v>17224</v>
      </c>
      <c r="AE2415" s="1" t="s">
        <v>51</v>
      </c>
      <c r="AF2415" s="1" t="s">
        <v>51</v>
      </c>
      <c r="AG2415" s="1" t="s">
        <v>51</v>
      </c>
      <c r="AH2415" s="1"/>
      <c r="AI2415" s="1"/>
      <c r="AJ2415" s="3">
        <v>2</v>
      </c>
      <c r="AK2415" s="1" t="s">
        <v>89</v>
      </c>
      <c r="AL2415" s="3">
        <v>5</v>
      </c>
      <c r="AM2415" s="8">
        <v>14.630000000000001</v>
      </c>
      <c r="AN2415" s="1"/>
      <c r="AO2415" s="1" t="s">
        <v>17225</v>
      </c>
      <c r="AP2415" s="1" t="s">
        <v>16542</v>
      </c>
      <c r="AQ2415" s="1" t="s">
        <v>17226</v>
      </c>
      <c r="AR2415" s="1" t="s">
        <v>17227</v>
      </c>
    </row>
    <row r="2416">
      <c r="A2416" s="2">
        <f ca="1">DATE(2008,08,08)</f>
        <v>0</v>
      </c>
      <c r="B2416" s="2">
        <f ca="1">DATE(2009,09,23)</f>
        <v>0</v>
      </c>
      <c r="C2416" s="1" t="s">
        <v>17228</v>
      </c>
      <c r="D2416" s="3">
        <v>3699</v>
      </c>
      <c r="E2416" s="1" t="s">
        <v>43</v>
      </c>
      <c r="F2416" s="1" t="s">
        <v>17229</v>
      </c>
      <c r="G2416" s="1" t="s">
        <v>2064</v>
      </c>
      <c r="H2416" s="4">
        <v>0.94499999999999995</v>
      </c>
      <c r="I2416" s="8">
        <v>7</v>
      </c>
      <c r="J2416" s="5">
        <v>380.39999999999998</v>
      </c>
      <c r="K2416" s="4">
        <v>13.5</v>
      </c>
      <c r="L2416" s="1" t="s">
        <v>46</v>
      </c>
      <c r="M2416" s="1" t="s">
        <v>47</v>
      </c>
      <c r="N2416" s="1" t="s">
        <v>17230</v>
      </c>
      <c r="O2416" s="1" t="s">
        <v>48</v>
      </c>
      <c r="P2416" s="1" t="s">
        <v>17231</v>
      </c>
      <c r="Q2416" s="1" t="s">
        <v>145</v>
      </c>
      <c r="R2416" s="1" t="s">
        <v>145</v>
      </c>
      <c r="S2416" s="1"/>
      <c r="T2416" s="1" t="s">
        <v>50</v>
      </c>
      <c r="U2416" s="1"/>
      <c r="V2416" s="1"/>
      <c r="W2416" s="1"/>
      <c r="X2416" s="5">
        <v>175</v>
      </c>
      <c r="Y2416" s="7">
        <v>27500000</v>
      </c>
      <c r="Z2416" s="7">
        <v>680501</v>
      </c>
      <c r="AA2416" s="1" t="s">
        <v>17232</v>
      </c>
      <c r="AB2416" s="1" t="s">
        <v>17233</v>
      </c>
      <c r="AC2416" s="1" t="s">
        <v>2068</v>
      </c>
      <c r="AD2416" s="1" t="s">
        <v>17234</v>
      </c>
      <c r="AE2416" s="1" t="s">
        <v>51</v>
      </c>
      <c r="AF2416" s="1" t="s">
        <v>51</v>
      </c>
      <c r="AG2416" s="1" t="s">
        <v>47</v>
      </c>
      <c r="AH2416" s="1"/>
      <c r="AI2416" s="1"/>
      <c r="AJ2416" s="3">
        <v>2</v>
      </c>
      <c r="AK2416" s="1" t="s">
        <v>89</v>
      </c>
      <c r="AL2416" s="3">
        <v>6</v>
      </c>
      <c r="AM2416" s="1"/>
      <c r="AN2416" s="1"/>
      <c r="AO2416" s="1" t="s">
        <v>17235</v>
      </c>
      <c r="AP2416" s="1" t="s">
        <v>2070</v>
      </c>
      <c r="AQ2416" s="1" t="s">
        <v>17236</v>
      </c>
      <c r="AR2416" s="1" t="s">
        <v>17237</v>
      </c>
    </row>
    <row r="2417">
      <c r="A2417" s="2">
        <f ca="1">DATE(2009,07,10)</f>
        <v>0</v>
      </c>
      <c r="B2417" s="2">
        <f ca="1">DATE(2009,09,23)</f>
        <v>0</v>
      </c>
      <c r="C2417" s="1" t="s">
        <v>17238</v>
      </c>
      <c r="D2417" s="3">
        <v>6798</v>
      </c>
      <c r="E2417" s="1" t="s">
        <v>43</v>
      </c>
      <c r="F2417" s="1" t="s">
        <v>17239</v>
      </c>
      <c r="G2417" s="1" t="s">
        <v>17240</v>
      </c>
      <c r="H2417" s="4">
        <v>1</v>
      </c>
      <c r="I2417" s="4">
        <v>5</v>
      </c>
      <c r="J2417" s="5">
        <v>200</v>
      </c>
      <c r="K2417" s="4">
        <v>20</v>
      </c>
      <c r="L2417" s="1" t="s">
        <v>46</v>
      </c>
      <c r="M2417" s="1" t="s">
        <v>47</v>
      </c>
      <c r="N2417" s="1" t="s">
        <v>17241</v>
      </c>
      <c r="O2417" s="1" t="s">
        <v>108</v>
      </c>
      <c r="P2417" s="1" t="s">
        <v>17242</v>
      </c>
      <c r="Q2417" s="1" t="s">
        <v>145</v>
      </c>
      <c r="R2417" s="1" t="s">
        <v>145</v>
      </c>
      <c r="S2417" s="8">
        <v>2.3999999999999999</v>
      </c>
      <c r="T2417" s="1" t="s">
        <v>50</v>
      </c>
      <c r="U2417" s="1"/>
      <c r="V2417" s="1"/>
      <c r="W2417" s="1"/>
      <c r="X2417" s="5">
        <v>600</v>
      </c>
      <c r="Y2417" s="7">
        <v>10000000</v>
      </c>
      <c r="Z2417" s="1"/>
      <c r="AA2417" s="2">
        <f ca="1">DATE(2010,03,22)</f>
        <v>0</v>
      </c>
      <c r="AB2417" s="4">
        <v>92.915000000000006</v>
      </c>
      <c r="AC2417" s="3">
        <v>180</v>
      </c>
      <c r="AD2417" s="8">
        <v>10000000</v>
      </c>
      <c r="AE2417" s="1" t="s">
        <v>51</v>
      </c>
      <c r="AF2417" s="1" t="s">
        <v>51</v>
      </c>
      <c r="AG2417" s="1" t="s">
        <v>51</v>
      </c>
      <c r="AH2417" s="1"/>
      <c r="AI2417" s="1"/>
      <c r="AJ2417" s="3">
        <v>3</v>
      </c>
      <c r="AK2417" s="1" t="s">
        <v>110</v>
      </c>
      <c r="AL2417" s="3">
        <v>7</v>
      </c>
      <c r="AM2417" s="1"/>
      <c r="AN2417" s="1"/>
      <c r="AO2417" s="1" t="s">
        <v>17243</v>
      </c>
      <c r="AP2417" s="1" t="s">
        <v>17244</v>
      </c>
      <c r="AQ2417" s="1" t="s">
        <v>17245</v>
      </c>
      <c r="AR2417" s="1" t="s">
        <v>17246</v>
      </c>
    </row>
    <row r="2418">
      <c r="A2418" s="2">
        <f ca="1">DATE(2008,02,12)</f>
        <v>0</v>
      </c>
      <c r="B2418" s="2">
        <f ca="1">DATE(2009,09,23)</f>
        <v>0</v>
      </c>
      <c r="C2418" s="1" t="s">
        <v>17247</v>
      </c>
      <c r="D2418" s="3">
        <v>6282</v>
      </c>
      <c r="E2418" s="1" t="s">
        <v>43</v>
      </c>
      <c r="F2418" s="1" t="s">
        <v>17248</v>
      </c>
      <c r="G2418" s="1" t="s">
        <v>160</v>
      </c>
      <c r="H2418" s="4">
        <v>1.4039999999999999</v>
      </c>
      <c r="I2418" s="4">
        <v>5.4000000000000004</v>
      </c>
      <c r="J2418" s="5">
        <v>650</v>
      </c>
      <c r="K2418" s="4">
        <v>26</v>
      </c>
      <c r="L2418" s="1" t="s">
        <v>5129</v>
      </c>
      <c r="M2418" s="1" t="s">
        <v>47</v>
      </c>
      <c r="N2418" s="1" t="s">
        <v>17249</v>
      </c>
      <c r="O2418" s="1" t="s">
        <v>108</v>
      </c>
      <c r="P2418" s="1" t="s">
        <v>17250</v>
      </c>
      <c r="Q2418" s="4">
        <v>1.0800000000000001</v>
      </c>
      <c r="R2418" s="4">
        <v>1.0800000000000001</v>
      </c>
      <c r="S2418" s="8">
        <v>3.2400000000000002</v>
      </c>
      <c r="T2418" s="1" t="s">
        <v>50</v>
      </c>
      <c r="U2418" s="1"/>
      <c r="V2418" s="1"/>
      <c r="W2418" s="1"/>
      <c r="X2418" s="9">
        <v>1000</v>
      </c>
      <c r="Y2418" s="7">
        <v>25000000</v>
      </c>
      <c r="Z2418" s="1"/>
      <c r="AA2418" s="2">
        <f ca="1">DATE(2010,03,22)</f>
        <v>0</v>
      </c>
      <c r="AB2418" s="4">
        <v>99.971999999999994</v>
      </c>
      <c r="AC2418" s="3">
        <v>180</v>
      </c>
      <c r="AD2418" s="8">
        <v>25000000</v>
      </c>
      <c r="AE2418" s="1" t="s">
        <v>51</v>
      </c>
      <c r="AF2418" s="1" t="s">
        <v>51</v>
      </c>
      <c r="AG2418" s="1" t="s">
        <v>51</v>
      </c>
      <c r="AH2418" s="1"/>
      <c r="AI2418" s="1"/>
      <c r="AJ2418" s="3">
        <v>1</v>
      </c>
      <c r="AK2418" s="1" t="s">
        <v>89</v>
      </c>
      <c r="AL2418" s="3">
        <v>5</v>
      </c>
      <c r="AM2418" s="1"/>
      <c r="AN2418" s="1"/>
      <c r="AO2418" s="1" t="s">
        <v>17251</v>
      </c>
      <c r="AP2418" s="1" t="s">
        <v>4884</v>
      </c>
      <c r="AQ2418" s="1" t="s">
        <v>17252</v>
      </c>
      <c r="AR2418" s="1" t="s">
        <v>17253</v>
      </c>
    </row>
    <row r="2419">
      <c r="A2419" s="2">
        <f ca="1">DATE(2009,06,30)</f>
        <v>0</v>
      </c>
      <c r="B2419" s="2">
        <f ca="1">DATE(2009,09,23)</f>
        <v>0</v>
      </c>
      <c r="C2419" s="1" t="s">
        <v>17254</v>
      </c>
      <c r="D2419" s="3">
        <v>6798</v>
      </c>
      <c r="E2419" s="1" t="s">
        <v>43</v>
      </c>
      <c r="F2419" s="1" t="s">
        <v>17255</v>
      </c>
      <c r="G2419" s="1" t="s">
        <v>17256</v>
      </c>
      <c r="H2419" s="4">
        <v>1</v>
      </c>
      <c r="I2419" s="4">
        <v>5</v>
      </c>
      <c r="J2419" s="5">
        <v>250</v>
      </c>
      <c r="K2419" s="4">
        <v>20</v>
      </c>
      <c r="L2419" s="1" t="s">
        <v>46</v>
      </c>
      <c r="M2419" s="1" t="s">
        <v>47</v>
      </c>
      <c r="N2419" s="1" t="s">
        <v>17257</v>
      </c>
      <c r="O2419" s="1" t="s">
        <v>108</v>
      </c>
      <c r="P2419" s="1" t="s">
        <v>17258</v>
      </c>
      <c r="Q2419" s="4">
        <v>2.6000000000000001</v>
      </c>
      <c r="R2419" s="4">
        <v>0.59999999999999998</v>
      </c>
      <c r="S2419" s="8">
        <v>1.8</v>
      </c>
      <c r="T2419" s="1" t="s">
        <v>50</v>
      </c>
      <c r="U2419" s="1"/>
      <c r="V2419" s="1"/>
      <c r="W2419" s="1"/>
      <c r="X2419" s="5">
        <v>500</v>
      </c>
      <c r="Y2419" s="7">
        <v>12500000</v>
      </c>
      <c r="Z2419" s="1"/>
      <c r="AA2419" s="2">
        <f ca="1">DATE(2010,03,22)</f>
        <v>0</v>
      </c>
      <c r="AB2419" s="4">
        <v>97.992999999999995</v>
      </c>
      <c r="AC2419" s="3">
        <v>180</v>
      </c>
      <c r="AD2419" s="8">
        <v>12500000</v>
      </c>
      <c r="AE2419" s="1" t="s">
        <v>51</v>
      </c>
      <c r="AF2419" s="1" t="s">
        <v>51</v>
      </c>
      <c r="AG2419" s="1" t="s">
        <v>51</v>
      </c>
      <c r="AH2419" s="1"/>
      <c r="AI2419" s="1"/>
      <c r="AJ2419" s="3">
        <v>4</v>
      </c>
      <c r="AK2419" s="1" t="s">
        <v>1209</v>
      </c>
      <c r="AL2419" s="3">
        <v>9</v>
      </c>
      <c r="AM2419" s="1"/>
      <c r="AN2419" s="1"/>
      <c r="AO2419" s="1" t="s">
        <v>17259</v>
      </c>
      <c r="AP2419" s="1" t="s">
        <v>17260</v>
      </c>
      <c r="AQ2419" s="1" t="s">
        <v>17261</v>
      </c>
      <c r="AR2419" s="1" t="s">
        <v>17262</v>
      </c>
    </row>
    <row r="2420">
      <c r="A2420" s="2">
        <f ca="1">DATE(2007,06,20)</f>
        <v>0</v>
      </c>
      <c r="B2420" s="2">
        <f ca="1">DATE(2009,09,23)</f>
        <v>0</v>
      </c>
      <c r="C2420" s="1" t="s">
        <v>17263</v>
      </c>
      <c r="D2420" s="3">
        <v>5999</v>
      </c>
      <c r="E2420" s="1" t="s">
        <v>43</v>
      </c>
      <c r="F2420" s="1" t="s">
        <v>17264</v>
      </c>
      <c r="G2420" s="1" t="s">
        <v>17265</v>
      </c>
      <c r="H2420" s="4">
        <v>0.83999999999999997</v>
      </c>
      <c r="I2420" s="8">
        <v>7</v>
      </c>
      <c r="J2420" s="5">
        <v>132</v>
      </c>
      <c r="K2420" s="4">
        <v>12</v>
      </c>
      <c r="L2420" s="1" t="s">
        <v>46</v>
      </c>
      <c r="M2420" s="1" t="s">
        <v>47</v>
      </c>
      <c r="N2420" s="1" t="s">
        <v>17266</v>
      </c>
      <c r="O2420" s="1" t="s">
        <v>48</v>
      </c>
      <c r="P2420" s="1" t="s">
        <v>17267</v>
      </c>
      <c r="Q2420" s="1" t="s">
        <v>145</v>
      </c>
      <c r="R2420" s="1" t="s">
        <v>145</v>
      </c>
      <c r="S2420" s="6">
        <v>4.1666699999999999</v>
      </c>
      <c r="T2420" s="1" t="s">
        <v>50</v>
      </c>
      <c r="U2420" s="1"/>
      <c r="V2420" s="1"/>
      <c r="W2420" s="1"/>
      <c r="X2420" s="5">
        <v>57.299999999999997</v>
      </c>
      <c r="Y2420" s="7">
        <v>4428445</v>
      </c>
      <c r="Z2420" s="7">
        <v>6571555</v>
      </c>
      <c r="AA2420" s="1" t="s">
        <v>17232</v>
      </c>
      <c r="AB2420" s="1" t="s">
        <v>17268</v>
      </c>
      <c r="AC2420" s="1" t="s">
        <v>2068</v>
      </c>
      <c r="AD2420" s="1" t="s">
        <v>17269</v>
      </c>
      <c r="AE2420" s="1" t="s">
        <v>51</v>
      </c>
      <c r="AF2420" s="1" t="s">
        <v>51</v>
      </c>
      <c r="AG2420" s="1" t="s">
        <v>51</v>
      </c>
      <c r="AH2420" s="1"/>
      <c r="AI2420" s="1"/>
      <c r="AJ2420" s="3">
        <v>2</v>
      </c>
      <c r="AK2420" s="1" t="s">
        <v>89</v>
      </c>
      <c r="AL2420" s="3">
        <v>4</v>
      </c>
      <c r="AM2420" s="1"/>
      <c r="AN2420" s="1"/>
      <c r="AO2420" s="1" t="s">
        <v>17270</v>
      </c>
      <c r="AP2420" s="1" t="s">
        <v>17271</v>
      </c>
      <c r="AQ2420" s="1" t="s">
        <v>17272</v>
      </c>
      <c r="AR2420" s="1" t="s">
        <v>17267</v>
      </c>
    </row>
    <row r="2421">
      <c r="A2421" s="2">
        <f ca="1">DATE(2009,07,31)</f>
        <v>0</v>
      </c>
      <c r="B2421" s="2">
        <f ca="1">DATE(2009,09,24)</f>
        <v>0</v>
      </c>
      <c r="C2421" s="1" t="s">
        <v>17273</v>
      </c>
      <c r="D2421" s="3">
        <v>6726</v>
      </c>
      <c r="E2421" s="1" t="s">
        <v>43</v>
      </c>
      <c r="F2421" s="1" t="s">
        <v>17274</v>
      </c>
      <c r="G2421" s="1" t="s">
        <v>17275</v>
      </c>
      <c r="H2421" s="4">
        <v>0.67500000000000004</v>
      </c>
      <c r="I2421" s="4">
        <v>4.5</v>
      </c>
      <c r="J2421" s="5">
        <v>252</v>
      </c>
      <c r="K2421" s="4">
        <v>15</v>
      </c>
      <c r="L2421" s="1" t="s">
        <v>46</v>
      </c>
      <c r="M2421" s="1" t="s">
        <v>47</v>
      </c>
      <c r="N2421" s="1" t="s">
        <v>17276</v>
      </c>
      <c r="O2421" s="1" t="s">
        <v>108</v>
      </c>
      <c r="P2421" s="1" t="s">
        <v>17277</v>
      </c>
      <c r="Q2421" s="1" t="s">
        <v>145</v>
      </c>
      <c r="R2421" s="1" t="s">
        <v>145</v>
      </c>
      <c r="S2421" s="8">
        <v>3</v>
      </c>
      <c r="T2421" s="1" t="s">
        <v>50</v>
      </c>
      <c r="U2421" s="8">
        <v>15</v>
      </c>
      <c r="V2421" s="8">
        <v>15</v>
      </c>
      <c r="W2421" s="7">
        <v>1000</v>
      </c>
      <c r="X2421" s="5">
        <v>0</v>
      </c>
      <c r="Y2421" s="7">
        <v>16800000</v>
      </c>
      <c r="Z2421" s="1"/>
      <c r="AA2421" s="1"/>
      <c r="AB2421" s="1"/>
      <c r="AC2421" s="1"/>
      <c r="AD2421" s="1"/>
      <c r="AE2421" s="1" t="s">
        <v>51</v>
      </c>
      <c r="AF2421" s="1" t="s">
        <v>51</v>
      </c>
      <c r="AG2421" s="1" t="s">
        <v>51</v>
      </c>
      <c r="AH2421" s="1"/>
      <c r="AI2421" s="1"/>
      <c r="AJ2421" s="3">
        <v>3</v>
      </c>
      <c r="AK2421" s="1" t="s">
        <v>110</v>
      </c>
      <c r="AL2421" s="3">
        <v>12</v>
      </c>
      <c r="AM2421" s="1"/>
      <c r="AN2421" s="1"/>
      <c r="AO2421" s="1" t="s">
        <v>17278</v>
      </c>
      <c r="AP2421" s="1" t="s">
        <v>17279</v>
      </c>
      <c r="AQ2421" s="1" t="s">
        <v>17280</v>
      </c>
      <c r="AR2421" s="1" t="s">
        <v>17281</v>
      </c>
    </row>
    <row r="2422">
      <c r="A2422" s="2">
        <f ca="1">DATE(2009,09,03)</f>
        <v>0</v>
      </c>
      <c r="B2422" s="2">
        <f ca="1">DATE(2009,09,24)</f>
        <v>0</v>
      </c>
      <c r="C2422" s="1" t="s">
        <v>17282</v>
      </c>
      <c r="D2422" s="3">
        <v>7375</v>
      </c>
      <c r="E2422" s="1" t="s">
        <v>744</v>
      </c>
      <c r="F2422" s="1"/>
      <c r="G2422" s="1" t="s">
        <v>7893</v>
      </c>
      <c r="H2422" s="4">
        <v>0.78100000000000003</v>
      </c>
      <c r="I2422" s="4">
        <v>6.25</v>
      </c>
      <c r="J2422" s="9">
        <v>1043.8</v>
      </c>
      <c r="K2422" s="8">
        <v>12.5</v>
      </c>
      <c r="L2422" s="1" t="s">
        <v>651</v>
      </c>
      <c r="M2422" s="1" t="s">
        <v>47</v>
      </c>
      <c r="N2422" s="1" t="s">
        <v>17283</v>
      </c>
      <c r="O2422" s="1"/>
      <c r="P2422" s="1" t="s">
        <v>17284</v>
      </c>
      <c r="Q2422" s="8">
        <v>1.25</v>
      </c>
      <c r="R2422" s="8">
        <v>1.25</v>
      </c>
      <c r="S2422" s="10">
        <v>3.7504</v>
      </c>
      <c r="T2422" s="1" t="s">
        <v>60</v>
      </c>
      <c r="U2422" s="1"/>
      <c r="V2422" s="1"/>
      <c r="W2422" s="1"/>
      <c r="X2422" s="5">
        <v>800</v>
      </c>
      <c r="Y2422" s="7">
        <v>13043500</v>
      </c>
      <c r="Z2422" s="7">
        <v>70456500</v>
      </c>
      <c r="AA2422" s="1"/>
      <c r="AB2422" s="1"/>
      <c r="AC2422" s="3">
        <v>180</v>
      </c>
      <c r="AD2422" s="8">
        <v>83500000</v>
      </c>
      <c r="AE2422" s="1" t="s">
        <v>47</v>
      </c>
      <c r="AF2422" s="1" t="s">
        <v>51</v>
      </c>
      <c r="AG2422" s="1" t="s">
        <v>51</v>
      </c>
      <c r="AH2422" s="1" t="s">
        <v>7685</v>
      </c>
      <c r="AI2422" s="1" t="s">
        <v>7684</v>
      </c>
      <c r="AJ2422" s="3">
        <v>2</v>
      </c>
      <c r="AK2422" s="1" t="s">
        <v>89</v>
      </c>
      <c r="AL2422" s="3">
        <v>2</v>
      </c>
      <c r="AM2422" s="1"/>
      <c r="AN2422" s="1"/>
      <c r="AO2422" s="1" t="s">
        <v>17285</v>
      </c>
      <c r="AP2422" s="1" t="s">
        <v>4528</v>
      </c>
      <c r="AQ2422" s="1" t="s">
        <v>17286</v>
      </c>
      <c r="AR2422" s="1" t="s">
        <v>17287</v>
      </c>
    </row>
    <row r="2423">
      <c r="A2423" s="2">
        <f ca="1">DATE(2008,07,25)</f>
        <v>0</v>
      </c>
      <c r="B2423" s="2">
        <f ca="1">DATE(2009,09,25)</f>
        <v>0</v>
      </c>
      <c r="C2423" s="1" t="s">
        <v>17288</v>
      </c>
      <c r="D2423" s="3">
        <v>8093</v>
      </c>
      <c r="E2423" s="1" t="s">
        <v>43</v>
      </c>
      <c r="F2423" s="1" t="s">
        <v>17289</v>
      </c>
      <c r="G2423" s="1" t="s">
        <v>17290</v>
      </c>
      <c r="H2423" s="4">
        <v>0.59999999999999998</v>
      </c>
      <c r="I2423" s="4">
        <v>6</v>
      </c>
      <c r="J2423" s="5">
        <v>300</v>
      </c>
      <c r="K2423" s="4">
        <v>10</v>
      </c>
      <c r="L2423" s="1" t="s">
        <v>46</v>
      </c>
      <c r="M2423" s="1" t="s">
        <v>47</v>
      </c>
      <c r="N2423" s="1" t="s">
        <v>17291</v>
      </c>
      <c r="O2423" s="1" t="s">
        <v>108</v>
      </c>
      <c r="P2423" s="1" t="s">
        <v>17292</v>
      </c>
      <c r="Q2423" s="4">
        <v>1.2</v>
      </c>
      <c r="R2423" s="4">
        <v>1.2</v>
      </c>
      <c r="S2423" s="8">
        <v>3.6000000000000001</v>
      </c>
      <c r="T2423" s="1" t="s">
        <v>50</v>
      </c>
      <c r="U2423" s="1"/>
      <c r="V2423" s="1"/>
      <c r="W2423" s="1"/>
      <c r="X2423" s="5">
        <v>100</v>
      </c>
      <c r="Y2423" s="7">
        <v>30000000</v>
      </c>
      <c r="Z2423" s="1"/>
      <c r="AA2423" s="1" t="s">
        <v>17293</v>
      </c>
      <c r="AB2423" s="1" t="s">
        <v>17294</v>
      </c>
      <c r="AC2423" s="1" t="s">
        <v>2068</v>
      </c>
      <c r="AD2423" s="1" t="s">
        <v>17295</v>
      </c>
      <c r="AE2423" s="1" t="s">
        <v>51</v>
      </c>
      <c r="AF2423" s="1" t="s">
        <v>51</v>
      </c>
      <c r="AG2423" s="1" t="s">
        <v>51</v>
      </c>
      <c r="AH2423" s="1"/>
      <c r="AI2423" s="1"/>
      <c r="AJ2423" s="3">
        <v>4</v>
      </c>
      <c r="AK2423" s="1" t="s">
        <v>1209</v>
      </c>
      <c r="AL2423" s="3">
        <v>6</v>
      </c>
      <c r="AM2423" s="1"/>
      <c r="AN2423" s="1"/>
      <c r="AO2423" s="1" t="s">
        <v>17296</v>
      </c>
      <c r="AP2423" s="1" t="s">
        <v>17297</v>
      </c>
      <c r="AQ2423" s="1" t="s">
        <v>17298</v>
      </c>
      <c r="AR2423" s="1" t="s">
        <v>17299</v>
      </c>
    </row>
    <row r="2424">
      <c r="A2424" s="2">
        <f ca="1">DATE(2007,07,27)</f>
        <v>0</v>
      </c>
      <c r="B2424" s="2">
        <f ca="1">DATE(2009,09,30)</f>
        <v>0</v>
      </c>
      <c r="C2424" s="1" t="s">
        <v>17300</v>
      </c>
      <c r="D2424" s="3">
        <v>2834</v>
      </c>
      <c r="E2424" s="1" t="s">
        <v>43</v>
      </c>
      <c r="F2424" s="1" t="s">
        <v>17301</v>
      </c>
      <c r="G2424" s="1" t="s">
        <v>17302</v>
      </c>
      <c r="H2424" s="4">
        <v>1.0449999999999999</v>
      </c>
      <c r="I2424" s="8">
        <v>5.5</v>
      </c>
      <c r="J2424" s="5">
        <v>950</v>
      </c>
      <c r="K2424" s="4">
        <v>19</v>
      </c>
      <c r="L2424" s="1" t="s">
        <v>46</v>
      </c>
      <c r="M2424" s="1" t="s">
        <v>47</v>
      </c>
      <c r="N2424" s="3">
        <v>874227101</v>
      </c>
      <c r="O2424" s="1" t="s">
        <v>48</v>
      </c>
      <c r="P2424" s="1" t="s">
        <v>17303</v>
      </c>
      <c r="Q2424" s="1" t="s">
        <v>145</v>
      </c>
      <c r="R2424" s="1" t="s">
        <v>145</v>
      </c>
      <c r="S2424" s="8">
        <v>3.2999999999999998</v>
      </c>
      <c r="T2424" s="1" t="s">
        <v>50</v>
      </c>
      <c r="U2424" s="1"/>
      <c r="V2424" s="1"/>
      <c r="W2424" s="1"/>
      <c r="X2424" s="9">
        <v>1000</v>
      </c>
      <c r="Y2424" s="7">
        <v>28947368</v>
      </c>
      <c r="Z2424" s="7">
        <v>21052632</v>
      </c>
      <c r="AA2424" s="1" t="s">
        <v>17304</v>
      </c>
      <c r="AB2424" s="1" t="s">
        <v>17305</v>
      </c>
      <c r="AC2424" s="1" t="s">
        <v>2068</v>
      </c>
      <c r="AD2424" s="1" t="s">
        <v>17306</v>
      </c>
      <c r="AE2424" s="1" t="s">
        <v>51</v>
      </c>
      <c r="AF2424" s="1" t="s">
        <v>51</v>
      </c>
      <c r="AG2424" s="1" t="s">
        <v>51</v>
      </c>
      <c r="AH2424" s="1"/>
      <c r="AI2424" s="1"/>
      <c r="AJ2424" s="3">
        <v>4</v>
      </c>
      <c r="AK2424" s="1" t="s">
        <v>1209</v>
      </c>
      <c r="AL2424" s="3">
        <v>7</v>
      </c>
      <c r="AM2424" s="1"/>
      <c r="AN2424" s="1"/>
      <c r="AO2424" s="1" t="s">
        <v>17307</v>
      </c>
      <c r="AP2424" s="1" t="s">
        <v>17308</v>
      </c>
      <c r="AQ2424" s="1" t="s">
        <v>17309</v>
      </c>
      <c r="AR2424" s="1" t="s">
        <v>17310</v>
      </c>
    </row>
    <row r="2425">
      <c r="A2425" s="2">
        <f ca="1">DATE(2008,04,30)</f>
        <v>0</v>
      </c>
      <c r="B2425" s="2">
        <f ca="1">DATE(2009,10,01)</f>
        <v>0</v>
      </c>
      <c r="C2425" s="1" t="s">
        <v>17311</v>
      </c>
      <c r="D2425" s="3">
        <v>4731</v>
      </c>
      <c r="E2425" s="1" t="s">
        <v>43</v>
      </c>
      <c r="F2425" s="1" t="s">
        <v>17312</v>
      </c>
      <c r="G2425" s="1" t="s">
        <v>13389</v>
      </c>
      <c r="H2425" s="4">
        <v>0.97999999999999998</v>
      </c>
      <c r="I2425" s="8">
        <v>7</v>
      </c>
      <c r="J2425" s="5">
        <v>79.799999999999997</v>
      </c>
      <c r="K2425" s="4">
        <v>14</v>
      </c>
      <c r="L2425" s="1" t="s">
        <v>46</v>
      </c>
      <c r="M2425" s="1" t="s">
        <v>47</v>
      </c>
      <c r="N2425" s="1" t="s">
        <v>17313</v>
      </c>
      <c r="O2425" s="1" t="s">
        <v>48</v>
      </c>
      <c r="P2425" s="1" t="s">
        <v>17314</v>
      </c>
      <c r="Q2425" s="4">
        <v>1.3999999999999999</v>
      </c>
      <c r="R2425" s="4">
        <v>1.3999999999999999</v>
      </c>
      <c r="S2425" s="8">
        <v>4.2000000000000002</v>
      </c>
      <c r="T2425" s="1" t="s">
        <v>50</v>
      </c>
      <c r="U2425" s="1"/>
      <c r="V2425" s="1"/>
      <c r="W2425" s="1"/>
      <c r="X2425" s="5">
        <v>100</v>
      </c>
      <c r="Y2425" s="7">
        <v>5700000</v>
      </c>
      <c r="Z2425" s="1"/>
      <c r="AA2425" s="1" t="s">
        <v>17315</v>
      </c>
      <c r="AB2425" s="1" t="s">
        <v>17316</v>
      </c>
      <c r="AC2425" s="1" t="s">
        <v>2068</v>
      </c>
      <c r="AD2425" s="1" t="s">
        <v>17317</v>
      </c>
      <c r="AE2425" s="1" t="s">
        <v>51</v>
      </c>
      <c r="AF2425" s="1" t="s">
        <v>51</v>
      </c>
      <c r="AG2425" s="1" t="s">
        <v>47</v>
      </c>
      <c r="AH2425" s="1"/>
      <c r="AI2425" s="1"/>
      <c r="AJ2425" s="3">
        <v>2</v>
      </c>
      <c r="AK2425" s="1" t="s">
        <v>89</v>
      </c>
      <c r="AL2425" s="3">
        <v>6</v>
      </c>
      <c r="AM2425" s="1"/>
      <c r="AN2425" s="1"/>
      <c r="AO2425" s="1" t="s">
        <v>17318</v>
      </c>
      <c r="AP2425" s="1" t="s">
        <v>12249</v>
      </c>
      <c r="AQ2425" s="1" t="s">
        <v>17319</v>
      </c>
      <c r="AR2425" s="1" t="s">
        <v>17314</v>
      </c>
    </row>
    <row r="2426">
      <c r="A2426" s="2">
        <f ca="1">DATE(2007,12,21)</f>
        <v>0</v>
      </c>
      <c r="B2426" s="2">
        <f ca="1">DATE(2009,10,01)</f>
        <v>0</v>
      </c>
      <c r="C2426" s="1" t="s">
        <v>17320</v>
      </c>
      <c r="D2426" s="3">
        <v>8221</v>
      </c>
      <c r="E2426" s="1" t="s">
        <v>43</v>
      </c>
      <c r="F2426" s="1" t="s">
        <v>17321</v>
      </c>
      <c r="G2426" s="1" t="s">
        <v>17322</v>
      </c>
      <c r="H2426" s="4">
        <v>1.0800000000000001</v>
      </c>
      <c r="I2426" s="4">
        <v>6</v>
      </c>
      <c r="J2426" s="5">
        <v>360</v>
      </c>
      <c r="K2426" s="4">
        <v>18</v>
      </c>
      <c r="L2426" s="1" t="s">
        <v>46</v>
      </c>
      <c r="M2426" s="1" t="s">
        <v>47</v>
      </c>
      <c r="N2426" s="1" t="s">
        <v>17323</v>
      </c>
      <c r="O2426" s="1" t="s">
        <v>48</v>
      </c>
      <c r="P2426" s="1" t="s">
        <v>17324</v>
      </c>
      <c r="Q2426" s="4">
        <v>1.425</v>
      </c>
      <c r="R2426" s="4">
        <v>1.425</v>
      </c>
      <c r="S2426" s="8">
        <v>3.1499999999999999</v>
      </c>
      <c r="T2426" s="1" t="s">
        <v>50</v>
      </c>
      <c r="U2426" s="1"/>
      <c r="V2426" s="1"/>
      <c r="W2426" s="1"/>
      <c r="X2426" s="5">
        <v>500</v>
      </c>
      <c r="Y2426" s="7">
        <v>20000000</v>
      </c>
      <c r="Z2426" s="1"/>
      <c r="AA2426" s="1" t="s">
        <v>17325</v>
      </c>
      <c r="AB2426" s="1" t="s">
        <v>17326</v>
      </c>
      <c r="AC2426" s="1" t="s">
        <v>7759</v>
      </c>
      <c r="AD2426" s="1" t="s">
        <v>17327</v>
      </c>
      <c r="AE2426" s="1" t="s">
        <v>51</v>
      </c>
      <c r="AF2426" s="1" t="s">
        <v>51</v>
      </c>
      <c r="AG2426" s="1" t="s">
        <v>51</v>
      </c>
      <c r="AH2426" s="1"/>
      <c r="AI2426" s="1"/>
      <c r="AJ2426" s="3">
        <v>6</v>
      </c>
      <c r="AK2426" s="1" t="s">
        <v>10120</v>
      </c>
      <c r="AL2426" s="3">
        <v>13</v>
      </c>
      <c r="AM2426" s="8">
        <v>42.979999999999997</v>
      </c>
      <c r="AN2426" s="1"/>
      <c r="AO2426" s="1" t="s">
        <v>17328</v>
      </c>
      <c r="AP2426" s="1" t="s">
        <v>17329</v>
      </c>
      <c r="AQ2426" s="1" t="s">
        <v>17330</v>
      </c>
      <c r="AR2426" s="1" t="s">
        <v>17331</v>
      </c>
    </row>
    <row r="2427">
      <c r="A2427" s="2">
        <f ca="1">DATE(2009,09,03)</f>
        <v>0</v>
      </c>
      <c r="B2427" s="2">
        <f ca="1">DATE(2009,10,06)</f>
        <v>0</v>
      </c>
      <c r="C2427" s="1" t="s">
        <v>17332</v>
      </c>
      <c r="D2427" s="3">
        <v>6000</v>
      </c>
      <c r="E2427" s="1" t="s">
        <v>1445</v>
      </c>
      <c r="F2427" s="1" t="s">
        <v>17333</v>
      </c>
      <c r="G2427" s="1" t="s">
        <v>17334</v>
      </c>
      <c r="H2427" s="4">
        <v>0.23499999999999999</v>
      </c>
      <c r="I2427" s="4">
        <v>1.75</v>
      </c>
      <c r="J2427" s="9">
        <v>1006.2000000000001</v>
      </c>
      <c r="K2427" s="4">
        <v>13.403000000000001</v>
      </c>
      <c r="L2427" s="1" t="s">
        <v>651</v>
      </c>
      <c r="M2427" s="1" t="s">
        <v>47</v>
      </c>
      <c r="N2427" s="1" t="s">
        <v>17335</v>
      </c>
      <c r="O2427" s="1" t="s">
        <v>8580</v>
      </c>
      <c r="P2427" s="1" t="s">
        <v>17336</v>
      </c>
      <c r="Q2427" s="8">
        <v>0.55000000000000004</v>
      </c>
      <c r="R2427" s="8">
        <v>0.29999999999999999</v>
      </c>
      <c r="S2427" s="6">
        <v>0.90051999999999999</v>
      </c>
      <c r="T2427" s="1" t="s">
        <v>50</v>
      </c>
      <c r="U2427" s="1"/>
      <c r="V2427" s="1"/>
      <c r="W2427" s="1"/>
      <c r="X2427" s="5">
        <v>200</v>
      </c>
      <c r="Y2427" s="7">
        <v>75073814</v>
      </c>
      <c r="Z2427" s="1"/>
      <c r="AA2427" s="2">
        <f ca="1">DATE(2010,04,04)</f>
        <v>0</v>
      </c>
      <c r="AB2427" s="1"/>
      <c r="AC2427" s="3">
        <v>180</v>
      </c>
      <c r="AD2427" s="1"/>
      <c r="AE2427" s="1" t="s">
        <v>47</v>
      </c>
      <c r="AF2427" s="1" t="s">
        <v>51</v>
      </c>
      <c r="AG2427" s="1" t="s">
        <v>51</v>
      </c>
      <c r="AH2427" s="1" t="s">
        <v>17337</v>
      </c>
      <c r="AI2427" s="1" t="s">
        <v>17336</v>
      </c>
      <c r="AJ2427" s="3">
        <v>1</v>
      </c>
      <c r="AK2427" s="1" t="s">
        <v>52</v>
      </c>
      <c r="AL2427" s="3">
        <v>1</v>
      </c>
      <c r="AM2427" s="1"/>
      <c r="AN2427" s="1"/>
      <c r="AO2427" s="1" t="s">
        <v>17334</v>
      </c>
      <c r="AP2427" s="1" t="s">
        <v>17334</v>
      </c>
      <c r="AQ2427" s="1" t="s">
        <v>17334</v>
      </c>
      <c r="AR2427" s="1" t="s">
        <v>17336</v>
      </c>
    </row>
    <row r="2428">
      <c r="A2428" s="2">
        <f ca="1">DATE(2009,09,03)</f>
        <v>0</v>
      </c>
      <c r="B2428" s="2">
        <f ca="1">DATE(2009,10,06)</f>
        <v>0</v>
      </c>
      <c r="C2428" s="1" t="s">
        <v>17332</v>
      </c>
      <c r="D2428" s="3">
        <v>6000</v>
      </c>
      <c r="E2428" s="1" t="s">
        <v>1445</v>
      </c>
      <c r="F2428" s="1" t="s">
        <v>17333</v>
      </c>
      <c r="G2428" s="1" t="s">
        <v>17338</v>
      </c>
      <c r="H2428" s="4">
        <v>0.23499999999999999</v>
      </c>
      <c r="I2428" s="4">
        <v>1.75</v>
      </c>
      <c r="J2428" s="9">
        <v>3018.6999999999998</v>
      </c>
      <c r="K2428" s="4">
        <v>13.403000000000001</v>
      </c>
      <c r="L2428" s="1" t="s">
        <v>651</v>
      </c>
      <c r="M2428" s="1" t="s">
        <v>47</v>
      </c>
      <c r="N2428" s="1" t="s">
        <v>17335</v>
      </c>
      <c r="O2428" s="1" t="s">
        <v>8580</v>
      </c>
      <c r="P2428" s="1" t="s">
        <v>17339</v>
      </c>
      <c r="Q2428" s="8">
        <v>0.55000000000000004</v>
      </c>
      <c r="R2428" s="8">
        <v>0.29999999999999999</v>
      </c>
      <c r="S2428" s="6">
        <v>0.90051999999999999</v>
      </c>
      <c r="T2428" s="1" t="s">
        <v>50</v>
      </c>
      <c r="U2428" s="1"/>
      <c r="V2428" s="1"/>
      <c r="W2428" s="1"/>
      <c r="X2428" s="1"/>
      <c r="Y2428" s="7">
        <v>225221441</v>
      </c>
      <c r="Z2428" s="1"/>
      <c r="AA2428" s="2">
        <f ca="1">DATE(2010,04,04)</f>
        <v>0</v>
      </c>
      <c r="AB2428" s="1"/>
      <c r="AC2428" s="3">
        <v>180</v>
      </c>
      <c r="AD2428" s="1"/>
      <c r="AE2428" s="1" t="s">
        <v>47</v>
      </c>
      <c r="AF2428" s="1" t="s">
        <v>51</v>
      </c>
      <c r="AG2428" s="1" t="s">
        <v>51</v>
      </c>
      <c r="AH2428" s="1" t="s">
        <v>17337</v>
      </c>
      <c r="AI2428" s="1" t="s">
        <v>17336</v>
      </c>
      <c r="AJ2428" s="3">
        <v>3</v>
      </c>
      <c r="AK2428" s="1" t="s">
        <v>110</v>
      </c>
      <c r="AL2428" s="3">
        <v>7</v>
      </c>
      <c r="AM2428" s="1"/>
      <c r="AN2428" s="1"/>
      <c r="AO2428" s="1" t="s">
        <v>17340</v>
      </c>
      <c r="AP2428" s="1" t="s">
        <v>17341</v>
      </c>
      <c r="AQ2428" s="1" t="s">
        <v>17342</v>
      </c>
      <c r="AR2428" s="1" t="s">
        <v>17343</v>
      </c>
    </row>
    <row r="2429">
      <c r="A2429" s="2">
        <f ca="1">DATE(2008,08,12)</f>
        <v>0</v>
      </c>
      <c r="B2429" s="2">
        <f ca="1">DATE(2009,10,06)</f>
        <v>0</v>
      </c>
      <c r="C2429" s="1" t="s">
        <v>17344</v>
      </c>
      <c r="D2429" s="3">
        <v>7374</v>
      </c>
      <c r="E2429" s="1" t="s">
        <v>43</v>
      </c>
      <c r="F2429" s="1" t="s">
        <v>17345</v>
      </c>
      <c r="G2429" s="1" t="s">
        <v>4823</v>
      </c>
      <c r="H2429" s="4">
        <v>0.88</v>
      </c>
      <c r="I2429" s="4">
        <v>4</v>
      </c>
      <c r="J2429" s="9">
        <v>1875.5</v>
      </c>
      <c r="K2429" s="4">
        <v>22</v>
      </c>
      <c r="L2429" s="1" t="s">
        <v>5129</v>
      </c>
      <c r="M2429" s="1" t="s">
        <v>47</v>
      </c>
      <c r="N2429" s="1" t="s">
        <v>17346</v>
      </c>
      <c r="O2429" s="1" t="s">
        <v>48</v>
      </c>
      <c r="P2429" s="1" t="s">
        <v>17347</v>
      </c>
      <c r="Q2429" s="4">
        <v>0.81799999999999995</v>
      </c>
      <c r="R2429" s="4">
        <v>0.81799999999999995</v>
      </c>
      <c r="S2429" s="6">
        <v>2.3636400000000002</v>
      </c>
      <c r="T2429" s="1" t="s">
        <v>50</v>
      </c>
      <c r="U2429" s="1"/>
      <c r="V2429" s="1"/>
      <c r="W2429" s="1"/>
      <c r="X2429" s="5">
        <v>750</v>
      </c>
      <c r="Y2429" s="1"/>
      <c r="Z2429" s="7">
        <v>85250000</v>
      </c>
      <c r="AA2429" s="1" t="s">
        <v>17348</v>
      </c>
      <c r="AB2429" s="1" t="s">
        <v>2067</v>
      </c>
      <c r="AC2429" s="1" t="s">
        <v>2068</v>
      </c>
      <c r="AD2429" s="1" t="s">
        <v>2067</v>
      </c>
      <c r="AE2429" s="1" t="s">
        <v>51</v>
      </c>
      <c r="AF2429" s="1" t="s">
        <v>51</v>
      </c>
      <c r="AG2429" s="1" t="s">
        <v>51</v>
      </c>
      <c r="AH2429" s="1"/>
      <c r="AI2429" s="1"/>
      <c r="AJ2429" s="3">
        <v>2</v>
      </c>
      <c r="AK2429" s="1" t="s">
        <v>89</v>
      </c>
      <c r="AL2429" s="3">
        <v>7</v>
      </c>
      <c r="AM2429" s="8">
        <v>27.219999999999999</v>
      </c>
      <c r="AN2429" s="1"/>
      <c r="AO2429" s="1" t="s">
        <v>17349</v>
      </c>
      <c r="AP2429" s="1" t="s">
        <v>4826</v>
      </c>
      <c r="AQ2429" s="1" t="s">
        <v>17350</v>
      </c>
      <c r="AR2429" s="1" t="s">
        <v>17351</v>
      </c>
    </row>
    <row r="2430">
      <c r="A2430" s="2">
        <f ca="1">DATE(2008,06,10)</f>
        <v>0</v>
      </c>
      <c r="B2430" s="2">
        <f ca="1">DATE(2009,10,07)</f>
        <v>0</v>
      </c>
      <c r="C2430" s="1" t="s">
        <v>17352</v>
      </c>
      <c r="D2430" s="3">
        <v>8711</v>
      </c>
      <c r="E2430" s="1" t="s">
        <v>43</v>
      </c>
      <c r="F2430" s="1" t="s">
        <v>17353</v>
      </c>
      <c r="G2430" s="1" t="s">
        <v>17354</v>
      </c>
      <c r="H2430" s="4">
        <v>0.875</v>
      </c>
      <c r="I2430" s="4">
        <v>7</v>
      </c>
      <c r="J2430" s="5">
        <v>108.8</v>
      </c>
      <c r="K2430" s="4">
        <v>12.5</v>
      </c>
      <c r="L2430" s="1" t="s">
        <v>46</v>
      </c>
      <c r="M2430" s="1" t="s">
        <v>47</v>
      </c>
      <c r="N2430" s="1" t="s">
        <v>17355</v>
      </c>
      <c r="O2430" s="1" t="s">
        <v>108</v>
      </c>
      <c r="P2430" s="1" t="s">
        <v>17356</v>
      </c>
      <c r="Q2430" s="4">
        <v>1.3999999999999999</v>
      </c>
      <c r="R2430" s="4">
        <v>1.3999999999999999</v>
      </c>
      <c r="S2430" s="8">
        <v>4.2000000000000002</v>
      </c>
      <c r="T2430" s="1" t="s">
        <v>50</v>
      </c>
      <c r="U2430" s="1"/>
      <c r="V2430" s="1"/>
      <c r="W2430" s="1"/>
      <c r="X2430" s="5">
        <v>172.5</v>
      </c>
      <c r="Y2430" s="7">
        <v>6700000</v>
      </c>
      <c r="Z2430" s="7">
        <v>2000000</v>
      </c>
      <c r="AA2430" s="2">
        <f ca="1">DATE(2010,04,05)</f>
        <v>0</v>
      </c>
      <c r="AB2430" s="1"/>
      <c r="AC2430" s="3">
        <v>180</v>
      </c>
      <c r="AD2430" s="1"/>
      <c r="AE2430" s="1" t="s">
        <v>51</v>
      </c>
      <c r="AF2430" s="1" t="s">
        <v>51</v>
      </c>
      <c r="AG2430" s="1" t="s">
        <v>51</v>
      </c>
      <c r="AH2430" s="1"/>
      <c r="AI2430" s="1"/>
      <c r="AJ2430" s="3">
        <v>3</v>
      </c>
      <c r="AK2430" s="1" t="s">
        <v>110</v>
      </c>
      <c r="AL2430" s="3">
        <v>4</v>
      </c>
      <c r="AM2430" s="1"/>
      <c r="AN2430" s="1"/>
      <c r="AO2430" s="1" t="s">
        <v>17357</v>
      </c>
      <c r="AP2430" s="1" t="s">
        <v>17358</v>
      </c>
      <c r="AQ2430" s="1" t="s">
        <v>17359</v>
      </c>
      <c r="AR2430" s="1" t="s">
        <v>17360</v>
      </c>
    </row>
    <row r="2431">
      <c r="A2431" s="2">
        <f ca="1">DATE(2008,01,09)</f>
        <v>0</v>
      </c>
      <c r="B2431" s="2">
        <f ca="1">DATE(2009,10,07)</f>
        <v>0</v>
      </c>
      <c r="C2431" s="1" t="s">
        <v>17361</v>
      </c>
      <c r="D2431" s="3">
        <v>2834</v>
      </c>
      <c r="E2431" s="1" t="s">
        <v>43</v>
      </c>
      <c r="F2431" s="1" t="s">
        <v>17362</v>
      </c>
      <c r="G2431" s="1" t="s">
        <v>5110</v>
      </c>
      <c r="H2431" s="4">
        <v>0.69999999999999996</v>
      </c>
      <c r="I2431" s="8">
        <v>7</v>
      </c>
      <c r="J2431" s="5">
        <v>68.200000000000003</v>
      </c>
      <c r="K2431" s="4">
        <v>10</v>
      </c>
      <c r="L2431" s="1" t="s">
        <v>46</v>
      </c>
      <c r="M2431" s="1" t="s">
        <v>47</v>
      </c>
      <c r="N2431" s="3">
        <v>682143102</v>
      </c>
      <c r="O2431" s="1" t="s">
        <v>48</v>
      </c>
      <c r="P2431" s="1" t="s">
        <v>17363</v>
      </c>
      <c r="Q2431" s="1" t="s">
        <v>145</v>
      </c>
      <c r="R2431" s="1" t="s">
        <v>145</v>
      </c>
      <c r="S2431" s="8">
        <v>4.2000000000000002</v>
      </c>
      <c r="T2431" s="1" t="s">
        <v>50</v>
      </c>
      <c r="U2431" s="1"/>
      <c r="V2431" s="1"/>
      <c r="W2431" s="1"/>
      <c r="X2431" s="5">
        <v>115</v>
      </c>
      <c r="Y2431" s="7">
        <v>6820000</v>
      </c>
      <c r="Z2431" s="1"/>
      <c r="AA2431" s="2">
        <f ca="1">DATE(2010,04,05)</f>
        <v>0</v>
      </c>
      <c r="AB2431" s="1"/>
      <c r="AC2431" s="3">
        <v>180</v>
      </c>
      <c r="AD2431" s="1"/>
      <c r="AE2431" s="1" t="s">
        <v>51</v>
      </c>
      <c r="AF2431" s="1" t="s">
        <v>51</v>
      </c>
      <c r="AG2431" s="1" t="s">
        <v>47</v>
      </c>
      <c r="AH2431" s="1"/>
      <c r="AI2431" s="1"/>
      <c r="AJ2431" s="3">
        <v>1</v>
      </c>
      <c r="AK2431" s="1" t="s">
        <v>52</v>
      </c>
      <c r="AL2431" s="3">
        <v>6</v>
      </c>
      <c r="AM2431" s="1"/>
      <c r="AN2431" s="1"/>
      <c r="AO2431" s="1" t="s">
        <v>17364</v>
      </c>
      <c r="AP2431" s="1" t="s">
        <v>5110</v>
      </c>
      <c r="AQ2431" s="1" t="s">
        <v>17365</v>
      </c>
      <c r="AR2431" s="1" t="s">
        <v>17366</v>
      </c>
    </row>
    <row r="2432">
      <c r="A2432" s="2">
        <f ca="1">DATE(2009,07,28)</f>
        <v>0</v>
      </c>
      <c r="B2432" s="2">
        <f ca="1">DATE(2009,10,12)</f>
        <v>0</v>
      </c>
      <c r="C2432" s="1" t="s">
        <v>17367</v>
      </c>
      <c r="D2432" s="3">
        <v>4011</v>
      </c>
      <c r="E2432" s="1" t="s">
        <v>43</v>
      </c>
      <c r="F2432" s="1" t="s">
        <v>17368</v>
      </c>
      <c r="G2432" s="1" t="s">
        <v>17369</v>
      </c>
      <c r="H2432" s="4">
        <v>0.97499999999999998</v>
      </c>
      <c r="I2432" s="4">
        <v>6.5</v>
      </c>
      <c r="J2432" s="5">
        <v>330</v>
      </c>
      <c r="K2432" s="4">
        <v>15</v>
      </c>
      <c r="L2432" s="1" t="s">
        <v>46</v>
      </c>
      <c r="M2432" s="1" t="s">
        <v>47</v>
      </c>
      <c r="N2432" s="3">
        <v>750753105</v>
      </c>
      <c r="O2432" s="1" t="s">
        <v>108</v>
      </c>
      <c r="P2432" s="1" t="s">
        <v>17370</v>
      </c>
      <c r="Q2432" s="1" t="s">
        <v>145</v>
      </c>
      <c r="R2432" s="1" t="s">
        <v>145</v>
      </c>
      <c r="S2432" s="1"/>
      <c r="T2432" s="1" t="s">
        <v>50</v>
      </c>
      <c r="U2432" s="1"/>
      <c r="V2432" s="1"/>
      <c r="W2432" s="1"/>
      <c r="X2432" s="5">
        <v>300</v>
      </c>
      <c r="Y2432" s="7">
        <v>10500000</v>
      </c>
      <c r="Z2432" s="7">
        <v>11500000</v>
      </c>
      <c r="AA2432" s="1" t="s">
        <v>17371</v>
      </c>
      <c r="AB2432" s="1" t="s">
        <v>5265</v>
      </c>
      <c r="AC2432" s="1" t="s">
        <v>7759</v>
      </c>
      <c r="AD2432" s="1" t="s">
        <v>5265</v>
      </c>
      <c r="AE2432" s="1" t="s">
        <v>51</v>
      </c>
      <c r="AF2432" s="1" t="s">
        <v>51</v>
      </c>
      <c r="AG2432" s="1" t="s">
        <v>51</v>
      </c>
      <c r="AH2432" s="1"/>
      <c r="AI2432" s="1" t="s">
        <v>17372</v>
      </c>
      <c r="AJ2432" s="3">
        <v>4</v>
      </c>
      <c r="AK2432" s="1" t="s">
        <v>1209</v>
      </c>
      <c r="AL2432" s="3">
        <v>9</v>
      </c>
      <c r="AM2432" s="1"/>
      <c r="AN2432" s="1"/>
      <c r="AO2432" s="1" t="s">
        <v>17373</v>
      </c>
      <c r="AP2432" s="1" t="s">
        <v>17374</v>
      </c>
      <c r="AQ2432" s="1" t="s">
        <v>17375</v>
      </c>
      <c r="AR2432" s="1" t="s">
        <v>17376</v>
      </c>
    </row>
    <row r="2433">
      <c r="A2433" s="2">
        <f ca="1">DATE(2009,09,24)</f>
        <v>0</v>
      </c>
      <c r="B2433" s="2">
        <f ca="1">DATE(2009,10,14)</f>
        <v>0</v>
      </c>
      <c r="C2433" s="1" t="s">
        <v>17377</v>
      </c>
      <c r="D2433" s="3">
        <v>7373</v>
      </c>
      <c r="E2433" s="1" t="s">
        <v>166</v>
      </c>
      <c r="F2433" s="1" t="s">
        <v>17378</v>
      </c>
      <c r="G2433" s="1" t="s">
        <v>17379</v>
      </c>
      <c r="H2433" s="4">
        <v>0.57499999999999996</v>
      </c>
      <c r="I2433" s="4">
        <v>5.75</v>
      </c>
      <c r="J2433" s="5">
        <v>74.900000000000006</v>
      </c>
      <c r="K2433" s="8">
        <v>10</v>
      </c>
      <c r="L2433" s="1" t="s">
        <v>58</v>
      </c>
      <c r="M2433" s="1" t="s">
        <v>47</v>
      </c>
      <c r="N2433" s="1" t="s">
        <v>17380</v>
      </c>
      <c r="O2433" s="1" t="s">
        <v>3171</v>
      </c>
      <c r="P2433" s="1" t="s">
        <v>17381</v>
      </c>
      <c r="Q2433" s="1" t="s">
        <v>145</v>
      </c>
      <c r="R2433" s="1" t="s">
        <v>145</v>
      </c>
      <c r="S2433" s="1"/>
      <c r="T2433" s="1" t="s">
        <v>60</v>
      </c>
      <c r="U2433" s="1"/>
      <c r="V2433" s="1"/>
      <c r="W2433" s="7">
        <v>12972300</v>
      </c>
      <c r="X2433" s="1"/>
      <c r="Y2433" s="7">
        <v>2014824</v>
      </c>
      <c r="Z2433" s="7">
        <v>5478738</v>
      </c>
      <c r="AA2433" s="1"/>
      <c r="AB2433" s="1" t="s">
        <v>2067</v>
      </c>
      <c r="AC2433" s="1" t="s">
        <v>9674</v>
      </c>
      <c r="AD2433" s="1" t="s">
        <v>2067</v>
      </c>
      <c r="AE2433" s="1" t="s">
        <v>51</v>
      </c>
      <c r="AF2433" s="1" t="s">
        <v>51</v>
      </c>
      <c r="AG2433" s="1" t="s">
        <v>51</v>
      </c>
      <c r="AH2433" s="1"/>
      <c r="AI2433" s="1"/>
      <c r="AJ2433" s="3">
        <v>2</v>
      </c>
      <c r="AK2433" s="1" t="s">
        <v>89</v>
      </c>
      <c r="AL2433" s="3">
        <v>2</v>
      </c>
      <c r="AM2433" s="1"/>
      <c r="AN2433" s="1"/>
      <c r="AO2433" s="1" t="s">
        <v>17382</v>
      </c>
      <c r="AP2433" s="1" t="s">
        <v>17383</v>
      </c>
      <c r="AQ2433" s="1" t="s">
        <v>17384</v>
      </c>
      <c r="AR2433" s="1" t="s">
        <v>17385</v>
      </c>
    </row>
    <row r="2434">
      <c r="A2434" s="2">
        <f ca="1">DATE(2009,09,29)</f>
        <v>0</v>
      </c>
      <c r="B2434" s="2">
        <f ca="1">DATE(2009,10,15)</f>
        <v>0</v>
      </c>
      <c r="C2434" s="1" t="s">
        <v>17386</v>
      </c>
      <c r="D2434" s="3">
        <v>6531</v>
      </c>
      <c r="E2434" s="1" t="s">
        <v>744</v>
      </c>
      <c r="F2434" s="1" t="s">
        <v>17387</v>
      </c>
      <c r="G2434" s="1" t="s">
        <v>11830</v>
      </c>
      <c r="H2434" s="4">
        <v>0.83999999999999997</v>
      </c>
      <c r="I2434" s="8">
        <v>7</v>
      </c>
      <c r="J2434" s="5">
        <v>216</v>
      </c>
      <c r="K2434" s="8">
        <v>12</v>
      </c>
      <c r="L2434" s="1" t="s">
        <v>651</v>
      </c>
      <c r="M2434" s="1" t="s">
        <v>47</v>
      </c>
      <c r="N2434" s="1" t="s">
        <v>17388</v>
      </c>
      <c r="O2434" s="1" t="s">
        <v>48</v>
      </c>
      <c r="P2434" s="1" t="s">
        <v>17389</v>
      </c>
      <c r="Q2434" s="1" t="s">
        <v>145</v>
      </c>
      <c r="R2434" s="1" t="s">
        <v>145</v>
      </c>
      <c r="S2434" s="8">
        <v>4.2000000000000002</v>
      </c>
      <c r="T2434" s="1" t="s">
        <v>60</v>
      </c>
      <c r="U2434" s="1"/>
      <c r="V2434" s="1"/>
      <c r="W2434" s="1"/>
      <c r="X2434" s="5">
        <v>200</v>
      </c>
      <c r="Y2434" s="7">
        <v>18000000</v>
      </c>
      <c r="Z2434" s="1"/>
      <c r="AA2434" s="1"/>
      <c r="AB2434" s="1" t="s">
        <v>2067</v>
      </c>
      <c r="AC2434" s="1" t="s">
        <v>8904</v>
      </c>
      <c r="AD2434" s="1" t="s">
        <v>17390</v>
      </c>
      <c r="AE2434" s="1" t="s">
        <v>47</v>
      </c>
      <c r="AF2434" s="1" t="s">
        <v>51</v>
      </c>
      <c r="AG2434" s="1" t="s">
        <v>51</v>
      </c>
      <c r="AH2434" s="1"/>
      <c r="AI2434" s="1"/>
      <c r="AJ2434" s="3">
        <v>2</v>
      </c>
      <c r="AK2434" s="1" t="s">
        <v>89</v>
      </c>
      <c r="AL2434" s="3">
        <v>2</v>
      </c>
      <c r="AM2434" s="1"/>
      <c r="AN2434" s="1"/>
      <c r="AO2434" s="1" t="s">
        <v>17391</v>
      </c>
      <c r="AP2434" s="1" t="s">
        <v>11836</v>
      </c>
      <c r="AQ2434" s="1" t="s">
        <v>17392</v>
      </c>
      <c r="AR2434" s="1" t="s">
        <v>17393</v>
      </c>
    </row>
    <row r="2435">
      <c r="A2435" s="2">
        <f ca="1">DATE(2009,01,26)</f>
        <v>0</v>
      </c>
      <c r="B2435" s="2">
        <f ca="1">DATE(2009,10,16)</f>
        <v>0</v>
      </c>
      <c r="C2435" s="1" t="s">
        <v>17394</v>
      </c>
      <c r="D2435" s="3">
        <v>6331</v>
      </c>
      <c r="E2435" s="1" t="s">
        <v>43</v>
      </c>
      <c r="F2435" s="1" t="s">
        <v>17395</v>
      </c>
      <c r="G2435" s="1" t="s">
        <v>1542</v>
      </c>
      <c r="H2435" s="1" t="s">
        <v>57</v>
      </c>
      <c r="I2435" s="1" t="s">
        <v>57</v>
      </c>
      <c r="J2435" s="5">
        <v>54</v>
      </c>
      <c r="K2435" s="4">
        <v>10</v>
      </c>
      <c r="L2435" s="1" t="s">
        <v>46</v>
      </c>
      <c r="M2435" s="1" t="s">
        <v>47</v>
      </c>
      <c r="N2435" s="3">
        <v>707561106</v>
      </c>
      <c r="O2435" s="1" t="s">
        <v>48</v>
      </c>
      <c r="P2435" s="1" t="s">
        <v>17396</v>
      </c>
      <c r="Q2435" s="1"/>
      <c r="R2435" s="1"/>
      <c r="S2435" s="1"/>
      <c r="T2435" s="1" t="s">
        <v>50</v>
      </c>
      <c r="U2435" s="8">
        <v>10</v>
      </c>
      <c r="V2435" s="8">
        <v>10</v>
      </c>
      <c r="W2435" s="7">
        <v>2932500</v>
      </c>
      <c r="X2435" s="5">
        <v>29.300000000000001</v>
      </c>
      <c r="Y2435" s="7">
        <v>5400000</v>
      </c>
      <c r="Z2435" s="1"/>
      <c r="AA2435" s="1"/>
      <c r="AB2435" s="1"/>
      <c r="AC2435" s="1"/>
      <c r="AD2435" s="1"/>
      <c r="AE2435" s="1" t="s">
        <v>51</v>
      </c>
      <c r="AF2435" s="1" t="s">
        <v>51</v>
      </c>
      <c r="AG2435" s="1" t="s">
        <v>51</v>
      </c>
      <c r="AH2435" s="1"/>
      <c r="AI2435" s="1"/>
      <c r="AJ2435" s="3">
        <v>1</v>
      </c>
      <c r="AK2435" s="1" t="s">
        <v>89</v>
      </c>
      <c r="AL2435" s="3">
        <v>2</v>
      </c>
      <c r="AM2435" s="1"/>
      <c r="AN2435" s="1"/>
      <c r="AO2435" s="1" t="s">
        <v>17397</v>
      </c>
      <c r="AP2435" s="1" t="s">
        <v>17398</v>
      </c>
      <c r="AQ2435" s="1" t="s">
        <v>17399</v>
      </c>
      <c r="AR2435" s="1" t="s">
        <v>17396</v>
      </c>
    </row>
    <row r="2436">
      <c r="A2436" s="2">
        <f ca="1">DATE(2008,06,20)</f>
        <v>0</v>
      </c>
      <c r="B2436" s="2">
        <f ca="1">DATE(2009,10,20)</f>
        <v>0</v>
      </c>
      <c r="C2436" s="1" t="s">
        <v>17400</v>
      </c>
      <c r="D2436" s="3">
        <v>3845</v>
      </c>
      <c r="E2436" s="1" t="s">
        <v>43</v>
      </c>
      <c r="F2436" s="1" t="s">
        <v>17401</v>
      </c>
      <c r="G2436" s="1" t="s">
        <v>17402</v>
      </c>
      <c r="H2436" s="4">
        <v>0.94299999999999995</v>
      </c>
      <c r="I2436" s="4">
        <v>6.5</v>
      </c>
      <c r="J2436" s="5">
        <v>199.40000000000001</v>
      </c>
      <c r="K2436" s="4">
        <v>14.5</v>
      </c>
      <c r="L2436" s="1" t="s">
        <v>46</v>
      </c>
      <c r="M2436" s="1" t="s">
        <v>47</v>
      </c>
      <c r="N2436" s="1" t="s">
        <v>17403</v>
      </c>
      <c r="O2436" s="1" t="s">
        <v>48</v>
      </c>
      <c r="P2436" s="1" t="s">
        <v>17404</v>
      </c>
      <c r="Q2436" s="4">
        <v>1.319</v>
      </c>
      <c r="R2436" s="4">
        <v>1.319</v>
      </c>
      <c r="S2436" s="6">
        <v>3.8620700000000001</v>
      </c>
      <c r="T2436" s="1" t="s">
        <v>50</v>
      </c>
      <c r="U2436" s="1"/>
      <c r="V2436" s="1"/>
      <c r="W2436" s="1"/>
      <c r="X2436" s="5">
        <v>200</v>
      </c>
      <c r="Y2436" s="7">
        <v>6509000</v>
      </c>
      <c r="Z2436" s="7">
        <v>7241000</v>
      </c>
      <c r="AA2436" s="1" t="s">
        <v>17405</v>
      </c>
      <c r="AB2436" s="1" t="s">
        <v>2067</v>
      </c>
      <c r="AC2436" s="1" t="s">
        <v>2068</v>
      </c>
      <c r="AD2436" s="1" t="s">
        <v>2067</v>
      </c>
      <c r="AE2436" s="1" t="s">
        <v>51</v>
      </c>
      <c r="AF2436" s="1" t="s">
        <v>51</v>
      </c>
      <c r="AG2436" s="1" t="s">
        <v>51</v>
      </c>
      <c r="AH2436" s="1"/>
      <c r="AI2436" s="1"/>
      <c r="AJ2436" s="3">
        <v>5</v>
      </c>
      <c r="AK2436" s="1" t="s">
        <v>3985</v>
      </c>
      <c r="AL2436" s="3">
        <v>6</v>
      </c>
      <c r="AM2436" s="1"/>
      <c r="AN2436" s="1"/>
      <c r="AO2436" s="1" t="s">
        <v>17406</v>
      </c>
      <c r="AP2436" s="1" t="s">
        <v>17407</v>
      </c>
      <c r="AQ2436" s="1" t="s">
        <v>17408</v>
      </c>
      <c r="AR2436" s="1" t="s">
        <v>17409</v>
      </c>
    </row>
    <row r="2437">
      <c r="A2437" s="2">
        <f ca="1">DATE(2009,06,30)</f>
        <v>0</v>
      </c>
      <c r="B2437" s="2">
        <f ca="1">DATE(2009,10,20)</f>
        <v>0</v>
      </c>
      <c r="C2437" s="1" t="s">
        <v>17410</v>
      </c>
      <c r="D2437" s="3">
        <v>3663</v>
      </c>
      <c r="E2437" s="1" t="s">
        <v>744</v>
      </c>
      <c r="F2437" s="1" t="s">
        <v>17411</v>
      </c>
      <c r="G2437" s="1" t="s">
        <v>17412</v>
      </c>
      <c r="H2437" s="4">
        <v>0.59999999999999998</v>
      </c>
      <c r="I2437" s="4">
        <v>7.5</v>
      </c>
      <c r="J2437" s="5">
        <v>25</v>
      </c>
      <c r="K2437" s="4">
        <v>8</v>
      </c>
      <c r="L2437" s="1" t="s">
        <v>46</v>
      </c>
      <c r="M2437" s="1" t="s">
        <v>47</v>
      </c>
      <c r="N2437" s="1" t="s">
        <v>17413</v>
      </c>
      <c r="O2437" s="1" t="s">
        <v>48</v>
      </c>
      <c r="P2437" s="1" t="s">
        <v>17414</v>
      </c>
      <c r="Q2437" s="1" t="s">
        <v>145</v>
      </c>
      <c r="R2437" s="1" t="s">
        <v>145</v>
      </c>
      <c r="S2437" s="8">
        <v>4.5</v>
      </c>
      <c r="T2437" s="1" t="s">
        <v>50</v>
      </c>
      <c r="U2437" s="8">
        <v>3.5</v>
      </c>
      <c r="V2437" s="8">
        <v>3</v>
      </c>
      <c r="W2437" s="7">
        <v>550000</v>
      </c>
      <c r="X2437" s="5">
        <v>1.8</v>
      </c>
      <c r="Y2437" s="7">
        <v>3125000</v>
      </c>
      <c r="Z2437" s="1"/>
      <c r="AA2437" s="2">
        <f ca="1">DATE(2010,04,18)</f>
        <v>0</v>
      </c>
      <c r="AB2437" s="1"/>
      <c r="AC2437" s="3">
        <v>180</v>
      </c>
      <c r="AD2437" s="1"/>
      <c r="AE2437" s="1" t="s">
        <v>51</v>
      </c>
      <c r="AF2437" s="1" t="s">
        <v>51</v>
      </c>
      <c r="AG2437" s="1" t="s">
        <v>51</v>
      </c>
      <c r="AH2437" s="1"/>
      <c r="AI2437" s="1"/>
      <c r="AJ2437" s="3">
        <v>2</v>
      </c>
      <c r="AK2437" s="1" t="s">
        <v>89</v>
      </c>
      <c r="AL2437" s="3">
        <v>2</v>
      </c>
      <c r="AM2437" s="8">
        <v>7.2000000000000002</v>
      </c>
      <c r="AN2437" s="1"/>
      <c r="AO2437" s="1" t="s">
        <v>17415</v>
      </c>
      <c r="AP2437" s="1" t="s">
        <v>17416</v>
      </c>
      <c r="AQ2437" s="1" t="s">
        <v>17417</v>
      </c>
      <c r="AR2437" s="1" t="s">
        <v>17414</v>
      </c>
    </row>
    <row r="2438">
      <c r="A2438" s="2">
        <f ca="1">DATE(2009,08,14)</f>
        <v>0</v>
      </c>
      <c r="B2438" s="2">
        <f ca="1">DATE(2009,10,22)</f>
        <v>0</v>
      </c>
      <c r="C2438" s="1" t="s">
        <v>17418</v>
      </c>
      <c r="D2438" s="1" t="s">
        <v>17419</v>
      </c>
      <c r="E2438" s="1" t="s">
        <v>43</v>
      </c>
      <c r="F2438" s="1" t="s">
        <v>17420</v>
      </c>
      <c r="G2438" s="1" t="s">
        <v>17421</v>
      </c>
      <c r="H2438" s="4">
        <v>0.75</v>
      </c>
      <c r="I2438" s="4">
        <v>6</v>
      </c>
      <c r="J2438" s="5">
        <v>446.39999999999998</v>
      </c>
      <c r="K2438" s="4">
        <v>12.5</v>
      </c>
      <c r="L2438" s="1" t="s">
        <v>46</v>
      </c>
      <c r="M2438" s="1" t="s">
        <v>47</v>
      </c>
      <c r="N2438" s="3">
        <v>256603101</v>
      </c>
      <c r="O2438" s="1" t="s">
        <v>108</v>
      </c>
      <c r="P2438" s="1" t="s">
        <v>17422</v>
      </c>
      <c r="Q2438" s="4">
        <v>1.2</v>
      </c>
      <c r="R2438" s="4">
        <v>1.2</v>
      </c>
      <c r="S2438" s="8">
        <v>3.6000000000000001</v>
      </c>
      <c r="T2438" s="1" t="s">
        <v>50</v>
      </c>
      <c r="U2438" s="1"/>
      <c r="V2438" s="1"/>
      <c r="W2438" s="1"/>
      <c r="X2438" s="5">
        <v>500</v>
      </c>
      <c r="Y2438" s="7">
        <v>35715000</v>
      </c>
      <c r="Z2438" s="1"/>
      <c r="AA2438" s="2">
        <f ca="1">DATE(2010,04,20)</f>
        <v>0</v>
      </c>
      <c r="AB2438" s="1"/>
      <c r="AC2438" s="3">
        <v>180</v>
      </c>
      <c r="AD2438" s="1"/>
      <c r="AE2438" s="1" t="s">
        <v>51</v>
      </c>
      <c r="AF2438" s="1" t="s">
        <v>51</v>
      </c>
      <c r="AG2438" s="1" t="s">
        <v>51</v>
      </c>
      <c r="AH2438" s="1"/>
      <c r="AI2438" s="1"/>
      <c r="AJ2438" s="3">
        <v>4</v>
      </c>
      <c r="AK2438" s="1" t="s">
        <v>1209</v>
      </c>
      <c r="AL2438" s="3">
        <v>9</v>
      </c>
      <c r="AM2438" s="1"/>
      <c r="AN2438" s="1"/>
      <c r="AO2438" s="1" t="s">
        <v>17423</v>
      </c>
      <c r="AP2438" s="1" t="s">
        <v>17424</v>
      </c>
      <c r="AQ2438" s="1" t="s">
        <v>17425</v>
      </c>
      <c r="AR2438" s="1" t="s">
        <v>17426</v>
      </c>
    </row>
    <row r="2439">
      <c r="A2439" s="2">
        <f ca="1">DATE(2009,07,17)</f>
        <v>0</v>
      </c>
      <c r="B2439" s="2">
        <f ca="1">DATE(2009,10,27)</f>
        <v>0</v>
      </c>
      <c r="C2439" s="1" t="s">
        <v>17427</v>
      </c>
      <c r="D2439" s="3">
        <v>8082</v>
      </c>
      <c r="E2439" s="1" t="s">
        <v>43</v>
      </c>
      <c r="F2439" s="1" t="s">
        <v>17428</v>
      </c>
      <c r="G2439" s="1" t="s">
        <v>17429</v>
      </c>
      <c r="H2439" s="4">
        <v>0.69999999999999996</v>
      </c>
      <c r="I2439" s="8">
        <v>7</v>
      </c>
      <c r="J2439" s="5">
        <v>54</v>
      </c>
      <c r="K2439" s="4">
        <v>10</v>
      </c>
      <c r="L2439" s="1" t="s">
        <v>46</v>
      </c>
      <c r="M2439" s="1" t="s">
        <v>47</v>
      </c>
      <c r="N2439" s="1" t="s">
        <v>17430</v>
      </c>
      <c r="O2439" s="1" t="s">
        <v>48</v>
      </c>
      <c r="P2439" s="1" t="s">
        <v>17431</v>
      </c>
      <c r="Q2439" s="1" t="s">
        <v>145</v>
      </c>
      <c r="R2439" s="1" t="s">
        <v>145</v>
      </c>
      <c r="S2439" s="8">
        <v>4.2000000000000002</v>
      </c>
      <c r="T2439" s="1" t="s">
        <v>50</v>
      </c>
      <c r="U2439" s="1"/>
      <c r="V2439" s="1"/>
      <c r="W2439" s="1"/>
      <c r="X2439" s="5">
        <v>69</v>
      </c>
      <c r="Y2439" s="7">
        <v>5400000</v>
      </c>
      <c r="Z2439" s="1"/>
      <c r="AA2439" s="2">
        <f ca="1">DATE(2010,04,25)</f>
        <v>0</v>
      </c>
      <c r="AB2439" s="1"/>
      <c r="AC2439" s="3">
        <v>180</v>
      </c>
      <c r="AD2439" s="1"/>
      <c r="AE2439" s="1" t="s">
        <v>51</v>
      </c>
      <c r="AF2439" s="1" t="s">
        <v>51</v>
      </c>
      <c r="AG2439" s="1" t="s">
        <v>51</v>
      </c>
      <c r="AH2439" s="1"/>
      <c r="AI2439" s="1"/>
      <c r="AJ2439" s="3">
        <v>2</v>
      </c>
      <c r="AK2439" s="1" t="s">
        <v>89</v>
      </c>
      <c r="AL2439" s="3">
        <v>3</v>
      </c>
      <c r="AM2439" s="1"/>
      <c r="AN2439" s="1"/>
      <c r="AO2439" s="1" t="s">
        <v>17432</v>
      </c>
      <c r="AP2439" s="1" t="s">
        <v>17433</v>
      </c>
      <c r="AQ2439" s="1" t="s">
        <v>17434</v>
      </c>
      <c r="AR2439" s="1" t="s">
        <v>17431</v>
      </c>
    </row>
    <row r="2440">
      <c r="A2440" s="2">
        <f ca="1">DATE(2009,07,23)</f>
        <v>0</v>
      </c>
      <c r="B2440" s="2">
        <f ca="1">DATE(2009,10,27)</f>
        <v>0</v>
      </c>
      <c r="C2440" s="1" t="s">
        <v>17435</v>
      </c>
      <c r="D2440" s="3">
        <v>5499</v>
      </c>
      <c r="E2440" s="1" t="s">
        <v>43</v>
      </c>
      <c r="F2440" s="1" t="s">
        <v>17436</v>
      </c>
      <c r="G2440" s="1" t="s">
        <v>17437</v>
      </c>
      <c r="H2440" s="4">
        <v>1.19</v>
      </c>
      <c r="I2440" s="8">
        <v>7</v>
      </c>
      <c r="J2440" s="5">
        <v>154.59999999999999</v>
      </c>
      <c r="K2440" s="4">
        <v>17</v>
      </c>
      <c r="L2440" s="1" t="s">
        <v>46</v>
      </c>
      <c r="M2440" s="1" t="s">
        <v>47</v>
      </c>
      <c r="N2440" s="1" t="s">
        <v>17438</v>
      </c>
      <c r="O2440" s="1" t="s">
        <v>108</v>
      </c>
      <c r="P2440" s="1" t="s">
        <v>17439</v>
      </c>
      <c r="Q2440" s="4">
        <v>1.4119999999999999</v>
      </c>
      <c r="R2440" s="4">
        <v>1.4119999999999999</v>
      </c>
      <c r="S2440" s="6">
        <v>4.1764700000000001</v>
      </c>
      <c r="T2440" s="1" t="s">
        <v>50</v>
      </c>
      <c r="U2440" s="1"/>
      <c r="V2440" s="1"/>
      <c r="W2440" s="1"/>
      <c r="X2440" s="5">
        <v>143.80000000000001</v>
      </c>
      <c r="Y2440" s="7">
        <v>7666667</v>
      </c>
      <c r="Z2440" s="7">
        <v>1429410</v>
      </c>
      <c r="AA2440" s="1" t="s">
        <v>17440</v>
      </c>
      <c r="AB2440" s="1" t="s">
        <v>5265</v>
      </c>
      <c r="AC2440" s="1" t="s">
        <v>7759</v>
      </c>
      <c r="AD2440" s="1" t="s">
        <v>5265</v>
      </c>
      <c r="AE2440" s="1" t="s">
        <v>51</v>
      </c>
      <c r="AF2440" s="1" t="s">
        <v>51</v>
      </c>
      <c r="AG2440" s="1" t="s">
        <v>51</v>
      </c>
      <c r="AH2440" s="1"/>
      <c r="AI2440" s="1"/>
      <c r="AJ2440" s="3">
        <v>3</v>
      </c>
      <c r="AK2440" s="1" t="s">
        <v>110</v>
      </c>
      <c r="AL2440" s="3">
        <v>6</v>
      </c>
      <c r="AM2440" s="8">
        <v>17.949999999999999</v>
      </c>
      <c r="AN2440" s="1"/>
      <c r="AO2440" s="1" t="s">
        <v>17441</v>
      </c>
      <c r="AP2440" s="1" t="s">
        <v>17442</v>
      </c>
      <c r="AQ2440" s="1" t="s">
        <v>17443</v>
      </c>
      <c r="AR2440" s="1" t="s">
        <v>17444</v>
      </c>
    </row>
    <row r="2441">
      <c r="A2441" s="2">
        <f ca="1">DATE(2009,08,03)</f>
        <v>0</v>
      </c>
      <c r="B2441" s="2">
        <f ca="1">DATE(2009,11,04)</f>
        <v>0</v>
      </c>
      <c r="C2441" s="1" t="s">
        <v>17445</v>
      </c>
      <c r="D2441" s="3">
        <v>7374</v>
      </c>
      <c r="E2441" s="1" t="s">
        <v>43</v>
      </c>
      <c r="F2441" s="1" t="s">
        <v>17446</v>
      </c>
      <c r="G2441" s="1" t="s">
        <v>9071</v>
      </c>
      <c r="H2441" s="4">
        <v>0.94499999999999995</v>
      </c>
      <c r="I2441" s="8">
        <v>7</v>
      </c>
      <c r="J2441" s="5">
        <v>100</v>
      </c>
      <c r="K2441" s="4">
        <v>13.5</v>
      </c>
      <c r="L2441" s="1" t="s">
        <v>46</v>
      </c>
      <c r="M2441" s="1" t="s">
        <v>47</v>
      </c>
      <c r="N2441" s="1" t="s">
        <v>17447</v>
      </c>
      <c r="O2441" s="1" t="s">
        <v>48</v>
      </c>
      <c r="P2441" s="1" t="s">
        <v>17448</v>
      </c>
      <c r="Q2441" s="4">
        <v>1.3999999999999999</v>
      </c>
      <c r="R2441" s="4">
        <v>1.3999999999999999</v>
      </c>
      <c r="S2441" s="8">
        <v>4.2000000000000002</v>
      </c>
      <c r="T2441" s="1" t="s">
        <v>50</v>
      </c>
      <c r="U2441" s="1"/>
      <c r="V2441" s="1"/>
      <c r="W2441" s="1"/>
      <c r="X2441" s="5">
        <v>75</v>
      </c>
      <c r="Y2441" s="7">
        <v>4074074</v>
      </c>
      <c r="Z2441" s="7">
        <v>3333333</v>
      </c>
      <c r="AA2441" s="2">
        <f ca="1">DATE(2010,05,03)</f>
        <v>0</v>
      </c>
      <c r="AB2441" s="1"/>
      <c r="AC2441" s="3">
        <v>180</v>
      </c>
      <c r="AD2441" s="1"/>
      <c r="AE2441" s="1" t="s">
        <v>51</v>
      </c>
      <c r="AF2441" s="1" t="s">
        <v>51</v>
      </c>
      <c r="AG2441" s="1" t="s">
        <v>47</v>
      </c>
      <c r="AH2441" s="1"/>
      <c r="AI2441" s="1"/>
      <c r="AJ2441" s="3">
        <v>2</v>
      </c>
      <c r="AK2441" s="1" t="s">
        <v>89</v>
      </c>
      <c r="AL2441" s="3">
        <v>5</v>
      </c>
      <c r="AM2441" s="1"/>
      <c r="AN2441" s="1"/>
      <c r="AO2441" s="1" t="s">
        <v>17449</v>
      </c>
      <c r="AP2441" s="1" t="s">
        <v>4103</v>
      </c>
      <c r="AQ2441" s="1" t="s">
        <v>17450</v>
      </c>
      <c r="AR2441" s="1" t="s">
        <v>17451</v>
      </c>
    </row>
    <row r="2442">
      <c r="A2442" s="2">
        <f ca="1">DATE(2009,08,05)</f>
        <v>0</v>
      </c>
      <c r="B2442" s="2">
        <f ca="1">DATE(2009,11,04)</f>
        <v>0</v>
      </c>
      <c r="C2442" s="1" t="s">
        <v>17452</v>
      </c>
      <c r="D2442" s="3">
        <v>7011</v>
      </c>
      <c r="E2442" s="1" t="s">
        <v>43</v>
      </c>
      <c r="F2442" s="1" t="s">
        <v>17453</v>
      </c>
      <c r="G2442" s="1" t="s">
        <v>160</v>
      </c>
      <c r="H2442" s="4">
        <v>1.28</v>
      </c>
      <c r="I2442" s="4">
        <v>5.1200000000000001</v>
      </c>
      <c r="J2442" s="5">
        <v>950</v>
      </c>
      <c r="K2442" s="4">
        <v>25</v>
      </c>
      <c r="L2442" s="1" t="s">
        <v>5129</v>
      </c>
      <c r="M2442" s="1" t="s">
        <v>47</v>
      </c>
      <c r="N2442" s="3">
        <v>448579102</v>
      </c>
      <c r="O2442" s="1" t="s">
        <v>108</v>
      </c>
      <c r="P2442" s="1" t="s">
        <v>17454</v>
      </c>
      <c r="Q2442" s="4">
        <v>1.0249999999999999</v>
      </c>
      <c r="R2442" s="4">
        <v>1.0249999999999999</v>
      </c>
      <c r="S2442" s="4">
        <v>3.0750000000000002</v>
      </c>
      <c r="T2442" s="1" t="s">
        <v>50</v>
      </c>
      <c r="U2442" s="1"/>
      <c r="V2442" s="1"/>
      <c r="W2442" s="1"/>
      <c r="X2442" s="9">
        <v>1150</v>
      </c>
      <c r="Y2442" s="1"/>
      <c r="Z2442" s="7">
        <v>38000000</v>
      </c>
      <c r="AA2442" s="2">
        <f ca="1">DATE(2010,05,03)</f>
        <v>0</v>
      </c>
      <c r="AB2442" s="1"/>
      <c r="AC2442" s="3">
        <v>180</v>
      </c>
      <c r="AD2442" s="1"/>
      <c r="AE2442" s="1" t="s">
        <v>51</v>
      </c>
      <c r="AF2442" s="1" t="s">
        <v>51</v>
      </c>
      <c r="AG2442" s="1" t="s">
        <v>51</v>
      </c>
      <c r="AH2442" s="1"/>
      <c r="AI2442" s="1"/>
      <c r="AJ2442" s="3">
        <v>1</v>
      </c>
      <c r="AK2442" s="1" t="s">
        <v>110</v>
      </c>
      <c r="AL2442" s="3">
        <v>16</v>
      </c>
      <c r="AM2442" s="8">
        <v>28</v>
      </c>
      <c r="AN2442" s="1"/>
      <c r="AO2442" s="1" t="s">
        <v>17455</v>
      </c>
      <c r="AP2442" s="1" t="s">
        <v>17456</v>
      </c>
      <c r="AQ2442" s="1" t="s">
        <v>17457</v>
      </c>
      <c r="AR2442" s="1" t="s">
        <v>17458</v>
      </c>
    </row>
    <row r="2443">
      <c r="A2443" s="2">
        <f ca="1">DATE(2009,09,09)</f>
        <v>0</v>
      </c>
      <c r="B2443" s="2">
        <f ca="1">DATE(2009,11,05)</f>
        <v>0</v>
      </c>
      <c r="C2443" s="1" t="s">
        <v>17459</v>
      </c>
      <c r="D2443" s="3">
        <v>3555</v>
      </c>
      <c r="E2443" s="1" t="s">
        <v>744</v>
      </c>
      <c r="F2443" s="1" t="s">
        <v>17460</v>
      </c>
      <c r="G2443" s="1" t="s">
        <v>17088</v>
      </c>
      <c r="H2443" s="4">
        <v>0.59499999999999997</v>
      </c>
      <c r="I2443" s="8">
        <v>7</v>
      </c>
      <c r="J2443" s="5">
        <v>54.899999999999999</v>
      </c>
      <c r="K2443" s="4">
        <v>8.5</v>
      </c>
      <c r="L2443" s="1" t="s">
        <v>46</v>
      </c>
      <c r="M2443" s="1" t="s">
        <v>47</v>
      </c>
      <c r="N2443" s="1" t="s">
        <v>17461</v>
      </c>
      <c r="O2443" s="1" t="s">
        <v>108</v>
      </c>
      <c r="P2443" s="1" t="s">
        <v>17462</v>
      </c>
      <c r="Q2443" s="1" t="s">
        <v>145</v>
      </c>
      <c r="R2443" s="1" t="s">
        <v>145</v>
      </c>
      <c r="S2443" s="8">
        <v>4.2000000000000002</v>
      </c>
      <c r="T2443" s="1" t="s">
        <v>50</v>
      </c>
      <c r="U2443" s="1"/>
      <c r="V2443" s="1"/>
      <c r="W2443" s="1"/>
      <c r="X2443" s="1"/>
      <c r="Y2443" s="7">
        <v>5500000</v>
      </c>
      <c r="Z2443" s="7">
        <v>955918</v>
      </c>
      <c r="AA2443" s="2">
        <f ca="1">DATE(2010,05,04)</f>
        <v>0</v>
      </c>
      <c r="AB2443" s="1"/>
      <c r="AC2443" s="3">
        <v>180</v>
      </c>
      <c r="AD2443" s="1"/>
      <c r="AE2443" s="1" t="s">
        <v>51</v>
      </c>
      <c r="AF2443" s="1" t="s">
        <v>51</v>
      </c>
      <c r="AG2443" s="1" t="s">
        <v>51</v>
      </c>
      <c r="AH2443" s="1"/>
      <c r="AI2443" s="1"/>
      <c r="AJ2443" s="3">
        <v>1</v>
      </c>
      <c r="AK2443" s="1" t="s">
        <v>52</v>
      </c>
      <c r="AL2443" s="3">
        <v>2</v>
      </c>
      <c r="AM2443" s="1"/>
      <c r="AN2443" s="1"/>
      <c r="AO2443" s="1" t="s">
        <v>17463</v>
      </c>
      <c r="AP2443" s="1" t="s">
        <v>17088</v>
      </c>
      <c r="AQ2443" s="1" t="s">
        <v>17464</v>
      </c>
      <c r="AR2443" s="1" t="s">
        <v>17462</v>
      </c>
    </row>
    <row r="2444">
      <c r="A2444" s="2">
        <f ca="1">DATE(2009,10,07)</f>
        <v>0</v>
      </c>
      <c r="B2444" s="2">
        <f ca="1">DATE(2009,11,06)</f>
        <v>0</v>
      </c>
      <c r="C2444" s="1" t="s">
        <v>17465</v>
      </c>
      <c r="D2444" s="3">
        <v>3081</v>
      </c>
      <c r="E2444" s="1" t="s">
        <v>43</v>
      </c>
      <c r="F2444" s="1" t="s">
        <v>17466</v>
      </c>
      <c r="G2444" s="1" t="s">
        <v>12437</v>
      </c>
      <c r="H2444" s="4">
        <v>0.65000000000000002</v>
      </c>
      <c r="I2444" s="4">
        <v>6.5</v>
      </c>
      <c r="J2444" s="5">
        <v>123</v>
      </c>
      <c r="K2444" s="4">
        <v>10</v>
      </c>
      <c r="L2444" s="1" t="s">
        <v>46</v>
      </c>
      <c r="M2444" s="1" t="s">
        <v>47</v>
      </c>
      <c r="N2444" s="1" t="s">
        <v>17467</v>
      </c>
      <c r="O2444" s="1" t="s">
        <v>108</v>
      </c>
      <c r="P2444" s="1" t="s">
        <v>17468</v>
      </c>
      <c r="Q2444" s="1" t="s">
        <v>145</v>
      </c>
      <c r="R2444" s="1" t="s">
        <v>145</v>
      </c>
      <c r="S2444" s="8">
        <v>3.75</v>
      </c>
      <c r="T2444" s="1" t="s">
        <v>50</v>
      </c>
      <c r="U2444" s="1"/>
      <c r="V2444" s="1"/>
      <c r="W2444" s="1"/>
      <c r="X2444" s="5">
        <v>200</v>
      </c>
      <c r="Y2444" s="7">
        <v>3300000</v>
      </c>
      <c r="Z2444" s="7">
        <v>9000000</v>
      </c>
      <c r="AA2444" s="1" t="s">
        <v>17469</v>
      </c>
      <c r="AB2444" s="1" t="s">
        <v>5265</v>
      </c>
      <c r="AC2444" s="1" t="s">
        <v>7759</v>
      </c>
      <c r="AD2444" s="1" t="s">
        <v>5265</v>
      </c>
      <c r="AE2444" s="1" t="s">
        <v>51</v>
      </c>
      <c r="AF2444" s="1" t="s">
        <v>51</v>
      </c>
      <c r="AG2444" s="1" t="s">
        <v>51</v>
      </c>
      <c r="AH2444" s="1"/>
      <c r="AI2444" s="1"/>
      <c r="AJ2444" s="3">
        <v>2</v>
      </c>
      <c r="AK2444" s="1" t="s">
        <v>89</v>
      </c>
      <c r="AL2444" s="3">
        <v>6</v>
      </c>
      <c r="AM2444" s="8">
        <v>13.1</v>
      </c>
      <c r="AN2444" s="1"/>
      <c r="AO2444" s="1" t="s">
        <v>17470</v>
      </c>
      <c r="AP2444" s="1" t="s">
        <v>13038</v>
      </c>
      <c r="AQ2444" s="1" t="s">
        <v>17471</v>
      </c>
      <c r="AR2444" s="1" t="s">
        <v>17472</v>
      </c>
    </row>
    <row r="2445">
      <c r="A2445" s="2">
        <f ca="1">DATE(2009,08,20)</f>
        <v>0</v>
      </c>
      <c r="B2445" s="2">
        <f ca="1">DATE(2009,11,12)</f>
        <v>0</v>
      </c>
      <c r="C2445" s="1" t="s">
        <v>17473</v>
      </c>
      <c r="D2445" s="3">
        <v>5331</v>
      </c>
      <c r="E2445" s="1" t="s">
        <v>43</v>
      </c>
      <c r="F2445" s="1" t="s">
        <v>17474</v>
      </c>
      <c r="G2445" s="1" t="s">
        <v>17475</v>
      </c>
      <c r="H2445" s="4">
        <v>1.208</v>
      </c>
      <c r="I2445" s="4">
        <v>5.75</v>
      </c>
      <c r="J2445" s="5">
        <v>716.10000000000002</v>
      </c>
      <c r="K2445" s="4">
        <v>21</v>
      </c>
      <c r="L2445" s="1" t="s">
        <v>46</v>
      </c>
      <c r="M2445" s="1" t="s">
        <v>47</v>
      </c>
      <c r="N2445" s="3">
        <v>256677105</v>
      </c>
      <c r="O2445" s="1" t="s">
        <v>108</v>
      </c>
      <c r="P2445" s="1" t="s">
        <v>17476</v>
      </c>
      <c r="Q2445" s="4">
        <v>1.1499999999999999</v>
      </c>
      <c r="R2445" s="4">
        <v>1.1499999999999999</v>
      </c>
      <c r="S2445" s="8">
        <v>3.4500000000000002</v>
      </c>
      <c r="T2445" s="1" t="s">
        <v>50</v>
      </c>
      <c r="U2445" s="1"/>
      <c r="V2445" s="1"/>
      <c r="W2445" s="1"/>
      <c r="X2445" s="5">
        <v>750</v>
      </c>
      <c r="Y2445" s="7">
        <v>22700000</v>
      </c>
      <c r="Z2445" s="7">
        <v>11400000</v>
      </c>
      <c r="AA2445" s="1" t="s">
        <v>17477</v>
      </c>
      <c r="AB2445" s="1" t="s">
        <v>5265</v>
      </c>
      <c r="AC2445" s="1" t="s">
        <v>7759</v>
      </c>
      <c r="AD2445" s="1" t="s">
        <v>5265</v>
      </c>
      <c r="AE2445" s="1" t="s">
        <v>51</v>
      </c>
      <c r="AF2445" s="1" t="s">
        <v>51</v>
      </c>
      <c r="AG2445" s="1" t="s">
        <v>51</v>
      </c>
      <c r="AH2445" s="1"/>
      <c r="AI2445" s="1"/>
      <c r="AJ2445" s="3">
        <v>5</v>
      </c>
      <c r="AK2445" s="1" t="s">
        <v>3985</v>
      </c>
      <c r="AL2445" s="3">
        <v>9</v>
      </c>
      <c r="AM2445" s="8">
        <v>22.73</v>
      </c>
      <c r="AN2445" s="1"/>
      <c r="AO2445" s="1" t="s">
        <v>17478</v>
      </c>
      <c r="AP2445" s="1" t="s">
        <v>17479</v>
      </c>
      <c r="AQ2445" s="1" t="s">
        <v>17480</v>
      </c>
      <c r="AR2445" s="1" t="s">
        <v>17481</v>
      </c>
    </row>
    <row r="2446">
      <c r="A2446" s="2">
        <f ca="1">DATE(2009,09,10)</f>
        <v>0</v>
      </c>
      <c r="B2446" s="2">
        <f ca="1">DATE(2009,11,12)</f>
        <v>0</v>
      </c>
      <c r="C2446" s="1" t="s">
        <v>17482</v>
      </c>
      <c r="D2446" s="3">
        <v>5699</v>
      </c>
      <c r="E2446" s="1" t="s">
        <v>43</v>
      </c>
      <c r="F2446" s="1" t="s">
        <v>17483</v>
      </c>
      <c r="G2446" s="1" t="s">
        <v>9680</v>
      </c>
      <c r="H2446" s="4">
        <v>1.3300000000000001</v>
      </c>
      <c r="I2446" s="4">
        <v>7</v>
      </c>
      <c r="J2446" s="5">
        <v>128.5</v>
      </c>
      <c r="K2446" s="4">
        <v>19</v>
      </c>
      <c r="L2446" s="1" t="s">
        <v>46</v>
      </c>
      <c r="M2446" s="1" t="s">
        <v>47</v>
      </c>
      <c r="N2446" s="3">
        <v>781295100</v>
      </c>
      <c r="O2446" s="1" t="s">
        <v>48</v>
      </c>
      <c r="P2446" s="1" t="s">
        <v>17484</v>
      </c>
      <c r="Q2446" s="4">
        <v>1.3999999999999999</v>
      </c>
      <c r="R2446" s="4">
        <v>1.3999999999999999</v>
      </c>
      <c r="S2446" s="8">
        <v>4.2000000000000002</v>
      </c>
      <c r="T2446" s="1" t="s">
        <v>50</v>
      </c>
      <c r="U2446" s="1"/>
      <c r="V2446" s="1"/>
      <c r="W2446" s="1"/>
      <c r="X2446" s="5">
        <v>125</v>
      </c>
      <c r="Y2446" s="7">
        <v>1650000</v>
      </c>
      <c r="Z2446" s="7">
        <v>5115437</v>
      </c>
      <c r="AA2446" s="1" t="s">
        <v>17477</v>
      </c>
      <c r="AB2446" s="1" t="s">
        <v>5265</v>
      </c>
      <c r="AC2446" s="1" t="s">
        <v>7759</v>
      </c>
      <c r="AD2446" s="1" t="s">
        <v>5265</v>
      </c>
      <c r="AE2446" s="1" t="s">
        <v>51</v>
      </c>
      <c r="AF2446" s="1" t="s">
        <v>51</v>
      </c>
      <c r="AG2446" s="1" t="s">
        <v>51</v>
      </c>
      <c r="AH2446" s="1"/>
      <c r="AI2446" s="1"/>
      <c r="AJ2446" s="3">
        <v>3</v>
      </c>
      <c r="AK2446" s="1" t="s">
        <v>110</v>
      </c>
      <c r="AL2446" s="3">
        <v>4</v>
      </c>
      <c r="AM2446" s="8">
        <v>24.300000000000001</v>
      </c>
      <c r="AN2446" s="1"/>
      <c r="AO2446" s="1" t="s">
        <v>17485</v>
      </c>
      <c r="AP2446" s="1" t="s">
        <v>9688</v>
      </c>
      <c r="AQ2446" s="1" t="s">
        <v>17486</v>
      </c>
      <c r="AR2446" s="1" t="s">
        <v>17487</v>
      </c>
    </row>
    <row r="2447">
      <c r="A2447" s="2">
        <f ca="1">DATE(2009,08,10)</f>
        <v>0</v>
      </c>
      <c r="B2447" s="2">
        <f ca="1">DATE(2009,11,17)</f>
        <v>0</v>
      </c>
      <c r="C2447" s="1" t="s">
        <v>17488</v>
      </c>
      <c r="D2447" s="3">
        <v>3577</v>
      </c>
      <c r="E2447" s="1" t="s">
        <v>43</v>
      </c>
      <c r="F2447" s="1" t="s">
        <v>17489</v>
      </c>
      <c r="G2447" s="1" t="s">
        <v>17490</v>
      </c>
      <c r="H2447" s="4">
        <v>0.875</v>
      </c>
      <c r="I2447" s="4">
        <v>7</v>
      </c>
      <c r="J2447" s="5">
        <v>156.30000000000001</v>
      </c>
      <c r="K2447" s="4">
        <v>12.5</v>
      </c>
      <c r="L2447" s="1" t="s">
        <v>46</v>
      </c>
      <c r="M2447" s="1" t="s">
        <v>47</v>
      </c>
      <c r="N2447" s="1" t="s">
        <v>17491</v>
      </c>
      <c r="O2447" s="1" t="s">
        <v>48</v>
      </c>
      <c r="P2447" s="1" t="s">
        <v>17492</v>
      </c>
      <c r="Q2447" s="1" t="s">
        <v>145</v>
      </c>
      <c r="R2447" s="1" t="s">
        <v>145</v>
      </c>
      <c r="S2447" s="8">
        <v>4.2000000000000002</v>
      </c>
      <c r="T2447" s="1" t="s">
        <v>50</v>
      </c>
      <c r="U2447" s="1"/>
      <c r="V2447" s="1"/>
      <c r="W2447" s="1"/>
      <c r="X2447" s="5">
        <v>100</v>
      </c>
      <c r="Y2447" s="7">
        <v>5781683</v>
      </c>
      <c r="Z2447" s="7">
        <v>6718317</v>
      </c>
      <c r="AA2447" s="1" t="s">
        <v>17493</v>
      </c>
      <c r="AB2447" s="1" t="s">
        <v>5265</v>
      </c>
      <c r="AC2447" s="1" t="s">
        <v>7759</v>
      </c>
      <c r="AD2447" s="1" t="s">
        <v>5265</v>
      </c>
      <c r="AE2447" s="1" t="s">
        <v>51</v>
      </c>
      <c r="AF2447" s="1" t="s">
        <v>51</v>
      </c>
      <c r="AG2447" s="1" t="s">
        <v>47</v>
      </c>
      <c r="AH2447" s="1"/>
      <c r="AI2447" s="1"/>
      <c r="AJ2447" s="3">
        <v>3</v>
      </c>
      <c r="AK2447" s="1" t="s">
        <v>110</v>
      </c>
      <c r="AL2447" s="3">
        <v>8</v>
      </c>
      <c r="AM2447" s="1"/>
      <c r="AN2447" s="1"/>
      <c r="AO2447" s="1" t="s">
        <v>17494</v>
      </c>
      <c r="AP2447" s="1" t="s">
        <v>17495</v>
      </c>
      <c r="AQ2447" s="1" t="s">
        <v>17496</v>
      </c>
      <c r="AR2447" s="1" t="s">
        <v>17497</v>
      </c>
    </row>
    <row r="2448">
      <c r="A2448" s="2">
        <f ca="1">DATE(2009,09,03)</f>
        <v>0</v>
      </c>
      <c r="B2448" s="2">
        <f ca="1">DATE(2009,11,19)</f>
        <v>0</v>
      </c>
      <c r="C2448" s="1" t="s">
        <v>17498</v>
      </c>
      <c r="D2448" s="3">
        <v>8299</v>
      </c>
      <c r="E2448" s="1" t="s">
        <v>43</v>
      </c>
      <c r="F2448" s="1" t="s">
        <v>17499</v>
      </c>
      <c r="G2448" s="1" t="s">
        <v>17500</v>
      </c>
      <c r="H2448" s="4">
        <v>1.155</v>
      </c>
      <c r="I2448" s="4">
        <v>7</v>
      </c>
      <c r="J2448" s="5">
        <v>103.09999999999999</v>
      </c>
      <c r="K2448" s="4">
        <v>16.5</v>
      </c>
      <c r="L2448" s="1" t="s">
        <v>46</v>
      </c>
      <c r="M2448" s="1" t="s">
        <v>47</v>
      </c>
      <c r="N2448" s="1" t="s">
        <v>17501</v>
      </c>
      <c r="O2448" s="1" t="s">
        <v>48</v>
      </c>
      <c r="P2448" s="1" t="s">
        <v>17502</v>
      </c>
      <c r="Q2448" s="4">
        <v>1.409</v>
      </c>
      <c r="R2448" s="4">
        <v>1.409</v>
      </c>
      <c r="S2448" s="6">
        <v>4.1818200000000001</v>
      </c>
      <c r="T2448" s="1" t="s">
        <v>50</v>
      </c>
      <c r="U2448" s="1"/>
      <c r="V2448" s="1"/>
      <c r="W2448" s="1"/>
      <c r="X2448" s="5">
        <v>75</v>
      </c>
      <c r="Y2448" s="7">
        <v>3125000</v>
      </c>
      <c r="Z2448" s="7">
        <v>3125000</v>
      </c>
      <c r="AA2448" s="1" t="s">
        <v>17503</v>
      </c>
      <c r="AB2448" s="1" t="s">
        <v>5265</v>
      </c>
      <c r="AC2448" s="1" t="s">
        <v>7759</v>
      </c>
      <c r="AD2448" s="1" t="s">
        <v>5265</v>
      </c>
      <c r="AE2448" s="1" t="s">
        <v>51</v>
      </c>
      <c r="AF2448" s="1" t="s">
        <v>51</v>
      </c>
      <c r="AG2448" s="1" t="s">
        <v>51</v>
      </c>
      <c r="AH2448" s="1"/>
      <c r="AI2448" s="1"/>
      <c r="AJ2448" s="3">
        <v>2</v>
      </c>
      <c r="AK2448" s="1" t="s">
        <v>89</v>
      </c>
      <c r="AL2448" s="3">
        <v>5</v>
      </c>
      <c r="AM2448" s="1"/>
      <c r="AN2448" s="1"/>
      <c r="AO2448" s="1" t="s">
        <v>17504</v>
      </c>
      <c r="AP2448" s="1" t="s">
        <v>17505</v>
      </c>
      <c r="AQ2448" s="1" t="s">
        <v>17506</v>
      </c>
      <c r="AR2448" s="1" t="s">
        <v>17507</v>
      </c>
    </row>
    <row r="2449">
      <c r="A2449" s="2">
        <f ca="1">DATE(2009,08,12)</f>
        <v>0</v>
      </c>
      <c r="B2449" s="2">
        <f ca="1">DATE(2009,11,19)</f>
        <v>0</v>
      </c>
      <c r="C2449" s="1" t="s">
        <v>17508</v>
      </c>
      <c r="D2449" s="3">
        <v>1221</v>
      </c>
      <c r="E2449" s="1" t="s">
        <v>43</v>
      </c>
      <c r="F2449" s="1" t="s">
        <v>17509</v>
      </c>
      <c r="G2449" s="1" t="s">
        <v>17510</v>
      </c>
      <c r="H2449" s="4">
        <v>0.82499999999999996</v>
      </c>
      <c r="I2449" s="4">
        <v>5.5</v>
      </c>
      <c r="J2449" s="5">
        <v>459</v>
      </c>
      <c r="K2449" s="4">
        <v>15</v>
      </c>
      <c r="L2449" s="1" t="s">
        <v>46</v>
      </c>
      <c r="M2449" s="1" t="s">
        <v>47</v>
      </c>
      <c r="N2449" s="1" t="s">
        <v>17511</v>
      </c>
      <c r="O2449" s="1" t="s">
        <v>108</v>
      </c>
      <c r="P2449" s="1" t="s">
        <v>17512</v>
      </c>
      <c r="Q2449" s="4">
        <v>1.1000000000000001</v>
      </c>
      <c r="R2449" s="4">
        <v>1.1000000000000001</v>
      </c>
      <c r="S2449" s="8">
        <v>3.2999999999999998</v>
      </c>
      <c r="T2449" s="1" t="s">
        <v>50</v>
      </c>
      <c r="U2449" s="1"/>
      <c r="V2449" s="1"/>
      <c r="W2449" s="1"/>
      <c r="X2449" s="5">
        <v>500</v>
      </c>
      <c r="Y2449" s="7">
        <v>30600000</v>
      </c>
      <c r="Z2449" s="1"/>
      <c r="AA2449" s="2">
        <f ca="1">DATE(2010,05,18)</f>
        <v>0</v>
      </c>
      <c r="AB2449" s="1"/>
      <c r="AC2449" s="3">
        <v>180</v>
      </c>
      <c r="AD2449" s="1"/>
      <c r="AE2449" s="1" t="s">
        <v>51</v>
      </c>
      <c r="AF2449" s="1" t="s">
        <v>51</v>
      </c>
      <c r="AG2449" s="1" t="s">
        <v>51</v>
      </c>
      <c r="AH2449" s="1"/>
      <c r="AI2449" s="1"/>
      <c r="AJ2449" s="3">
        <v>3</v>
      </c>
      <c r="AK2449" s="1" t="s">
        <v>110</v>
      </c>
      <c r="AL2449" s="3">
        <v>16</v>
      </c>
      <c r="AM2449" s="1"/>
      <c r="AN2449" s="1"/>
      <c r="AO2449" s="1" t="s">
        <v>17513</v>
      </c>
      <c r="AP2449" s="1" t="s">
        <v>17514</v>
      </c>
      <c r="AQ2449" s="1" t="s">
        <v>17515</v>
      </c>
      <c r="AR2449" s="1" t="s">
        <v>17516</v>
      </c>
    </row>
    <row r="2450">
      <c r="A2450" s="2">
        <f ca="1">DATE(2009,11,05)</f>
        <v>0</v>
      </c>
      <c r="B2450" s="2">
        <f ca="1">DATE(2009,11,19)</f>
        <v>0</v>
      </c>
      <c r="C2450" s="1" t="s">
        <v>17517</v>
      </c>
      <c r="D2450" s="3">
        <v>2833</v>
      </c>
      <c r="E2450" s="1" t="s">
        <v>166</v>
      </c>
      <c r="F2450" s="1" t="s">
        <v>17518</v>
      </c>
      <c r="G2450" s="1" t="s">
        <v>17519</v>
      </c>
      <c r="H2450" s="4">
        <v>0.49399999999999999</v>
      </c>
      <c r="I2450" s="4">
        <v>6.5</v>
      </c>
      <c r="J2450" s="5">
        <v>27.600000000000001</v>
      </c>
      <c r="K2450" s="8">
        <v>7.5999999999999996</v>
      </c>
      <c r="L2450" s="1" t="s">
        <v>58</v>
      </c>
      <c r="M2450" s="1" t="s">
        <v>47</v>
      </c>
      <c r="N2450" s="3">
        <v>361793102</v>
      </c>
      <c r="O2450" s="1" t="s">
        <v>3171</v>
      </c>
      <c r="P2450" s="1" t="s">
        <v>17520</v>
      </c>
      <c r="Q2450" s="1" t="s">
        <v>145</v>
      </c>
      <c r="R2450" s="1" t="s">
        <v>145</v>
      </c>
      <c r="S2450" s="8">
        <v>3.25</v>
      </c>
      <c r="T2450" s="1" t="s">
        <v>60</v>
      </c>
      <c r="U2450" s="1"/>
      <c r="V2450" s="1"/>
      <c r="W2450" s="7">
        <v>3625000</v>
      </c>
      <c r="X2450" s="1"/>
      <c r="Y2450" s="7">
        <v>3625000</v>
      </c>
      <c r="Z2450" s="1"/>
      <c r="AA2450" s="1"/>
      <c r="AB2450" s="1"/>
      <c r="AC2450" s="3">
        <v>90</v>
      </c>
      <c r="AD2450" s="8">
        <v>3625000</v>
      </c>
      <c r="AE2450" s="1" t="s">
        <v>51</v>
      </c>
      <c r="AF2450" s="1" t="s">
        <v>51</v>
      </c>
      <c r="AG2450" s="1" t="s">
        <v>51</v>
      </c>
      <c r="AH2450" s="1"/>
      <c r="AI2450" s="1"/>
      <c r="AJ2450" s="3">
        <v>1</v>
      </c>
      <c r="AK2450" s="1" t="s">
        <v>52</v>
      </c>
      <c r="AL2450" s="3">
        <v>2</v>
      </c>
      <c r="AM2450" s="1"/>
      <c r="AN2450" s="1"/>
      <c r="AO2450" s="1" t="s">
        <v>17521</v>
      </c>
      <c r="AP2450" s="1" t="s">
        <v>17519</v>
      </c>
      <c r="AQ2450" s="1" t="s">
        <v>17522</v>
      </c>
      <c r="AR2450" s="1" t="s">
        <v>17523</v>
      </c>
    </row>
    <row r="2451">
      <c r="A2451" s="2">
        <f ca="1">DATE(2009,10,16)</f>
        <v>0</v>
      </c>
      <c r="B2451" s="2">
        <f ca="1">DATE(2009,11,19)</f>
        <v>0</v>
      </c>
      <c r="C2451" s="1" t="s">
        <v>17524</v>
      </c>
      <c r="D2451" s="3">
        <v>6726</v>
      </c>
      <c r="E2451" s="1" t="s">
        <v>744</v>
      </c>
      <c r="F2451" s="1" t="s">
        <v>17525</v>
      </c>
      <c r="G2451" s="1" t="s">
        <v>17526</v>
      </c>
      <c r="H2451" s="4">
        <v>0.69999999999999996</v>
      </c>
      <c r="I2451" s="8">
        <v>7</v>
      </c>
      <c r="J2451" s="5">
        <v>36</v>
      </c>
      <c r="K2451" s="4">
        <v>10</v>
      </c>
      <c r="L2451" s="1" t="s">
        <v>31</v>
      </c>
      <c r="M2451" s="1" t="s">
        <v>47</v>
      </c>
      <c r="N2451" s="1"/>
      <c r="O2451" s="1" t="s">
        <v>77</v>
      </c>
      <c r="P2451" s="1" t="s">
        <v>17527</v>
      </c>
      <c r="Q2451" s="1" t="s">
        <v>145</v>
      </c>
      <c r="R2451" s="1" t="s">
        <v>145</v>
      </c>
      <c r="S2451" s="4">
        <v>0.17499999999999999</v>
      </c>
      <c r="T2451" s="1" t="s">
        <v>50</v>
      </c>
      <c r="U2451" s="8">
        <v>10</v>
      </c>
      <c r="V2451" s="8">
        <v>10</v>
      </c>
      <c r="W2451" s="7">
        <v>3600000</v>
      </c>
      <c r="X2451" s="5">
        <v>36</v>
      </c>
      <c r="Y2451" s="7">
        <v>3600000</v>
      </c>
      <c r="Z2451" s="1"/>
      <c r="AA2451" s="2">
        <f ca="1">DATE(2010,05,18)</f>
        <v>0</v>
      </c>
      <c r="AB2451" s="1"/>
      <c r="AC2451" s="3">
        <v>180</v>
      </c>
      <c r="AD2451" s="1"/>
      <c r="AE2451" s="1" t="s">
        <v>51</v>
      </c>
      <c r="AF2451" s="1" t="s">
        <v>51</v>
      </c>
      <c r="AG2451" s="1" t="s">
        <v>51</v>
      </c>
      <c r="AH2451" s="1"/>
      <c r="AI2451" s="1"/>
      <c r="AJ2451" s="3">
        <v>1</v>
      </c>
      <c r="AK2451" s="1" t="s">
        <v>52</v>
      </c>
      <c r="AL2451" s="3">
        <v>3</v>
      </c>
      <c r="AM2451" s="1"/>
      <c r="AN2451" s="1"/>
      <c r="AO2451" s="1" t="s">
        <v>17528</v>
      </c>
      <c r="AP2451" s="1" t="s">
        <v>17526</v>
      </c>
      <c r="AQ2451" s="1" t="s">
        <v>17529</v>
      </c>
      <c r="AR2451" s="1" t="s">
        <v>17527</v>
      </c>
    </row>
    <row r="2452">
      <c r="A2452" s="2">
        <f ca="1">DATE(2009,09,03)</f>
        <v>0</v>
      </c>
      <c r="B2452" s="2">
        <f ca="1">DATE(2009,11,19)</f>
        <v>0</v>
      </c>
      <c r="C2452" s="1" t="s">
        <v>17530</v>
      </c>
      <c r="D2452" s="3">
        <v>9661</v>
      </c>
      <c r="E2452" s="1" t="s">
        <v>43</v>
      </c>
      <c r="F2452" s="1" t="s">
        <v>17531</v>
      </c>
      <c r="G2452" s="1" t="s">
        <v>13807</v>
      </c>
      <c r="H2452" s="4">
        <v>0.91000000000000003</v>
      </c>
      <c r="I2452" s="4">
        <v>7</v>
      </c>
      <c r="J2452" s="5">
        <v>59.799999999999997</v>
      </c>
      <c r="K2452" s="4">
        <v>13</v>
      </c>
      <c r="L2452" s="1" t="s">
        <v>46</v>
      </c>
      <c r="M2452" s="1" t="s">
        <v>47</v>
      </c>
      <c r="N2452" s="1" t="s">
        <v>17532</v>
      </c>
      <c r="O2452" s="1" t="s">
        <v>48</v>
      </c>
      <c r="P2452" s="1" t="s">
        <v>17533</v>
      </c>
      <c r="Q2452" s="1" t="s">
        <v>145</v>
      </c>
      <c r="R2452" s="1" t="s">
        <v>145</v>
      </c>
      <c r="S2452" s="8">
        <v>4</v>
      </c>
      <c r="T2452" s="1" t="s">
        <v>50</v>
      </c>
      <c r="U2452" s="1"/>
      <c r="V2452" s="1"/>
      <c r="W2452" s="1"/>
      <c r="X2452" s="5">
        <v>75</v>
      </c>
      <c r="Y2452" s="7">
        <v>3000000</v>
      </c>
      <c r="Z2452" s="7">
        <v>1600000</v>
      </c>
      <c r="AA2452" s="2">
        <f ca="1">DATE(2010,05,18)</f>
        <v>0</v>
      </c>
      <c r="AB2452" s="1"/>
      <c r="AC2452" s="3">
        <v>180</v>
      </c>
      <c r="AD2452" s="1"/>
      <c r="AE2452" s="1" t="s">
        <v>51</v>
      </c>
      <c r="AF2452" s="1" t="s">
        <v>51</v>
      </c>
      <c r="AG2452" s="1" t="s">
        <v>51</v>
      </c>
      <c r="AH2452" s="1"/>
      <c r="AI2452" s="1"/>
      <c r="AJ2452" s="3">
        <v>1</v>
      </c>
      <c r="AK2452" s="1" t="s">
        <v>52</v>
      </c>
      <c r="AL2452" s="3">
        <v>4</v>
      </c>
      <c r="AM2452" s="1"/>
      <c r="AN2452" s="1"/>
      <c r="AO2452" s="1" t="s">
        <v>17534</v>
      </c>
      <c r="AP2452" s="1" t="s">
        <v>13807</v>
      </c>
      <c r="AQ2452" s="1" t="s">
        <v>17535</v>
      </c>
      <c r="AR2452" s="1" t="s">
        <v>17533</v>
      </c>
    </row>
    <row r="2453">
      <c r="A2453" s="2">
        <f ca="1">DATE(2009,11,02)</f>
        <v>0</v>
      </c>
      <c r="B2453" s="2">
        <f ca="1">DATE(2009,11,19)</f>
        <v>0</v>
      </c>
      <c r="C2453" s="1" t="s">
        <v>17536</v>
      </c>
      <c r="D2453" s="3">
        <v>7011</v>
      </c>
      <c r="E2453" s="1" t="s">
        <v>744</v>
      </c>
      <c r="F2453" s="1" t="s">
        <v>17537</v>
      </c>
      <c r="G2453" s="1" t="s">
        <v>17538</v>
      </c>
      <c r="H2453" s="4">
        <v>0.77000000000000002</v>
      </c>
      <c r="I2453" s="4">
        <v>7</v>
      </c>
      <c r="J2453" s="5">
        <v>111.09999999999999</v>
      </c>
      <c r="K2453" s="4">
        <v>11</v>
      </c>
      <c r="L2453" s="1" t="s">
        <v>651</v>
      </c>
      <c r="M2453" s="1" t="s">
        <v>47</v>
      </c>
      <c r="N2453" s="1" t="s">
        <v>17539</v>
      </c>
      <c r="O2453" s="1" t="s">
        <v>108</v>
      </c>
      <c r="P2453" s="1" t="s">
        <v>17540</v>
      </c>
      <c r="Q2453" s="1" t="s">
        <v>145</v>
      </c>
      <c r="R2453" s="1" t="s">
        <v>145</v>
      </c>
      <c r="S2453" s="8">
        <v>4.2000000000000002</v>
      </c>
      <c r="T2453" s="1" t="s">
        <v>50</v>
      </c>
      <c r="U2453" s="1"/>
      <c r="V2453" s="1"/>
      <c r="W2453" s="1"/>
      <c r="X2453" s="5">
        <v>100</v>
      </c>
      <c r="Y2453" s="7">
        <v>10100000</v>
      </c>
      <c r="Z2453" s="1"/>
      <c r="AA2453" s="2">
        <f ca="1">DATE(2010,05,18)</f>
        <v>0</v>
      </c>
      <c r="AB2453" s="1"/>
      <c r="AC2453" s="3">
        <v>180</v>
      </c>
      <c r="AD2453" s="1"/>
      <c r="AE2453" s="1" t="s">
        <v>47</v>
      </c>
      <c r="AF2453" s="1" t="s">
        <v>51</v>
      </c>
      <c r="AG2453" s="1" t="s">
        <v>51</v>
      </c>
      <c r="AH2453" s="1"/>
      <c r="AI2453" s="1"/>
      <c r="AJ2453" s="3">
        <v>2</v>
      </c>
      <c r="AK2453" s="1" t="s">
        <v>89</v>
      </c>
      <c r="AL2453" s="3">
        <v>3</v>
      </c>
      <c r="AM2453" s="8">
        <v>12.5</v>
      </c>
      <c r="AN2453" s="1"/>
      <c r="AO2453" s="1" t="s">
        <v>17541</v>
      </c>
      <c r="AP2453" s="1" t="s">
        <v>17542</v>
      </c>
      <c r="AQ2453" s="1" t="s">
        <v>17543</v>
      </c>
      <c r="AR2453" s="1" t="s">
        <v>17544</v>
      </c>
    </row>
    <row r="2454">
      <c r="A2454" s="2">
        <f ca="1">DATE(2009,09,18)</f>
        <v>0</v>
      </c>
      <c r="B2454" s="2">
        <f ca="1">DATE(2009,11,23)</f>
        <v>0</v>
      </c>
      <c r="C2454" s="1" t="s">
        <v>17545</v>
      </c>
      <c r="D2454" s="3">
        <v>6726</v>
      </c>
      <c r="E2454" s="1" t="s">
        <v>43</v>
      </c>
      <c r="F2454" s="1" t="s">
        <v>17546</v>
      </c>
      <c r="G2454" s="1" t="s">
        <v>17547</v>
      </c>
      <c r="H2454" s="4">
        <v>0.90000000000000002</v>
      </c>
      <c r="I2454" s="4">
        <v>4.5</v>
      </c>
      <c r="J2454" s="5">
        <v>280</v>
      </c>
      <c r="K2454" s="4">
        <v>20</v>
      </c>
      <c r="L2454" s="1" t="s">
        <v>46</v>
      </c>
      <c r="M2454" s="1" t="s">
        <v>47</v>
      </c>
      <c r="N2454" s="1" t="s">
        <v>17548</v>
      </c>
      <c r="O2454" s="1" t="s">
        <v>108</v>
      </c>
      <c r="P2454" s="1" t="s">
        <v>17549</v>
      </c>
      <c r="Q2454" s="1" t="s">
        <v>145</v>
      </c>
      <c r="R2454" s="1" t="s">
        <v>145</v>
      </c>
      <c r="S2454" s="8">
        <v>3</v>
      </c>
      <c r="T2454" s="1" t="s">
        <v>50</v>
      </c>
      <c r="U2454" s="8">
        <v>20</v>
      </c>
      <c r="V2454" s="8">
        <v>20</v>
      </c>
      <c r="W2454" s="7">
        <v>50000</v>
      </c>
      <c r="X2454" s="5">
        <v>1</v>
      </c>
      <c r="Y2454" s="7">
        <v>14000000</v>
      </c>
      <c r="Z2454" s="1"/>
      <c r="AA2454" s="2">
        <f ca="1">DATE(2010,05,22)</f>
        <v>0</v>
      </c>
      <c r="AB2454" s="1"/>
      <c r="AC2454" s="3">
        <v>180</v>
      </c>
      <c r="AD2454" s="1"/>
      <c r="AE2454" s="1" t="s">
        <v>51</v>
      </c>
      <c r="AF2454" s="1" t="s">
        <v>51</v>
      </c>
      <c r="AG2454" s="1" t="s">
        <v>51</v>
      </c>
      <c r="AH2454" s="1"/>
      <c r="AI2454" s="1"/>
      <c r="AJ2454" s="3">
        <v>3</v>
      </c>
      <c r="AK2454" s="1" t="s">
        <v>110</v>
      </c>
      <c r="AL2454" s="3">
        <v>9</v>
      </c>
      <c r="AM2454" s="1"/>
      <c r="AN2454" s="1"/>
      <c r="AO2454" s="1" t="s">
        <v>17550</v>
      </c>
      <c r="AP2454" s="1" t="s">
        <v>17551</v>
      </c>
      <c r="AQ2454" s="1" t="s">
        <v>17552</v>
      </c>
      <c r="AR2454" s="1" t="s">
        <v>17553</v>
      </c>
    </row>
    <row r="2455">
      <c r="A2455" s="2">
        <f ca="1">DATE(2009,09,16)</f>
        <v>0</v>
      </c>
      <c r="B2455" s="2">
        <f ca="1">DATE(2009,11,24)</f>
        <v>0</v>
      </c>
      <c r="C2455" s="1" t="s">
        <v>17554</v>
      </c>
      <c r="D2455" s="3">
        <v>6726</v>
      </c>
      <c r="E2455" s="1" t="s">
        <v>43</v>
      </c>
      <c r="F2455" s="1" t="s">
        <v>17555</v>
      </c>
      <c r="G2455" s="1" t="s">
        <v>17556</v>
      </c>
      <c r="H2455" s="4">
        <v>1.125</v>
      </c>
      <c r="I2455" s="4">
        <v>4.5</v>
      </c>
      <c r="J2455" s="5">
        <v>350</v>
      </c>
      <c r="K2455" s="4">
        <v>25</v>
      </c>
      <c r="L2455" s="1" t="s">
        <v>46</v>
      </c>
      <c r="M2455" s="1" t="s">
        <v>47</v>
      </c>
      <c r="N2455" s="3">
        <v>670735109</v>
      </c>
      <c r="O2455" s="1" t="s">
        <v>108</v>
      </c>
      <c r="P2455" s="1" t="s">
        <v>17557</v>
      </c>
      <c r="Q2455" s="1" t="s">
        <v>145</v>
      </c>
      <c r="R2455" s="1" t="s">
        <v>145</v>
      </c>
      <c r="S2455" s="8">
        <v>3</v>
      </c>
      <c r="T2455" s="1" t="s">
        <v>50</v>
      </c>
      <c r="U2455" s="8">
        <v>25</v>
      </c>
      <c r="V2455" s="8">
        <v>25</v>
      </c>
      <c r="W2455" s="7">
        <v>1000</v>
      </c>
      <c r="X2455" s="5">
        <v>0</v>
      </c>
      <c r="Y2455" s="7">
        <v>14000000</v>
      </c>
      <c r="Z2455" s="1"/>
      <c r="AA2455" s="1"/>
      <c r="AB2455" s="1"/>
      <c r="AC2455" s="1"/>
      <c r="AD2455" s="1"/>
      <c r="AE2455" s="1" t="s">
        <v>51</v>
      </c>
      <c r="AF2455" s="1" t="s">
        <v>51</v>
      </c>
      <c r="AG2455" s="1" t="s">
        <v>51</v>
      </c>
      <c r="AH2455" s="1"/>
      <c r="AI2455" s="1"/>
      <c r="AJ2455" s="3">
        <v>4</v>
      </c>
      <c r="AK2455" s="1" t="s">
        <v>1209</v>
      </c>
      <c r="AL2455" s="3">
        <v>11</v>
      </c>
      <c r="AM2455" s="1"/>
      <c r="AN2455" s="1"/>
      <c r="AO2455" s="1" t="s">
        <v>17558</v>
      </c>
      <c r="AP2455" s="1" t="s">
        <v>17559</v>
      </c>
      <c r="AQ2455" s="1" t="s">
        <v>17560</v>
      </c>
      <c r="AR2455" s="1" t="s">
        <v>17561</v>
      </c>
    </row>
    <row r="2456">
      <c r="A2456" s="2">
        <f ca="1">DATE(2009,09,04)</f>
        <v>0</v>
      </c>
      <c r="B2456" s="2">
        <f ca="1">DATE(2009,11,24)</f>
        <v>0</v>
      </c>
      <c r="C2456" s="1" t="s">
        <v>17562</v>
      </c>
      <c r="D2456" s="3">
        <v>6726</v>
      </c>
      <c r="E2456" s="1" t="s">
        <v>43</v>
      </c>
      <c r="F2456" s="1" t="s">
        <v>17563</v>
      </c>
      <c r="G2456" s="1" t="s">
        <v>17564</v>
      </c>
      <c r="H2456" s="4">
        <v>0.59999999999999998</v>
      </c>
      <c r="I2456" s="4">
        <v>3</v>
      </c>
      <c r="J2456" s="5">
        <v>262</v>
      </c>
      <c r="K2456" s="4">
        <v>20</v>
      </c>
      <c r="L2456" s="1" t="s">
        <v>46</v>
      </c>
      <c r="M2456" s="1" t="s">
        <v>47</v>
      </c>
      <c r="N2456" s="1" t="s">
        <v>17565</v>
      </c>
      <c r="O2456" s="1" t="s">
        <v>108</v>
      </c>
      <c r="P2456" s="1" t="s">
        <v>17566</v>
      </c>
      <c r="Q2456" s="1" t="s">
        <v>145</v>
      </c>
      <c r="R2456" s="1" t="s">
        <v>145</v>
      </c>
      <c r="S2456" s="8">
        <v>3</v>
      </c>
      <c r="T2456" s="1" t="s">
        <v>50</v>
      </c>
      <c r="U2456" s="8">
        <v>20</v>
      </c>
      <c r="V2456" s="8">
        <v>20</v>
      </c>
      <c r="W2456" s="7">
        <v>1000</v>
      </c>
      <c r="X2456" s="5">
        <v>0</v>
      </c>
      <c r="Y2456" s="7">
        <v>13100000</v>
      </c>
      <c r="Z2456" s="1"/>
      <c r="AA2456" s="1"/>
      <c r="AB2456" s="1"/>
      <c r="AC2456" s="1"/>
      <c r="AD2456" s="1"/>
      <c r="AE2456" s="1" t="s">
        <v>51</v>
      </c>
      <c r="AF2456" s="1" t="s">
        <v>51</v>
      </c>
      <c r="AG2456" s="1" t="s">
        <v>51</v>
      </c>
      <c r="AH2456" s="1"/>
      <c r="AI2456" s="1"/>
      <c r="AJ2456" s="3">
        <v>3</v>
      </c>
      <c r="AK2456" s="1" t="s">
        <v>110</v>
      </c>
      <c r="AL2456" s="3">
        <v>20</v>
      </c>
      <c r="AM2456" s="1"/>
      <c r="AN2456" s="1"/>
      <c r="AO2456" s="1" t="s">
        <v>17567</v>
      </c>
      <c r="AP2456" s="1" t="s">
        <v>17568</v>
      </c>
      <c r="AQ2456" s="1" t="s">
        <v>17569</v>
      </c>
      <c r="AR2456" s="1" t="s">
        <v>17570</v>
      </c>
    </row>
    <row r="2457">
      <c r="A2457" s="2">
        <f ca="1">DATE(2009,10,09)</f>
        <v>0</v>
      </c>
      <c r="B2457" s="2">
        <f ca="1">DATE(2009,12,08)</f>
        <v>0</v>
      </c>
      <c r="C2457" s="1" t="s">
        <v>17571</v>
      </c>
      <c r="D2457" s="3">
        <v>6798</v>
      </c>
      <c r="E2457" s="1" t="s">
        <v>43</v>
      </c>
      <c r="F2457" s="1" t="s">
        <v>17572</v>
      </c>
      <c r="G2457" s="1" t="s">
        <v>17573</v>
      </c>
      <c r="H2457" s="4">
        <v>1.2</v>
      </c>
      <c r="I2457" s="4">
        <v>6</v>
      </c>
      <c r="J2457" s="5">
        <v>350</v>
      </c>
      <c r="K2457" s="4">
        <v>20</v>
      </c>
      <c r="L2457" s="1" t="s">
        <v>46</v>
      </c>
      <c r="M2457" s="1" t="s">
        <v>47</v>
      </c>
      <c r="N2457" s="1" t="s">
        <v>17574</v>
      </c>
      <c r="O2457" s="1" t="s">
        <v>108</v>
      </c>
      <c r="P2457" s="1" t="s">
        <v>17575</v>
      </c>
      <c r="Q2457" s="4">
        <v>2.7999999999999998</v>
      </c>
      <c r="R2457" s="4">
        <v>0.80000000000000004</v>
      </c>
      <c r="S2457" s="8">
        <v>2.3999999999999999</v>
      </c>
      <c r="T2457" s="1" t="s">
        <v>50</v>
      </c>
      <c r="U2457" s="1"/>
      <c r="V2457" s="1"/>
      <c r="W2457" s="1"/>
      <c r="X2457" s="5">
        <v>402.5</v>
      </c>
      <c r="Y2457" s="7">
        <v>17500000</v>
      </c>
      <c r="Z2457" s="1"/>
      <c r="AA2457" s="1" t="s">
        <v>17576</v>
      </c>
      <c r="AB2457" s="1" t="s">
        <v>2067</v>
      </c>
      <c r="AC2457" s="1" t="s">
        <v>2068</v>
      </c>
      <c r="AD2457" s="1" t="s">
        <v>2067</v>
      </c>
      <c r="AE2457" s="1" t="s">
        <v>51</v>
      </c>
      <c r="AF2457" s="1" t="s">
        <v>51</v>
      </c>
      <c r="AG2457" s="1" t="s">
        <v>51</v>
      </c>
      <c r="AH2457" s="1"/>
      <c r="AI2457" s="1"/>
      <c r="AJ2457" s="3">
        <v>3</v>
      </c>
      <c r="AK2457" s="1" t="s">
        <v>110</v>
      </c>
      <c r="AL2457" s="3">
        <v>5</v>
      </c>
      <c r="AM2457" s="1"/>
      <c r="AN2457" s="1"/>
      <c r="AO2457" s="1" t="s">
        <v>17577</v>
      </c>
      <c r="AP2457" s="1" t="s">
        <v>17578</v>
      </c>
      <c r="AQ2457" s="1" t="s">
        <v>17579</v>
      </c>
      <c r="AR2457" s="1" t="s">
        <v>17580</v>
      </c>
    </row>
    <row r="2458">
      <c r="A2458" s="2">
        <f ca="1">DATE(2009,11,20)</f>
        <v>0</v>
      </c>
      <c r="B2458" s="2">
        <f ca="1">DATE(2009,12,09)</f>
        <v>0</v>
      </c>
      <c r="C2458" s="1" t="s">
        <v>17581</v>
      </c>
      <c r="D2458" s="3">
        <v>2834</v>
      </c>
      <c r="E2458" s="1" t="s">
        <v>744</v>
      </c>
      <c r="F2458" s="1" t="s">
        <v>17582</v>
      </c>
      <c r="G2458" s="1" t="s">
        <v>3766</v>
      </c>
      <c r="H2458" s="4">
        <v>0.63</v>
      </c>
      <c r="I2458" s="4">
        <v>7</v>
      </c>
      <c r="J2458" s="5">
        <v>45</v>
      </c>
      <c r="K2458" s="4">
        <v>9</v>
      </c>
      <c r="L2458" s="1" t="s">
        <v>651</v>
      </c>
      <c r="M2458" s="1" t="s">
        <v>47</v>
      </c>
      <c r="N2458" s="1" t="s">
        <v>17583</v>
      </c>
      <c r="O2458" s="1" t="s">
        <v>48</v>
      </c>
      <c r="P2458" s="1" t="s">
        <v>17584</v>
      </c>
      <c r="Q2458" s="1" t="s">
        <v>145</v>
      </c>
      <c r="R2458" s="1" t="s">
        <v>145</v>
      </c>
      <c r="S2458" s="6">
        <v>4.11111</v>
      </c>
      <c r="T2458" s="1" t="s">
        <v>50</v>
      </c>
      <c r="U2458" s="8">
        <v>12</v>
      </c>
      <c r="V2458" s="8">
        <v>10</v>
      </c>
      <c r="W2458" s="7">
        <v>5000000</v>
      </c>
      <c r="X2458" s="5">
        <v>55</v>
      </c>
      <c r="Y2458" s="7">
        <v>4526979</v>
      </c>
      <c r="Z2458" s="7">
        <v>473021</v>
      </c>
      <c r="AA2458" s="2">
        <f ca="1">DATE(2010,06,07)</f>
        <v>0</v>
      </c>
      <c r="AB2458" s="1"/>
      <c r="AC2458" s="3">
        <v>180</v>
      </c>
      <c r="AD2458" s="1"/>
      <c r="AE2458" s="1" t="s">
        <v>47</v>
      </c>
      <c r="AF2458" s="1" t="s">
        <v>51</v>
      </c>
      <c r="AG2458" s="1" t="s">
        <v>47</v>
      </c>
      <c r="AH2458" s="1"/>
      <c r="AI2458" s="1"/>
      <c r="AJ2458" s="3">
        <v>1</v>
      </c>
      <c r="AK2458" s="1" t="s">
        <v>52</v>
      </c>
      <c r="AL2458" s="3">
        <v>2</v>
      </c>
      <c r="AM2458" s="1"/>
      <c r="AN2458" s="1"/>
      <c r="AO2458" s="1" t="s">
        <v>17585</v>
      </c>
      <c r="AP2458" s="1" t="s">
        <v>3766</v>
      </c>
      <c r="AQ2458" s="1" t="s">
        <v>17586</v>
      </c>
      <c r="AR2458" s="1" t="s">
        <v>17584</v>
      </c>
    </row>
    <row r="2459">
      <c r="A2459" s="2">
        <f ca="1">DATE(2009,09,14)</f>
        <v>0</v>
      </c>
      <c r="B2459" s="2">
        <f ca="1">DATE(2009,12,10)</f>
        <v>0</v>
      </c>
      <c r="C2459" s="1" t="s">
        <v>17587</v>
      </c>
      <c r="D2459" s="3">
        <v>5521</v>
      </c>
      <c r="E2459" s="1" t="s">
        <v>43</v>
      </c>
      <c r="F2459" s="1" t="s">
        <v>7853</v>
      </c>
      <c r="G2459" s="1" t="s">
        <v>17588</v>
      </c>
      <c r="H2459" s="4">
        <v>0.68999999999999995</v>
      </c>
      <c r="I2459" s="4">
        <v>5.75</v>
      </c>
      <c r="J2459" s="5">
        <v>300</v>
      </c>
      <c r="K2459" s="4">
        <v>12</v>
      </c>
      <c r="L2459" s="1" t="s">
        <v>46</v>
      </c>
      <c r="M2459" s="1" t="s">
        <v>47</v>
      </c>
      <c r="N2459" s="1" t="s">
        <v>17589</v>
      </c>
      <c r="O2459" s="1" t="s">
        <v>108</v>
      </c>
      <c r="P2459" s="1" t="s">
        <v>17590</v>
      </c>
      <c r="Q2459" s="4">
        <v>1.1499999999999999</v>
      </c>
      <c r="R2459" s="4">
        <v>1.1499999999999999</v>
      </c>
      <c r="S2459" s="8">
        <v>3.4500000000000002</v>
      </c>
      <c r="T2459" s="1" t="s">
        <v>50</v>
      </c>
      <c r="U2459" s="1"/>
      <c r="V2459" s="1"/>
      <c r="W2459" s="1"/>
      <c r="X2459" s="5">
        <v>400</v>
      </c>
      <c r="Y2459" s="7">
        <v>25000000</v>
      </c>
      <c r="Z2459" s="1"/>
      <c r="AA2459" s="1" t="s">
        <v>17591</v>
      </c>
      <c r="AB2459" s="1" t="s">
        <v>5265</v>
      </c>
      <c r="AC2459" s="1" t="s">
        <v>7759</v>
      </c>
      <c r="AD2459" s="1" t="s">
        <v>5265</v>
      </c>
      <c r="AE2459" s="1" t="s">
        <v>51</v>
      </c>
      <c r="AF2459" s="1" t="s">
        <v>51</v>
      </c>
      <c r="AG2459" s="1" t="s">
        <v>51</v>
      </c>
      <c r="AH2459" s="1"/>
      <c r="AI2459" s="1"/>
      <c r="AJ2459" s="3">
        <v>4</v>
      </c>
      <c r="AK2459" s="1" t="s">
        <v>10120</v>
      </c>
      <c r="AL2459" s="3">
        <v>11</v>
      </c>
      <c r="AM2459" s="1"/>
      <c r="AN2459" s="1"/>
      <c r="AO2459" s="1" t="s">
        <v>17592</v>
      </c>
      <c r="AP2459" s="1" t="s">
        <v>17593</v>
      </c>
      <c r="AQ2459" s="1" t="s">
        <v>17594</v>
      </c>
      <c r="AR2459" s="1" t="s">
        <v>17595</v>
      </c>
    </row>
    <row r="2460">
      <c r="A2460" s="2">
        <f ca="1">DATE(2009,11,17)</f>
        <v>0</v>
      </c>
      <c r="B2460" s="2">
        <f ca="1">DATE(2009,12,11)</f>
        <v>0</v>
      </c>
      <c r="C2460" s="1" t="s">
        <v>17596</v>
      </c>
      <c r="D2460" s="3">
        <v>8011</v>
      </c>
      <c r="E2460" s="1" t="s">
        <v>744</v>
      </c>
      <c r="F2460" s="1" t="s">
        <v>17597</v>
      </c>
      <c r="G2460" s="1" t="s">
        <v>17598</v>
      </c>
      <c r="H2460" s="4">
        <v>0.77000000000000002</v>
      </c>
      <c r="I2460" s="4">
        <v>7</v>
      </c>
      <c r="J2460" s="5">
        <v>132</v>
      </c>
      <c r="K2460" s="4">
        <v>11</v>
      </c>
      <c r="L2460" s="1" t="s">
        <v>651</v>
      </c>
      <c r="M2460" s="1" t="s">
        <v>47</v>
      </c>
      <c r="N2460" s="3">
        <v>206277105</v>
      </c>
      <c r="O2460" s="1" t="s">
        <v>108</v>
      </c>
      <c r="P2460" s="1" t="s">
        <v>17599</v>
      </c>
      <c r="Q2460" s="1" t="s">
        <v>145</v>
      </c>
      <c r="R2460" s="1" t="s">
        <v>145</v>
      </c>
      <c r="S2460" s="8">
        <v>4.2000000000000002</v>
      </c>
      <c r="T2460" s="1" t="s">
        <v>50</v>
      </c>
      <c r="U2460" s="1"/>
      <c r="V2460" s="1"/>
      <c r="W2460" s="1"/>
      <c r="X2460" s="5">
        <v>150</v>
      </c>
      <c r="Y2460" s="7">
        <v>12000000</v>
      </c>
      <c r="Z2460" s="1"/>
      <c r="AA2460" s="1" t="s">
        <v>17600</v>
      </c>
      <c r="AB2460" s="1" t="s">
        <v>2067</v>
      </c>
      <c r="AC2460" s="1" t="s">
        <v>2068</v>
      </c>
      <c r="AD2460" s="1" t="s">
        <v>2067</v>
      </c>
      <c r="AE2460" s="1" t="s">
        <v>47</v>
      </c>
      <c r="AF2460" s="1" t="s">
        <v>51</v>
      </c>
      <c r="AG2460" s="1" t="s">
        <v>51</v>
      </c>
      <c r="AH2460" s="1"/>
      <c r="AI2460" s="1"/>
      <c r="AJ2460" s="3">
        <v>3</v>
      </c>
      <c r="AK2460" s="1" t="s">
        <v>110</v>
      </c>
      <c r="AL2460" s="3">
        <v>3</v>
      </c>
      <c r="AM2460" s="8">
        <v>9.3100000000000005</v>
      </c>
      <c r="AN2460" s="1"/>
      <c r="AO2460" s="1" t="s">
        <v>17601</v>
      </c>
      <c r="AP2460" s="1" t="s">
        <v>17602</v>
      </c>
      <c r="AQ2460" s="1" t="s">
        <v>17603</v>
      </c>
      <c r="AR2460" s="1" t="s">
        <v>17604</v>
      </c>
    </row>
    <row r="2461">
      <c r="A2461" s="2">
        <f ca="1">DATE(2009,09,04)</f>
        <v>0</v>
      </c>
      <c r="B2461" s="2">
        <f ca="1">DATE(2009,12,15)</f>
        <v>0</v>
      </c>
      <c r="C2461" s="1" t="s">
        <v>17605</v>
      </c>
      <c r="D2461" s="3">
        <v>1311</v>
      </c>
      <c r="E2461" s="1" t="s">
        <v>43</v>
      </c>
      <c r="F2461" s="1" t="s">
        <v>17606</v>
      </c>
      <c r="G2461" s="1" t="s">
        <v>17607</v>
      </c>
      <c r="H2461" s="4">
        <v>0.58099999999999996</v>
      </c>
      <c r="I2461" s="4">
        <v>4.2999999999999998</v>
      </c>
      <c r="J2461" s="5">
        <v>850.5</v>
      </c>
      <c r="K2461" s="4">
        <v>13.5</v>
      </c>
      <c r="L2461" s="1" t="s">
        <v>46</v>
      </c>
      <c r="M2461" s="1" t="s">
        <v>47</v>
      </c>
      <c r="N2461" s="1" t="s">
        <v>17608</v>
      </c>
      <c r="O2461" s="1" t="s">
        <v>108</v>
      </c>
      <c r="P2461" s="1" t="s">
        <v>17609</v>
      </c>
      <c r="Q2461" s="4">
        <v>0.85999999999999999</v>
      </c>
      <c r="R2461" s="4">
        <v>0.85999999999999999</v>
      </c>
      <c r="S2461" s="8">
        <v>2.5800000000000001</v>
      </c>
      <c r="T2461" s="1" t="s">
        <v>50</v>
      </c>
      <c r="U2461" s="1"/>
      <c r="V2461" s="1"/>
      <c r="W2461" s="1"/>
      <c r="X2461" s="9">
        <v>1150</v>
      </c>
      <c r="Y2461" s="7">
        <v>63000000</v>
      </c>
      <c r="Z2461" s="1"/>
      <c r="AA2461" s="1" t="s">
        <v>17610</v>
      </c>
      <c r="AB2461" s="1" t="s">
        <v>5265</v>
      </c>
      <c r="AC2461" s="1" t="s">
        <v>7759</v>
      </c>
      <c r="AD2461" s="1" t="s">
        <v>5265</v>
      </c>
      <c r="AE2461" s="1" t="s">
        <v>51</v>
      </c>
      <c r="AF2461" s="1" t="s">
        <v>51</v>
      </c>
      <c r="AG2461" s="1" t="s">
        <v>51</v>
      </c>
      <c r="AH2461" s="1"/>
      <c r="AI2461" s="1"/>
      <c r="AJ2461" s="3">
        <v>3</v>
      </c>
      <c r="AK2461" s="1" t="s">
        <v>110</v>
      </c>
      <c r="AL2461" s="3">
        <v>13</v>
      </c>
      <c r="AM2461" s="1"/>
      <c r="AN2461" s="1"/>
      <c r="AO2461" s="1" t="s">
        <v>17611</v>
      </c>
      <c r="AP2461" s="1" t="s">
        <v>17612</v>
      </c>
      <c r="AQ2461" s="1" t="s">
        <v>17613</v>
      </c>
      <c r="AR2461" s="1" t="s">
        <v>17614</v>
      </c>
    </row>
    <row r="2462">
      <c r="A2462" s="2">
        <f ca="1">DATE(2009,10,06)</f>
        <v>0</v>
      </c>
      <c r="B2462" s="2">
        <f ca="1">DATE(2009,12,15)</f>
        <v>0</v>
      </c>
      <c r="C2462" s="1" t="s">
        <v>17615</v>
      </c>
      <c r="D2462" s="3">
        <v>8099</v>
      </c>
      <c r="E2462" s="1" t="s">
        <v>43</v>
      </c>
      <c r="F2462" s="1" t="s">
        <v>17616</v>
      </c>
      <c r="G2462" s="1" t="s">
        <v>17617</v>
      </c>
      <c r="H2462" s="4">
        <v>0.71999999999999997</v>
      </c>
      <c r="I2462" s="4">
        <v>6</v>
      </c>
      <c r="J2462" s="5">
        <v>159.59999999999999</v>
      </c>
      <c r="K2462" s="4">
        <v>12</v>
      </c>
      <c r="L2462" s="1" t="s">
        <v>46</v>
      </c>
      <c r="M2462" s="1" t="s">
        <v>47</v>
      </c>
      <c r="N2462" s="1" t="s">
        <v>17618</v>
      </c>
      <c r="O2462" s="1" t="s">
        <v>108</v>
      </c>
      <c r="P2462" s="1" t="s">
        <v>17619</v>
      </c>
      <c r="Q2462" s="4">
        <v>1.208</v>
      </c>
      <c r="R2462" s="4">
        <v>1.208</v>
      </c>
      <c r="S2462" s="6">
        <v>3.5833300000000001</v>
      </c>
      <c r="T2462" s="1" t="s">
        <v>50</v>
      </c>
      <c r="U2462" s="1"/>
      <c r="V2462" s="1"/>
      <c r="W2462" s="1"/>
      <c r="X2462" s="5">
        <v>100</v>
      </c>
      <c r="Y2462" s="7">
        <v>13300000</v>
      </c>
      <c r="Z2462" s="1"/>
      <c r="AA2462" s="1" t="s">
        <v>17610</v>
      </c>
      <c r="AB2462" s="1" t="s">
        <v>5265</v>
      </c>
      <c r="AC2462" s="1" t="s">
        <v>7759</v>
      </c>
      <c r="AD2462" s="1" t="s">
        <v>5265</v>
      </c>
      <c r="AE2462" s="1" t="s">
        <v>51</v>
      </c>
      <c r="AF2462" s="1" t="s">
        <v>51</v>
      </c>
      <c r="AG2462" s="1" t="s">
        <v>51</v>
      </c>
      <c r="AH2462" s="1"/>
      <c r="AI2462" s="1"/>
      <c r="AJ2462" s="3">
        <v>4</v>
      </c>
      <c r="AK2462" s="1" t="s">
        <v>1209</v>
      </c>
      <c r="AL2462" s="3">
        <v>9</v>
      </c>
      <c r="AM2462" s="8">
        <v>12.810000000000001</v>
      </c>
      <c r="AN2462" s="1"/>
      <c r="AO2462" s="1" t="s">
        <v>17620</v>
      </c>
      <c r="AP2462" s="1" t="s">
        <v>17621</v>
      </c>
      <c r="AQ2462" s="1" t="s">
        <v>17622</v>
      </c>
      <c r="AR2462" s="1" t="s">
        <v>17623</v>
      </c>
    </row>
    <row r="2463">
      <c r="A2463" s="2">
        <f ca="1">DATE(2009,10,01)</f>
        <v>0</v>
      </c>
      <c r="B2463" s="2">
        <f ca="1">DATE(2009,12,16)</f>
        <v>0</v>
      </c>
      <c r="C2463" s="1" t="s">
        <v>17624</v>
      </c>
      <c r="D2463" s="3">
        <v>2821</v>
      </c>
      <c r="E2463" s="1" t="s">
        <v>43</v>
      </c>
      <c r="F2463" s="1" t="s">
        <v>17625</v>
      </c>
      <c r="G2463" s="1" t="s">
        <v>17626</v>
      </c>
      <c r="H2463" s="4">
        <v>0.878</v>
      </c>
      <c r="I2463" s="4">
        <v>6.5</v>
      </c>
      <c r="J2463" s="5">
        <v>139</v>
      </c>
      <c r="K2463" s="4">
        <v>13.5</v>
      </c>
      <c r="L2463" s="1" t="s">
        <v>46</v>
      </c>
      <c r="M2463" s="1" t="s">
        <v>47</v>
      </c>
      <c r="N2463" s="1" t="s">
        <v>17627</v>
      </c>
      <c r="O2463" s="1" t="s">
        <v>108</v>
      </c>
      <c r="P2463" s="1" t="s">
        <v>17628</v>
      </c>
      <c r="Q2463" s="4">
        <v>1.3</v>
      </c>
      <c r="R2463" s="4">
        <v>1.3</v>
      </c>
      <c r="S2463" s="8">
        <v>3.8999999999999999</v>
      </c>
      <c r="T2463" s="1" t="s">
        <v>50</v>
      </c>
      <c r="U2463" s="1"/>
      <c r="V2463" s="1"/>
      <c r="W2463" s="1"/>
      <c r="X2463" s="5">
        <v>230</v>
      </c>
      <c r="Y2463" s="7">
        <v>10294118</v>
      </c>
      <c r="Z2463" s="1"/>
      <c r="AA2463" s="1" t="s">
        <v>17629</v>
      </c>
      <c r="AB2463" s="1" t="s">
        <v>2067</v>
      </c>
      <c r="AC2463" s="1" t="s">
        <v>2068</v>
      </c>
      <c r="AD2463" s="1" t="s">
        <v>2067</v>
      </c>
      <c r="AE2463" s="1" t="s">
        <v>51</v>
      </c>
      <c r="AF2463" s="1" t="s">
        <v>51</v>
      </c>
      <c r="AG2463" s="1" t="s">
        <v>51</v>
      </c>
      <c r="AH2463" s="1"/>
      <c r="AI2463" s="1"/>
      <c r="AJ2463" s="3">
        <v>4</v>
      </c>
      <c r="AK2463" s="1" t="s">
        <v>1209</v>
      </c>
      <c r="AL2463" s="3">
        <v>6</v>
      </c>
      <c r="AM2463" s="8">
        <v>13.51</v>
      </c>
      <c r="AN2463" s="1"/>
      <c r="AO2463" s="1" t="s">
        <v>17630</v>
      </c>
      <c r="AP2463" s="1" t="s">
        <v>17631</v>
      </c>
      <c r="AQ2463" s="1" t="s">
        <v>17632</v>
      </c>
      <c r="AR2463" s="1" t="s">
        <v>17633</v>
      </c>
    </row>
    <row r="2464">
      <c r="A2464" s="2">
        <f ca="1">DATE(2009,09,09)</f>
        <v>0</v>
      </c>
      <c r="B2464" s="2">
        <f ca="1">DATE(2009,12,18)</f>
        <v>0</v>
      </c>
      <c r="C2464" s="1" t="s">
        <v>17634</v>
      </c>
      <c r="D2464" s="3">
        <v>6021</v>
      </c>
      <c r="E2464" s="1" t="s">
        <v>43</v>
      </c>
      <c r="F2464" s="1" t="s">
        <v>17635</v>
      </c>
      <c r="G2464" s="1" t="s">
        <v>7287</v>
      </c>
      <c r="H2464" s="4">
        <v>0.5</v>
      </c>
      <c r="I2464" s="4">
        <v>5</v>
      </c>
      <c r="J2464" s="5">
        <v>688.79999999999995</v>
      </c>
      <c r="K2464" s="4">
        <v>10</v>
      </c>
      <c r="L2464" s="1" t="s">
        <v>46</v>
      </c>
      <c r="M2464" s="1" t="s">
        <v>47</v>
      </c>
      <c r="N2464" s="3">
        <v>667340103</v>
      </c>
      <c r="O2464" s="1" t="s">
        <v>48</v>
      </c>
      <c r="P2464" s="1" t="s">
        <v>17636</v>
      </c>
      <c r="Q2464" s="1" t="s">
        <v>145</v>
      </c>
      <c r="R2464" s="1" t="s">
        <v>145</v>
      </c>
      <c r="S2464" s="1"/>
      <c r="T2464" s="1" t="s">
        <v>50</v>
      </c>
      <c r="U2464" s="8">
        <v>10</v>
      </c>
      <c r="V2464" s="8">
        <v>10</v>
      </c>
      <c r="W2464" s="7">
        <v>73025000</v>
      </c>
      <c r="X2464" s="5">
        <v>730.29999999999995</v>
      </c>
      <c r="Y2464" s="7">
        <v>68878267</v>
      </c>
      <c r="Z2464" s="1"/>
      <c r="AA2464" s="1" t="s">
        <v>17637</v>
      </c>
      <c r="AB2464" s="1" t="s">
        <v>2067</v>
      </c>
      <c r="AC2464" s="1" t="s">
        <v>9674</v>
      </c>
      <c r="AD2464" s="1" t="s">
        <v>2067</v>
      </c>
      <c r="AE2464" s="1" t="s">
        <v>51</v>
      </c>
      <c r="AF2464" s="1" t="s">
        <v>51</v>
      </c>
      <c r="AG2464" s="1" t="s">
        <v>51</v>
      </c>
      <c r="AH2464" s="1"/>
      <c r="AI2464" s="1"/>
      <c r="AJ2464" s="3">
        <v>1</v>
      </c>
      <c r="AK2464" s="1" t="s">
        <v>52</v>
      </c>
      <c r="AL2464" s="3">
        <v>5</v>
      </c>
      <c r="AM2464" s="8">
        <v>11.35</v>
      </c>
      <c r="AN2464" s="1"/>
      <c r="AO2464" s="1" t="s">
        <v>17638</v>
      </c>
      <c r="AP2464" s="1" t="s">
        <v>7287</v>
      </c>
      <c r="AQ2464" s="1" t="s">
        <v>17639</v>
      </c>
      <c r="AR2464" s="1" t="s">
        <v>17640</v>
      </c>
    </row>
    <row r="2465">
      <c r="A2465" s="2">
        <f ca="1">DATE(2009,09,17)</f>
        <v>0</v>
      </c>
      <c r="B2465" s="2">
        <f ca="1">DATE(2010,01,06)</f>
        <v>0</v>
      </c>
      <c r="C2465" s="1" t="s">
        <v>17641</v>
      </c>
      <c r="D2465" s="3">
        <v>6021</v>
      </c>
      <c r="E2465" s="1" t="s">
        <v>43</v>
      </c>
      <c r="F2465" s="1" t="s">
        <v>17642</v>
      </c>
      <c r="G2465" s="1" t="s">
        <v>1542</v>
      </c>
      <c r="H2465" s="1" t="s">
        <v>57</v>
      </c>
      <c r="I2465" s="1" t="s">
        <v>57</v>
      </c>
      <c r="J2465" s="5">
        <v>26.800000000000001</v>
      </c>
      <c r="K2465" s="4">
        <v>10</v>
      </c>
      <c r="L2465" s="1" t="s">
        <v>46</v>
      </c>
      <c r="M2465" s="1" t="s">
        <v>47</v>
      </c>
      <c r="N2465" s="1" t="s">
        <v>17643</v>
      </c>
      <c r="O2465" s="1" t="s">
        <v>48</v>
      </c>
      <c r="P2465" s="1" t="s">
        <v>1543</v>
      </c>
      <c r="Q2465" s="1"/>
      <c r="R2465" s="1"/>
      <c r="S2465" s="1"/>
      <c r="T2465" s="1" t="s">
        <v>50</v>
      </c>
      <c r="U2465" s="8">
        <v>10</v>
      </c>
      <c r="V2465" s="8">
        <v>10</v>
      </c>
      <c r="W2465" s="7">
        <v>2085000</v>
      </c>
      <c r="X2465" s="5">
        <v>20.899999999999999</v>
      </c>
      <c r="Y2465" s="7">
        <v>2677250</v>
      </c>
      <c r="Z2465" s="1"/>
      <c r="AA2465" s="1"/>
      <c r="AB2465" s="1"/>
      <c r="AC2465" s="1"/>
      <c r="AD2465" s="1"/>
      <c r="AE2465" s="1" t="s">
        <v>51</v>
      </c>
      <c r="AF2465" s="1" t="s">
        <v>51</v>
      </c>
      <c r="AG2465" s="1" t="s">
        <v>51</v>
      </c>
      <c r="AH2465" s="1"/>
      <c r="AI2465" s="1"/>
      <c r="AJ2465" s="3">
        <v>1</v>
      </c>
      <c r="AK2465" s="1" t="s">
        <v>52</v>
      </c>
      <c r="AL2465" s="3">
        <v>1</v>
      </c>
      <c r="AM2465" s="1"/>
      <c r="AN2465" s="1"/>
      <c r="AO2465" s="1" t="s">
        <v>1542</v>
      </c>
      <c r="AP2465" s="1" t="s">
        <v>1542</v>
      </c>
      <c r="AQ2465" s="1" t="s">
        <v>1542</v>
      </c>
      <c r="AR2465" s="1" t="s">
        <v>1543</v>
      </c>
    </row>
    <row r="2466">
      <c r="A2466" s="2">
        <f ca="1">DATE(2009,09,28)</f>
        <v>0</v>
      </c>
      <c r="B2466" s="2">
        <f ca="1">DATE(2010,01,07)</f>
        <v>0</v>
      </c>
      <c r="C2466" s="1" t="s">
        <v>17644</v>
      </c>
      <c r="D2466" s="3">
        <v>1099</v>
      </c>
      <c r="E2466" s="1" t="s">
        <v>1956</v>
      </c>
      <c r="F2466" s="1"/>
      <c r="G2466" s="1" t="s">
        <v>1542</v>
      </c>
      <c r="H2466" s="1" t="s">
        <v>57</v>
      </c>
      <c r="I2466" s="1" t="s">
        <v>57</v>
      </c>
      <c r="J2466" s="5">
        <v>0</v>
      </c>
      <c r="K2466" s="4">
        <v>0.01</v>
      </c>
      <c r="L2466" s="1" t="s">
        <v>46</v>
      </c>
      <c r="M2466" s="1" t="s">
        <v>47</v>
      </c>
      <c r="N2466" s="1" t="s">
        <v>17645</v>
      </c>
      <c r="O2466" s="1"/>
      <c r="P2466" s="1" t="s">
        <v>1543</v>
      </c>
      <c r="Q2466" s="1"/>
      <c r="R2466" s="1"/>
      <c r="S2466" s="1"/>
      <c r="T2466" s="1" t="s">
        <v>50</v>
      </c>
      <c r="U2466" s="8">
        <v>0.01</v>
      </c>
      <c r="V2466" s="8">
        <v>0.01</v>
      </c>
      <c r="W2466" s="7">
        <v>2000000</v>
      </c>
      <c r="X2466" s="5">
        <v>0</v>
      </c>
      <c r="Y2466" s="7">
        <v>2000000</v>
      </c>
      <c r="Z2466" s="1"/>
      <c r="AA2466" s="1"/>
      <c r="AB2466" s="1"/>
      <c r="AC2466" s="1"/>
      <c r="AD2466" s="1"/>
      <c r="AE2466" s="1" t="s">
        <v>51</v>
      </c>
      <c r="AF2466" s="1" t="s">
        <v>51</v>
      </c>
      <c r="AG2466" s="1" t="s">
        <v>51</v>
      </c>
      <c r="AH2466" s="1"/>
      <c r="AI2466" s="1"/>
      <c r="AJ2466" s="3">
        <v>1</v>
      </c>
      <c r="AK2466" s="1" t="s">
        <v>52</v>
      </c>
      <c r="AL2466" s="3">
        <v>1</v>
      </c>
      <c r="AM2466" s="1"/>
      <c r="AN2466" s="1"/>
      <c r="AO2466" s="1" t="s">
        <v>1542</v>
      </c>
      <c r="AP2466" s="1" t="s">
        <v>1542</v>
      </c>
      <c r="AQ2466" s="1" t="s">
        <v>1542</v>
      </c>
      <c r="AR2466" s="1" t="s">
        <v>1543</v>
      </c>
    </row>
    <row r="2467">
      <c r="A2467" s="2">
        <f ca="1">DATE(2009,02,10)</f>
        <v>0</v>
      </c>
      <c r="B2467" s="2">
        <f ca="1">DATE(2010,01,11)</f>
        <v>0</v>
      </c>
      <c r="C2467" s="1" t="s">
        <v>17646</v>
      </c>
      <c r="D2467" s="3">
        <v>6726</v>
      </c>
      <c r="E2467" s="1" t="s">
        <v>43</v>
      </c>
      <c r="F2467" s="1" t="s">
        <v>17647</v>
      </c>
      <c r="G2467" s="1" t="s">
        <v>1542</v>
      </c>
      <c r="H2467" s="1" t="s">
        <v>57</v>
      </c>
      <c r="I2467" s="1" t="s">
        <v>57</v>
      </c>
      <c r="J2467" s="5">
        <v>87.099999999999994</v>
      </c>
      <c r="K2467" s="4">
        <v>10</v>
      </c>
      <c r="L2467" s="1" t="s">
        <v>46</v>
      </c>
      <c r="M2467" s="1" t="s">
        <v>47</v>
      </c>
      <c r="N2467" s="1" t="s">
        <v>17648</v>
      </c>
      <c r="O2467" s="1" t="s">
        <v>48</v>
      </c>
      <c r="P2467" s="1" t="s">
        <v>1543</v>
      </c>
      <c r="Q2467" s="1"/>
      <c r="R2467" s="1"/>
      <c r="S2467" s="1"/>
      <c r="T2467" s="1" t="s">
        <v>50</v>
      </c>
      <c r="U2467" s="8">
        <v>10</v>
      </c>
      <c r="V2467" s="8">
        <v>10</v>
      </c>
      <c r="W2467" s="7">
        <v>100000</v>
      </c>
      <c r="X2467" s="5">
        <v>1</v>
      </c>
      <c r="Y2467" s="7">
        <v>8713659</v>
      </c>
      <c r="Z2467" s="1"/>
      <c r="AA2467" s="2">
        <f ca="1">DATE(2011,01,06)</f>
        <v>0</v>
      </c>
      <c r="AB2467" s="1"/>
      <c r="AC2467" s="3">
        <v>360</v>
      </c>
      <c r="AD2467" s="1"/>
      <c r="AE2467" s="1" t="s">
        <v>51</v>
      </c>
      <c r="AF2467" s="1" t="s">
        <v>51</v>
      </c>
      <c r="AG2467" s="1" t="s">
        <v>51</v>
      </c>
      <c r="AH2467" s="1"/>
      <c r="AI2467" s="1"/>
      <c r="AJ2467" s="3">
        <v>1</v>
      </c>
      <c r="AK2467" s="1" t="s">
        <v>52</v>
      </c>
      <c r="AL2467" s="3">
        <v>1</v>
      </c>
      <c r="AM2467" s="1"/>
      <c r="AN2467" s="1"/>
      <c r="AO2467" s="1" t="s">
        <v>1542</v>
      </c>
      <c r="AP2467" s="1" t="s">
        <v>1542</v>
      </c>
      <c r="AQ2467" s="1" t="s">
        <v>1542</v>
      </c>
      <c r="AR2467" s="1" t="s">
        <v>1543</v>
      </c>
    </row>
    <row r="2468">
      <c r="A2468" s="2">
        <f ca="1">DATE(2009,09,14)</f>
        <v>0</v>
      </c>
      <c r="B2468" s="2">
        <f ca="1">DATE(2010,01,18)</f>
        <v>0</v>
      </c>
      <c r="C2468" s="1" t="s">
        <v>17649</v>
      </c>
      <c r="D2468" s="3">
        <v>6035</v>
      </c>
      <c r="E2468" s="1" t="s">
        <v>43</v>
      </c>
      <c r="F2468" s="1" t="s">
        <v>17650</v>
      </c>
      <c r="G2468" s="1" t="s">
        <v>1542</v>
      </c>
      <c r="H2468" s="1" t="s">
        <v>57</v>
      </c>
      <c r="I2468" s="1" t="s">
        <v>57</v>
      </c>
      <c r="J2468" s="5">
        <v>46.299999999999997</v>
      </c>
      <c r="K2468" s="4">
        <v>10</v>
      </c>
      <c r="L2468" s="1" t="s">
        <v>46</v>
      </c>
      <c r="M2468" s="1" t="s">
        <v>47</v>
      </c>
      <c r="N2468" s="1" t="s">
        <v>17651</v>
      </c>
      <c r="O2468" s="1" t="s">
        <v>48</v>
      </c>
      <c r="P2468" s="1" t="s">
        <v>1543</v>
      </c>
      <c r="Q2468" s="1"/>
      <c r="R2468" s="1"/>
      <c r="S2468" s="1"/>
      <c r="T2468" s="1" t="s">
        <v>50</v>
      </c>
      <c r="U2468" s="8">
        <v>10</v>
      </c>
      <c r="V2468" s="8">
        <v>10</v>
      </c>
      <c r="W2468" s="7">
        <v>4025000</v>
      </c>
      <c r="X2468" s="5">
        <v>40.299999999999997</v>
      </c>
      <c r="Y2468" s="7">
        <v>4628750</v>
      </c>
      <c r="Z2468" s="1"/>
      <c r="AA2468" s="1"/>
      <c r="AB2468" s="1"/>
      <c r="AC2468" s="1"/>
      <c r="AD2468" s="1"/>
      <c r="AE2468" s="1" t="s">
        <v>51</v>
      </c>
      <c r="AF2468" s="1" t="s">
        <v>51</v>
      </c>
      <c r="AG2468" s="1" t="s">
        <v>51</v>
      </c>
      <c r="AH2468" s="1"/>
      <c r="AI2468" s="1"/>
      <c r="AJ2468" s="3">
        <v>1</v>
      </c>
      <c r="AK2468" s="1" t="s">
        <v>52</v>
      </c>
      <c r="AL2468" s="3">
        <v>1</v>
      </c>
      <c r="AM2468" s="1"/>
      <c r="AN2468" s="1"/>
      <c r="AO2468" s="1" t="s">
        <v>1542</v>
      </c>
      <c r="AP2468" s="1" t="s">
        <v>1542</v>
      </c>
      <c r="AQ2468" s="1" t="s">
        <v>1542</v>
      </c>
      <c r="AR2468" s="1" t="s">
        <v>1543</v>
      </c>
    </row>
    <row r="2469">
      <c r="A2469" s="2">
        <f ca="1">DATE(2009,10,16)</f>
        <v>0</v>
      </c>
      <c r="B2469" s="2">
        <f ca="1">DATE(2010,01,21)</f>
        <v>0</v>
      </c>
      <c r="C2469" s="1" t="s">
        <v>17652</v>
      </c>
      <c r="D2469" s="3">
        <v>2621</v>
      </c>
      <c r="E2469" s="1" t="s">
        <v>43</v>
      </c>
      <c r="F2469" s="1" t="s">
        <v>17653</v>
      </c>
      <c r="G2469" s="1" t="s">
        <v>7893</v>
      </c>
      <c r="H2469" s="4">
        <v>0.91000000000000003</v>
      </c>
      <c r="I2469" s="4">
        <v>7</v>
      </c>
      <c r="J2469" s="5">
        <v>107.90000000000001</v>
      </c>
      <c r="K2469" s="4">
        <v>13</v>
      </c>
      <c r="L2469" s="1" t="s">
        <v>46</v>
      </c>
      <c r="M2469" s="1" t="s">
        <v>47</v>
      </c>
      <c r="N2469" s="3">
        <v>151169109</v>
      </c>
      <c r="O2469" s="1" t="s">
        <v>108</v>
      </c>
      <c r="P2469" s="1" t="s">
        <v>17654</v>
      </c>
      <c r="Q2469" s="4">
        <v>1.3999999999999999</v>
      </c>
      <c r="R2469" s="4">
        <v>1.3999999999999999</v>
      </c>
      <c r="S2469" s="8">
        <v>4.2000000000000002</v>
      </c>
      <c r="T2469" s="1" t="s">
        <v>50</v>
      </c>
      <c r="U2469" s="1"/>
      <c r="V2469" s="1"/>
      <c r="W2469" s="1"/>
      <c r="X2469" s="5">
        <v>125</v>
      </c>
      <c r="Y2469" s="7">
        <v>2675000</v>
      </c>
      <c r="Z2469" s="7">
        <v>5625000</v>
      </c>
      <c r="AA2469" s="1" t="s">
        <v>17655</v>
      </c>
      <c r="AB2469" s="1" t="s">
        <v>5265</v>
      </c>
      <c r="AC2469" s="1" t="s">
        <v>7759</v>
      </c>
      <c r="AD2469" s="1" t="s">
        <v>5265</v>
      </c>
      <c r="AE2469" s="1" t="s">
        <v>51</v>
      </c>
      <c r="AF2469" s="1" t="s">
        <v>51</v>
      </c>
      <c r="AG2469" s="1" t="s">
        <v>51</v>
      </c>
      <c r="AH2469" s="1"/>
      <c r="AI2469" s="1"/>
      <c r="AJ2469" s="3">
        <v>2</v>
      </c>
      <c r="AK2469" s="1" t="s">
        <v>89</v>
      </c>
      <c r="AL2469" s="3">
        <v>6</v>
      </c>
      <c r="AM2469" s="1"/>
      <c r="AN2469" s="1"/>
      <c r="AO2469" s="1" t="s">
        <v>17656</v>
      </c>
      <c r="AP2469" s="1" t="s">
        <v>4528</v>
      </c>
      <c r="AQ2469" s="1" t="s">
        <v>17657</v>
      </c>
      <c r="AR2469" s="1" t="s">
        <v>17658</v>
      </c>
    </row>
    <row r="2470">
      <c r="A2470" s="2">
        <f ca="1">DATE(2009,09,28)</f>
        <v>0</v>
      </c>
      <c r="B2470" s="2">
        <f ca="1">DATE(2010,01,21)</f>
        <v>0</v>
      </c>
      <c r="C2470" s="1" t="s">
        <v>17659</v>
      </c>
      <c r="D2470" s="3">
        <v>6798</v>
      </c>
      <c r="E2470" s="1" t="s">
        <v>43</v>
      </c>
      <c r="F2470" s="1" t="s">
        <v>17660</v>
      </c>
      <c r="G2470" s="1" t="s">
        <v>15331</v>
      </c>
      <c r="H2470" s="4">
        <v>1.2</v>
      </c>
      <c r="I2470" s="4">
        <v>6</v>
      </c>
      <c r="J2470" s="5">
        <v>150</v>
      </c>
      <c r="K2470" s="4">
        <v>20</v>
      </c>
      <c r="L2470" s="1" t="s">
        <v>46</v>
      </c>
      <c r="M2470" s="1" t="s">
        <v>47</v>
      </c>
      <c r="N2470" s="3">
        <v>165240102</v>
      </c>
      <c r="O2470" s="1" t="s">
        <v>108</v>
      </c>
      <c r="P2470" s="1" t="s">
        <v>17661</v>
      </c>
      <c r="Q2470" s="1" t="s">
        <v>145</v>
      </c>
      <c r="R2470" s="1" t="s">
        <v>145</v>
      </c>
      <c r="S2470" s="8">
        <v>3.6000000000000001</v>
      </c>
      <c r="T2470" s="1" t="s">
        <v>50</v>
      </c>
      <c r="U2470" s="1"/>
      <c r="V2470" s="1"/>
      <c r="W2470" s="1"/>
      <c r="X2470" s="5">
        <v>460</v>
      </c>
      <c r="Y2470" s="7">
        <v>7500000</v>
      </c>
      <c r="Z2470" s="1"/>
      <c r="AA2470" s="1" t="s">
        <v>17662</v>
      </c>
      <c r="AB2470" s="1" t="s">
        <v>2067</v>
      </c>
      <c r="AC2470" s="1" t="s">
        <v>2068</v>
      </c>
      <c r="AD2470" s="1" t="s">
        <v>2067</v>
      </c>
      <c r="AE2470" s="1" t="s">
        <v>51</v>
      </c>
      <c r="AF2470" s="1" t="s">
        <v>51</v>
      </c>
      <c r="AG2470" s="1" t="s">
        <v>51</v>
      </c>
      <c r="AH2470" s="1"/>
      <c r="AI2470" s="1"/>
      <c r="AJ2470" s="3">
        <v>2</v>
      </c>
      <c r="AK2470" s="1" t="s">
        <v>110</v>
      </c>
      <c r="AL2470" s="3">
        <v>7</v>
      </c>
      <c r="AM2470" s="1"/>
      <c r="AN2470" s="1"/>
      <c r="AO2470" s="1" t="s">
        <v>17663</v>
      </c>
      <c r="AP2470" s="1" t="s">
        <v>17664</v>
      </c>
      <c r="AQ2470" s="1" t="s">
        <v>17665</v>
      </c>
      <c r="AR2470" s="1" t="s">
        <v>17666</v>
      </c>
    </row>
    <row r="2471">
      <c r="A2471" s="2">
        <f ca="1">DATE(2009,09,11)</f>
        <v>0</v>
      </c>
      <c r="B2471" s="2">
        <f ca="1">DATE(2010,01,21)</f>
        <v>0</v>
      </c>
      <c r="C2471" s="1" t="s">
        <v>17667</v>
      </c>
      <c r="D2471" s="3">
        <v>6035</v>
      </c>
      <c r="E2471" s="1" t="s">
        <v>43</v>
      </c>
      <c r="F2471" s="1" t="s">
        <v>17668</v>
      </c>
      <c r="G2471" s="1" t="s">
        <v>1542</v>
      </c>
      <c r="H2471" s="1" t="s">
        <v>57</v>
      </c>
      <c r="I2471" s="1" t="s">
        <v>57</v>
      </c>
      <c r="J2471" s="5">
        <v>119</v>
      </c>
      <c r="K2471" s="4">
        <v>10</v>
      </c>
      <c r="L2471" s="1" t="s">
        <v>46</v>
      </c>
      <c r="M2471" s="1" t="s">
        <v>47</v>
      </c>
      <c r="N2471" s="1" t="s">
        <v>17669</v>
      </c>
      <c r="O2471" s="1" t="s">
        <v>48</v>
      </c>
      <c r="P2471" s="1" t="s">
        <v>1543</v>
      </c>
      <c r="Q2471" s="1"/>
      <c r="R2471" s="1"/>
      <c r="S2471" s="1"/>
      <c r="T2471" s="1" t="s">
        <v>50</v>
      </c>
      <c r="U2471" s="8">
        <v>10</v>
      </c>
      <c r="V2471" s="8">
        <v>10</v>
      </c>
      <c r="W2471" s="7">
        <v>10350000</v>
      </c>
      <c r="X2471" s="5">
        <v>103.5</v>
      </c>
      <c r="Y2471" s="7">
        <v>11902500</v>
      </c>
      <c r="Z2471" s="1"/>
      <c r="AA2471" s="1"/>
      <c r="AB2471" s="1"/>
      <c r="AC2471" s="1"/>
      <c r="AD2471" s="1"/>
      <c r="AE2471" s="1" t="s">
        <v>51</v>
      </c>
      <c r="AF2471" s="1" t="s">
        <v>51</v>
      </c>
      <c r="AG2471" s="1" t="s">
        <v>51</v>
      </c>
      <c r="AH2471" s="1"/>
      <c r="AI2471" s="1"/>
      <c r="AJ2471" s="3">
        <v>1</v>
      </c>
      <c r="AK2471" s="1" t="s">
        <v>52</v>
      </c>
      <c r="AL2471" s="3">
        <v>1</v>
      </c>
      <c r="AM2471" s="1"/>
      <c r="AN2471" s="1"/>
      <c r="AO2471" s="1" t="s">
        <v>1542</v>
      </c>
      <c r="AP2471" s="1" t="s">
        <v>1542</v>
      </c>
      <c r="AQ2471" s="1" t="s">
        <v>1542</v>
      </c>
      <c r="AR2471" s="1" t="s">
        <v>1543</v>
      </c>
    </row>
    <row r="2472">
      <c r="A2472" s="2">
        <f ca="1">DATE(2009,10,05)</f>
        <v>0</v>
      </c>
      <c r="B2472" s="2">
        <f ca="1">DATE(2010,01,21)</f>
        <v>0</v>
      </c>
      <c r="C2472" s="1" t="s">
        <v>17670</v>
      </c>
      <c r="D2472" s="3">
        <v>6311</v>
      </c>
      <c r="E2472" s="1" t="s">
        <v>43</v>
      </c>
      <c r="F2472" s="1" t="s">
        <v>17671</v>
      </c>
      <c r="G2472" s="1" t="s">
        <v>17672</v>
      </c>
      <c r="H2472" s="4">
        <v>0.68999999999999995</v>
      </c>
      <c r="I2472" s="4">
        <v>5.75</v>
      </c>
      <c r="J2472" s="5">
        <v>364.80000000000001</v>
      </c>
      <c r="K2472" s="4">
        <v>12</v>
      </c>
      <c r="L2472" s="1" t="s">
        <v>46</v>
      </c>
      <c r="M2472" s="1" t="s">
        <v>47</v>
      </c>
      <c r="N2472" s="1" t="s">
        <v>17673</v>
      </c>
      <c r="O2472" s="1" t="s">
        <v>108</v>
      </c>
      <c r="P2472" s="1" t="s">
        <v>17674</v>
      </c>
      <c r="Q2472" s="4">
        <v>1.167</v>
      </c>
      <c r="R2472" s="4">
        <v>1.167</v>
      </c>
      <c r="S2472" s="6">
        <v>3.4166699999999999</v>
      </c>
      <c r="T2472" s="1" t="s">
        <v>50</v>
      </c>
      <c r="U2472" s="1"/>
      <c r="V2472" s="1"/>
      <c r="W2472" s="1"/>
      <c r="X2472" s="5">
        <v>575</v>
      </c>
      <c r="Y2472" s="7">
        <v>20699510</v>
      </c>
      <c r="Z2472" s="7">
        <v>9700490</v>
      </c>
      <c r="AA2472" s="1" t="s">
        <v>17662</v>
      </c>
      <c r="AB2472" s="1" t="s">
        <v>2067</v>
      </c>
      <c r="AC2472" s="1" t="s">
        <v>2068</v>
      </c>
      <c r="AD2472" s="1" t="s">
        <v>2067</v>
      </c>
      <c r="AE2472" s="1" t="s">
        <v>51</v>
      </c>
      <c r="AF2472" s="1" t="s">
        <v>51</v>
      </c>
      <c r="AG2472" s="1" t="s">
        <v>51</v>
      </c>
      <c r="AH2472" s="1"/>
      <c r="AI2472" s="1"/>
      <c r="AJ2472" s="3">
        <v>4</v>
      </c>
      <c r="AK2472" s="1" t="s">
        <v>1209</v>
      </c>
      <c r="AL2472" s="3">
        <v>10</v>
      </c>
      <c r="AM2472" s="1"/>
      <c r="AN2472" s="1"/>
      <c r="AO2472" s="1" t="s">
        <v>17675</v>
      </c>
      <c r="AP2472" s="1" t="s">
        <v>17676</v>
      </c>
      <c r="AQ2472" s="1" t="s">
        <v>17677</v>
      </c>
      <c r="AR2472" s="1" t="s">
        <v>17678</v>
      </c>
    </row>
    <row r="2473">
      <c r="A2473" s="2">
        <f ca="1">DATE(2009,02,02)</f>
        <v>0</v>
      </c>
      <c r="B2473" s="2">
        <f ca="1">DATE(2010,01,25)</f>
        <v>0</v>
      </c>
      <c r="C2473" s="1" t="s">
        <v>17679</v>
      </c>
      <c r="D2473" s="1" t="s">
        <v>9054</v>
      </c>
      <c r="E2473" s="1" t="s">
        <v>744</v>
      </c>
      <c r="F2473" s="1" t="s">
        <v>17680</v>
      </c>
      <c r="G2473" s="1" t="s">
        <v>7368</v>
      </c>
      <c r="H2473" s="4">
        <v>1.1200000000000001</v>
      </c>
      <c r="I2473" s="4">
        <v>7</v>
      </c>
      <c r="J2473" s="5">
        <v>96</v>
      </c>
      <c r="K2473" s="4">
        <v>16</v>
      </c>
      <c r="L2473" s="1" t="s">
        <v>31</v>
      </c>
      <c r="M2473" s="1" t="s">
        <v>47</v>
      </c>
      <c r="N2473" s="1" t="s">
        <v>17681</v>
      </c>
      <c r="O2473" s="1" t="s">
        <v>108</v>
      </c>
      <c r="P2473" s="1" t="s">
        <v>17682</v>
      </c>
      <c r="Q2473" s="1" t="s">
        <v>145</v>
      </c>
      <c r="R2473" s="1" t="s">
        <v>145</v>
      </c>
      <c r="S2473" s="8">
        <v>4.2000000000000002</v>
      </c>
      <c r="T2473" s="1" t="s">
        <v>50</v>
      </c>
      <c r="U2473" s="1"/>
      <c r="V2473" s="1"/>
      <c r="W2473" s="1"/>
      <c r="X2473" s="5">
        <v>200</v>
      </c>
      <c r="Y2473" s="7">
        <v>6000000</v>
      </c>
      <c r="Z2473" s="1"/>
      <c r="AA2473" s="1" t="s">
        <v>17683</v>
      </c>
      <c r="AB2473" s="1" t="s">
        <v>5265</v>
      </c>
      <c r="AC2473" s="1" t="s">
        <v>7759</v>
      </c>
      <c r="AD2473" s="1" t="s">
        <v>5265</v>
      </c>
      <c r="AE2473" s="1" t="s">
        <v>51</v>
      </c>
      <c r="AF2473" s="1" t="s">
        <v>51</v>
      </c>
      <c r="AG2473" s="1" t="s">
        <v>47</v>
      </c>
      <c r="AH2473" s="1"/>
      <c r="AI2473" s="1"/>
      <c r="AJ2473" s="3">
        <v>1</v>
      </c>
      <c r="AK2473" s="1" t="s">
        <v>52</v>
      </c>
      <c r="AL2473" s="3">
        <v>6</v>
      </c>
      <c r="AM2473" s="1"/>
      <c r="AN2473" s="1"/>
      <c r="AO2473" s="1" t="s">
        <v>17684</v>
      </c>
      <c r="AP2473" s="1" t="s">
        <v>7368</v>
      </c>
      <c r="AQ2473" s="1" t="s">
        <v>17685</v>
      </c>
      <c r="AR2473" s="1" t="s">
        <v>17686</v>
      </c>
    </row>
    <row r="2474">
      <c r="A2474" s="2">
        <f ca="1">DATE(2007,07,19)</f>
        <v>0</v>
      </c>
      <c r="B2474" s="2">
        <f ca="1">DATE(2010,01,26)</f>
        <v>0</v>
      </c>
      <c r="C2474" s="1" t="s">
        <v>17687</v>
      </c>
      <c r="D2474" s="3">
        <v>6726</v>
      </c>
      <c r="E2474" s="1" t="s">
        <v>43</v>
      </c>
      <c r="F2474" s="1" t="s">
        <v>17688</v>
      </c>
      <c r="G2474" s="1" t="s">
        <v>17689</v>
      </c>
      <c r="H2474" s="4">
        <v>0.90000000000000002</v>
      </c>
      <c r="I2474" s="4">
        <v>4.5</v>
      </c>
      <c r="J2474" s="5">
        <v>178</v>
      </c>
      <c r="K2474" s="4">
        <v>20</v>
      </c>
      <c r="L2474" s="1" t="s">
        <v>46</v>
      </c>
      <c r="M2474" s="1" t="s">
        <v>47</v>
      </c>
      <c r="N2474" s="3">
        <v>314162108</v>
      </c>
      <c r="O2474" s="1" t="s">
        <v>108</v>
      </c>
      <c r="P2474" s="1" t="s">
        <v>17690</v>
      </c>
      <c r="Q2474" s="1" t="s">
        <v>145</v>
      </c>
      <c r="R2474" s="1" t="s">
        <v>145</v>
      </c>
      <c r="S2474" s="8">
        <v>3</v>
      </c>
      <c r="T2474" s="1" t="s">
        <v>50</v>
      </c>
      <c r="U2474" s="8">
        <v>20</v>
      </c>
      <c r="V2474" s="8">
        <v>20</v>
      </c>
      <c r="W2474" s="1"/>
      <c r="X2474" s="1"/>
      <c r="Y2474" s="7">
        <v>8900000</v>
      </c>
      <c r="Z2474" s="1"/>
      <c r="AA2474" s="1"/>
      <c r="AB2474" s="1"/>
      <c r="AC2474" s="1"/>
      <c r="AD2474" s="1"/>
      <c r="AE2474" s="1" t="s">
        <v>51</v>
      </c>
      <c r="AF2474" s="1" t="s">
        <v>51</v>
      </c>
      <c r="AG2474" s="1" t="s">
        <v>51</v>
      </c>
      <c r="AH2474" s="1"/>
      <c r="AI2474" s="1"/>
      <c r="AJ2474" s="3">
        <v>3</v>
      </c>
      <c r="AK2474" s="1" t="s">
        <v>110</v>
      </c>
      <c r="AL2474" s="3">
        <v>11</v>
      </c>
      <c r="AM2474" s="1"/>
      <c r="AN2474" s="1"/>
      <c r="AO2474" s="1" t="s">
        <v>17691</v>
      </c>
      <c r="AP2474" s="1" t="s">
        <v>17692</v>
      </c>
      <c r="AQ2474" s="1" t="s">
        <v>17693</v>
      </c>
      <c r="AR2474" s="1" t="s">
        <v>17694</v>
      </c>
    </row>
    <row r="2475">
      <c r="A2475" s="2">
        <f ca="1">DATE(2007,11,13)</f>
        <v>0</v>
      </c>
      <c r="B2475" s="2">
        <f ca="1">DATE(2010,01,26)</f>
        <v>0</v>
      </c>
      <c r="C2475" s="1" t="s">
        <v>17695</v>
      </c>
      <c r="D2475" s="3">
        <v>6726</v>
      </c>
      <c r="E2475" s="1" t="s">
        <v>43</v>
      </c>
      <c r="F2475" s="1" t="s">
        <v>4843</v>
      </c>
      <c r="G2475" s="1" t="s">
        <v>17696</v>
      </c>
      <c r="H2475" s="4">
        <v>0.69999999999999996</v>
      </c>
      <c r="I2475" s="4">
        <v>3.5</v>
      </c>
      <c r="J2475" s="5">
        <v>370</v>
      </c>
      <c r="K2475" s="4">
        <v>20</v>
      </c>
      <c r="L2475" s="1" t="s">
        <v>46</v>
      </c>
      <c r="M2475" s="1" t="s">
        <v>47</v>
      </c>
      <c r="N2475" s="1" t="s">
        <v>17697</v>
      </c>
      <c r="O2475" s="1" t="s">
        <v>108</v>
      </c>
      <c r="P2475" s="1" t="s">
        <v>17698</v>
      </c>
      <c r="Q2475" s="1" t="s">
        <v>145</v>
      </c>
      <c r="R2475" s="1" t="s">
        <v>145</v>
      </c>
      <c r="S2475" s="8">
        <v>3</v>
      </c>
      <c r="T2475" s="1" t="s">
        <v>50</v>
      </c>
      <c r="U2475" s="8">
        <v>20</v>
      </c>
      <c r="V2475" s="8">
        <v>20</v>
      </c>
      <c r="W2475" s="7">
        <v>50000</v>
      </c>
      <c r="X2475" s="5">
        <v>1</v>
      </c>
      <c r="Y2475" s="7">
        <v>18500000</v>
      </c>
      <c r="Z2475" s="1"/>
      <c r="AA2475" s="1"/>
      <c r="AB2475" s="1"/>
      <c r="AC2475" s="1"/>
      <c r="AD2475" s="1"/>
      <c r="AE2475" s="1" t="s">
        <v>51</v>
      </c>
      <c r="AF2475" s="1" t="s">
        <v>51</v>
      </c>
      <c r="AG2475" s="1" t="s">
        <v>51</v>
      </c>
      <c r="AH2475" s="1"/>
      <c r="AI2475" s="1"/>
      <c r="AJ2475" s="3">
        <v>6</v>
      </c>
      <c r="AK2475" s="1" t="s">
        <v>10120</v>
      </c>
      <c r="AL2475" s="3">
        <v>18</v>
      </c>
      <c r="AM2475" s="1"/>
      <c r="AN2475" s="1"/>
      <c r="AO2475" s="1" t="s">
        <v>17699</v>
      </c>
      <c r="AP2475" s="1" t="s">
        <v>17700</v>
      </c>
      <c r="AQ2475" s="1" t="s">
        <v>17701</v>
      </c>
      <c r="AR2475" s="1" t="s">
        <v>17702</v>
      </c>
    </row>
    <row r="2476">
      <c r="A2476" s="2">
        <f ca="1">DATE(2009,08,27)</f>
        <v>0</v>
      </c>
      <c r="B2476" s="2">
        <f ca="1">DATE(2010,01,26)</f>
        <v>0</v>
      </c>
      <c r="C2476" s="1" t="s">
        <v>17703</v>
      </c>
      <c r="D2476" s="3">
        <v>2911</v>
      </c>
      <c r="E2476" s="1" t="s">
        <v>744</v>
      </c>
      <c r="F2476" s="1" t="s">
        <v>17704</v>
      </c>
      <c r="G2476" s="1" t="s">
        <v>17705</v>
      </c>
      <c r="H2476" s="4">
        <v>0.378</v>
      </c>
      <c r="I2476" s="4">
        <v>6</v>
      </c>
      <c r="J2476" s="5">
        <v>19.800000000000001</v>
      </c>
      <c r="K2476" s="4">
        <v>6.2999999999999998</v>
      </c>
      <c r="L2476" s="1" t="s">
        <v>46</v>
      </c>
      <c r="M2476" s="1" t="s">
        <v>47</v>
      </c>
      <c r="N2476" s="1" t="s">
        <v>17706</v>
      </c>
      <c r="O2476" s="1" t="s">
        <v>48</v>
      </c>
      <c r="P2476" s="1" t="s">
        <v>17707</v>
      </c>
      <c r="Q2476" s="1" t="s">
        <v>145</v>
      </c>
      <c r="R2476" s="1" t="s">
        <v>145</v>
      </c>
      <c r="S2476" s="8">
        <v>3.6000000000000001</v>
      </c>
      <c r="T2476" s="1" t="s">
        <v>50</v>
      </c>
      <c r="U2476" s="8">
        <v>6</v>
      </c>
      <c r="V2476" s="8">
        <v>4.5</v>
      </c>
      <c r="W2476" s="7">
        <v>1200000</v>
      </c>
      <c r="X2476" s="5">
        <v>6.2999999999999998</v>
      </c>
      <c r="Y2476" s="7">
        <v>3134921</v>
      </c>
      <c r="Z2476" s="1"/>
      <c r="AA2476" s="1" t="s">
        <v>17708</v>
      </c>
      <c r="AB2476" s="1" t="s">
        <v>2067</v>
      </c>
      <c r="AC2476" s="1" t="s">
        <v>17709</v>
      </c>
      <c r="AD2476" s="1" t="s">
        <v>2067</v>
      </c>
      <c r="AE2476" s="1" t="s">
        <v>51</v>
      </c>
      <c r="AF2476" s="1" t="s">
        <v>51</v>
      </c>
      <c r="AG2476" s="1" t="s">
        <v>51</v>
      </c>
      <c r="AH2476" s="1"/>
      <c r="AI2476" s="1"/>
      <c r="AJ2476" s="3">
        <v>2</v>
      </c>
      <c r="AK2476" s="1" t="s">
        <v>89</v>
      </c>
      <c r="AL2476" s="3">
        <v>2</v>
      </c>
      <c r="AM2476" s="8">
        <v>6.0700000000000003</v>
      </c>
      <c r="AN2476" s="1"/>
      <c r="AO2476" s="1" t="s">
        <v>17710</v>
      </c>
      <c r="AP2476" s="1" t="s">
        <v>17711</v>
      </c>
      <c r="AQ2476" s="1" t="s">
        <v>17712</v>
      </c>
      <c r="AR2476" s="1" t="s">
        <v>17707</v>
      </c>
    </row>
    <row r="2477">
      <c r="A2477" s="2">
        <f ca="1">DATE(2010,01,05)</f>
        <v>0</v>
      </c>
      <c r="B2477" s="2">
        <f ca="1">DATE(2010,01,27)</f>
        <v>0</v>
      </c>
      <c r="C2477" s="1" t="s">
        <v>17713</v>
      </c>
      <c r="D2477" s="3">
        <v>6531</v>
      </c>
      <c r="E2477" s="1" t="s">
        <v>744</v>
      </c>
      <c r="F2477" s="1" t="s">
        <v>17714</v>
      </c>
      <c r="G2477" s="1" t="s">
        <v>4160</v>
      </c>
      <c r="H2477" s="4">
        <v>0.48999999999999999</v>
      </c>
      <c r="I2477" s="8">
        <v>7</v>
      </c>
      <c r="J2477" s="5">
        <v>87.400000000000006</v>
      </c>
      <c r="K2477" s="4">
        <v>7</v>
      </c>
      <c r="L2477" s="1" t="s">
        <v>651</v>
      </c>
      <c r="M2477" s="1" t="s">
        <v>47</v>
      </c>
      <c r="N2477" s="1" t="s">
        <v>17715</v>
      </c>
      <c r="O2477" s="1" t="s">
        <v>108</v>
      </c>
      <c r="P2477" s="1" t="s">
        <v>17716</v>
      </c>
      <c r="Q2477" s="1" t="s">
        <v>145</v>
      </c>
      <c r="R2477" s="1" t="s">
        <v>145</v>
      </c>
      <c r="S2477" s="8">
        <v>3.8999999999999999</v>
      </c>
      <c r="T2477" s="1" t="s">
        <v>50</v>
      </c>
      <c r="U2477" s="1"/>
      <c r="V2477" s="1"/>
      <c r="W2477" s="1"/>
      <c r="X2477" s="5">
        <v>184</v>
      </c>
      <c r="Y2477" s="7">
        <v>12487500</v>
      </c>
      <c r="Z2477" s="1"/>
      <c r="AA2477" s="1" t="s">
        <v>17717</v>
      </c>
      <c r="AB2477" s="1" t="s">
        <v>5265</v>
      </c>
      <c r="AC2477" s="1" t="s">
        <v>7759</v>
      </c>
      <c r="AD2477" s="1" t="s">
        <v>5265</v>
      </c>
      <c r="AE2477" s="1" t="s">
        <v>47</v>
      </c>
      <c r="AF2477" s="1" t="s">
        <v>51</v>
      </c>
      <c r="AG2477" s="1" t="s">
        <v>47</v>
      </c>
      <c r="AH2477" s="1"/>
      <c r="AI2477" s="1"/>
      <c r="AJ2477" s="3">
        <v>2</v>
      </c>
      <c r="AK2477" s="1" t="s">
        <v>89</v>
      </c>
      <c r="AL2477" s="3">
        <v>4</v>
      </c>
      <c r="AM2477" s="1"/>
      <c r="AN2477" s="1"/>
      <c r="AO2477" s="1" t="s">
        <v>17718</v>
      </c>
      <c r="AP2477" s="1" t="s">
        <v>4164</v>
      </c>
      <c r="AQ2477" s="1" t="s">
        <v>17719</v>
      </c>
      <c r="AR2477" s="1" t="s">
        <v>17716</v>
      </c>
    </row>
    <row r="2478">
      <c r="A2478" s="2">
        <f ca="1">DATE(2009,10,14)</f>
        <v>0</v>
      </c>
      <c r="B2478" s="2">
        <f ca="1">DATE(2010,01,28)</f>
        <v>0</v>
      </c>
      <c r="C2478" s="1" t="s">
        <v>17720</v>
      </c>
      <c r="D2478" s="3">
        <v>3621</v>
      </c>
      <c r="E2478" s="1" t="s">
        <v>744</v>
      </c>
      <c r="F2478" s="1" t="s">
        <v>17721</v>
      </c>
      <c r="G2478" s="1" t="s">
        <v>17722</v>
      </c>
      <c r="H2478" s="4">
        <v>0.29299999999999998</v>
      </c>
      <c r="I2478" s="4">
        <v>6.5</v>
      </c>
      <c r="J2478" s="5">
        <v>22.5</v>
      </c>
      <c r="K2478" s="4">
        <v>4.5</v>
      </c>
      <c r="L2478" s="1" t="s">
        <v>46</v>
      </c>
      <c r="M2478" s="1" t="s">
        <v>47</v>
      </c>
      <c r="N2478" s="1" t="s">
        <v>17723</v>
      </c>
      <c r="O2478" s="1" t="s">
        <v>48</v>
      </c>
      <c r="P2478" s="1" t="s">
        <v>17724</v>
      </c>
      <c r="Q2478" s="1" t="s">
        <v>145</v>
      </c>
      <c r="R2478" s="1" t="s">
        <v>145</v>
      </c>
      <c r="S2478" s="6">
        <v>3.2511100000000002</v>
      </c>
      <c r="T2478" s="1" t="s">
        <v>50</v>
      </c>
      <c r="U2478" s="8">
        <v>7</v>
      </c>
      <c r="V2478" s="8">
        <v>6</v>
      </c>
      <c r="W2478" s="7">
        <v>2300000</v>
      </c>
      <c r="X2478" s="5">
        <v>15</v>
      </c>
      <c r="Y2478" s="7">
        <v>5000000</v>
      </c>
      <c r="Z2478" s="1"/>
      <c r="AA2478" s="2">
        <f ca="1">DATE(2010,07,27)</f>
        <v>0</v>
      </c>
      <c r="AB2478" s="1"/>
      <c r="AC2478" s="3">
        <v>180</v>
      </c>
      <c r="AD2478" s="1"/>
      <c r="AE2478" s="1" t="s">
        <v>51</v>
      </c>
      <c r="AF2478" s="1" t="s">
        <v>51</v>
      </c>
      <c r="AG2478" s="1" t="s">
        <v>51</v>
      </c>
      <c r="AH2478" s="1"/>
      <c r="AI2478" s="1"/>
      <c r="AJ2478" s="3">
        <v>2</v>
      </c>
      <c r="AK2478" s="1" t="s">
        <v>89</v>
      </c>
      <c r="AL2478" s="3">
        <v>2</v>
      </c>
      <c r="AM2478" s="1"/>
      <c r="AN2478" s="1"/>
      <c r="AO2478" s="1" t="s">
        <v>17725</v>
      </c>
      <c r="AP2478" s="1" t="s">
        <v>17726</v>
      </c>
      <c r="AQ2478" s="1" t="s">
        <v>17727</v>
      </c>
      <c r="AR2478" s="1" t="s">
        <v>17724</v>
      </c>
    </row>
    <row r="2479">
      <c r="A2479" s="2">
        <f ca="1">DATE(2009,11,20)</f>
        <v>0</v>
      </c>
      <c r="B2479" s="2">
        <f ca="1">DATE(2010,02,02)</f>
        <v>0</v>
      </c>
      <c r="C2479" s="1" t="s">
        <v>17728</v>
      </c>
      <c r="D2479" s="3">
        <v>2834</v>
      </c>
      <c r="E2479" s="1" t="s">
        <v>43</v>
      </c>
      <c r="F2479" s="1" t="s">
        <v>17729</v>
      </c>
      <c r="G2479" s="1" t="s">
        <v>17730</v>
      </c>
      <c r="H2479" s="4">
        <v>0.78800000000000003</v>
      </c>
      <c r="I2479" s="8">
        <v>7</v>
      </c>
      <c r="J2479" s="5">
        <v>187.5</v>
      </c>
      <c r="K2479" s="4">
        <v>11.25</v>
      </c>
      <c r="L2479" s="1" t="s">
        <v>152</v>
      </c>
      <c r="M2479" s="1" t="s">
        <v>47</v>
      </c>
      <c r="N2479" s="1" t="s">
        <v>17731</v>
      </c>
      <c r="O2479" s="1" t="s">
        <v>48</v>
      </c>
      <c r="P2479" s="1" t="s">
        <v>17732</v>
      </c>
      <c r="Q2479" s="1" t="s">
        <v>145</v>
      </c>
      <c r="R2479" s="1" t="s">
        <v>145</v>
      </c>
      <c r="S2479" s="8">
        <v>4.2000000000000002</v>
      </c>
      <c r="T2479" s="1" t="s">
        <v>50</v>
      </c>
      <c r="U2479" s="1"/>
      <c r="V2479" s="1"/>
      <c r="W2479" s="1"/>
      <c r="X2479" s="5">
        <v>172.5</v>
      </c>
      <c r="Y2479" s="7">
        <v>16666667</v>
      </c>
      <c r="Z2479" s="1"/>
      <c r="AA2479" s="1" t="s">
        <v>17733</v>
      </c>
      <c r="AB2479" s="1" t="s">
        <v>2067</v>
      </c>
      <c r="AC2479" s="1" t="s">
        <v>2068</v>
      </c>
      <c r="AD2479" s="1" t="s">
        <v>2067</v>
      </c>
      <c r="AE2479" s="1" t="s">
        <v>51</v>
      </c>
      <c r="AF2479" s="1" t="s">
        <v>51</v>
      </c>
      <c r="AG2479" s="1" t="s">
        <v>47</v>
      </c>
      <c r="AH2479" s="1"/>
      <c r="AI2479" s="1"/>
      <c r="AJ2479" s="3">
        <v>3</v>
      </c>
      <c r="AK2479" s="1" t="s">
        <v>110</v>
      </c>
      <c r="AL2479" s="3">
        <v>5</v>
      </c>
      <c r="AM2479" s="8">
        <v>11.65</v>
      </c>
      <c r="AN2479" s="1"/>
      <c r="AO2479" s="1" t="s">
        <v>17734</v>
      </c>
      <c r="AP2479" s="1" t="s">
        <v>17735</v>
      </c>
      <c r="AQ2479" s="1" t="s">
        <v>17736</v>
      </c>
      <c r="AR2479" s="1" t="s">
        <v>17737</v>
      </c>
    </row>
    <row r="2480">
      <c r="A2480" s="2">
        <f ca="1">DATE(2008,01,18)</f>
        <v>0</v>
      </c>
      <c r="B2480" s="2">
        <f ca="1">DATE(2010,02,08)</f>
        <v>0</v>
      </c>
      <c r="C2480" s="1" t="s">
        <v>17738</v>
      </c>
      <c r="D2480" s="3">
        <v>6726</v>
      </c>
      <c r="E2480" s="1" t="s">
        <v>43</v>
      </c>
      <c r="F2480" s="1" t="s">
        <v>17739</v>
      </c>
      <c r="G2480" s="1" t="s">
        <v>17740</v>
      </c>
      <c r="H2480" s="4">
        <v>1.2949999999999999</v>
      </c>
      <c r="I2480" s="8">
        <v>7</v>
      </c>
      <c r="J2480" s="5">
        <v>92.5</v>
      </c>
      <c r="K2480" s="4">
        <v>18.5</v>
      </c>
      <c r="L2480" s="1" t="s">
        <v>46</v>
      </c>
      <c r="M2480" s="1" t="s">
        <v>47</v>
      </c>
      <c r="N2480" s="1" t="s">
        <v>17741</v>
      </c>
      <c r="O2480" s="1" t="s">
        <v>48</v>
      </c>
      <c r="P2480" s="1" t="s">
        <v>17742</v>
      </c>
      <c r="Q2480" s="1" t="s">
        <v>145</v>
      </c>
      <c r="R2480" s="1" t="s">
        <v>145</v>
      </c>
      <c r="S2480" s="8">
        <v>4.2000000000000002</v>
      </c>
      <c r="T2480" s="1" t="s">
        <v>50</v>
      </c>
      <c r="U2480" s="1"/>
      <c r="V2480" s="1"/>
      <c r="W2480" s="1"/>
      <c r="X2480" s="5">
        <v>300</v>
      </c>
      <c r="Y2480" s="7">
        <v>5000000</v>
      </c>
      <c r="Z2480" s="1"/>
      <c r="AA2480" s="2">
        <f ca="1">DATE(2010,08,07)</f>
        <v>0</v>
      </c>
      <c r="AB2480" s="1"/>
      <c r="AC2480" s="3">
        <v>180</v>
      </c>
      <c r="AD2480" s="1"/>
      <c r="AE2480" s="1" t="s">
        <v>51</v>
      </c>
      <c r="AF2480" s="1" t="s">
        <v>51</v>
      </c>
      <c r="AG2480" s="1" t="s">
        <v>51</v>
      </c>
      <c r="AH2480" s="1"/>
      <c r="AI2480" s="1"/>
      <c r="AJ2480" s="3">
        <v>4</v>
      </c>
      <c r="AK2480" s="1" t="s">
        <v>1209</v>
      </c>
      <c r="AL2480" s="3">
        <v>7</v>
      </c>
      <c r="AM2480" s="1"/>
      <c r="AN2480" s="1"/>
      <c r="AO2480" s="1" t="s">
        <v>17743</v>
      </c>
      <c r="AP2480" s="1" t="s">
        <v>17744</v>
      </c>
      <c r="AQ2480" s="1" t="s">
        <v>17745</v>
      </c>
      <c r="AR2480" s="1" t="s">
        <v>17746</v>
      </c>
    </row>
    <row r="2481">
      <c r="A2481" s="2">
        <f ca="1">DATE(2009,11,10)</f>
        <v>0</v>
      </c>
      <c r="B2481" s="2">
        <f ca="1">DATE(2010,02,09)</f>
        <v>0</v>
      </c>
      <c r="C2481" s="1" t="s">
        <v>17747</v>
      </c>
      <c r="D2481" s="3">
        <v>6798</v>
      </c>
      <c r="E2481" s="1" t="s">
        <v>43</v>
      </c>
      <c r="F2481" s="1" t="s">
        <v>17748</v>
      </c>
      <c r="G2481" s="1" t="s">
        <v>160</v>
      </c>
      <c r="H2481" s="4">
        <v>1.2</v>
      </c>
      <c r="I2481" s="4">
        <v>6</v>
      </c>
      <c r="J2481" s="5">
        <v>175</v>
      </c>
      <c r="K2481" s="4">
        <v>20</v>
      </c>
      <c r="L2481" s="1" t="s">
        <v>46</v>
      </c>
      <c r="M2481" s="1" t="s">
        <v>47</v>
      </c>
      <c r="N2481" s="1" t="s">
        <v>17749</v>
      </c>
      <c r="O2481" s="1" t="s">
        <v>108</v>
      </c>
      <c r="P2481" s="1" t="s">
        <v>17750</v>
      </c>
      <c r="Q2481" s="8">
        <v>4.4000000000000004</v>
      </c>
      <c r="R2481" s="4">
        <v>0.40000000000000002</v>
      </c>
      <c r="S2481" s="8">
        <v>1.2</v>
      </c>
      <c r="T2481" s="1" t="s">
        <v>50</v>
      </c>
      <c r="U2481" s="1"/>
      <c r="V2481" s="1"/>
      <c r="W2481" s="1"/>
      <c r="X2481" s="5">
        <v>400</v>
      </c>
      <c r="Y2481" s="7">
        <v>8750000</v>
      </c>
      <c r="Z2481" s="1"/>
      <c r="AA2481" s="1" t="s">
        <v>17751</v>
      </c>
      <c r="AB2481" s="1" t="s">
        <v>2067</v>
      </c>
      <c r="AC2481" s="1" t="s">
        <v>2068</v>
      </c>
      <c r="AD2481" s="1" t="s">
        <v>2067</v>
      </c>
      <c r="AE2481" s="1" t="s">
        <v>51</v>
      </c>
      <c r="AF2481" s="1" t="s">
        <v>51</v>
      </c>
      <c r="AG2481" s="1" t="s">
        <v>51</v>
      </c>
      <c r="AH2481" s="1"/>
      <c r="AI2481" s="1"/>
      <c r="AJ2481" s="3">
        <v>1</v>
      </c>
      <c r="AK2481" s="1" t="s">
        <v>89</v>
      </c>
      <c r="AL2481" s="3">
        <v>4</v>
      </c>
      <c r="AM2481" s="8">
        <v>18.649999999999999</v>
      </c>
      <c r="AN2481" s="1"/>
      <c r="AO2481" s="1" t="s">
        <v>17752</v>
      </c>
      <c r="AP2481" s="1" t="s">
        <v>17753</v>
      </c>
      <c r="AQ2481" s="1" t="s">
        <v>17754</v>
      </c>
      <c r="AR2481" s="1" t="s">
        <v>17750</v>
      </c>
    </row>
    <row r="2482">
      <c r="A2482" s="2">
        <f ca="1">DATE(2009,10,20)</f>
        <v>0</v>
      </c>
      <c r="B2482" s="2">
        <f ca="1">DATE(2010,02,10)</f>
        <v>0</v>
      </c>
      <c r="C2482" s="1" t="s">
        <v>17755</v>
      </c>
      <c r="D2482" s="3">
        <v>3621</v>
      </c>
      <c r="E2482" s="1" t="s">
        <v>43</v>
      </c>
      <c r="F2482" s="1" t="s">
        <v>17756</v>
      </c>
      <c r="G2482" s="1" t="s">
        <v>17757</v>
      </c>
      <c r="H2482" s="4">
        <v>0.81299999999999994</v>
      </c>
      <c r="I2482" s="4">
        <v>6.25</v>
      </c>
      <c r="J2482" s="5">
        <v>243.80000000000001</v>
      </c>
      <c r="K2482" s="4">
        <v>13</v>
      </c>
      <c r="L2482" s="1" t="s">
        <v>46</v>
      </c>
      <c r="M2482" s="1" t="s">
        <v>47</v>
      </c>
      <c r="N2482" s="3">
        <v>368736104</v>
      </c>
      <c r="O2482" s="1" t="s">
        <v>108</v>
      </c>
      <c r="P2482" s="1" t="s">
        <v>17758</v>
      </c>
      <c r="Q2482" s="4">
        <v>1.25</v>
      </c>
      <c r="R2482" s="4">
        <v>1.25</v>
      </c>
      <c r="S2482" s="8">
        <v>3.75</v>
      </c>
      <c r="T2482" s="1" t="s">
        <v>50</v>
      </c>
      <c r="U2482" s="1"/>
      <c r="V2482" s="1"/>
      <c r="W2482" s="1"/>
      <c r="X2482" s="5">
        <v>300</v>
      </c>
      <c r="Y2482" s="7">
        <v>18750000</v>
      </c>
      <c r="Z2482" s="1"/>
      <c r="AA2482" s="1" t="s">
        <v>17759</v>
      </c>
      <c r="AB2482" s="1" t="s">
        <v>5265</v>
      </c>
      <c r="AC2482" s="1" t="s">
        <v>7759</v>
      </c>
      <c r="AD2482" s="1" t="s">
        <v>5265</v>
      </c>
      <c r="AE2482" s="1" t="s">
        <v>51</v>
      </c>
      <c r="AF2482" s="1" t="s">
        <v>51</v>
      </c>
      <c r="AG2482" s="1" t="s">
        <v>51</v>
      </c>
      <c r="AH2482" s="1"/>
      <c r="AI2482" s="1" t="s">
        <v>17760</v>
      </c>
      <c r="AJ2482" s="3">
        <v>4</v>
      </c>
      <c r="AK2482" s="1" t="s">
        <v>3985</v>
      </c>
      <c r="AL2482" s="3">
        <v>8</v>
      </c>
      <c r="AM2482" s="1"/>
      <c r="AN2482" s="1"/>
      <c r="AO2482" s="1" t="s">
        <v>17761</v>
      </c>
      <c r="AP2482" s="1" t="s">
        <v>17762</v>
      </c>
      <c r="AQ2482" s="1" t="s">
        <v>17763</v>
      </c>
      <c r="AR2482" s="1" t="s">
        <v>17764</v>
      </c>
    </row>
    <row r="2483">
      <c r="A2483" s="2">
        <f ca="1">DATE(2009,12,23)</f>
        <v>0</v>
      </c>
      <c r="B2483" s="2">
        <f ca="1">DATE(2010,02,10)</f>
        <v>0</v>
      </c>
      <c r="C2483" s="1" t="s">
        <v>17765</v>
      </c>
      <c r="D2483" s="3">
        <v>3221</v>
      </c>
      <c r="E2483" s="1" t="s">
        <v>43</v>
      </c>
      <c r="F2483" s="1" t="s">
        <v>17766</v>
      </c>
      <c r="G2483" s="1" t="s">
        <v>17767</v>
      </c>
      <c r="H2483" s="4">
        <v>0.61799999999999999</v>
      </c>
      <c r="I2483" s="4">
        <v>6.1799999999999997</v>
      </c>
      <c r="J2483" s="5">
        <v>166.69999999999999</v>
      </c>
      <c r="K2483" s="4">
        <v>10</v>
      </c>
      <c r="L2483" s="1" t="s">
        <v>46</v>
      </c>
      <c r="M2483" s="1" t="s">
        <v>47</v>
      </c>
      <c r="N2483" s="3">
        <v>384701108</v>
      </c>
      <c r="O2483" s="1" t="s">
        <v>108</v>
      </c>
      <c r="P2483" s="1" t="s">
        <v>17768</v>
      </c>
      <c r="Q2483" s="4">
        <v>1.236</v>
      </c>
      <c r="R2483" s="4">
        <v>1.236</v>
      </c>
      <c r="S2483" s="4">
        <v>3.7080000000000002</v>
      </c>
      <c r="T2483" s="1" t="s">
        <v>50</v>
      </c>
      <c r="U2483" s="1"/>
      <c r="V2483" s="1"/>
      <c r="W2483" s="1"/>
      <c r="X2483" s="5">
        <v>350</v>
      </c>
      <c r="Y2483" s="7">
        <v>16666667</v>
      </c>
      <c r="Z2483" s="1"/>
      <c r="AA2483" s="1" t="s">
        <v>17769</v>
      </c>
      <c r="AB2483" s="1" t="s">
        <v>2067</v>
      </c>
      <c r="AC2483" s="1" t="s">
        <v>2068</v>
      </c>
      <c r="AD2483" s="1" t="s">
        <v>2067</v>
      </c>
      <c r="AE2483" s="1" t="s">
        <v>51</v>
      </c>
      <c r="AF2483" s="1" t="s">
        <v>51</v>
      </c>
      <c r="AG2483" s="1" t="s">
        <v>51</v>
      </c>
      <c r="AH2483" s="1"/>
      <c r="AI2483" s="1"/>
      <c r="AJ2483" s="3">
        <v>3</v>
      </c>
      <c r="AK2483" s="1" t="s">
        <v>110</v>
      </c>
      <c r="AL2483" s="3">
        <v>8</v>
      </c>
      <c r="AM2483" s="1"/>
      <c r="AN2483" s="1"/>
      <c r="AO2483" s="1" t="s">
        <v>17770</v>
      </c>
      <c r="AP2483" s="1" t="s">
        <v>17771</v>
      </c>
      <c r="AQ2483" s="1" t="s">
        <v>17772</v>
      </c>
      <c r="AR2483" s="1" t="s">
        <v>17773</v>
      </c>
    </row>
    <row r="2484">
      <c r="A2484" s="2">
        <f ca="1">DATE(2009,11,19)</f>
        <v>0</v>
      </c>
      <c r="B2484" s="2">
        <f ca="1">DATE(2010,02,10)</f>
        <v>0</v>
      </c>
      <c r="C2484" s="1" t="s">
        <v>17774</v>
      </c>
      <c r="D2484" s="3">
        <v>7389</v>
      </c>
      <c r="E2484" s="1" t="s">
        <v>43</v>
      </c>
      <c r="F2484" s="1" t="s">
        <v>17775</v>
      </c>
      <c r="G2484" s="1" t="s">
        <v>17776</v>
      </c>
      <c r="H2484" s="4">
        <v>1.05</v>
      </c>
      <c r="I2484" s="4">
        <v>7</v>
      </c>
      <c r="J2484" s="5">
        <v>150</v>
      </c>
      <c r="K2484" s="4">
        <v>15</v>
      </c>
      <c r="L2484" s="1" t="s">
        <v>46</v>
      </c>
      <c r="M2484" s="1" t="s">
        <v>47</v>
      </c>
      <c r="N2484" s="1" t="s">
        <v>17777</v>
      </c>
      <c r="O2484" s="1" t="s">
        <v>48</v>
      </c>
      <c r="P2484" s="1" t="s">
        <v>17778</v>
      </c>
      <c r="Q2484" s="4">
        <v>1.3999999999999999</v>
      </c>
      <c r="R2484" s="4">
        <v>1.3999999999999999</v>
      </c>
      <c r="S2484" s="8">
        <v>4.2000000000000002</v>
      </c>
      <c r="T2484" s="1" t="s">
        <v>50</v>
      </c>
      <c r="U2484" s="1"/>
      <c r="V2484" s="1"/>
      <c r="W2484" s="1"/>
      <c r="X2484" s="5">
        <v>250</v>
      </c>
      <c r="Y2484" s="7">
        <v>10000000</v>
      </c>
      <c r="Z2484" s="1"/>
      <c r="AA2484" s="1" t="s">
        <v>17759</v>
      </c>
      <c r="AB2484" s="1" t="s">
        <v>5265</v>
      </c>
      <c r="AC2484" s="1" t="s">
        <v>7759</v>
      </c>
      <c r="AD2484" s="1" t="s">
        <v>5265</v>
      </c>
      <c r="AE2484" s="1" t="s">
        <v>51</v>
      </c>
      <c r="AF2484" s="1" t="s">
        <v>51</v>
      </c>
      <c r="AG2484" s="1" t="s">
        <v>47</v>
      </c>
      <c r="AH2484" s="1"/>
      <c r="AI2484" s="1"/>
      <c r="AJ2484" s="3">
        <v>3</v>
      </c>
      <c r="AK2484" s="1" t="s">
        <v>110</v>
      </c>
      <c r="AL2484" s="3">
        <v>3</v>
      </c>
      <c r="AM2484" s="1"/>
      <c r="AN2484" s="1"/>
      <c r="AO2484" s="1" t="s">
        <v>17779</v>
      </c>
      <c r="AP2484" s="1" t="s">
        <v>17780</v>
      </c>
      <c r="AQ2484" s="1" t="s">
        <v>17781</v>
      </c>
      <c r="AR2484" s="1" t="s">
        <v>17782</v>
      </c>
    </row>
    <row r="2485">
      <c r="A2485" s="2">
        <f ca="1">DATE(2009,08,24)</f>
        <v>0</v>
      </c>
      <c r="B2485" s="2">
        <f ca="1">DATE(2010,02,16)</f>
        <v>0</v>
      </c>
      <c r="C2485" s="1" t="s">
        <v>17783</v>
      </c>
      <c r="D2485" s="3">
        <v>8742</v>
      </c>
      <c r="E2485" s="1" t="s">
        <v>43</v>
      </c>
      <c r="F2485" s="1" t="s">
        <v>17784</v>
      </c>
      <c r="G2485" s="1" t="s">
        <v>17785</v>
      </c>
      <c r="H2485" s="4">
        <v>0.40000000000000002</v>
      </c>
      <c r="I2485" s="4">
        <v>8</v>
      </c>
      <c r="J2485" s="5">
        <v>1.3</v>
      </c>
      <c r="K2485" s="4">
        <v>5</v>
      </c>
      <c r="L2485" s="1" t="s">
        <v>46</v>
      </c>
      <c r="M2485" s="1" t="s">
        <v>47</v>
      </c>
      <c r="N2485" s="1" t="s">
        <v>17786</v>
      </c>
      <c r="O2485" s="1" t="s">
        <v>77</v>
      </c>
      <c r="P2485" s="1" t="s">
        <v>17787</v>
      </c>
      <c r="Q2485" s="1" t="s">
        <v>145</v>
      </c>
      <c r="R2485" s="1" t="s">
        <v>145</v>
      </c>
      <c r="S2485" s="1"/>
      <c r="T2485" s="1" t="s">
        <v>50</v>
      </c>
      <c r="U2485" s="8">
        <v>6.5</v>
      </c>
      <c r="V2485" s="8">
        <v>6</v>
      </c>
      <c r="W2485" s="7">
        <v>500000</v>
      </c>
      <c r="X2485" s="5">
        <v>3.1000000000000001</v>
      </c>
      <c r="Y2485" s="7">
        <v>256000</v>
      </c>
      <c r="Z2485" s="1"/>
      <c r="AA2485" s="1" t="s">
        <v>17788</v>
      </c>
      <c r="AB2485" s="1" t="s">
        <v>2067</v>
      </c>
      <c r="AC2485" s="1" t="s">
        <v>2068</v>
      </c>
      <c r="AD2485" s="1" t="s">
        <v>2067</v>
      </c>
      <c r="AE2485" s="1" t="s">
        <v>51</v>
      </c>
      <c r="AF2485" s="1" t="s">
        <v>51</v>
      </c>
      <c r="AG2485" s="1" t="s">
        <v>51</v>
      </c>
      <c r="AH2485" s="1"/>
      <c r="AI2485" s="1"/>
      <c r="AJ2485" s="3">
        <v>1</v>
      </c>
      <c r="AK2485" s="1" t="s">
        <v>52</v>
      </c>
      <c r="AL2485" s="3">
        <v>1</v>
      </c>
      <c r="AM2485" s="1"/>
      <c r="AN2485" s="1"/>
      <c r="AO2485" s="1" t="s">
        <v>17785</v>
      </c>
      <c r="AP2485" s="1" t="s">
        <v>17785</v>
      </c>
      <c r="AQ2485" s="1" t="s">
        <v>17785</v>
      </c>
      <c r="AR2485" s="1" t="s">
        <v>17787</v>
      </c>
    </row>
    <row r="2486">
      <c r="A2486" s="2">
        <f ca="1">DATE(2009,12,14)</f>
        <v>0</v>
      </c>
      <c r="B2486" s="2">
        <f ca="1">DATE(2010,02,23)</f>
        <v>0</v>
      </c>
      <c r="C2486" s="1" t="s">
        <v>17789</v>
      </c>
      <c r="D2486" s="3">
        <v>6726</v>
      </c>
      <c r="E2486" s="1" t="s">
        <v>43</v>
      </c>
      <c r="F2486" s="1" t="s">
        <v>17790</v>
      </c>
      <c r="G2486" s="1" t="s">
        <v>17791</v>
      </c>
      <c r="H2486" s="4">
        <v>0.90000000000000002</v>
      </c>
      <c r="I2486" s="4">
        <v>4.5</v>
      </c>
      <c r="J2486" s="5">
        <v>190</v>
      </c>
      <c r="K2486" s="4">
        <v>20</v>
      </c>
      <c r="L2486" s="1" t="s">
        <v>46</v>
      </c>
      <c r="M2486" s="1" t="s">
        <v>47</v>
      </c>
      <c r="N2486" s="1" t="s">
        <v>17792</v>
      </c>
      <c r="O2486" s="1" t="s">
        <v>108</v>
      </c>
      <c r="P2486" s="1" t="s">
        <v>17793</v>
      </c>
      <c r="Q2486" s="1" t="s">
        <v>145</v>
      </c>
      <c r="R2486" s="1" t="s">
        <v>145</v>
      </c>
      <c r="S2486" s="8">
        <v>3</v>
      </c>
      <c r="T2486" s="1" t="s">
        <v>50</v>
      </c>
      <c r="U2486" s="8">
        <v>20</v>
      </c>
      <c r="V2486" s="8">
        <v>20</v>
      </c>
      <c r="W2486" s="7">
        <v>50000</v>
      </c>
      <c r="X2486" s="5">
        <v>1</v>
      </c>
      <c r="Y2486" s="7">
        <v>9500000</v>
      </c>
      <c r="Z2486" s="1"/>
      <c r="AA2486" s="1"/>
      <c r="AB2486" s="1"/>
      <c r="AC2486" s="1"/>
      <c r="AD2486" s="1"/>
      <c r="AE2486" s="1" t="s">
        <v>51</v>
      </c>
      <c r="AF2486" s="1" t="s">
        <v>51</v>
      </c>
      <c r="AG2486" s="1" t="s">
        <v>51</v>
      </c>
      <c r="AH2486" s="1"/>
      <c r="AI2486" s="1"/>
      <c r="AJ2486" s="3">
        <v>2</v>
      </c>
      <c r="AK2486" s="1" t="s">
        <v>89</v>
      </c>
      <c r="AL2486" s="3">
        <v>6</v>
      </c>
      <c r="AM2486" s="1"/>
      <c r="AN2486" s="1"/>
      <c r="AO2486" s="1" t="s">
        <v>17794</v>
      </c>
      <c r="AP2486" s="1" t="s">
        <v>17795</v>
      </c>
      <c r="AQ2486" s="1" t="s">
        <v>17796</v>
      </c>
      <c r="AR2486" s="1" t="s">
        <v>17797</v>
      </c>
    </row>
    <row r="2487">
      <c r="A2487" s="2">
        <f ca="1">DATE(2009,09,15)</f>
        <v>0</v>
      </c>
      <c r="B2487" s="2">
        <f ca="1">DATE(2010,03,01)</f>
        <v>0</v>
      </c>
      <c r="C2487" s="1" t="s">
        <v>17798</v>
      </c>
      <c r="D2487" s="3">
        <v>2834</v>
      </c>
      <c r="E2487" s="1" t="s">
        <v>43</v>
      </c>
      <c r="F2487" s="1" t="s">
        <v>17799</v>
      </c>
      <c r="G2487" s="1" t="s">
        <v>5110</v>
      </c>
      <c r="H2487" s="4">
        <v>0.41999999999999998</v>
      </c>
      <c r="I2487" s="4">
        <v>6</v>
      </c>
      <c r="J2487" s="5">
        <v>42</v>
      </c>
      <c r="K2487" s="4">
        <v>7</v>
      </c>
      <c r="L2487" s="1" t="s">
        <v>46</v>
      </c>
      <c r="M2487" s="1" t="s">
        <v>47</v>
      </c>
      <c r="N2487" s="1" t="s">
        <v>17800</v>
      </c>
      <c r="O2487" s="1" t="s">
        <v>48</v>
      </c>
      <c r="P2487" s="1" t="s">
        <v>17801</v>
      </c>
      <c r="Q2487" s="1" t="s">
        <v>145</v>
      </c>
      <c r="R2487" s="1" t="s">
        <v>145</v>
      </c>
      <c r="S2487" s="6">
        <v>2.8571399999999998</v>
      </c>
      <c r="T2487" s="1" t="s">
        <v>50</v>
      </c>
      <c r="U2487" s="1"/>
      <c r="V2487" s="1"/>
      <c r="W2487" s="1"/>
      <c r="X2487" s="5">
        <v>70</v>
      </c>
      <c r="Y2487" s="7">
        <v>6000000</v>
      </c>
      <c r="Z2487" s="1"/>
      <c r="AA2487" s="1" t="s">
        <v>17802</v>
      </c>
      <c r="AB2487" s="1" t="s">
        <v>2067</v>
      </c>
      <c r="AC2487" s="1" t="s">
        <v>2068</v>
      </c>
      <c r="AD2487" s="1" t="s">
        <v>2067</v>
      </c>
      <c r="AE2487" s="1" t="s">
        <v>51</v>
      </c>
      <c r="AF2487" s="1" t="s">
        <v>51</v>
      </c>
      <c r="AG2487" s="1" t="s">
        <v>47</v>
      </c>
      <c r="AH2487" s="1"/>
      <c r="AI2487" s="1"/>
      <c r="AJ2487" s="3">
        <v>1</v>
      </c>
      <c r="AK2487" s="1" t="s">
        <v>52</v>
      </c>
      <c r="AL2487" s="3">
        <v>4</v>
      </c>
      <c r="AM2487" s="8">
        <v>7.1500000000000004</v>
      </c>
      <c r="AN2487" s="1"/>
      <c r="AO2487" s="1" t="s">
        <v>17803</v>
      </c>
      <c r="AP2487" s="1" t="s">
        <v>5110</v>
      </c>
      <c r="AQ2487" s="1" t="s">
        <v>17804</v>
      </c>
      <c r="AR2487" s="1" t="s">
        <v>17805</v>
      </c>
    </row>
    <row r="2488">
      <c r="A2488" s="2">
        <f ca="1">DATE(2009,10,14)</f>
        <v>0</v>
      </c>
      <c r="B2488" s="2">
        <f ca="1">DATE(2010,03,09)</f>
        <v>0</v>
      </c>
      <c r="C2488" s="1" t="s">
        <v>17806</v>
      </c>
      <c r="D2488" s="3">
        <v>4412</v>
      </c>
      <c r="E2488" s="1" t="s">
        <v>43</v>
      </c>
      <c r="F2488" s="1" t="s">
        <v>17807</v>
      </c>
      <c r="G2488" s="1" t="s">
        <v>17808</v>
      </c>
      <c r="H2488" s="4">
        <v>0.91000000000000003</v>
      </c>
      <c r="I2488" s="4">
        <v>6.5</v>
      </c>
      <c r="J2488" s="5">
        <v>228.19999999999999</v>
      </c>
      <c r="K2488" s="4">
        <v>14</v>
      </c>
      <c r="L2488" s="1" t="s">
        <v>46</v>
      </c>
      <c r="M2488" s="1" t="s">
        <v>47</v>
      </c>
      <c r="N2488" s="1" t="s">
        <v>17809</v>
      </c>
      <c r="O2488" s="1" t="s">
        <v>108</v>
      </c>
      <c r="P2488" s="1" t="s">
        <v>17810</v>
      </c>
      <c r="Q2488" s="1" t="s">
        <v>145</v>
      </c>
      <c r="R2488" s="1" t="s">
        <v>145</v>
      </c>
      <c r="S2488" s="8">
        <v>3.8999999999999999</v>
      </c>
      <c r="T2488" s="1" t="s">
        <v>50</v>
      </c>
      <c r="U2488" s="1"/>
      <c r="V2488" s="1"/>
      <c r="W2488" s="1"/>
      <c r="X2488" s="5">
        <v>230</v>
      </c>
      <c r="Y2488" s="7">
        <v>16300000</v>
      </c>
      <c r="Z2488" s="1"/>
      <c r="AA2488" s="1" t="s">
        <v>17811</v>
      </c>
      <c r="AB2488" s="1" t="s">
        <v>2067</v>
      </c>
      <c r="AC2488" s="1" t="s">
        <v>17812</v>
      </c>
      <c r="AD2488" s="1" t="s">
        <v>2067</v>
      </c>
      <c r="AE2488" s="1" t="s">
        <v>51</v>
      </c>
      <c r="AF2488" s="1" t="s">
        <v>51</v>
      </c>
      <c r="AG2488" s="1" t="s">
        <v>51</v>
      </c>
      <c r="AH2488" s="1"/>
      <c r="AI2488" s="1"/>
      <c r="AJ2488" s="3">
        <v>2</v>
      </c>
      <c r="AK2488" s="1" t="s">
        <v>89</v>
      </c>
      <c r="AL2488" s="3">
        <v>5</v>
      </c>
      <c r="AM2488" s="8">
        <v>13.960000000000001</v>
      </c>
      <c r="AN2488" s="1"/>
      <c r="AO2488" s="1" t="s">
        <v>17813</v>
      </c>
      <c r="AP2488" s="1" t="s">
        <v>17814</v>
      </c>
      <c r="AQ2488" s="1" t="s">
        <v>17815</v>
      </c>
      <c r="AR2488" s="1" t="s">
        <v>17810</v>
      </c>
    </row>
    <row r="2489">
      <c r="A2489" s="2">
        <f ca="1">DATE(2009,11,25)</f>
        <v>0</v>
      </c>
      <c r="B2489" s="2">
        <f ca="1">DATE(2010,03,10)</f>
        <v>0</v>
      </c>
      <c r="C2489" s="1" t="s">
        <v>17816</v>
      </c>
      <c r="D2489" s="3">
        <v>3823</v>
      </c>
      <c r="E2489" s="1" t="s">
        <v>510</v>
      </c>
      <c r="F2489" s="1" t="s">
        <v>17817</v>
      </c>
      <c r="G2489" s="1" t="s">
        <v>17818</v>
      </c>
      <c r="H2489" s="4">
        <v>1.0800000000000001</v>
      </c>
      <c r="I2489" s="4">
        <v>6</v>
      </c>
      <c r="J2489" s="5">
        <v>568.79999999999995</v>
      </c>
      <c r="K2489" s="4">
        <v>18</v>
      </c>
      <c r="L2489" s="1" t="s">
        <v>46</v>
      </c>
      <c r="M2489" s="1" t="s">
        <v>47</v>
      </c>
      <c r="N2489" s="1"/>
      <c r="O2489" s="1" t="s">
        <v>108</v>
      </c>
      <c r="P2489" s="1" t="s">
        <v>17819</v>
      </c>
      <c r="Q2489" s="4">
        <v>1.2</v>
      </c>
      <c r="R2489" s="4">
        <v>1.2</v>
      </c>
      <c r="S2489" s="8">
        <v>3.6000000000000001</v>
      </c>
      <c r="T2489" s="1" t="s">
        <v>50</v>
      </c>
      <c r="U2489" s="1"/>
      <c r="V2489" s="1"/>
      <c r="W2489" s="1"/>
      <c r="X2489" s="5">
        <v>500</v>
      </c>
      <c r="Y2489" s="7">
        <v>26315789</v>
      </c>
      <c r="Z2489" s="7">
        <v>5284211</v>
      </c>
      <c r="AA2489" s="1" t="s">
        <v>17820</v>
      </c>
      <c r="AB2489" s="1" t="s">
        <v>2067</v>
      </c>
      <c r="AC2489" s="1" t="s">
        <v>2068</v>
      </c>
      <c r="AD2489" s="1" t="s">
        <v>2067</v>
      </c>
      <c r="AE2489" s="1" t="s">
        <v>51</v>
      </c>
      <c r="AF2489" s="1" t="s">
        <v>51</v>
      </c>
      <c r="AG2489" s="1" t="s">
        <v>51</v>
      </c>
      <c r="AH2489" s="1"/>
      <c r="AI2489" s="1"/>
      <c r="AJ2489" s="3">
        <v>5</v>
      </c>
      <c r="AK2489" s="1" t="s">
        <v>3985</v>
      </c>
      <c r="AL2489" s="3">
        <v>11</v>
      </c>
      <c r="AM2489" s="1"/>
      <c r="AN2489" s="1"/>
      <c r="AO2489" s="1" t="s">
        <v>17821</v>
      </c>
      <c r="AP2489" s="1" t="s">
        <v>17822</v>
      </c>
      <c r="AQ2489" s="1" t="s">
        <v>17823</v>
      </c>
      <c r="AR2489" s="1" t="s">
        <v>17824</v>
      </c>
    </row>
    <row r="2490">
      <c r="A2490" s="2">
        <f ca="1">DATE(2009,12,16)</f>
        <v>0</v>
      </c>
      <c r="B2490" s="2">
        <f ca="1">DATE(2010,03,11)</f>
        <v>0</v>
      </c>
      <c r="C2490" s="1" t="s">
        <v>17825</v>
      </c>
      <c r="D2490" s="3">
        <v>2834</v>
      </c>
      <c r="E2490" s="1" t="s">
        <v>43</v>
      </c>
      <c r="F2490" s="1" t="s">
        <v>17826</v>
      </c>
      <c r="G2490" s="1" t="s">
        <v>16215</v>
      </c>
      <c r="H2490" s="4">
        <v>0.63</v>
      </c>
      <c r="I2490" s="4">
        <v>7</v>
      </c>
      <c r="J2490" s="5">
        <v>81</v>
      </c>
      <c r="K2490" s="4">
        <v>9</v>
      </c>
      <c r="L2490" s="1" t="s">
        <v>46</v>
      </c>
      <c r="M2490" s="1" t="s">
        <v>47</v>
      </c>
      <c r="N2490" s="1" t="s">
        <v>17827</v>
      </c>
      <c r="O2490" s="1" t="s">
        <v>48</v>
      </c>
      <c r="P2490" s="1" t="s">
        <v>17828</v>
      </c>
      <c r="Q2490" s="1" t="s">
        <v>145</v>
      </c>
      <c r="R2490" s="1" t="s">
        <v>145</v>
      </c>
      <c r="S2490" s="8">
        <v>4.2000000000000002</v>
      </c>
      <c r="T2490" s="1" t="s">
        <v>50</v>
      </c>
      <c r="U2490" s="1"/>
      <c r="V2490" s="1"/>
      <c r="W2490" s="1"/>
      <c r="X2490" s="5">
        <v>86.299999999999997</v>
      </c>
      <c r="Y2490" s="7">
        <v>9000000</v>
      </c>
      <c r="Z2490" s="1"/>
      <c r="AA2490" s="1" t="s">
        <v>17829</v>
      </c>
      <c r="AB2490" s="1" t="s">
        <v>5265</v>
      </c>
      <c r="AC2490" s="1" t="s">
        <v>7759</v>
      </c>
      <c r="AD2490" s="1" t="s">
        <v>5265</v>
      </c>
      <c r="AE2490" s="1" t="s">
        <v>51</v>
      </c>
      <c r="AF2490" s="1" t="s">
        <v>51</v>
      </c>
      <c r="AG2490" s="1" t="s">
        <v>47</v>
      </c>
      <c r="AH2490" s="1"/>
      <c r="AI2490" s="1"/>
      <c r="AJ2490" s="3">
        <v>2</v>
      </c>
      <c r="AK2490" s="1" t="s">
        <v>89</v>
      </c>
      <c r="AL2490" s="3">
        <v>4</v>
      </c>
      <c r="AM2490" s="8">
        <v>8.9900000000000002</v>
      </c>
      <c r="AN2490" s="1"/>
      <c r="AO2490" s="1" t="s">
        <v>17830</v>
      </c>
      <c r="AP2490" s="1" t="s">
        <v>16220</v>
      </c>
      <c r="AQ2490" s="1" t="s">
        <v>17831</v>
      </c>
      <c r="AR2490" s="1" t="s">
        <v>17832</v>
      </c>
    </row>
    <row r="2491">
      <c r="A2491" s="2">
        <f ca="1">DATE(2010,03,01)</f>
        <v>0</v>
      </c>
      <c r="B2491" s="2">
        <f ca="1">DATE(2010,03,11)</f>
        <v>0</v>
      </c>
      <c r="C2491" s="1" t="s">
        <v>17833</v>
      </c>
      <c r="D2491" s="3">
        <v>4412</v>
      </c>
      <c r="E2491" s="1" t="s">
        <v>3764</v>
      </c>
      <c r="F2491" s="1" t="s">
        <v>17834</v>
      </c>
      <c r="G2491" s="1" t="s">
        <v>17835</v>
      </c>
      <c r="H2491" s="4">
        <v>1.3300000000000001</v>
      </c>
      <c r="I2491" s="4">
        <v>7</v>
      </c>
      <c r="J2491" s="5">
        <v>256.5</v>
      </c>
      <c r="K2491" s="4">
        <v>19</v>
      </c>
      <c r="L2491" s="1" t="s">
        <v>46</v>
      </c>
      <c r="M2491" s="1" t="s">
        <v>47</v>
      </c>
      <c r="N2491" s="1" t="s">
        <v>17836</v>
      </c>
      <c r="O2491" s="1" t="s">
        <v>108</v>
      </c>
      <c r="P2491" s="1" t="s">
        <v>17837</v>
      </c>
      <c r="Q2491" s="4">
        <v>1.3999999999999999</v>
      </c>
      <c r="R2491" s="4">
        <v>1.3999999999999999</v>
      </c>
      <c r="S2491" s="8">
        <v>4.2000000000000002</v>
      </c>
      <c r="T2491" s="1" t="s">
        <v>50</v>
      </c>
      <c r="U2491" s="8">
        <v>21</v>
      </c>
      <c r="V2491" s="8">
        <v>19</v>
      </c>
      <c r="W2491" s="7">
        <v>13500000</v>
      </c>
      <c r="X2491" s="5">
        <v>270</v>
      </c>
      <c r="Y2491" s="7">
        <v>13500000</v>
      </c>
      <c r="Z2491" s="1"/>
      <c r="AA2491" s="1" t="s">
        <v>17838</v>
      </c>
      <c r="AB2491" s="1" t="s">
        <v>2067</v>
      </c>
      <c r="AC2491" s="1" t="s">
        <v>2068</v>
      </c>
      <c r="AD2491" s="1" t="s">
        <v>2067</v>
      </c>
      <c r="AE2491" s="1" t="s">
        <v>51</v>
      </c>
      <c r="AF2491" s="1" t="s">
        <v>51</v>
      </c>
      <c r="AG2491" s="1" t="s">
        <v>51</v>
      </c>
      <c r="AH2491" s="1"/>
      <c r="AI2491" s="1"/>
      <c r="AJ2491" s="3">
        <v>3</v>
      </c>
      <c r="AK2491" s="1" t="s">
        <v>110</v>
      </c>
      <c r="AL2491" s="3">
        <v>9</v>
      </c>
      <c r="AM2491" s="8">
        <v>18.550000000000001</v>
      </c>
      <c r="AN2491" s="1"/>
      <c r="AO2491" s="1" t="s">
        <v>17839</v>
      </c>
      <c r="AP2491" s="1" t="s">
        <v>17840</v>
      </c>
      <c r="AQ2491" s="1" t="s">
        <v>17841</v>
      </c>
      <c r="AR2491" s="1" t="s">
        <v>17842</v>
      </c>
    </row>
    <row r="2492">
      <c r="A2492" s="2">
        <f ca="1">DATE(2009,12,09)</f>
        <v>0</v>
      </c>
      <c r="B2492" s="2">
        <f ca="1">DATE(2010,03,15)</f>
        <v>0</v>
      </c>
      <c r="C2492" s="1" t="s">
        <v>17843</v>
      </c>
      <c r="D2492" s="3">
        <v>6282</v>
      </c>
      <c r="E2492" s="1" t="s">
        <v>43</v>
      </c>
      <c r="F2492" s="1" t="s">
        <v>17844</v>
      </c>
      <c r="G2492" s="1" t="s">
        <v>160</v>
      </c>
      <c r="H2492" s="4">
        <v>0.83999999999999997</v>
      </c>
      <c r="I2492" s="8">
        <v>7</v>
      </c>
      <c r="J2492" s="5">
        <v>127.2</v>
      </c>
      <c r="K2492" s="4">
        <v>12</v>
      </c>
      <c r="L2492" s="1" t="s">
        <v>46</v>
      </c>
      <c r="M2492" s="1" t="s">
        <v>47</v>
      </c>
      <c r="N2492" s="3">
        <v>317485100</v>
      </c>
      <c r="O2492" s="1" t="s">
        <v>48</v>
      </c>
      <c r="P2492" s="1" t="s">
        <v>17845</v>
      </c>
      <c r="Q2492" s="4">
        <v>1.417</v>
      </c>
      <c r="R2492" s="4">
        <v>1.417</v>
      </c>
      <c r="S2492" s="6">
        <v>4.1666699999999999</v>
      </c>
      <c r="T2492" s="1" t="s">
        <v>50</v>
      </c>
      <c r="U2492" s="1"/>
      <c r="V2492" s="1"/>
      <c r="W2492" s="1"/>
      <c r="X2492" s="5">
        <v>100</v>
      </c>
      <c r="Y2492" s="7">
        <v>5868100</v>
      </c>
      <c r="Z2492" s="7">
        <v>4731900</v>
      </c>
      <c r="AA2492" s="1" t="s">
        <v>17846</v>
      </c>
      <c r="AB2492" s="1" t="s">
        <v>2067</v>
      </c>
      <c r="AC2492" s="1" t="s">
        <v>17847</v>
      </c>
      <c r="AD2492" s="1" t="s">
        <v>2067</v>
      </c>
      <c r="AE2492" s="1" t="s">
        <v>51</v>
      </c>
      <c r="AF2492" s="1" t="s">
        <v>51</v>
      </c>
      <c r="AG2492" s="1" t="s">
        <v>47</v>
      </c>
      <c r="AH2492" s="1"/>
      <c r="AI2492" s="1"/>
      <c r="AJ2492" s="3">
        <v>1</v>
      </c>
      <c r="AK2492" s="1" t="s">
        <v>52</v>
      </c>
      <c r="AL2492" s="3">
        <v>4</v>
      </c>
      <c r="AM2492" s="8">
        <v>17.25</v>
      </c>
      <c r="AN2492" s="1"/>
      <c r="AO2492" s="1" t="s">
        <v>17848</v>
      </c>
      <c r="AP2492" s="1" t="s">
        <v>160</v>
      </c>
      <c r="AQ2492" s="1" t="s">
        <v>17849</v>
      </c>
      <c r="AR2492" s="1" t="s">
        <v>17850</v>
      </c>
    </row>
    <row r="2493">
      <c r="A2493" s="2">
        <f ca="1">DATE(2009,10,14)</f>
        <v>0</v>
      </c>
      <c r="B2493" s="2">
        <f ca="1">DATE(2010,03,18)</f>
        <v>0</v>
      </c>
      <c r="C2493" s="1" t="s">
        <v>17851</v>
      </c>
      <c r="D2493" s="3">
        <v>1044</v>
      </c>
      <c r="E2493" s="1" t="s">
        <v>43</v>
      </c>
      <c r="F2493" s="1" t="s">
        <v>17852</v>
      </c>
      <c r="G2493" s="1" t="s">
        <v>17853</v>
      </c>
      <c r="H2493" s="4">
        <v>0.56999999999999995</v>
      </c>
      <c r="I2493" s="4">
        <v>6.7060000000000004</v>
      </c>
      <c r="J2493" s="5">
        <v>34</v>
      </c>
      <c r="K2493" s="8">
        <v>8.5</v>
      </c>
      <c r="L2493" s="1" t="s">
        <v>46</v>
      </c>
      <c r="M2493" s="1" t="s">
        <v>47</v>
      </c>
      <c r="N2493" s="3">
        <v>381119106</v>
      </c>
      <c r="O2493" s="1" t="s">
        <v>3171</v>
      </c>
      <c r="P2493" s="1" t="s">
        <v>17854</v>
      </c>
      <c r="Q2493" s="1" t="s">
        <v>145</v>
      </c>
      <c r="R2493" s="1" t="s">
        <v>145</v>
      </c>
      <c r="S2493" s="1"/>
      <c r="T2493" s="1" t="s">
        <v>60</v>
      </c>
      <c r="U2493" s="8">
        <v>6.75</v>
      </c>
      <c r="V2493" s="8">
        <v>6.75</v>
      </c>
      <c r="W2493" s="1"/>
      <c r="X2493" s="5">
        <v>115</v>
      </c>
      <c r="Y2493" s="7">
        <v>3652234</v>
      </c>
      <c r="Z2493" s="7">
        <v>347766</v>
      </c>
      <c r="AA2493" s="1"/>
      <c r="AB2493" s="1" t="s">
        <v>2067</v>
      </c>
      <c r="AC2493" s="1" t="s">
        <v>2068</v>
      </c>
      <c r="AD2493" s="1" t="s">
        <v>2067</v>
      </c>
      <c r="AE2493" s="1" t="s">
        <v>51</v>
      </c>
      <c r="AF2493" s="1" t="s">
        <v>51</v>
      </c>
      <c r="AG2493" s="1" t="s">
        <v>51</v>
      </c>
      <c r="AH2493" s="1"/>
      <c r="AI2493" s="1"/>
      <c r="AJ2493" s="3">
        <v>2</v>
      </c>
      <c r="AK2493" s="1" t="s">
        <v>89</v>
      </c>
      <c r="AL2493" s="3">
        <v>2</v>
      </c>
      <c r="AM2493" s="5">
        <v>8.1999999999999993</v>
      </c>
      <c r="AN2493" s="5">
        <v>8.0999999999999996</v>
      </c>
      <c r="AO2493" s="1" t="s">
        <v>17855</v>
      </c>
      <c r="AP2493" s="1" t="s">
        <v>17856</v>
      </c>
      <c r="AQ2493" s="1" t="s">
        <v>17857</v>
      </c>
      <c r="AR2493" s="1" t="s">
        <v>17858</v>
      </c>
    </row>
    <row r="2494">
      <c r="A2494" s="2">
        <f ca="1">DATE(2010,01,15)</f>
        <v>0</v>
      </c>
      <c r="B2494" s="2">
        <f ca="1">DATE(2010,03,23)</f>
        <v>0</v>
      </c>
      <c r="C2494" s="1" t="s">
        <v>17859</v>
      </c>
      <c r="D2494" s="3">
        <v>6022</v>
      </c>
      <c r="E2494" s="1" t="s">
        <v>43</v>
      </c>
      <c r="F2494" s="1" t="s">
        <v>17860</v>
      </c>
      <c r="G2494" s="1" t="s">
        <v>17076</v>
      </c>
      <c r="H2494" s="4">
        <v>1.0149999999999999</v>
      </c>
      <c r="I2494" s="8">
        <v>7</v>
      </c>
      <c r="J2494" s="5">
        <v>145</v>
      </c>
      <c r="K2494" s="4">
        <v>14.5</v>
      </c>
      <c r="L2494" s="1" t="s">
        <v>152</v>
      </c>
      <c r="M2494" s="1" t="s">
        <v>47</v>
      </c>
      <c r="N2494" s="1" t="s">
        <v>17861</v>
      </c>
      <c r="O2494" s="1" t="s">
        <v>48</v>
      </c>
      <c r="P2494" s="1" t="s">
        <v>17862</v>
      </c>
      <c r="Q2494" s="1" t="s">
        <v>145</v>
      </c>
      <c r="R2494" s="1" t="s">
        <v>145</v>
      </c>
      <c r="S2494" s="8">
        <v>4.2000000000000002</v>
      </c>
      <c r="T2494" s="1" t="s">
        <v>50</v>
      </c>
      <c r="U2494" s="1"/>
      <c r="V2494" s="1"/>
      <c r="W2494" s="1"/>
      <c r="X2494" s="5">
        <v>115</v>
      </c>
      <c r="Y2494" s="7">
        <v>10000000</v>
      </c>
      <c r="Z2494" s="1"/>
      <c r="AA2494" s="1" t="s">
        <v>17863</v>
      </c>
      <c r="AB2494" s="1" t="s">
        <v>5265</v>
      </c>
      <c r="AC2494" s="1" t="s">
        <v>7759</v>
      </c>
      <c r="AD2494" s="1" t="s">
        <v>5265</v>
      </c>
      <c r="AE2494" s="1" t="s">
        <v>51</v>
      </c>
      <c r="AF2494" s="1" t="s">
        <v>51</v>
      </c>
      <c r="AG2494" s="1" t="s">
        <v>51</v>
      </c>
      <c r="AH2494" s="1"/>
      <c r="AI2494" s="1"/>
      <c r="AJ2494" s="3">
        <v>1</v>
      </c>
      <c r="AK2494" s="1" t="s">
        <v>52</v>
      </c>
      <c r="AL2494" s="3">
        <v>4</v>
      </c>
      <c r="AM2494" s="1"/>
      <c r="AN2494" s="1"/>
      <c r="AO2494" s="1" t="s">
        <v>17864</v>
      </c>
      <c r="AP2494" s="1" t="s">
        <v>17076</v>
      </c>
      <c r="AQ2494" s="1" t="s">
        <v>17865</v>
      </c>
      <c r="AR2494" s="1" t="s">
        <v>17866</v>
      </c>
    </row>
    <row r="2495">
      <c r="A2495" s="2">
        <f ca="1">DATE(2009,11,06)</f>
        <v>0</v>
      </c>
      <c r="B2495" s="2">
        <f ca="1">DATE(2010,03,23)</f>
        <v>0</v>
      </c>
      <c r="C2495" s="1" t="s">
        <v>17867</v>
      </c>
      <c r="D2495" s="3">
        <v>3674</v>
      </c>
      <c r="E2495" s="1" t="s">
        <v>43</v>
      </c>
      <c r="F2495" s="1" t="s">
        <v>17868</v>
      </c>
      <c r="G2495" s="1" t="s">
        <v>12582</v>
      </c>
      <c r="H2495" s="4">
        <v>0.97999999999999998</v>
      </c>
      <c r="I2495" s="8">
        <v>7</v>
      </c>
      <c r="J2495" s="5">
        <v>90.200000000000003</v>
      </c>
      <c r="K2495" s="4">
        <v>14</v>
      </c>
      <c r="L2495" s="1" t="s">
        <v>46</v>
      </c>
      <c r="M2495" s="1" t="s">
        <v>47</v>
      </c>
      <c r="N2495" s="1" t="s">
        <v>17869</v>
      </c>
      <c r="O2495" s="1" t="s">
        <v>108</v>
      </c>
      <c r="P2495" s="1" t="s">
        <v>17870</v>
      </c>
      <c r="Q2495" s="1" t="s">
        <v>145</v>
      </c>
      <c r="R2495" s="1" t="s">
        <v>145</v>
      </c>
      <c r="S2495" s="8">
        <v>4.2000000000000002</v>
      </c>
      <c r="T2495" s="1" t="s">
        <v>50</v>
      </c>
      <c r="U2495" s="1"/>
      <c r="V2495" s="1"/>
      <c r="W2495" s="1"/>
      <c r="X2495" s="5">
        <v>100</v>
      </c>
      <c r="Y2495" s="7">
        <v>5148059</v>
      </c>
      <c r="Z2495" s="7">
        <v>1296041</v>
      </c>
      <c r="AA2495" s="1" t="s">
        <v>17871</v>
      </c>
      <c r="AB2495" s="1" t="s">
        <v>13651</v>
      </c>
      <c r="AC2495" s="1" t="s">
        <v>16884</v>
      </c>
      <c r="AD2495" s="1" t="s">
        <v>13651</v>
      </c>
      <c r="AE2495" s="1" t="s">
        <v>51</v>
      </c>
      <c r="AF2495" s="1" t="s">
        <v>51</v>
      </c>
      <c r="AG2495" s="1" t="s">
        <v>47</v>
      </c>
      <c r="AH2495" s="1"/>
      <c r="AI2495" s="1"/>
      <c r="AJ2495" s="3">
        <v>2</v>
      </c>
      <c r="AK2495" s="1" t="s">
        <v>89</v>
      </c>
      <c r="AL2495" s="3">
        <v>5</v>
      </c>
      <c r="AM2495" s="8">
        <v>18.699999999999999</v>
      </c>
      <c r="AN2495" s="1"/>
      <c r="AO2495" s="1" t="s">
        <v>17872</v>
      </c>
      <c r="AP2495" s="1" t="s">
        <v>10216</v>
      </c>
      <c r="AQ2495" s="1" t="s">
        <v>17873</v>
      </c>
      <c r="AR2495" s="1" t="s">
        <v>17874</v>
      </c>
    </row>
    <row r="2496">
      <c r="A2496" s="2">
        <f ca="1">DATE(2009,11,20)</f>
        <v>0</v>
      </c>
      <c r="B2496" s="2">
        <f ca="1">DATE(2010,03,24)</f>
        <v>0</v>
      </c>
      <c r="C2496" s="1" t="s">
        <v>17875</v>
      </c>
      <c r="D2496" s="3">
        <v>4899</v>
      </c>
      <c r="E2496" s="1" t="s">
        <v>43</v>
      </c>
      <c r="F2496" s="1" t="s">
        <v>17876</v>
      </c>
      <c r="G2496" s="1" t="s">
        <v>17877</v>
      </c>
      <c r="H2496" s="4">
        <v>0.91000000000000003</v>
      </c>
      <c r="I2496" s="4">
        <v>7</v>
      </c>
      <c r="J2496" s="5">
        <v>82.299999999999997</v>
      </c>
      <c r="K2496" s="4">
        <v>13</v>
      </c>
      <c r="L2496" s="1" t="s">
        <v>46</v>
      </c>
      <c r="M2496" s="1" t="s">
        <v>47</v>
      </c>
      <c r="N2496" s="1" t="s">
        <v>17878</v>
      </c>
      <c r="O2496" s="1" t="s">
        <v>108</v>
      </c>
      <c r="P2496" s="1" t="s">
        <v>17879</v>
      </c>
      <c r="Q2496" s="4">
        <v>1.3999999999999999</v>
      </c>
      <c r="R2496" s="4">
        <v>1.3999999999999999</v>
      </c>
      <c r="S2496" s="8">
        <v>4.2000000000000002</v>
      </c>
      <c r="T2496" s="1" t="s">
        <v>50</v>
      </c>
      <c r="U2496" s="1"/>
      <c r="V2496" s="1"/>
      <c r="W2496" s="1"/>
      <c r="X2496" s="5">
        <v>100</v>
      </c>
      <c r="Y2496" s="7">
        <v>4166666</v>
      </c>
      <c r="Z2496" s="7">
        <v>2162266</v>
      </c>
      <c r="AA2496" s="1" t="s">
        <v>17880</v>
      </c>
      <c r="AB2496" s="1" t="s">
        <v>5265</v>
      </c>
      <c r="AC2496" s="1" t="s">
        <v>17881</v>
      </c>
      <c r="AD2496" s="1" t="s">
        <v>5265</v>
      </c>
      <c r="AE2496" s="1" t="s">
        <v>51</v>
      </c>
      <c r="AF2496" s="1" t="s">
        <v>51</v>
      </c>
      <c r="AG2496" s="1" t="s">
        <v>47</v>
      </c>
      <c r="AH2496" s="1"/>
      <c r="AI2496" s="1"/>
      <c r="AJ2496" s="3">
        <v>4</v>
      </c>
      <c r="AK2496" s="1" t="s">
        <v>1209</v>
      </c>
      <c r="AL2496" s="3">
        <v>4</v>
      </c>
      <c r="AM2496" s="8">
        <v>15.1</v>
      </c>
      <c r="AN2496" s="1"/>
      <c r="AO2496" s="1" t="s">
        <v>17882</v>
      </c>
      <c r="AP2496" s="1" t="s">
        <v>17883</v>
      </c>
      <c r="AQ2496" s="1" t="s">
        <v>17884</v>
      </c>
      <c r="AR2496" s="1" t="s">
        <v>17879</v>
      </c>
    </row>
    <row r="2497">
      <c r="A2497" s="2">
        <f ca="1">DATE(2009,11,25)</f>
        <v>0</v>
      </c>
      <c r="B2497" s="2">
        <f ca="1">DATE(2010,03,24)</f>
        <v>0</v>
      </c>
      <c r="C2497" s="1" t="s">
        <v>17885</v>
      </c>
      <c r="D2497" s="3">
        <v>2834</v>
      </c>
      <c r="E2497" s="1" t="s">
        <v>43</v>
      </c>
      <c r="F2497" s="1" t="s">
        <v>17886</v>
      </c>
      <c r="G2497" s="1" t="s">
        <v>10277</v>
      </c>
      <c r="H2497" s="4">
        <v>0.55300000000000005</v>
      </c>
      <c r="I2497" s="4">
        <v>8.5</v>
      </c>
      <c r="J2497" s="5">
        <v>25</v>
      </c>
      <c r="K2497" s="4">
        <v>6.5</v>
      </c>
      <c r="L2497" s="1" t="s">
        <v>31</v>
      </c>
      <c r="M2497" s="1" t="s">
        <v>47</v>
      </c>
      <c r="N2497" s="1" t="s">
        <v>17887</v>
      </c>
      <c r="O2497" s="1" t="s">
        <v>16605</v>
      </c>
      <c r="P2497" s="1" t="s">
        <v>10678</v>
      </c>
      <c r="Q2497" s="1" t="s">
        <v>145</v>
      </c>
      <c r="R2497" s="1" t="s">
        <v>145</v>
      </c>
      <c r="S2497" s="8">
        <v>5.5</v>
      </c>
      <c r="T2497" s="1" t="s">
        <v>50</v>
      </c>
      <c r="U2497" s="1"/>
      <c r="V2497" s="1"/>
      <c r="W2497" s="1"/>
      <c r="X2497" s="5">
        <v>18</v>
      </c>
      <c r="Y2497" s="7">
        <v>3850000</v>
      </c>
      <c r="Z2497" s="1"/>
      <c r="AA2497" s="1" t="s">
        <v>17888</v>
      </c>
      <c r="AB2497" s="1" t="s">
        <v>5265</v>
      </c>
      <c r="AC2497" s="1" t="s">
        <v>7759</v>
      </c>
      <c r="AD2497" s="1" t="s">
        <v>5265</v>
      </c>
      <c r="AE2497" s="1" t="s">
        <v>51</v>
      </c>
      <c r="AF2497" s="1" t="s">
        <v>51</v>
      </c>
      <c r="AG2497" s="1" t="s">
        <v>51</v>
      </c>
      <c r="AH2497" s="1"/>
      <c r="AI2497" s="1"/>
      <c r="AJ2497" s="3">
        <v>1</v>
      </c>
      <c r="AK2497" s="1" t="s">
        <v>52</v>
      </c>
      <c r="AL2497" s="3">
        <v>1</v>
      </c>
      <c r="AM2497" s="1"/>
      <c r="AN2497" s="1"/>
      <c r="AO2497" s="1" t="s">
        <v>10277</v>
      </c>
      <c r="AP2497" s="1" t="s">
        <v>10277</v>
      </c>
      <c r="AQ2497" s="1" t="s">
        <v>10277</v>
      </c>
      <c r="AR2497" s="1" t="s">
        <v>10678</v>
      </c>
    </row>
    <row r="2498">
      <c r="A2498" s="2">
        <f ca="1">DATE(2010,03,05)</f>
        <v>0</v>
      </c>
      <c r="B2498" s="2">
        <f ca="1">DATE(2010,03,25)</f>
        <v>0</v>
      </c>
      <c r="C2498" s="1" t="s">
        <v>17889</v>
      </c>
      <c r="D2498" s="3">
        <v>7011</v>
      </c>
      <c r="E2498" s="1" t="s">
        <v>744</v>
      </c>
      <c r="F2498" s="1" t="s">
        <v>17890</v>
      </c>
      <c r="G2498" s="1" t="s">
        <v>4160</v>
      </c>
      <c r="H2498" s="4">
        <v>0.85799999999999998</v>
      </c>
      <c r="I2498" s="4">
        <v>7</v>
      </c>
      <c r="J2498" s="5">
        <v>110.3</v>
      </c>
      <c r="K2498" s="4">
        <v>12.25</v>
      </c>
      <c r="L2498" s="1" t="s">
        <v>651</v>
      </c>
      <c r="M2498" s="1" t="s">
        <v>47</v>
      </c>
      <c r="N2498" s="1" t="s">
        <v>17891</v>
      </c>
      <c r="O2498" s="1" t="s">
        <v>48</v>
      </c>
      <c r="P2498" s="1" t="s">
        <v>17892</v>
      </c>
      <c r="Q2498" s="4">
        <v>1.3999999999999999</v>
      </c>
      <c r="R2498" s="4">
        <v>1.3999999999999999</v>
      </c>
      <c r="S2498" s="8">
        <v>4.2000000000000002</v>
      </c>
      <c r="T2498" s="1" t="s">
        <v>50</v>
      </c>
      <c r="U2498" s="1"/>
      <c r="V2498" s="1"/>
      <c r="W2498" s="1"/>
      <c r="X2498" s="5">
        <v>50</v>
      </c>
      <c r="Y2498" s="7">
        <v>9000000</v>
      </c>
      <c r="Z2498" s="1"/>
      <c r="AA2498" s="1" t="s">
        <v>17893</v>
      </c>
      <c r="AB2498" s="1" t="s">
        <v>5265</v>
      </c>
      <c r="AC2498" s="1" t="s">
        <v>7759</v>
      </c>
      <c r="AD2498" s="1" t="s">
        <v>5265</v>
      </c>
      <c r="AE2498" s="1" t="s">
        <v>47</v>
      </c>
      <c r="AF2498" s="1" t="s">
        <v>51</v>
      </c>
      <c r="AG2498" s="1" t="s">
        <v>47</v>
      </c>
      <c r="AH2498" s="1"/>
      <c r="AI2498" s="1"/>
      <c r="AJ2498" s="3">
        <v>2</v>
      </c>
      <c r="AK2498" s="1" t="s">
        <v>89</v>
      </c>
      <c r="AL2498" s="3">
        <v>3</v>
      </c>
      <c r="AM2498" s="8">
        <v>13.92</v>
      </c>
      <c r="AN2498" s="1"/>
      <c r="AO2498" s="1" t="s">
        <v>17894</v>
      </c>
      <c r="AP2498" s="1" t="s">
        <v>4164</v>
      </c>
      <c r="AQ2498" s="1" t="s">
        <v>17895</v>
      </c>
      <c r="AR2498" s="1" t="s">
        <v>17892</v>
      </c>
    </row>
    <row r="2499">
      <c r="A2499" s="2">
        <f ca="1">DATE(2009,12,18)</f>
        <v>0</v>
      </c>
      <c r="B2499" s="2">
        <f ca="1">DATE(2010,03,30)</f>
        <v>0</v>
      </c>
      <c r="C2499" s="1" t="s">
        <v>17896</v>
      </c>
      <c r="D2499" s="3">
        <v>3577</v>
      </c>
      <c r="E2499" s="1" t="s">
        <v>43</v>
      </c>
      <c r="F2499" s="1" t="s">
        <v>17897</v>
      </c>
      <c r="G2499" s="1" t="s">
        <v>45</v>
      </c>
      <c r="H2499" s="4">
        <v>1.05</v>
      </c>
      <c r="I2499" s="4">
        <v>7</v>
      </c>
      <c r="J2499" s="5">
        <v>65.799999999999997</v>
      </c>
      <c r="K2499" s="4">
        <v>15</v>
      </c>
      <c r="L2499" s="1" t="s">
        <v>46</v>
      </c>
      <c r="M2499" s="1" t="s">
        <v>47</v>
      </c>
      <c r="N2499" s="1" t="s">
        <v>17898</v>
      </c>
      <c r="O2499" s="1" t="s">
        <v>48</v>
      </c>
      <c r="P2499" s="1" t="s">
        <v>17899</v>
      </c>
      <c r="Q2499" s="4">
        <v>1.3999999999999999</v>
      </c>
      <c r="R2499" s="4">
        <v>1.3999999999999999</v>
      </c>
      <c r="S2499" s="8">
        <v>4.2000000000000002</v>
      </c>
      <c r="T2499" s="1" t="s">
        <v>50</v>
      </c>
      <c r="U2499" s="1"/>
      <c r="V2499" s="1"/>
      <c r="W2499" s="1"/>
      <c r="X2499" s="5">
        <v>86.299999999999997</v>
      </c>
      <c r="Y2499" s="7">
        <v>3575000</v>
      </c>
      <c r="Z2499" s="7">
        <v>811784</v>
      </c>
      <c r="AA2499" s="1" t="s">
        <v>17900</v>
      </c>
      <c r="AB2499" s="1" t="s">
        <v>2067</v>
      </c>
      <c r="AC2499" s="1" t="s">
        <v>2068</v>
      </c>
      <c r="AD2499" s="1" t="s">
        <v>2067</v>
      </c>
      <c r="AE2499" s="1" t="s">
        <v>51</v>
      </c>
      <c r="AF2499" s="1" t="s">
        <v>51</v>
      </c>
      <c r="AG2499" s="1" t="s">
        <v>47</v>
      </c>
      <c r="AH2499" s="1"/>
      <c r="AI2499" s="1"/>
      <c r="AJ2499" s="3">
        <v>1</v>
      </c>
      <c r="AK2499" s="1" t="s">
        <v>52</v>
      </c>
      <c r="AL2499" s="3">
        <v>5</v>
      </c>
      <c r="AM2499" s="8">
        <v>19.170000000000002</v>
      </c>
      <c r="AN2499" s="1"/>
      <c r="AO2499" s="1" t="s">
        <v>17901</v>
      </c>
      <c r="AP2499" s="1" t="s">
        <v>45</v>
      </c>
      <c r="AQ2499" s="1" t="s">
        <v>17902</v>
      </c>
      <c r="AR2499" s="1" t="s">
        <v>17903</v>
      </c>
    </row>
    <row r="2500">
      <c r="A2500" s="2">
        <f ca="1">DATE(2009,12,28)</f>
        <v>0</v>
      </c>
      <c r="B2500" s="2">
        <f ca="1">DATE(2010,03,30)</f>
        <v>0</v>
      </c>
      <c r="C2500" s="1" t="s">
        <v>17904</v>
      </c>
      <c r="D2500" s="3">
        <v>7372</v>
      </c>
      <c r="E2500" s="1" t="s">
        <v>43</v>
      </c>
      <c r="F2500" s="1" t="s">
        <v>17905</v>
      </c>
      <c r="G2500" s="1" t="s">
        <v>17906</v>
      </c>
      <c r="H2500" s="4">
        <v>1.05</v>
      </c>
      <c r="I2500" s="4">
        <v>7</v>
      </c>
      <c r="J2500" s="5">
        <v>160.90000000000001</v>
      </c>
      <c r="K2500" s="4">
        <v>15</v>
      </c>
      <c r="L2500" s="1" t="s">
        <v>46</v>
      </c>
      <c r="M2500" s="1" t="s">
        <v>47</v>
      </c>
      <c r="N2500" s="1" t="s">
        <v>17907</v>
      </c>
      <c r="O2500" s="1" t="s">
        <v>48</v>
      </c>
      <c r="P2500" s="1" t="s">
        <v>17908</v>
      </c>
      <c r="Q2500" s="1" t="s">
        <v>145</v>
      </c>
      <c r="R2500" s="1" t="s">
        <v>145</v>
      </c>
      <c r="S2500" s="8">
        <v>4.2000000000000002</v>
      </c>
      <c r="T2500" s="1" t="s">
        <v>50</v>
      </c>
      <c r="U2500" s="1"/>
      <c r="V2500" s="1"/>
      <c r="W2500" s="1"/>
      <c r="X2500" s="5">
        <v>300</v>
      </c>
      <c r="Y2500" s="7">
        <v>8225000</v>
      </c>
      <c r="Z2500" s="7">
        <v>2500000</v>
      </c>
      <c r="AA2500" s="1" t="s">
        <v>17900</v>
      </c>
      <c r="AB2500" s="1" t="s">
        <v>2067</v>
      </c>
      <c r="AC2500" s="1" t="s">
        <v>2068</v>
      </c>
      <c r="AD2500" s="1" t="s">
        <v>2067</v>
      </c>
      <c r="AE2500" s="1" t="s">
        <v>51</v>
      </c>
      <c r="AF2500" s="1" t="s">
        <v>51</v>
      </c>
      <c r="AG2500" s="1" t="s">
        <v>51</v>
      </c>
      <c r="AH2500" s="1"/>
      <c r="AI2500" s="1"/>
      <c r="AJ2500" s="3">
        <v>4</v>
      </c>
      <c r="AK2500" s="1" t="s">
        <v>1209</v>
      </c>
      <c r="AL2500" s="3">
        <v>7</v>
      </c>
      <c r="AM2500" s="8">
        <v>15.08</v>
      </c>
      <c r="AN2500" s="1"/>
      <c r="AO2500" s="1" t="s">
        <v>17909</v>
      </c>
      <c r="AP2500" s="1" t="s">
        <v>17910</v>
      </c>
      <c r="AQ2500" s="1" t="s">
        <v>17911</v>
      </c>
      <c r="AR2500" s="1" t="s">
        <v>17912</v>
      </c>
    </row>
    <row r="2501">
      <c r="A2501" s="2">
        <f ca="1">DATE(2010,02,17)</f>
        <v>0</v>
      </c>
      <c r="B2501" s="2">
        <f ca="1">DATE(2010,03,30)</f>
        <v>0</v>
      </c>
      <c r="C2501" s="1" t="s">
        <v>17913</v>
      </c>
      <c r="D2501" s="3">
        <v>4412</v>
      </c>
      <c r="E2501" s="1" t="s">
        <v>17914</v>
      </c>
      <c r="F2501" s="1" t="s">
        <v>17915</v>
      </c>
      <c r="G2501" s="1" t="s">
        <v>17808</v>
      </c>
      <c r="H2501" s="4">
        <v>0.91000000000000003</v>
      </c>
      <c r="I2501" s="4">
        <v>7</v>
      </c>
      <c r="J2501" s="5">
        <v>162.5</v>
      </c>
      <c r="K2501" s="4">
        <v>13</v>
      </c>
      <c r="L2501" s="1" t="s">
        <v>46</v>
      </c>
      <c r="M2501" s="1" t="s">
        <v>47</v>
      </c>
      <c r="N2501" s="1" t="s">
        <v>17916</v>
      </c>
      <c r="O2501" s="1" t="s">
        <v>108</v>
      </c>
      <c r="P2501" s="1" t="s">
        <v>17917</v>
      </c>
      <c r="Q2501" s="1" t="s">
        <v>145</v>
      </c>
      <c r="R2501" s="1" t="s">
        <v>145</v>
      </c>
      <c r="S2501" s="8">
        <v>4.2000000000000002</v>
      </c>
      <c r="T2501" s="1" t="s">
        <v>50</v>
      </c>
      <c r="U2501" s="1"/>
      <c r="V2501" s="1"/>
      <c r="W2501" s="1"/>
      <c r="X2501" s="5">
        <v>150</v>
      </c>
      <c r="Y2501" s="7">
        <v>12500000</v>
      </c>
      <c r="Z2501" s="1"/>
      <c r="AA2501" s="1" t="s">
        <v>17918</v>
      </c>
      <c r="AB2501" s="1" t="s">
        <v>5265</v>
      </c>
      <c r="AC2501" s="1" t="s">
        <v>7759</v>
      </c>
      <c r="AD2501" s="1" t="s">
        <v>5265</v>
      </c>
      <c r="AE2501" s="1" t="s">
        <v>51</v>
      </c>
      <c r="AF2501" s="1" t="s">
        <v>51</v>
      </c>
      <c r="AG2501" s="1" t="s">
        <v>51</v>
      </c>
      <c r="AH2501" s="1"/>
      <c r="AI2501" s="1"/>
      <c r="AJ2501" s="3">
        <v>2</v>
      </c>
      <c r="AK2501" s="1" t="s">
        <v>89</v>
      </c>
      <c r="AL2501" s="3">
        <v>6</v>
      </c>
      <c r="AM2501" s="8">
        <v>12.560000000000001</v>
      </c>
      <c r="AN2501" s="1"/>
      <c r="AO2501" s="1" t="s">
        <v>17919</v>
      </c>
      <c r="AP2501" s="1" t="s">
        <v>17814</v>
      </c>
      <c r="AQ2501" s="1" t="s">
        <v>17920</v>
      </c>
      <c r="AR2501" s="1" t="s">
        <v>17917</v>
      </c>
    </row>
    <row r="2502">
      <c r="A2502" s="2">
        <f ca="1">DATE(2009,11,05)</f>
        <v>0</v>
      </c>
      <c r="B2502" s="2">
        <f ca="1">DATE(2010,03,31)</f>
        <v>0</v>
      </c>
      <c r="C2502" s="1" t="s">
        <v>17921</v>
      </c>
      <c r="D2502" s="3">
        <v>6311</v>
      </c>
      <c r="E2502" s="1" t="s">
        <v>43</v>
      </c>
      <c r="F2502" s="1" t="s">
        <v>17922</v>
      </c>
      <c r="G2502" s="1" t="s">
        <v>15222</v>
      </c>
      <c r="H2502" s="4">
        <v>1.05</v>
      </c>
      <c r="I2502" s="4">
        <v>7</v>
      </c>
      <c r="J2502" s="5">
        <v>320.39999999999998</v>
      </c>
      <c r="K2502" s="4">
        <v>15</v>
      </c>
      <c r="L2502" s="1" t="s">
        <v>46</v>
      </c>
      <c r="M2502" s="1" t="s">
        <v>47</v>
      </c>
      <c r="N2502" s="1" t="s">
        <v>17923</v>
      </c>
      <c r="O2502" s="1" t="s">
        <v>108</v>
      </c>
      <c r="P2502" s="1" t="s">
        <v>17924</v>
      </c>
      <c r="Q2502" s="1" t="s">
        <v>145</v>
      </c>
      <c r="R2502" s="1" t="s">
        <v>145</v>
      </c>
      <c r="S2502" s="1"/>
      <c r="T2502" s="1" t="s">
        <v>50</v>
      </c>
      <c r="U2502" s="1"/>
      <c r="V2502" s="1"/>
      <c r="W2502" s="1"/>
      <c r="X2502" s="5">
        <v>100</v>
      </c>
      <c r="Y2502" s="1"/>
      <c r="Z2502" s="7">
        <v>21360000</v>
      </c>
      <c r="AA2502" s="1" t="s">
        <v>17925</v>
      </c>
      <c r="AB2502" s="1" t="s">
        <v>5265</v>
      </c>
      <c r="AC2502" s="1" t="s">
        <v>7759</v>
      </c>
      <c r="AD2502" s="1" t="s">
        <v>5265</v>
      </c>
      <c r="AE2502" s="1" t="s">
        <v>51</v>
      </c>
      <c r="AF2502" s="1" t="s">
        <v>51</v>
      </c>
      <c r="AG2502" s="1" t="s">
        <v>51</v>
      </c>
      <c r="AH2502" s="1" t="s">
        <v>4915</v>
      </c>
      <c r="AI2502" s="1" t="s">
        <v>4916</v>
      </c>
      <c r="AJ2502" s="3">
        <v>1</v>
      </c>
      <c r="AK2502" s="1" t="s">
        <v>52</v>
      </c>
      <c r="AL2502" s="3">
        <v>12</v>
      </c>
      <c r="AM2502" s="8">
        <v>19.649999999999999</v>
      </c>
      <c r="AN2502" s="1"/>
      <c r="AO2502" s="1" t="s">
        <v>17926</v>
      </c>
      <c r="AP2502" s="1" t="s">
        <v>15222</v>
      </c>
      <c r="AQ2502" s="1" t="s">
        <v>17927</v>
      </c>
      <c r="AR2502" s="1" t="s">
        <v>17928</v>
      </c>
    </row>
    <row r="2503">
      <c r="A2503" s="2">
        <f ca="1">DATE(2008,05,19)</f>
        <v>0</v>
      </c>
      <c r="B2503" s="2">
        <f ca="1">DATE(2010,04,08)</f>
        <v>0</v>
      </c>
      <c r="C2503" s="1" t="s">
        <v>17929</v>
      </c>
      <c r="D2503" s="3">
        <v>5051</v>
      </c>
      <c r="E2503" s="1" t="s">
        <v>43</v>
      </c>
      <c r="F2503" s="1" t="s">
        <v>17930</v>
      </c>
      <c r="G2503" s="1" t="s">
        <v>13075</v>
      </c>
      <c r="H2503" s="4">
        <v>1.29</v>
      </c>
      <c r="I2503" s="4">
        <v>6.1429999999999998</v>
      </c>
      <c r="J2503" s="5">
        <v>240</v>
      </c>
      <c r="K2503" s="4">
        <v>21</v>
      </c>
      <c r="L2503" s="1" t="s">
        <v>46</v>
      </c>
      <c r="M2503" s="1" t="s">
        <v>47</v>
      </c>
      <c r="N2503" s="1" t="s">
        <v>17931</v>
      </c>
      <c r="O2503" s="1" t="s">
        <v>108</v>
      </c>
      <c r="P2503" s="1" t="s">
        <v>17932</v>
      </c>
      <c r="Q2503" s="4">
        <v>1.2250000000000001</v>
      </c>
      <c r="R2503" s="4">
        <v>1.2250000000000001</v>
      </c>
      <c r="S2503" s="4">
        <v>3.6749999999999998</v>
      </c>
      <c r="T2503" s="1" t="s">
        <v>50</v>
      </c>
      <c r="U2503" s="1"/>
      <c r="V2503" s="1"/>
      <c r="W2503" s="1"/>
      <c r="X2503" s="5">
        <v>200</v>
      </c>
      <c r="Y2503" s="7">
        <v>11426315</v>
      </c>
      <c r="Z2503" s="1"/>
      <c r="AA2503" s="1" t="s">
        <v>17933</v>
      </c>
      <c r="AB2503" s="1" t="s">
        <v>5265</v>
      </c>
      <c r="AC2503" s="1" t="s">
        <v>7759</v>
      </c>
      <c r="AD2503" s="1" t="s">
        <v>5265</v>
      </c>
      <c r="AE2503" s="1" t="s">
        <v>51</v>
      </c>
      <c r="AF2503" s="1" t="s">
        <v>51</v>
      </c>
      <c r="AG2503" s="1" t="s">
        <v>51</v>
      </c>
      <c r="AH2503" s="1"/>
      <c r="AI2503" s="1"/>
      <c r="AJ2503" s="3">
        <v>4</v>
      </c>
      <c r="AK2503" s="1" t="s">
        <v>3985</v>
      </c>
      <c r="AL2503" s="3">
        <v>9</v>
      </c>
      <c r="AM2503" s="8">
        <v>19.199999999999999</v>
      </c>
      <c r="AN2503" s="1"/>
      <c r="AO2503" s="1" t="s">
        <v>17934</v>
      </c>
      <c r="AP2503" s="1" t="s">
        <v>17935</v>
      </c>
      <c r="AQ2503" s="1" t="s">
        <v>17936</v>
      </c>
      <c r="AR2503" s="1" t="s">
        <v>17937</v>
      </c>
    </row>
    <row r="2504">
      <c r="A2504" s="2">
        <f ca="1">DATE(2009,12,24)</f>
        <v>0</v>
      </c>
      <c r="B2504" s="2">
        <f ca="1">DATE(2010,04,09)</f>
        <v>0</v>
      </c>
      <c r="C2504" s="1" t="s">
        <v>17938</v>
      </c>
      <c r="D2504" s="3">
        <v>2836</v>
      </c>
      <c r="E2504" s="1" t="s">
        <v>43</v>
      </c>
      <c r="F2504" s="1" t="s">
        <v>17939</v>
      </c>
      <c r="G2504" s="1" t="s">
        <v>17940</v>
      </c>
      <c r="H2504" s="4">
        <v>0.34999999999999998</v>
      </c>
      <c r="I2504" s="8">
        <v>7</v>
      </c>
      <c r="J2504" s="5">
        <v>30</v>
      </c>
      <c r="K2504" s="4">
        <v>5</v>
      </c>
      <c r="L2504" s="1" t="s">
        <v>46</v>
      </c>
      <c r="M2504" s="1" t="s">
        <v>47</v>
      </c>
      <c r="N2504" s="1" t="s">
        <v>17941</v>
      </c>
      <c r="O2504" s="1" t="s">
        <v>48</v>
      </c>
      <c r="P2504" s="1" t="s">
        <v>17942</v>
      </c>
      <c r="Q2504" s="1" t="s">
        <v>145</v>
      </c>
      <c r="R2504" s="1" t="s">
        <v>145</v>
      </c>
      <c r="S2504" s="8">
        <v>4.2000000000000002</v>
      </c>
      <c r="T2504" s="1" t="s">
        <v>50</v>
      </c>
      <c r="U2504" s="1"/>
      <c r="V2504" s="1"/>
      <c r="W2504" s="1"/>
      <c r="X2504" s="5">
        <v>40.299999999999997</v>
      </c>
      <c r="Y2504" s="7">
        <v>6000000</v>
      </c>
      <c r="Z2504" s="1"/>
      <c r="AA2504" s="1" t="s">
        <v>17943</v>
      </c>
      <c r="AB2504" s="1" t="s">
        <v>5265</v>
      </c>
      <c r="AC2504" s="1" t="s">
        <v>7759</v>
      </c>
      <c r="AD2504" s="1" t="s">
        <v>5265</v>
      </c>
      <c r="AE2504" s="1" t="s">
        <v>51</v>
      </c>
      <c r="AF2504" s="1" t="s">
        <v>51</v>
      </c>
      <c r="AG2504" s="1" t="s">
        <v>47</v>
      </c>
      <c r="AH2504" s="1"/>
      <c r="AI2504" s="1"/>
      <c r="AJ2504" s="3">
        <v>2</v>
      </c>
      <c r="AK2504" s="1" t="s">
        <v>89</v>
      </c>
      <c r="AL2504" s="3">
        <v>2</v>
      </c>
      <c r="AM2504" s="8">
        <v>5.0199999999999996</v>
      </c>
      <c r="AN2504" s="1"/>
      <c r="AO2504" s="1" t="s">
        <v>17944</v>
      </c>
      <c r="AP2504" s="1" t="s">
        <v>17945</v>
      </c>
      <c r="AQ2504" s="1" t="s">
        <v>17946</v>
      </c>
      <c r="AR2504" s="1" t="s">
        <v>17942</v>
      </c>
    </row>
    <row r="2505">
      <c r="A2505" s="2">
        <f ca="1">DATE(2009,11,23)</f>
        <v>0</v>
      </c>
      <c r="B2505" s="2">
        <f ca="1">DATE(2010,04,14)</f>
        <v>0</v>
      </c>
      <c r="C2505" s="1" t="s">
        <v>17947</v>
      </c>
      <c r="D2505" s="3">
        <v>6726</v>
      </c>
      <c r="E2505" s="1" t="s">
        <v>43</v>
      </c>
      <c r="F2505" s="1" t="s">
        <v>17948</v>
      </c>
      <c r="G2505" s="1" t="s">
        <v>17949</v>
      </c>
      <c r="H2505" s="4">
        <v>1.0149999999999999</v>
      </c>
      <c r="I2505" s="8">
        <v>7</v>
      </c>
      <c r="J2505" s="5">
        <v>103</v>
      </c>
      <c r="K2505" s="4">
        <v>14.5</v>
      </c>
      <c r="L2505" s="1" t="s">
        <v>46</v>
      </c>
      <c r="M2505" s="1" t="s">
        <v>47</v>
      </c>
      <c r="N2505" s="1" t="s">
        <v>17950</v>
      </c>
      <c r="O2505" s="1" t="s">
        <v>48</v>
      </c>
      <c r="P2505" s="1" t="s">
        <v>17951</v>
      </c>
      <c r="Q2505" s="1" t="s">
        <v>145</v>
      </c>
      <c r="R2505" s="1" t="s">
        <v>145</v>
      </c>
      <c r="S2505" s="8">
        <v>4.2000000000000002</v>
      </c>
      <c r="T2505" s="1" t="s">
        <v>50</v>
      </c>
      <c r="U2505" s="1"/>
      <c r="V2505" s="1"/>
      <c r="W2505" s="1"/>
      <c r="X2505" s="5">
        <v>172.5</v>
      </c>
      <c r="Y2505" s="7">
        <v>7100000</v>
      </c>
      <c r="Z2505" s="1"/>
      <c r="AA2505" s="1" t="s">
        <v>17952</v>
      </c>
      <c r="AB2505" s="1" t="s">
        <v>5265</v>
      </c>
      <c r="AC2505" s="1" t="s">
        <v>7759</v>
      </c>
      <c r="AD2505" s="1" t="s">
        <v>5265</v>
      </c>
      <c r="AE2505" s="1" t="s">
        <v>51</v>
      </c>
      <c r="AF2505" s="1" t="s">
        <v>51</v>
      </c>
      <c r="AG2505" s="1" t="s">
        <v>51</v>
      </c>
      <c r="AH2505" s="1"/>
      <c r="AI2505" s="1"/>
      <c r="AJ2505" s="3">
        <v>2</v>
      </c>
      <c r="AK2505" s="1" t="s">
        <v>89</v>
      </c>
      <c r="AL2505" s="3">
        <v>6</v>
      </c>
      <c r="AM2505" s="8">
        <v>14.710000000000001</v>
      </c>
      <c r="AN2505" s="1"/>
      <c r="AO2505" s="1" t="s">
        <v>17953</v>
      </c>
      <c r="AP2505" s="1" t="s">
        <v>17954</v>
      </c>
      <c r="AQ2505" s="1" t="s">
        <v>17955</v>
      </c>
      <c r="AR2505" s="1" t="s">
        <v>17951</v>
      </c>
    </row>
    <row r="2506">
      <c r="A2506" s="2">
        <f ca="1">DATE(2009,11,04)</f>
        <v>0</v>
      </c>
      <c r="B2506" s="2">
        <f ca="1">DATE(2010,04,15)</f>
        <v>0</v>
      </c>
      <c r="C2506" s="1" t="s">
        <v>17956</v>
      </c>
      <c r="D2506" s="3">
        <v>6798</v>
      </c>
      <c r="E2506" s="1" t="s">
        <v>43</v>
      </c>
      <c r="F2506" s="1" t="s">
        <v>17957</v>
      </c>
      <c r="G2506" s="1" t="s">
        <v>17958</v>
      </c>
      <c r="H2506" s="4">
        <v>1.3999999999999999</v>
      </c>
      <c r="I2506" s="8">
        <v>7</v>
      </c>
      <c r="J2506" s="5">
        <v>150</v>
      </c>
      <c r="K2506" s="4">
        <v>20</v>
      </c>
      <c r="L2506" s="1" t="s">
        <v>46</v>
      </c>
      <c r="M2506" s="1" t="s">
        <v>47</v>
      </c>
      <c r="N2506" s="1" t="s">
        <v>17959</v>
      </c>
      <c r="O2506" s="1" t="s">
        <v>108</v>
      </c>
      <c r="P2506" s="1" t="s">
        <v>17960</v>
      </c>
      <c r="Q2506" s="1" t="s">
        <v>145</v>
      </c>
      <c r="R2506" s="1" t="s">
        <v>145</v>
      </c>
      <c r="S2506" s="8">
        <v>4</v>
      </c>
      <c r="T2506" s="1" t="s">
        <v>50</v>
      </c>
      <c r="U2506" s="1"/>
      <c r="V2506" s="1"/>
      <c r="W2506" s="1"/>
      <c r="X2506" s="5">
        <v>230</v>
      </c>
      <c r="Y2506" s="7">
        <v>7500000</v>
      </c>
      <c r="Z2506" s="1"/>
      <c r="AA2506" s="1" t="s">
        <v>17961</v>
      </c>
      <c r="AB2506" s="1" t="s">
        <v>2067</v>
      </c>
      <c r="AC2506" s="1" t="s">
        <v>2068</v>
      </c>
      <c r="AD2506" s="1" t="s">
        <v>2067</v>
      </c>
      <c r="AE2506" s="1" t="s">
        <v>51</v>
      </c>
      <c r="AF2506" s="1" t="s">
        <v>51</v>
      </c>
      <c r="AG2506" s="1" t="s">
        <v>51</v>
      </c>
      <c r="AH2506" s="1"/>
      <c r="AI2506" s="1"/>
      <c r="AJ2506" s="3">
        <v>2</v>
      </c>
      <c r="AK2506" s="1" t="s">
        <v>89</v>
      </c>
      <c r="AL2506" s="3">
        <v>6</v>
      </c>
      <c r="AM2506" s="8">
        <v>20.5</v>
      </c>
      <c r="AN2506" s="1"/>
      <c r="AO2506" s="1" t="s">
        <v>17962</v>
      </c>
      <c r="AP2506" s="1" t="s">
        <v>17963</v>
      </c>
      <c r="AQ2506" s="1" t="s">
        <v>17964</v>
      </c>
      <c r="AR2506" s="1" t="s">
        <v>17965</v>
      </c>
    </row>
    <row r="2507">
      <c r="A2507" s="2">
        <f ca="1">DATE(2009,12,28)</f>
        <v>0</v>
      </c>
      <c r="B2507" s="2">
        <f ca="1">DATE(2010,04,21)</f>
        <v>0</v>
      </c>
      <c r="C2507" s="1" t="s">
        <v>17966</v>
      </c>
      <c r="D2507" s="3">
        <v>2869</v>
      </c>
      <c r="E2507" s="1" t="s">
        <v>43</v>
      </c>
      <c r="F2507" s="1" t="s">
        <v>17967</v>
      </c>
      <c r="G2507" s="1" t="s">
        <v>12096</v>
      </c>
      <c r="H2507" s="4">
        <v>0.91000000000000003</v>
      </c>
      <c r="I2507" s="4">
        <v>7</v>
      </c>
      <c r="J2507" s="5">
        <v>78</v>
      </c>
      <c r="K2507" s="4">
        <v>13</v>
      </c>
      <c r="L2507" s="1" t="s">
        <v>46</v>
      </c>
      <c r="M2507" s="1" t="s">
        <v>47</v>
      </c>
      <c r="N2507" s="3">
        <v>192005106</v>
      </c>
      <c r="O2507" s="1" t="s">
        <v>48</v>
      </c>
      <c r="P2507" s="1" t="s">
        <v>17968</v>
      </c>
      <c r="Q2507" s="1" t="s">
        <v>145</v>
      </c>
      <c r="R2507" s="1" t="s">
        <v>145</v>
      </c>
      <c r="S2507" s="8">
        <v>4.2000000000000002</v>
      </c>
      <c r="T2507" s="1" t="s">
        <v>50</v>
      </c>
      <c r="U2507" s="1"/>
      <c r="V2507" s="1"/>
      <c r="W2507" s="1"/>
      <c r="X2507" s="5">
        <v>100</v>
      </c>
      <c r="Y2507" s="7">
        <v>6000000</v>
      </c>
      <c r="Z2507" s="1"/>
      <c r="AA2507" s="1" t="s">
        <v>17969</v>
      </c>
      <c r="AB2507" s="1" t="s">
        <v>5265</v>
      </c>
      <c r="AC2507" s="1" t="s">
        <v>17970</v>
      </c>
      <c r="AD2507" s="1" t="s">
        <v>5265</v>
      </c>
      <c r="AE2507" s="1" t="s">
        <v>51</v>
      </c>
      <c r="AF2507" s="1" t="s">
        <v>51</v>
      </c>
      <c r="AG2507" s="1" t="s">
        <v>47</v>
      </c>
      <c r="AH2507" s="1"/>
      <c r="AI2507" s="1"/>
      <c r="AJ2507" s="3">
        <v>1</v>
      </c>
      <c r="AK2507" s="1" t="s">
        <v>52</v>
      </c>
      <c r="AL2507" s="3">
        <v>4</v>
      </c>
      <c r="AM2507" s="8">
        <v>13.26</v>
      </c>
      <c r="AN2507" s="1"/>
      <c r="AO2507" s="1" t="s">
        <v>17971</v>
      </c>
      <c r="AP2507" s="1" t="s">
        <v>12096</v>
      </c>
      <c r="AQ2507" s="1" t="s">
        <v>17972</v>
      </c>
      <c r="AR2507" s="1" t="s">
        <v>17968</v>
      </c>
    </row>
    <row r="2508">
      <c r="A2508" s="2">
        <f ca="1">DATE(2009,11,12)</f>
        <v>0</v>
      </c>
      <c r="B2508" s="2">
        <f ca="1">DATE(2010,04,21)</f>
        <v>0</v>
      </c>
      <c r="C2508" s="1" t="s">
        <v>17973</v>
      </c>
      <c r="D2508" s="3">
        <v>3841</v>
      </c>
      <c r="E2508" s="1" t="s">
        <v>744</v>
      </c>
      <c r="F2508" s="1" t="s">
        <v>17974</v>
      </c>
      <c r="G2508" s="1" t="s">
        <v>1542</v>
      </c>
      <c r="H2508" s="4">
        <v>0.56000000000000005</v>
      </c>
      <c r="I2508" s="4">
        <v>7</v>
      </c>
      <c r="J2508" s="5">
        <v>12</v>
      </c>
      <c r="K2508" s="4">
        <v>8</v>
      </c>
      <c r="L2508" s="1" t="s">
        <v>46</v>
      </c>
      <c r="M2508" s="1" t="s">
        <v>47</v>
      </c>
      <c r="N2508" s="1"/>
      <c r="O2508" s="1" t="s">
        <v>48</v>
      </c>
      <c r="P2508" s="1" t="s">
        <v>17155</v>
      </c>
      <c r="Q2508" s="1" t="s">
        <v>145</v>
      </c>
      <c r="R2508" s="1" t="s">
        <v>145</v>
      </c>
      <c r="S2508" s="1"/>
      <c r="T2508" s="1" t="s">
        <v>50</v>
      </c>
      <c r="U2508" s="8">
        <v>9</v>
      </c>
      <c r="V2508" s="8">
        <v>7</v>
      </c>
      <c r="W2508" s="7">
        <v>1250000</v>
      </c>
      <c r="X2508" s="5">
        <v>10</v>
      </c>
      <c r="Y2508" s="7">
        <v>1500000</v>
      </c>
      <c r="Z2508" s="1"/>
      <c r="AA2508" s="2">
        <f ca="1">DATE(2010,07,20)</f>
        <v>0</v>
      </c>
      <c r="AB2508" s="1"/>
      <c r="AC2508" s="3">
        <v>90</v>
      </c>
      <c r="AD2508" s="1"/>
      <c r="AE2508" s="1" t="s">
        <v>51</v>
      </c>
      <c r="AF2508" s="1" t="s">
        <v>51</v>
      </c>
      <c r="AG2508" s="1" t="s">
        <v>51</v>
      </c>
      <c r="AH2508" s="1"/>
      <c r="AI2508" s="1"/>
      <c r="AJ2508" s="3">
        <v>1</v>
      </c>
      <c r="AK2508" s="1" t="s">
        <v>89</v>
      </c>
      <c r="AL2508" s="3">
        <v>2</v>
      </c>
      <c r="AM2508" s="1"/>
      <c r="AN2508" s="1"/>
      <c r="AO2508" s="1" t="s">
        <v>17156</v>
      </c>
      <c r="AP2508" s="1" t="s">
        <v>17157</v>
      </c>
      <c r="AQ2508" s="1" t="s">
        <v>17158</v>
      </c>
      <c r="AR2508" s="1" t="s">
        <v>17155</v>
      </c>
    </row>
    <row r="2509">
      <c r="A2509" s="2">
        <f ca="1">DATE(2010,01,05)</f>
        <v>0</v>
      </c>
      <c r="B2509" s="2">
        <f ca="1">DATE(2010,04,21)</f>
        <v>0</v>
      </c>
      <c r="C2509" s="1" t="s">
        <v>17975</v>
      </c>
      <c r="D2509" s="3">
        <v>7373</v>
      </c>
      <c r="E2509" s="1" t="s">
        <v>43</v>
      </c>
      <c r="F2509" s="1" t="s">
        <v>17976</v>
      </c>
      <c r="G2509" s="1" t="s">
        <v>9526</v>
      </c>
      <c r="H2509" s="4">
        <v>1.05</v>
      </c>
      <c r="I2509" s="4">
        <v>7</v>
      </c>
      <c r="J2509" s="5">
        <v>140.59999999999999</v>
      </c>
      <c r="K2509" s="4">
        <v>15</v>
      </c>
      <c r="L2509" s="1" t="s">
        <v>152</v>
      </c>
      <c r="M2509" s="1" t="s">
        <v>47</v>
      </c>
      <c r="N2509" s="1" t="s">
        <v>17977</v>
      </c>
      <c r="O2509" s="1" t="s">
        <v>48</v>
      </c>
      <c r="P2509" s="1" t="s">
        <v>17978</v>
      </c>
      <c r="Q2509" s="1" t="s">
        <v>145</v>
      </c>
      <c r="R2509" s="1" t="s">
        <v>145</v>
      </c>
      <c r="S2509" s="8">
        <v>4.2000000000000002</v>
      </c>
      <c r="T2509" s="1" t="s">
        <v>50</v>
      </c>
      <c r="U2509" s="1"/>
      <c r="V2509" s="1"/>
      <c r="W2509" s="1"/>
      <c r="X2509" s="5">
        <v>125</v>
      </c>
      <c r="Y2509" s="7">
        <v>9375000</v>
      </c>
      <c r="Z2509" s="1"/>
      <c r="AA2509" s="1" t="s">
        <v>17979</v>
      </c>
      <c r="AB2509" s="1" t="s">
        <v>2067</v>
      </c>
      <c r="AC2509" s="1" t="s">
        <v>2068</v>
      </c>
      <c r="AD2509" s="1" t="s">
        <v>2067</v>
      </c>
      <c r="AE2509" s="1" t="s">
        <v>51</v>
      </c>
      <c r="AF2509" s="1" t="s">
        <v>51</v>
      </c>
      <c r="AG2509" s="1" t="s">
        <v>47</v>
      </c>
      <c r="AH2509" s="1"/>
      <c r="AI2509" s="1" t="s">
        <v>17980</v>
      </c>
      <c r="AJ2509" s="3">
        <v>2</v>
      </c>
      <c r="AK2509" s="1" t="s">
        <v>89</v>
      </c>
      <c r="AL2509" s="3">
        <v>4</v>
      </c>
      <c r="AM2509" s="8">
        <v>15</v>
      </c>
      <c r="AN2509" s="1"/>
      <c r="AO2509" s="1" t="s">
        <v>17981</v>
      </c>
      <c r="AP2509" s="1" t="s">
        <v>9532</v>
      </c>
      <c r="AQ2509" s="1" t="s">
        <v>17982</v>
      </c>
      <c r="AR2509" s="1" t="s">
        <v>17978</v>
      </c>
    </row>
    <row r="2510">
      <c r="A2510" s="2">
        <f ca="1">DATE(2009,12,22)</f>
        <v>0</v>
      </c>
      <c r="B2510" s="2">
        <f ca="1">DATE(2010,04,21)</f>
        <v>0</v>
      </c>
      <c r="C2510" s="1" t="s">
        <v>17983</v>
      </c>
      <c r="D2510" s="3">
        <v>3663</v>
      </c>
      <c r="E2510" s="1" t="s">
        <v>166</v>
      </c>
      <c r="F2510" s="1" t="s">
        <v>17984</v>
      </c>
      <c r="G2510" s="1" t="s">
        <v>17985</v>
      </c>
      <c r="H2510" s="4">
        <v>0.97999999999999998</v>
      </c>
      <c r="I2510" s="8">
        <v>7</v>
      </c>
      <c r="J2510" s="5">
        <v>147.40000000000001</v>
      </c>
      <c r="K2510" s="8">
        <v>14</v>
      </c>
      <c r="L2510" s="1" t="s">
        <v>58</v>
      </c>
      <c r="M2510" s="1" t="s">
        <v>47</v>
      </c>
      <c r="N2510" s="1" t="s">
        <v>17986</v>
      </c>
      <c r="O2510" s="1" t="s">
        <v>48</v>
      </c>
      <c r="P2510" s="1" t="s">
        <v>17987</v>
      </c>
      <c r="Q2510" s="4">
        <v>1.4290000000000001</v>
      </c>
      <c r="R2510" s="4">
        <v>1.4290000000000001</v>
      </c>
      <c r="S2510" s="6">
        <v>4.1428599999999998</v>
      </c>
      <c r="T2510" s="1" t="s">
        <v>60</v>
      </c>
      <c r="U2510" s="1"/>
      <c r="V2510" s="1"/>
      <c r="W2510" s="1"/>
      <c r="X2510" s="5">
        <v>230</v>
      </c>
      <c r="Y2510" s="7">
        <v>10526316</v>
      </c>
      <c r="Z2510" s="1"/>
      <c r="AA2510" s="1"/>
      <c r="AB2510" s="1" t="s">
        <v>5265</v>
      </c>
      <c r="AC2510" s="1" t="s">
        <v>7759</v>
      </c>
      <c r="AD2510" s="1" t="s">
        <v>5265</v>
      </c>
      <c r="AE2510" s="1" t="s">
        <v>51</v>
      </c>
      <c r="AF2510" s="1" t="s">
        <v>51</v>
      </c>
      <c r="AG2510" s="1" t="s">
        <v>47</v>
      </c>
      <c r="AH2510" s="1"/>
      <c r="AI2510" s="1"/>
      <c r="AJ2510" s="3">
        <v>3</v>
      </c>
      <c r="AK2510" s="1" t="s">
        <v>110</v>
      </c>
      <c r="AL2510" s="3">
        <v>3</v>
      </c>
      <c r="AM2510" s="1"/>
      <c r="AN2510" s="1"/>
      <c r="AO2510" s="1" t="s">
        <v>17988</v>
      </c>
      <c r="AP2510" s="1" t="s">
        <v>17989</v>
      </c>
      <c r="AQ2510" s="1" t="s">
        <v>17990</v>
      </c>
      <c r="AR2510" s="1" t="s">
        <v>17991</v>
      </c>
    </row>
    <row r="2511">
      <c r="A2511" s="2">
        <f ca="1">DATE(2009,06,01)</f>
        <v>0</v>
      </c>
      <c r="B2511" s="2">
        <f ca="1">DATE(2010,04,21)</f>
        <v>0</v>
      </c>
      <c r="C2511" s="1" t="s">
        <v>17992</v>
      </c>
      <c r="D2511" s="3">
        <v>6726</v>
      </c>
      <c r="E2511" s="1" t="s">
        <v>43</v>
      </c>
      <c r="F2511" s="1" t="s">
        <v>17993</v>
      </c>
      <c r="G2511" s="1" t="s">
        <v>1542</v>
      </c>
      <c r="H2511" s="1" t="s">
        <v>57</v>
      </c>
      <c r="I2511" s="1" t="s">
        <v>57</v>
      </c>
      <c r="J2511" s="5">
        <v>82</v>
      </c>
      <c r="K2511" s="4">
        <v>13</v>
      </c>
      <c r="L2511" s="1" t="s">
        <v>46</v>
      </c>
      <c r="M2511" s="1" t="s">
        <v>47</v>
      </c>
      <c r="N2511" s="3">
        <v>872438106</v>
      </c>
      <c r="O2511" s="1" t="s">
        <v>48</v>
      </c>
      <c r="P2511" s="1" t="s">
        <v>1543</v>
      </c>
      <c r="Q2511" s="1"/>
      <c r="R2511" s="1"/>
      <c r="S2511" s="1"/>
      <c r="T2511" s="1" t="s">
        <v>50</v>
      </c>
      <c r="U2511" s="1"/>
      <c r="V2511" s="1"/>
      <c r="W2511" s="1"/>
      <c r="X2511" s="5">
        <v>300</v>
      </c>
      <c r="Y2511" s="7">
        <v>6307692</v>
      </c>
      <c r="Z2511" s="1"/>
      <c r="AA2511" s="1" t="s">
        <v>17994</v>
      </c>
      <c r="AB2511" s="1" t="s">
        <v>5265</v>
      </c>
      <c r="AC2511" s="1" t="s">
        <v>7759</v>
      </c>
      <c r="AD2511" s="1" t="s">
        <v>5265</v>
      </c>
      <c r="AE2511" s="1" t="s">
        <v>51</v>
      </c>
      <c r="AF2511" s="1" t="s">
        <v>51</v>
      </c>
      <c r="AG2511" s="1" t="s">
        <v>51</v>
      </c>
      <c r="AH2511" s="1"/>
      <c r="AI2511" s="1"/>
      <c r="AJ2511" s="3">
        <v>1</v>
      </c>
      <c r="AK2511" s="1" t="s">
        <v>52</v>
      </c>
      <c r="AL2511" s="3">
        <v>1</v>
      </c>
      <c r="AM2511" s="8">
        <v>12.75</v>
      </c>
      <c r="AN2511" s="1"/>
      <c r="AO2511" s="1" t="s">
        <v>1542</v>
      </c>
      <c r="AP2511" s="1" t="s">
        <v>1542</v>
      </c>
      <c r="AQ2511" s="1" t="s">
        <v>1542</v>
      </c>
      <c r="AR2511" s="1" t="s">
        <v>1543</v>
      </c>
    </row>
    <row r="2512">
      <c r="A2512" s="2">
        <f ca="1">DATE(2009,06,01)</f>
        <v>0</v>
      </c>
      <c r="B2512" s="2">
        <f ca="1">DATE(2010,04,21)</f>
        <v>0</v>
      </c>
      <c r="C2512" s="1" t="s">
        <v>17992</v>
      </c>
      <c r="D2512" s="3">
        <v>6726</v>
      </c>
      <c r="E2512" s="1" t="s">
        <v>43</v>
      </c>
      <c r="F2512" s="1" t="s">
        <v>17993</v>
      </c>
      <c r="G2512" s="1" t="s">
        <v>17995</v>
      </c>
      <c r="H2512" s="4">
        <v>0.81299999999999994</v>
      </c>
      <c r="I2512" s="4">
        <v>6.25</v>
      </c>
      <c r="J2512" s="5">
        <v>117</v>
      </c>
      <c r="K2512" s="4">
        <v>13</v>
      </c>
      <c r="L2512" s="1" t="s">
        <v>46</v>
      </c>
      <c r="M2512" s="1" t="s">
        <v>47</v>
      </c>
      <c r="N2512" s="3">
        <v>872438106</v>
      </c>
      <c r="O2512" s="1" t="s">
        <v>48</v>
      </c>
      <c r="P2512" s="1" t="s">
        <v>17996</v>
      </c>
      <c r="Q2512" s="4">
        <v>1.2789999999999999</v>
      </c>
      <c r="R2512" s="4">
        <v>1.278</v>
      </c>
      <c r="S2512" s="6">
        <v>3.69231</v>
      </c>
      <c r="T2512" s="1" t="s">
        <v>50</v>
      </c>
      <c r="U2512" s="1"/>
      <c r="V2512" s="1"/>
      <c r="W2512" s="1"/>
      <c r="X2512" s="5">
        <v>300</v>
      </c>
      <c r="Y2512" s="7">
        <v>9000000</v>
      </c>
      <c r="Z2512" s="1"/>
      <c r="AA2512" s="1" t="s">
        <v>17994</v>
      </c>
      <c r="AB2512" s="1" t="s">
        <v>5265</v>
      </c>
      <c r="AC2512" s="1" t="s">
        <v>7759</v>
      </c>
      <c r="AD2512" s="1" t="s">
        <v>5265</v>
      </c>
      <c r="AE2512" s="1" t="s">
        <v>51</v>
      </c>
      <c r="AF2512" s="1" t="s">
        <v>51</v>
      </c>
      <c r="AG2512" s="1" t="s">
        <v>51</v>
      </c>
      <c r="AH2512" s="1"/>
      <c r="AI2512" s="1"/>
      <c r="AJ2512" s="3">
        <v>3</v>
      </c>
      <c r="AK2512" s="1" t="s">
        <v>1209</v>
      </c>
      <c r="AL2512" s="3">
        <v>8</v>
      </c>
      <c r="AM2512" s="8">
        <v>12.75</v>
      </c>
      <c r="AN2512" s="1"/>
      <c r="AO2512" s="1" t="s">
        <v>17997</v>
      </c>
      <c r="AP2512" s="1" t="s">
        <v>17998</v>
      </c>
      <c r="AQ2512" s="1" t="s">
        <v>17999</v>
      </c>
      <c r="AR2512" s="1" t="s">
        <v>18000</v>
      </c>
    </row>
    <row r="2513">
      <c r="A2513" s="2">
        <f ca="1">DATE(2009,10,30)</f>
        <v>0</v>
      </c>
      <c r="B2513" s="2">
        <f ca="1">DATE(2010,04,22)</f>
        <v>0</v>
      </c>
      <c r="C2513" s="1" t="s">
        <v>18001</v>
      </c>
      <c r="D2513" s="3">
        <v>2834</v>
      </c>
      <c r="E2513" s="1" t="s">
        <v>43</v>
      </c>
      <c r="F2513" s="1" t="s">
        <v>18002</v>
      </c>
      <c r="G2513" s="1" t="s">
        <v>16786</v>
      </c>
      <c r="H2513" s="4">
        <v>0.56000000000000005</v>
      </c>
      <c r="I2513" s="4">
        <v>5.0910000000000002</v>
      </c>
      <c r="J2513" s="5">
        <v>72.099999999999994</v>
      </c>
      <c r="K2513" s="4">
        <v>11</v>
      </c>
      <c r="L2513" s="1" t="s">
        <v>46</v>
      </c>
      <c r="M2513" s="1" t="s">
        <v>47</v>
      </c>
      <c r="N2513" s="1" t="s">
        <v>18003</v>
      </c>
      <c r="O2513" s="1" t="s">
        <v>48</v>
      </c>
      <c r="P2513" s="1" t="s">
        <v>18004</v>
      </c>
      <c r="Q2513" s="1" t="s">
        <v>145</v>
      </c>
      <c r="R2513" s="1" t="s">
        <v>145</v>
      </c>
      <c r="S2513" s="8">
        <v>4.2000000000000002</v>
      </c>
      <c r="T2513" s="1" t="s">
        <v>50</v>
      </c>
      <c r="U2513" s="1"/>
      <c r="V2513" s="1"/>
      <c r="W2513" s="1"/>
      <c r="X2513" s="5">
        <v>80</v>
      </c>
      <c r="Y2513" s="7">
        <v>6550000</v>
      </c>
      <c r="Z2513" s="1"/>
      <c r="AA2513" s="2">
        <f ca="1">DATE(2010,10,19)</f>
        <v>0</v>
      </c>
      <c r="AB2513" s="1"/>
      <c r="AC2513" s="3">
        <v>180</v>
      </c>
      <c r="AD2513" s="1"/>
      <c r="AE2513" s="1" t="s">
        <v>51</v>
      </c>
      <c r="AF2513" s="1" t="s">
        <v>51</v>
      </c>
      <c r="AG2513" s="1" t="s">
        <v>51</v>
      </c>
      <c r="AH2513" s="1"/>
      <c r="AI2513" s="1"/>
      <c r="AJ2513" s="3">
        <v>2</v>
      </c>
      <c r="AK2513" s="1" t="s">
        <v>89</v>
      </c>
      <c r="AL2513" s="3">
        <v>4</v>
      </c>
      <c r="AM2513" s="8">
        <v>11</v>
      </c>
      <c r="AN2513" s="1"/>
      <c r="AO2513" s="1" t="s">
        <v>18005</v>
      </c>
      <c r="AP2513" s="1" t="s">
        <v>16790</v>
      </c>
      <c r="AQ2513" s="1" t="s">
        <v>18006</v>
      </c>
      <c r="AR2513" s="1" t="s">
        <v>18004</v>
      </c>
    </row>
    <row r="2514">
      <c r="A2514" s="2">
        <f ca="1">DATE(2009,12,24)</f>
        <v>0</v>
      </c>
      <c r="B2514" s="2">
        <f ca="1">DATE(2010,04,22)</f>
        <v>0</v>
      </c>
      <c r="C2514" s="1" t="s">
        <v>18007</v>
      </c>
      <c r="D2514" s="3">
        <v>6798</v>
      </c>
      <c r="E2514" s="1" t="s">
        <v>43</v>
      </c>
      <c r="F2514" s="1" t="s">
        <v>18008</v>
      </c>
      <c r="G2514" s="1" t="s">
        <v>18009</v>
      </c>
      <c r="H2514" s="4">
        <v>0.875</v>
      </c>
      <c r="I2514" s="4">
        <v>6.25</v>
      </c>
      <c r="J2514" s="5">
        <v>210</v>
      </c>
      <c r="K2514" s="4">
        <v>14</v>
      </c>
      <c r="L2514" s="1" t="s">
        <v>46</v>
      </c>
      <c r="M2514" s="1" t="s">
        <v>47</v>
      </c>
      <c r="N2514" s="1" t="s">
        <v>18010</v>
      </c>
      <c r="O2514" s="1" t="s">
        <v>108</v>
      </c>
      <c r="P2514" s="1" t="s">
        <v>18011</v>
      </c>
      <c r="Q2514" s="1" t="s">
        <v>145</v>
      </c>
      <c r="R2514" s="1" t="s">
        <v>145</v>
      </c>
      <c r="S2514" s="8">
        <v>3.75</v>
      </c>
      <c r="T2514" s="1" t="s">
        <v>50</v>
      </c>
      <c r="U2514" s="1"/>
      <c r="V2514" s="1"/>
      <c r="W2514" s="1"/>
      <c r="X2514" s="5">
        <v>300</v>
      </c>
      <c r="Y2514" s="7">
        <v>15000000</v>
      </c>
      <c r="Z2514" s="1"/>
      <c r="AA2514" s="1" t="s">
        <v>18012</v>
      </c>
      <c r="AB2514" s="1" t="s">
        <v>2067</v>
      </c>
      <c r="AC2514" s="1" t="s">
        <v>2068</v>
      </c>
      <c r="AD2514" s="1" t="s">
        <v>2067</v>
      </c>
      <c r="AE2514" s="1" t="s">
        <v>51</v>
      </c>
      <c r="AF2514" s="1" t="s">
        <v>51</v>
      </c>
      <c r="AG2514" s="1" t="s">
        <v>51</v>
      </c>
      <c r="AH2514" s="1"/>
      <c r="AI2514" s="1"/>
      <c r="AJ2514" s="3">
        <v>3</v>
      </c>
      <c r="AK2514" s="1" t="s">
        <v>3985</v>
      </c>
      <c r="AL2514" s="3">
        <v>9</v>
      </c>
      <c r="AM2514" s="8">
        <v>13.300000000000001</v>
      </c>
      <c r="AN2514" s="1"/>
      <c r="AO2514" s="1" t="s">
        <v>18013</v>
      </c>
      <c r="AP2514" s="1" t="s">
        <v>18014</v>
      </c>
      <c r="AQ2514" s="1" t="s">
        <v>18015</v>
      </c>
      <c r="AR2514" s="1" t="s">
        <v>18011</v>
      </c>
    </row>
    <row r="2515">
      <c r="A2515" s="2">
        <f ca="1">DATE(2009,10,16)</f>
        <v>0</v>
      </c>
      <c r="B2515" s="2">
        <f ca="1">DATE(2010,04,22)</f>
        <v>0</v>
      </c>
      <c r="C2515" s="1" t="s">
        <v>18016</v>
      </c>
      <c r="D2515" s="3">
        <v>1382</v>
      </c>
      <c r="E2515" s="1" t="s">
        <v>43</v>
      </c>
      <c r="F2515" s="1" t="s">
        <v>18017</v>
      </c>
      <c r="G2515" s="1" t="s">
        <v>18018</v>
      </c>
      <c r="H2515" s="4">
        <v>0.83999999999999997</v>
      </c>
      <c r="I2515" s="8">
        <v>7</v>
      </c>
      <c r="J2515" s="5">
        <v>90</v>
      </c>
      <c r="K2515" s="4">
        <v>12</v>
      </c>
      <c r="L2515" s="1" t="s">
        <v>46</v>
      </c>
      <c r="M2515" s="1" t="s">
        <v>47</v>
      </c>
      <c r="N2515" s="1" t="s">
        <v>18019</v>
      </c>
      <c r="O2515" s="1" t="s">
        <v>108</v>
      </c>
      <c r="P2515" s="1" t="s">
        <v>18020</v>
      </c>
      <c r="Q2515" s="1" t="s">
        <v>145</v>
      </c>
      <c r="R2515" s="1" t="s">
        <v>145</v>
      </c>
      <c r="S2515" s="8">
        <v>4.2000000000000002</v>
      </c>
      <c r="T2515" s="1" t="s">
        <v>50</v>
      </c>
      <c r="U2515" s="1"/>
      <c r="V2515" s="1"/>
      <c r="W2515" s="1"/>
      <c r="X2515" s="5">
        <v>150</v>
      </c>
      <c r="Y2515" s="7">
        <v>7000000</v>
      </c>
      <c r="Z2515" s="7">
        <v>500000</v>
      </c>
      <c r="AA2515" s="1" t="s">
        <v>18021</v>
      </c>
      <c r="AB2515" s="1" t="s">
        <v>13651</v>
      </c>
      <c r="AC2515" s="1" t="s">
        <v>16884</v>
      </c>
      <c r="AD2515" s="1" t="s">
        <v>13651</v>
      </c>
      <c r="AE2515" s="1" t="s">
        <v>51</v>
      </c>
      <c r="AF2515" s="1" t="s">
        <v>51</v>
      </c>
      <c r="AG2515" s="1" t="s">
        <v>51</v>
      </c>
      <c r="AH2515" s="1"/>
      <c r="AI2515" s="1"/>
      <c r="AJ2515" s="3">
        <v>2</v>
      </c>
      <c r="AK2515" s="1" t="s">
        <v>89</v>
      </c>
      <c r="AL2515" s="3">
        <v>5</v>
      </c>
      <c r="AM2515" s="8">
        <v>12</v>
      </c>
      <c r="AN2515" s="1"/>
      <c r="AO2515" s="1" t="s">
        <v>18022</v>
      </c>
      <c r="AP2515" s="1" t="s">
        <v>18023</v>
      </c>
      <c r="AQ2515" s="1" t="s">
        <v>18024</v>
      </c>
      <c r="AR2515" s="1" t="s">
        <v>18020</v>
      </c>
    </row>
    <row r="2516">
      <c r="A2516" s="2">
        <f ca="1">DATE(2009,12,03)</f>
        <v>0</v>
      </c>
      <c r="B2516" s="2">
        <f ca="1">DATE(2010,04,22)</f>
        <v>0</v>
      </c>
      <c r="C2516" s="1" t="s">
        <v>18025</v>
      </c>
      <c r="D2516" s="3">
        <v>7389</v>
      </c>
      <c r="E2516" s="1" t="s">
        <v>43</v>
      </c>
      <c r="F2516" s="1" t="s">
        <v>18026</v>
      </c>
      <c r="G2516" s="1" t="s">
        <v>789</v>
      </c>
      <c r="H2516" s="4">
        <v>0.83999999999999997</v>
      </c>
      <c r="I2516" s="8">
        <v>7</v>
      </c>
      <c r="J2516" s="5">
        <v>49.200000000000003</v>
      </c>
      <c r="K2516" s="4">
        <v>12</v>
      </c>
      <c r="L2516" s="1" t="s">
        <v>46</v>
      </c>
      <c r="M2516" s="1" t="s">
        <v>47</v>
      </c>
      <c r="N2516" s="1" t="s">
        <v>18027</v>
      </c>
      <c r="O2516" s="1" t="s">
        <v>48</v>
      </c>
      <c r="P2516" s="1" t="s">
        <v>18028</v>
      </c>
      <c r="Q2516" s="1" t="s">
        <v>145</v>
      </c>
      <c r="R2516" s="1" t="s">
        <v>145</v>
      </c>
      <c r="S2516" s="8">
        <v>4.2000000000000002</v>
      </c>
      <c r="T2516" s="1" t="s">
        <v>50</v>
      </c>
      <c r="U2516" s="1"/>
      <c r="V2516" s="1"/>
      <c r="W2516" s="1"/>
      <c r="X2516" s="5">
        <v>46</v>
      </c>
      <c r="Y2516" s="7">
        <v>2500000</v>
      </c>
      <c r="Z2516" s="7">
        <v>1596694</v>
      </c>
      <c r="AA2516" s="2">
        <f ca="1">DATE(2010,10,19)</f>
        <v>0</v>
      </c>
      <c r="AB2516" s="1"/>
      <c r="AC2516" s="3">
        <v>180</v>
      </c>
      <c r="AD2516" s="1"/>
      <c r="AE2516" s="1" t="s">
        <v>51</v>
      </c>
      <c r="AF2516" s="1" t="s">
        <v>51</v>
      </c>
      <c r="AG2516" s="1" t="s">
        <v>51</v>
      </c>
      <c r="AH2516" s="1"/>
      <c r="AI2516" s="1"/>
      <c r="AJ2516" s="3">
        <v>1</v>
      </c>
      <c r="AK2516" s="1" t="s">
        <v>52</v>
      </c>
      <c r="AL2516" s="3">
        <v>4</v>
      </c>
      <c r="AM2516" s="8">
        <v>13.91</v>
      </c>
      <c r="AN2516" s="1"/>
      <c r="AO2516" s="1" t="s">
        <v>18029</v>
      </c>
      <c r="AP2516" s="1" t="s">
        <v>789</v>
      </c>
      <c r="AQ2516" s="1" t="s">
        <v>18030</v>
      </c>
      <c r="AR2516" s="1" t="s">
        <v>18028</v>
      </c>
    </row>
    <row r="2517">
      <c r="A2517" s="2">
        <f ca="1">DATE(2010,02,18)</f>
        <v>0</v>
      </c>
      <c r="B2517" s="2">
        <f ca="1">DATE(2010,04,27)</f>
        <v>0</v>
      </c>
      <c r="C2517" s="1" t="s">
        <v>18031</v>
      </c>
      <c r="D2517" s="3">
        <v>6726</v>
      </c>
      <c r="E2517" s="1" t="s">
        <v>43</v>
      </c>
      <c r="F2517" s="1" t="s">
        <v>18032</v>
      </c>
      <c r="G2517" s="1" t="s">
        <v>18033</v>
      </c>
      <c r="H2517" s="4">
        <v>0.90000000000000002</v>
      </c>
      <c r="I2517" s="4">
        <v>4.5</v>
      </c>
      <c r="J2517" s="5">
        <v>470</v>
      </c>
      <c r="K2517" s="4">
        <v>20</v>
      </c>
      <c r="L2517" s="1" t="s">
        <v>46</v>
      </c>
      <c r="M2517" s="1" t="s">
        <v>47</v>
      </c>
      <c r="N2517" s="1" t="s">
        <v>18034</v>
      </c>
      <c r="O2517" s="1" t="s">
        <v>108</v>
      </c>
      <c r="P2517" s="1" t="s">
        <v>18035</v>
      </c>
      <c r="Q2517" s="1" t="s">
        <v>145</v>
      </c>
      <c r="R2517" s="1" t="s">
        <v>145</v>
      </c>
      <c r="S2517" s="8">
        <v>3</v>
      </c>
      <c r="T2517" s="1" t="s">
        <v>50</v>
      </c>
      <c r="U2517" s="8">
        <v>20</v>
      </c>
      <c r="V2517" s="8">
        <v>20</v>
      </c>
      <c r="W2517" s="1"/>
      <c r="X2517" s="5">
        <v>0</v>
      </c>
      <c r="Y2517" s="7">
        <v>23500000</v>
      </c>
      <c r="Z2517" s="1"/>
      <c r="AA2517" s="1"/>
      <c r="AB2517" s="1"/>
      <c r="AC2517" s="1"/>
      <c r="AD2517" s="1"/>
      <c r="AE2517" s="1" t="s">
        <v>51</v>
      </c>
      <c r="AF2517" s="1" t="s">
        <v>51</v>
      </c>
      <c r="AG2517" s="1" t="s">
        <v>51</v>
      </c>
      <c r="AH2517" s="1"/>
      <c r="AI2517" s="1" t="s">
        <v>18036</v>
      </c>
      <c r="AJ2517" s="3">
        <v>7</v>
      </c>
      <c r="AK2517" s="1" t="s">
        <v>8132</v>
      </c>
      <c r="AL2517" s="3">
        <v>28</v>
      </c>
      <c r="AM2517" s="1"/>
      <c r="AN2517" s="1"/>
      <c r="AO2517" s="1" t="s">
        <v>18037</v>
      </c>
      <c r="AP2517" s="1" t="s">
        <v>18038</v>
      </c>
      <c r="AQ2517" s="1" t="s">
        <v>18039</v>
      </c>
      <c r="AR2517" s="1" t="s">
        <v>18040</v>
      </c>
    </row>
    <row r="2518">
      <c r="A2518" s="2">
        <f ca="1">DATE(2010,01,25)</f>
        <v>0</v>
      </c>
      <c r="B2518" s="2">
        <f ca="1">DATE(2010,04,29)</f>
        <v>0</v>
      </c>
      <c r="C2518" s="1" t="s">
        <v>18041</v>
      </c>
      <c r="D2518" s="3">
        <v>7372</v>
      </c>
      <c r="E2518" s="1" t="s">
        <v>43</v>
      </c>
      <c r="F2518" s="1" t="s">
        <v>18042</v>
      </c>
      <c r="G2518" s="1" t="s">
        <v>18043</v>
      </c>
      <c r="H2518" s="4">
        <v>0.63</v>
      </c>
      <c r="I2518" s="4">
        <v>7</v>
      </c>
      <c r="J2518" s="5">
        <v>46.200000000000003</v>
      </c>
      <c r="K2518" s="4">
        <v>9</v>
      </c>
      <c r="L2518" s="1" t="s">
        <v>46</v>
      </c>
      <c r="M2518" s="1" t="s">
        <v>47</v>
      </c>
      <c r="N2518" s="1" t="s">
        <v>18044</v>
      </c>
      <c r="O2518" s="1" t="s">
        <v>48</v>
      </c>
      <c r="P2518" s="1" t="s">
        <v>18045</v>
      </c>
      <c r="Q2518" s="1" t="s">
        <v>145</v>
      </c>
      <c r="R2518" s="1" t="s">
        <v>145</v>
      </c>
      <c r="S2518" s="6">
        <v>4.11111</v>
      </c>
      <c r="T2518" s="1" t="s">
        <v>50</v>
      </c>
      <c r="U2518" s="1"/>
      <c r="V2518" s="1"/>
      <c r="W2518" s="1"/>
      <c r="X2518" s="5">
        <v>57.5</v>
      </c>
      <c r="Y2518" s="7">
        <v>3789527</v>
      </c>
      <c r="Z2518" s="7">
        <v>1343201</v>
      </c>
      <c r="AA2518" s="1" t="s">
        <v>18046</v>
      </c>
      <c r="AB2518" s="1" t="s">
        <v>2067</v>
      </c>
      <c r="AC2518" s="1" t="s">
        <v>2068</v>
      </c>
      <c r="AD2518" s="1" t="s">
        <v>2067</v>
      </c>
      <c r="AE2518" s="1" t="s">
        <v>51</v>
      </c>
      <c r="AF2518" s="1" t="s">
        <v>51</v>
      </c>
      <c r="AG2518" s="1" t="s">
        <v>47</v>
      </c>
      <c r="AH2518" s="1"/>
      <c r="AI2518" s="1"/>
      <c r="AJ2518" s="3">
        <v>2</v>
      </c>
      <c r="AK2518" s="1" t="s">
        <v>89</v>
      </c>
      <c r="AL2518" s="3">
        <v>5</v>
      </c>
      <c r="AM2518" s="1"/>
      <c r="AN2518" s="1"/>
      <c r="AO2518" s="1" t="s">
        <v>18047</v>
      </c>
      <c r="AP2518" s="1" t="s">
        <v>7527</v>
      </c>
      <c r="AQ2518" s="1" t="s">
        <v>18048</v>
      </c>
      <c r="AR2518" s="1" t="s">
        <v>18045</v>
      </c>
    </row>
    <row r="2519">
      <c r="A2519" s="2">
        <f ca="1">DATE(2010,01,25)</f>
        <v>0</v>
      </c>
      <c r="B2519" s="2">
        <f ca="1">DATE(2010,04,29)</f>
        <v>0</v>
      </c>
      <c r="C2519" s="1" t="s">
        <v>18049</v>
      </c>
      <c r="D2519" s="3">
        <v>4922</v>
      </c>
      <c r="E2519" s="1" t="s">
        <v>43</v>
      </c>
      <c r="F2519" s="1" t="s">
        <v>18050</v>
      </c>
      <c r="G2519" s="1" t="s">
        <v>18051</v>
      </c>
      <c r="H2519" s="4">
        <v>1.3200000000000001</v>
      </c>
      <c r="I2519" s="8">
        <v>6.1399999999999997</v>
      </c>
      <c r="J2519" s="5">
        <v>252</v>
      </c>
      <c r="K2519" s="4">
        <v>21.5</v>
      </c>
      <c r="L2519" s="1" t="s">
        <v>85</v>
      </c>
      <c r="M2519" s="1" t="s">
        <v>47</v>
      </c>
      <c r="N2519" s="3">
        <v>693139107</v>
      </c>
      <c r="O2519" s="1" t="s">
        <v>108</v>
      </c>
      <c r="P2519" s="1" t="s">
        <v>18052</v>
      </c>
      <c r="Q2519" s="1" t="s">
        <v>145</v>
      </c>
      <c r="R2519" s="1" t="s">
        <v>145</v>
      </c>
      <c r="S2519" s="1"/>
      <c r="T2519" s="1" t="s">
        <v>50</v>
      </c>
      <c r="U2519" s="1"/>
      <c r="V2519" s="1"/>
      <c r="W2519" s="1"/>
      <c r="X2519" s="5">
        <v>200</v>
      </c>
      <c r="Y2519" s="7">
        <v>11720000</v>
      </c>
      <c r="Z2519" s="1"/>
      <c r="AA2519" s="1" t="s">
        <v>18046</v>
      </c>
      <c r="AB2519" s="1" t="s">
        <v>2067</v>
      </c>
      <c r="AC2519" s="1" t="s">
        <v>2068</v>
      </c>
      <c r="AD2519" s="1" t="s">
        <v>2067</v>
      </c>
      <c r="AE2519" s="1" t="s">
        <v>51</v>
      </c>
      <c r="AF2519" s="1" t="s">
        <v>51</v>
      </c>
      <c r="AG2519" s="1" t="s">
        <v>51</v>
      </c>
      <c r="AH2519" s="1"/>
      <c r="AI2519" s="1"/>
      <c r="AJ2519" s="3">
        <v>4</v>
      </c>
      <c r="AK2519" s="1" t="s">
        <v>1209</v>
      </c>
      <c r="AL2519" s="3">
        <v>11</v>
      </c>
      <c r="AM2519" s="8">
        <v>23.25</v>
      </c>
      <c r="AN2519" s="1"/>
      <c r="AO2519" s="1" t="s">
        <v>18053</v>
      </c>
      <c r="AP2519" s="1" t="s">
        <v>18054</v>
      </c>
      <c r="AQ2519" s="1" t="s">
        <v>18055</v>
      </c>
      <c r="AR2519" s="1" t="s">
        <v>18056</v>
      </c>
    </row>
    <row r="2520">
      <c r="A2520" s="2">
        <f ca="1">DATE(2010,03,31)</f>
        <v>0</v>
      </c>
      <c r="B2520" s="2">
        <f ca="1">DATE(2010,04,29)</f>
        <v>0</v>
      </c>
      <c r="C2520" s="1" t="s">
        <v>18057</v>
      </c>
      <c r="D2520" s="3">
        <v>3674</v>
      </c>
      <c r="E2520" s="1" t="s">
        <v>517</v>
      </c>
      <c r="F2520" s="1" t="s">
        <v>18058</v>
      </c>
      <c r="G2520" s="1" t="s">
        <v>18059</v>
      </c>
      <c r="H2520" s="4">
        <v>1.26</v>
      </c>
      <c r="I2520" s="4">
        <v>7</v>
      </c>
      <c r="J2520" s="5">
        <v>91.5</v>
      </c>
      <c r="K2520" s="4">
        <v>18</v>
      </c>
      <c r="L2520" s="1" t="s">
        <v>46</v>
      </c>
      <c r="M2520" s="1" t="s">
        <v>47</v>
      </c>
      <c r="N2520" s="1" t="s">
        <v>18060</v>
      </c>
      <c r="O2520" s="1" t="s">
        <v>48</v>
      </c>
      <c r="P2520" s="1" t="s">
        <v>18061</v>
      </c>
      <c r="Q2520" s="1" t="s">
        <v>145</v>
      </c>
      <c r="R2520" s="1" t="s">
        <v>145</v>
      </c>
      <c r="S2520" s="8">
        <v>4.2000000000000002</v>
      </c>
      <c r="T2520" s="1" t="s">
        <v>50</v>
      </c>
      <c r="U2520" s="8">
        <v>20</v>
      </c>
      <c r="V2520" s="8">
        <v>16</v>
      </c>
      <c r="W2520" s="7">
        <v>5060985</v>
      </c>
      <c r="X2520" s="5">
        <v>91.099999999999994</v>
      </c>
      <c r="Y2520" s="7">
        <v>3400000</v>
      </c>
      <c r="Z2520" s="7">
        <v>1685985</v>
      </c>
      <c r="AA2520" s="1" t="s">
        <v>18046</v>
      </c>
      <c r="AB2520" s="1" t="s">
        <v>2067</v>
      </c>
      <c r="AC2520" s="1" t="s">
        <v>2068</v>
      </c>
      <c r="AD2520" s="1" t="s">
        <v>2067</v>
      </c>
      <c r="AE2520" s="1" t="s">
        <v>51</v>
      </c>
      <c r="AF2520" s="1" t="s">
        <v>51</v>
      </c>
      <c r="AG2520" s="1" t="s">
        <v>47</v>
      </c>
      <c r="AH2520" s="1"/>
      <c r="AI2520" s="1"/>
      <c r="AJ2520" s="3">
        <v>2</v>
      </c>
      <c r="AK2520" s="1" t="s">
        <v>89</v>
      </c>
      <c r="AL2520" s="3">
        <v>4</v>
      </c>
      <c r="AM2520" s="8">
        <v>17.699999999999999</v>
      </c>
      <c r="AN2520" s="1"/>
      <c r="AO2520" s="1" t="s">
        <v>18062</v>
      </c>
      <c r="AP2520" s="1" t="s">
        <v>18063</v>
      </c>
      <c r="AQ2520" s="1" t="s">
        <v>18064</v>
      </c>
      <c r="AR2520" s="1" t="s">
        <v>18065</v>
      </c>
    </row>
    <row r="2521">
      <c r="A2521" s="2">
        <f ca="1">DATE(2010,01,29)</f>
        <v>0</v>
      </c>
      <c r="B2521" s="2">
        <f ca="1">DATE(2010,05,03)</f>
        <v>0</v>
      </c>
      <c r="C2521" s="1" t="s">
        <v>18066</v>
      </c>
      <c r="D2521" s="1" t="s">
        <v>18067</v>
      </c>
      <c r="E2521" s="1" t="s">
        <v>43</v>
      </c>
      <c r="F2521" s="1" t="s">
        <v>18068</v>
      </c>
      <c r="G2521" s="1" t="s">
        <v>1223</v>
      </c>
      <c r="H2521" s="4">
        <v>0.68799999999999994</v>
      </c>
      <c r="I2521" s="4">
        <v>6.25</v>
      </c>
      <c r="J2521" s="5">
        <v>15.4</v>
      </c>
      <c r="K2521" s="4">
        <v>11</v>
      </c>
      <c r="L2521" s="1" t="s">
        <v>31</v>
      </c>
      <c r="M2521" s="1" t="s">
        <v>47</v>
      </c>
      <c r="N2521" s="3">
        <v>785135203</v>
      </c>
      <c r="O2521" s="1" t="s">
        <v>48</v>
      </c>
      <c r="P2521" s="1" t="s">
        <v>18069</v>
      </c>
      <c r="Q2521" s="1" t="s">
        <v>145</v>
      </c>
      <c r="R2521" s="1" t="s">
        <v>145</v>
      </c>
      <c r="S2521" s="1"/>
      <c r="T2521" s="1" t="s">
        <v>50</v>
      </c>
      <c r="U2521" s="1"/>
      <c r="V2521" s="1"/>
      <c r="W2521" s="7">
        <v>1360000</v>
      </c>
      <c r="X2521" s="1"/>
      <c r="Y2521" s="7">
        <v>1400000</v>
      </c>
      <c r="Z2521" s="1"/>
      <c r="AA2521" s="1" t="s">
        <v>18070</v>
      </c>
      <c r="AB2521" s="1" t="s">
        <v>2067</v>
      </c>
      <c r="AC2521" s="1" t="s">
        <v>2068</v>
      </c>
      <c r="AD2521" s="1" t="s">
        <v>2067</v>
      </c>
      <c r="AE2521" s="1" t="s">
        <v>51</v>
      </c>
      <c r="AF2521" s="1" t="s">
        <v>51</v>
      </c>
      <c r="AG2521" s="1" t="s">
        <v>51</v>
      </c>
      <c r="AH2521" s="1"/>
      <c r="AI2521" s="1"/>
      <c r="AJ2521" s="3">
        <v>1</v>
      </c>
      <c r="AK2521" s="1" t="s">
        <v>52</v>
      </c>
      <c r="AL2521" s="3">
        <v>2</v>
      </c>
      <c r="AM2521" s="1"/>
      <c r="AN2521" s="1"/>
      <c r="AO2521" s="1" t="s">
        <v>18071</v>
      </c>
      <c r="AP2521" s="1" t="s">
        <v>1223</v>
      </c>
      <c r="AQ2521" s="1" t="s">
        <v>18072</v>
      </c>
      <c r="AR2521" s="1" t="s">
        <v>18069</v>
      </c>
    </row>
    <row r="2522">
      <c r="A2522" s="2">
        <f ca="1">DATE(2010,04,09)</f>
        <v>0</v>
      </c>
      <c r="B2522" s="2">
        <f ca="1">DATE(2010,05,04)</f>
        <v>0</v>
      </c>
      <c r="C2522" s="1" t="s">
        <v>18073</v>
      </c>
      <c r="D2522" s="3">
        <v>7311</v>
      </c>
      <c r="E2522" s="1" t="s">
        <v>744</v>
      </c>
      <c r="F2522" s="1" t="s">
        <v>18074</v>
      </c>
      <c r="G2522" s="1" t="s">
        <v>12096</v>
      </c>
      <c r="H2522" s="4">
        <v>0.66500000000000004</v>
      </c>
      <c r="I2522" s="4">
        <v>7</v>
      </c>
      <c r="J2522" s="5">
        <v>74.200000000000003</v>
      </c>
      <c r="K2522" s="4">
        <v>9.5</v>
      </c>
      <c r="L2522" s="1" t="s">
        <v>651</v>
      </c>
      <c r="M2522" s="1" t="s">
        <v>47</v>
      </c>
      <c r="N2522" s="1" t="s">
        <v>18075</v>
      </c>
      <c r="O2522" s="1" t="s">
        <v>48</v>
      </c>
      <c r="P2522" s="1" t="s">
        <v>18076</v>
      </c>
      <c r="Q2522" s="1" t="s">
        <v>145</v>
      </c>
      <c r="R2522" s="1" t="s">
        <v>145</v>
      </c>
      <c r="S2522" s="8">
        <v>4.2000000000000002</v>
      </c>
      <c r="T2522" s="1" t="s">
        <v>50</v>
      </c>
      <c r="U2522" s="1"/>
      <c r="V2522" s="1"/>
      <c r="W2522" s="1"/>
      <c r="X2522" s="5">
        <v>60</v>
      </c>
      <c r="Y2522" s="7">
        <v>7812500</v>
      </c>
      <c r="Z2522" s="1"/>
      <c r="AA2522" s="1" t="s">
        <v>18077</v>
      </c>
      <c r="AB2522" s="1" t="s">
        <v>5265</v>
      </c>
      <c r="AC2522" s="1" t="s">
        <v>7759</v>
      </c>
      <c r="AD2522" s="1" t="s">
        <v>5265</v>
      </c>
      <c r="AE2522" s="1" t="s">
        <v>47</v>
      </c>
      <c r="AF2522" s="1" t="s">
        <v>51</v>
      </c>
      <c r="AG2522" s="1" t="s">
        <v>51</v>
      </c>
      <c r="AH2522" s="1"/>
      <c r="AI2522" s="1"/>
      <c r="AJ2522" s="3">
        <v>1</v>
      </c>
      <c r="AK2522" s="1" t="s">
        <v>52</v>
      </c>
      <c r="AL2522" s="3">
        <v>3</v>
      </c>
      <c r="AM2522" s="8">
        <v>9.4000000000000004</v>
      </c>
      <c r="AN2522" s="1"/>
      <c r="AO2522" s="1" t="s">
        <v>18078</v>
      </c>
      <c r="AP2522" s="1" t="s">
        <v>12096</v>
      </c>
      <c r="AQ2522" s="1" t="s">
        <v>18079</v>
      </c>
      <c r="AR2522" s="1" t="s">
        <v>18076</v>
      </c>
    </row>
    <row r="2523">
      <c r="A2523" s="2">
        <f ca="1">DATE(2010,01,29)</f>
        <v>0</v>
      </c>
      <c r="B2523" s="2">
        <f ca="1">DATE(2010,05,04)</f>
        <v>0</v>
      </c>
      <c r="C2523" s="1" t="s">
        <v>18080</v>
      </c>
      <c r="D2523" s="3">
        <v>3531</v>
      </c>
      <c r="E2523" s="1" t="s">
        <v>43</v>
      </c>
      <c r="F2523" s="1" t="s">
        <v>18081</v>
      </c>
      <c r="G2523" s="1" t="s">
        <v>18082</v>
      </c>
      <c r="H2523" s="4">
        <v>0.75900000000000001</v>
      </c>
      <c r="I2523" s="4">
        <v>6.75</v>
      </c>
      <c r="J2523" s="5">
        <v>112.5</v>
      </c>
      <c r="K2523" s="4">
        <v>11.25</v>
      </c>
      <c r="L2523" s="1" t="s">
        <v>46</v>
      </c>
      <c r="M2523" s="1" t="s">
        <v>47</v>
      </c>
      <c r="N2523" s="1" t="s">
        <v>18083</v>
      </c>
      <c r="O2523" s="1" t="s">
        <v>108</v>
      </c>
      <c r="P2523" s="1" t="s">
        <v>18084</v>
      </c>
      <c r="Q2523" s="1" t="s">
        <v>145</v>
      </c>
      <c r="R2523" s="1" t="s">
        <v>145</v>
      </c>
      <c r="S2523" s="6">
        <v>4.0497800000000002</v>
      </c>
      <c r="T2523" s="1" t="s">
        <v>50</v>
      </c>
      <c r="U2523" s="1"/>
      <c r="V2523" s="1"/>
      <c r="W2523" s="1"/>
      <c r="X2523" s="5">
        <v>150</v>
      </c>
      <c r="Y2523" s="7">
        <v>6500000</v>
      </c>
      <c r="Z2523" s="7">
        <v>3500000</v>
      </c>
      <c r="AA2523" s="1" t="s">
        <v>18077</v>
      </c>
      <c r="AB2523" s="1" t="s">
        <v>5265</v>
      </c>
      <c r="AC2523" s="1" t="s">
        <v>7759</v>
      </c>
      <c r="AD2523" s="1" t="s">
        <v>5265</v>
      </c>
      <c r="AE2523" s="1" t="s">
        <v>51</v>
      </c>
      <c r="AF2523" s="1" t="s">
        <v>51</v>
      </c>
      <c r="AG2523" s="1" t="s">
        <v>51</v>
      </c>
      <c r="AH2523" s="1"/>
      <c r="AI2523" s="1" t="s">
        <v>18085</v>
      </c>
      <c r="AJ2523" s="3">
        <v>2</v>
      </c>
      <c r="AK2523" s="1" t="s">
        <v>89</v>
      </c>
      <c r="AL2523" s="3">
        <v>4</v>
      </c>
      <c r="AM2523" s="8">
        <v>11.289999999999999</v>
      </c>
      <c r="AN2523" s="1"/>
      <c r="AO2523" s="1" t="s">
        <v>18086</v>
      </c>
      <c r="AP2523" s="1" t="s">
        <v>18087</v>
      </c>
      <c r="AQ2523" s="1" t="s">
        <v>18088</v>
      </c>
      <c r="AR2523" s="1" t="s">
        <v>18084</v>
      </c>
    </row>
    <row r="2524">
      <c r="A2524" s="2">
        <f ca="1">DATE(2010,02,22)</f>
        <v>0</v>
      </c>
      <c r="B2524" s="2">
        <f ca="1">DATE(2010,05,11)</f>
        <v>0</v>
      </c>
      <c r="C2524" s="1" t="s">
        <v>18089</v>
      </c>
      <c r="D2524" s="3">
        <v>4922</v>
      </c>
      <c r="E2524" s="1" t="s">
        <v>43</v>
      </c>
      <c r="F2524" s="1" t="s">
        <v>18090</v>
      </c>
      <c r="G2524" s="1" t="s">
        <v>18091</v>
      </c>
      <c r="H2524" s="4">
        <v>1.256</v>
      </c>
      <c r="I2524" s="4">
        <v>6.125</v>
      </c>
      <c r="J2524" s="5">
        <v>358.80000000000001</v>
      </c>
      <c r="K2524" s="4">
        <v>20.5</v>
      </c>
      <c r="L2524" s="1" t="s">
        <v>31</v>
      </c>
      <c r="M2524" s="1" t="s">
        <v>47</v>
      </c>
      <c r="N2524" s="3">
        <v>654678101</v>
      </c>
      <c r="O2524" s="1" t="s">
        <v>108</v>
      </c>
      <c r="P2524" s="1" t="s">
        <v>18092</v>
      </c>
      <c r="Q2524" s="4">
        <v>1.2250000000000001</v>
      </c>
      <c r="R2524" s="4">
        <v>1.2250000000000001</v>
      </c>
      <c r="S2524" s="6">
        <v>3.6751200000000002</v>
      </c>
      <c r="T2524" s="1" t="s">
        <v>50</v>
      </c>
      <c r="U2524" s="1"/>
      <c r="V2524" s="1"/>
      <c r="W2524" s="7">
        <v>17500000</v>
      </c>
      <c r="X2524" s="5">
        <v>402.5</v>
      </c>
      <c r="Y2524" s="7">
        <v>17500000</v>
      </c>
      <c r="Z2524" s="1"/>
      <c r="AA2524" s="1" t="s">
        <v>18093</v>
      </c>
      <c r="AB2524" s="1" t="s">
        <v>2067</v>
      </c>
      <c r="AC2524" s="1" t="s">
        <v>2068</v>
      </c>
      <c r="AD2524" s="1" t="s">
        <v>2067</v>
      </c>
      <c r="AE2524" s="1" t="s">
        <v>51</v>
      </c>
      <c r="AF2524" s="1" t="s">
        <v>51</v>
      </c>
      <c r="AG2524" s="1" t="s">
        <v>51</v>
      </c>
      <c r="AH2524" s="1"/>
      <c r="AI2524" s="1"/>
      <c r="AJ2524" s="3">
        <v>7</v>
      </c>
      <c r="AK2524" s="1" t="s">
        <v>8132</v>
      </c>
      <c r="AL2524" s="3">
        <v>11</v>
      </c>
      <c r="AM2524" s="8">
        <v>19.100000000000001</v>
      </c>
      <c r="AN2524" s="1"/>
      <c r="AO2524" s="1" t="s">
        <v>18094</v>
      </c>
      <c r="AP2524" s="1" t="s">
        <v>18095</v>
      </c>
      <c r="AQ2524" s="1" t="s">
        <v>18096</v>
      </c>
      <c r="AR2524" s="1" t="s">
        <v>18092</v>
      </c>
    </row>
    <row r="2525">
      <c r="A2525" s="2">
        <f ca="1">DATE(2010,02,16)</f>
        <v>0</v>
      </c>
      <c r="B2525" s="2">
        <f ca="1">DATE(2010,05,12)</f>
        <v>0</v>
      </c>
      <c r="C2525" s="1" t="s">
        <v>18097</v>
      </c>
      <c r="D2525" s="3">
        <v>5699</v>
      </c>
      <c r="E2525" s="1" t="s">
        <v>43</v>
      </c>
      <c r="F2525" s="1" t="s">
        <v>18098</v>
      </c>
      <c r="G2525" s="1" t="s">
        <v>6056</v>
      </c>
      <c r="H2525" s="4">
        <v>1.105</v>
      </c>
      <c r="I2525" s="4">
        <v>6.5</v>
      </c>
      <c r="J2525" s="5">
        <v>272</v>
      </c>
      <c r="K2525" s="4">
        <v>17</v>
      </c>
      <c r="L2525" s="1" t="s">
        <v>46</v>
      </c>
      <c r="M2525" s="1" t="s">
        <v>47</v>
      </c>
      <c r="N2525" s="1" t="s">
        <v>18099</v>
      </c>
      <c r="O2525" s="1" t="s">
        <v>108</v>
      </c>
      <c r="P2525" s="1" t="s">
        <v>18100</v>
      </c>
      <c r="Q2525" s="4">
        <v>1.3089999999999999</v>
      </c>
      <c r="R2525" s="4">
        <v>1.3089999999999999</v>
      </c>
      <c r="S2525" s="6">
        <v>3.8823500000000002</v>
      </c>
      <c r="T2525" s="1" t="s">
        <v>50</v>
      </c>
      <c r="U2525" s="1"/>
      <c r="V2525" s="1"/>
      <c r="W2525" s="1"/>
      <c r="X2525" s="5">
        <v>200</v>
      </c>
      <c r="Y2525" s="7">
        <v>10500000</v>
      </c>
      <c r="Z2525" s="7">
        <v>5500000</v>
      </c>
      <c r="AA2525" s="1" t="s">
        <v>18101</v>
      </c>
      <c r="AB2525" s="1" t="s">
        <v>5265</v>
      </c>
      <c r="AC2525" s="1" t="s">
        <v>7759</v>
      </c>
      <c r="AD2525" s="1" t="s">
        <v>5265</v>
      </c>
      <c r="AE2525" s="1" t="s">
        <v>51</v>
      </c>
      <c r="AF2525" s="1" t="s">
        <v>51</v>
      </c>
      <c r="AG2525" s="1" t="s">
        <v>51</v>
      </c>
      <c r="AH2525" s="1"/>
      <c r="AI2525" s="1"/>
      <c r="AJ2525" s="3">
        <v>2</v>
      </c>
      <c r="AK2525" s="1" t="s">
        <v>89</v>
      </c>
      <c r="AL2525" s="3">
        <v>7</v>
      </c>
      <c r="AM2525" s="8">
        <v>16.75</v>
      </c>
      <c r="AN2525" s="1"/>
      <c r="AO2525" s="1" t="s">
        <v>18102</v>
      </c>
      <c r="AP2525" s="1" t="s">
        <v>4884</v>
      </c>
      <c r="AQ2525" s="1" t="s">
        <v>18103</v>
      </c>
      <c r="AR2525" s="1" t="s">
        <v>18104</v>
      </c>
    </row>
    <row r="2526">
      <c r="A2526" s="2">
        <f ca="1">DATE(2008,07,24)</f>
        <v>0</v>
      </c>
      <c r="B2526" s="2">
        <f ca="1">DATE(2010,05,12)</f>
        <v>0</v>
      </c>
      <c r="C2526" s="1" t="s">
        <v>18105</v>
      </c>
      <c r="D2526" s="3">
        <v>4731</v>
      </c>
      <c r="E2526" s="1" t="s">
        <v>43</v>
      </c>
      <c r="F2526" s="1" t="s">
        <v>18106</v>
      </c>
      <c r="G2526" s="1" t="s">
        <v>6552</v>
      </c>
      <c r="H2526" s="4">
        <v>0.97999999999999998</v>
      </c>
      <c r="I2526" s="8">
        <v>7</v>
      </c>
      <c r="J2526" s="5">
        <v>148.40000000000001</v>
      </c>
      <c r="K2526" s="4">
        <v>14</v>
      </c>
      <c r="L2526" s="1" t="s">
        <v>46</v>
      </c>
      <c r="M2526" s="1" t="s">
        <v>47</v>
      </c>
      <c r="N2526" s="1" t="s">
        <v>18107</v>
      </c>
      <c r="O2526" s="1" t="s">
        <v>108</v>
      </c>
      <c r="P2526" s="1" t="s">
        <v>18108</v>
      </c>
      <c r="Q2526" s="1" t="s">
        <v>145</v>
      </c>
      <c r="R2526" s="1" t="s">
        <v>145</v>
      </c>
      <c r="S2526" s="1"/>
      <c r="T2526" s="1" t="s">
        <v>50</v>
      </c>
      <c r="U2526" s="1"/>
      <c r="V2526" s="1"/>
      <c r="W2526" s="1"/>
      <c r="X2526" s="5">
        <v>150</v>
      </c>
      <c r="Y2526" s="7">
        <v>9000000</v>
      </c>
      <c r="Z2526" s="7">
        <v>1600644</v>
      </c>
      <c r="AA2526" s="1" t="s">
        <v>18109</v>
      </c>
      <c r="AB2526" s="1" t="s">
        <v>2067</v>
      </c>
      <c r="AC2526" s="1" t="s">
        <v>2068</v>
      </c>
      <c r="AD2526" s="1" t="s">
        <v>2067</v>
      </c>
      <c r="AE2526" s="1" t="s">
        <v>51</v>
      </c>
      <c r="AF2526" s="1" t="s">
        <v>51</v>
      </c>
      <c r="AG2526" s="1" t="s">
        <v>51</v>
      </c>
      <c r="AH2526" s="1"/>
      <c r="AI2526" s="1" t="s">
        <v>18110</v>
      </c>
      <c r="AJ2526" s="3">
        <v>1</v>
      </c>
      <c r="AK2526" s="1" t="s">
        <v>52</v>
      </c>
      <c r="AL2526" s="3">
        <v>3</v>
      </c>
      <c r="AM2526" s="8">
        <v>13.75</v>
      </c>
      <c r="AN2526" s="1"/>
      <c r="AO2526" s="1" t="s">
        <v>18111</v>
      </c>
      <c r="AP2526" s="1" t="s">
        <v>6552</v>
      </c>
      <c r="AQ2526" s="1" t="s">
        <v>18112</v>
      </c>
      <c r="AR2526" s="1" t="s">
        <v>18108</v>
      </c>
    </row>
    <row r="2527">
      <c r="A2527" s="2">
        <f ca="1">DATE(2010,01,20)</f>
        <v>0</v>
      </c>
      <c r="B2527" s="2">
        <f ca="1">DATE(2010,05,13)</f>
        <v>0</v>
      </c>
      <c r="C2527" s="1" t="s">
        <v>18113</v>
      </c>
      <c r="D2527" s="3">
        <v>3674</v>
      </c>
      <c r="E2527" s="1" t="s">
        <v>744</v>
      </c>
      <c r="F2527" s="1" t="s">
        <v>18114</v>
      </c>
      <c r="G2527" s="1" t="s">
        <v>12096</v>
      </c>
      <c r="H2527" s="4">
        <v>0.85799999999999998</v>
      </c>
      <c r="I2527" s="4">
        <v>7.7999999999999998</v>
      </c>
      <c r="J2527" s="5">
        <v>64.200000000000003</v>
      </c>
      <c r="K2527" s="4">
        <v>11</v>
      </c>
      <c r="L2527" s="1" t="s">
        <v>651</v>
      </c>
      <c r="M2527" s="1" t="s">
        <v>47</v>
      </c>
      <c r="N2527" s="1" t="s">
        <v>18115</v>
      </c>
      <c r="O2527" s="1" t="s">
        <v>108</v>
      </c>
      <c r="P2527" s="1" t="s">
        <v>18116</v>
      </c>
      <c r="Q2527" s="1" t="s">
        <v>145</v>
      </c>
      <c r="R2527" s="1" t="s">
        <v>145</v>
      </c>
      <c r="S2527" s="8">
        <v>4.6799999999999997</v>
      </c>
      <c r="T2527" s="1" t="s">
        <v>50</v>
      </c>
      <c r="U2527" s="1"/>
      <c r="V2527" s="1"/>
      <c r="W2527" s="1"/>
      <c r="X2527" s="5">
        <v>100</v>
      </c>
      <c r="Y2527" s="7">
        <v>5835000</v>
      </c>
      <c r="Z2527" s="1"/>
      <c r="AA2527" s="1" t="s">
        <v>18117</v>
      </c>
      <c r="AB2527" s="1" t="s">
        <v>5265</v>
      </c>
      <c r="AC2527" s="1" t="s">
        <v>7759</v>
      </c>
      <c r="AD2527" s="1" t="s">
        <v>5265</v>
      </c>
      <c r="AE2527" s="1" t="s">
        <v>47</v>
      </c>
      <c r="AF2527" s="1" t="s">
        <v>51</v>
      </c>
      <c r="AG2527" s="1" t="s">
        <v>47</v>
      </c>
      <c r="AH2527" s="1"/>
      <c r="AI2527" s="1"/>
      <c r="AJ2527" s="3">
        <v>1</v>
      </c>
      <c r="AK2527" s="1" t="s">
        <v>52</v>
      </c>
      <c r="AL2527" s="3">
        <v>4</v>
      </c>
      <c r="AM2527" s="8">
        <v>11.01</v>
      </c>
      <c r="AN2527" s="1"/>
      <c r="AO2527" s="1" t="s">
        <v>18118</v>
      </c>
      <c r="AP2527" s="1" t="s">
        <v>12096</v>
      </c>
      <c r="AQ2527" s="1" t="s">
        <v>18119</v>
      </c>
      <c r="AR2527" s="1" t="s">
        <v>18116</v>
      </c>
    </row>
    <row r="2528">
      <c r="A2528" s="2">
        <f ca="1">DATE(2008,05,08)</f>
        <v>0</v>
      </c>
      <c r="B2528" s="2">
        <f ca="1">DATE(2010,05,13)</f>
        <v>0</v>
      </c>
      <c r="C2528" s="1" t="s">
        <v>18120</v>
      </c>
      <c r="D2528" s="3">
        <v>3334</v>
      </c>
      <c r="E2528" s="1" t="s">
        <v>43</v>
      </c>
      <c r="F2528" s="1" t="s">
        <v>18121</v>
      </c>
      <c r="G2528" s="1" t="s">
        <v>18122</v>
      </c>
      <c r="H2528" s="4">
        <v>0.48999999999999999</v>
      </c>
      <c r="I2528" s="4">
        <v>6.125</v>
      </c>
      <c r="J2528" s="5">
        <v>80</v>
      </c>
      <c r="K2528" s="4">
        <v>8</v>
      </c>
      <c r="L2528" s="1" t="s">
        <v>46</v>
      </c>
      <c r="M2528" s="1" t="s">
        <v>47</v>
      </c>
      <c r="N2528" s="1" t="s">
        <v>18123</v>
      </c>
      <c r="O2528" s="1" t="s">
        <v>108</v>
      </c>
      <c r="P2528" s="1" t="s">
        <v>18124</v>
      </c>
      <c r="Q2528" s="4">
        <v>1.25</v>
      </c>
      <c r="R2528" s="4">
        <v>1.25</v>
      </c>
      <c r="S2528" s="4">
        <v>3.625</v>
      </c>
      <c r="T2528" s="1" t="s">
        <v>50</v>
      </c>
      <c r="U2528" s="1"/>
      <c r="V2528" s="1"/>
      <c r="W2528" s="1"/>
      <c r="X2528" s="5">
        <v>250</v>
      </c>
      <c r="Y2528" s="7">
        <v>10000000</v>
      </c>
      <c r="Z2528" s="1"/>
      <c r="AA2528" s="1" t="s">
        <v>18117</v>
      </c>
      <c r="AB2528" s="1" t="s">
        <v>5265</v>
      </c>
      <c r="AC2528" s="1" t="s">
        <v>7759</v>
      </c>
      <c r="AD2528" s="1" t="s">
        <v>5265</v>
      </c>
      <c r="AE2528" s="1" t="s">
        <v>51</v>
      </c>
      <c r="AF2528" s="1" t="s">
        <v>51</v>
      </c>
      <c r="AG2528" s="1" t="s">
        <v>47</v>
      </c>
      <c r="AH2528" s="1"/>
      <c r="AI2528" s="1"/>
      <c r="AJ2528" s="3">
        <v>5</v>
      </c>
      <c r="AK2528" s="1" t="s">
        <v>3985</v>
      </c>
      <c r="AL2528" s="3">
        <v>10</v>
      </c>
      <c r="AM2528" s="8">
        <v>8.8000000000000007</v>
      </c>
      <c r="AN2528" s="1"/>
      <c r="AO2528" s="1" t="s">
        <v>18125</v>
      </c>
      <c r="AP2528" s="1" t="s">
        <v>18126</v>
      </c>
      <c r="AQ2528" s="1" t="s">
        <v>18127</v>
      </c>
      <c r="AR2528" s="1" t="s">
        <v>18128</v>
      </c>
    </row>
    <row r="2529">
      <c r="A2529" s="2">
        <f ca="1">DATE(2009,10,30)</f>
        <v>0</v>
      </c>
      <c r="B2529" s="2">
        <f ca="1">DATE(2010,05,13)</f>
        <v>0</v>
      </c>
      <c r="C2529" s="1" t="s">
        <v>18129</v>
      </c>
      <c r="D2529" s="3">
        <v>3812</v>
      </c>
      <c r="E2529" s="1" t="s">
        <v>43</v>
      </c>
      <c r="F2529" s="1" t="s">
        <v>18130</v>
      </c>
      <c r="G2529" s="1" t="s">
        <v>15331</v>
      </c>
      <c r="H2529" s="4">
        <v>0.56000000000000005</v>
      </c>
      <c r="I2529" s="4">
        <v>7</v>
      </c>
      <c r="J2529" s="5">
        <v>56</v>
      </c>
      <c r="K2529" s="4">
        <v>8</v>
      </c>
      <c r="L2529" s="1" t="s">
        <v>46</v>
      </c>
      <c r="M2529" s="1" t="s">
        <v>47</v>
      </c>
      <c r="N2529" s="3">
        <v>879455103</v>
      </c>
      <c r="O2529" s="1" t="s">
        <v>48</v>
      </c>
      <c r="P2529" s="1" t="s">
        <v>18131</v>
      </c>
      <c r="Q2529" s="1" t="s">
        <v>145</v>
      </c>
      <c r="R2529" s="1" t="s">
        <v>145</v>
      </c>
      <c r="S2529" s="8">
        <v>4.2000000000000002</v>
      </c>
      <c r="T2529" s="1" t="s">
        <v>50</v>
      </c>
      <c r="U2529" s="1"/>
      <c r="V2529" s="1"/>
      <c r="W2529" s="1"/>
      <c r="X2529" s="5">
        <v>75</v>
      </c>
      <c r="Y2529" s="7">
        <v>5500000</v>
      </c>
      <c r="Z2529" s="7">
        <v>1500000</v>
      </c>
      <c r="AA2529" s="1" t="s">
        <v>18132</v>
      </c>
      <c r="AB2529" s="1" t="s">
        <v>2067</v>
      </c>
      <c r="AC2529" s="1" t="s">
        <v>2068</v>
      </c>
      <c r="AD2529" s="1" t="s">
        <v>2067</v>
      </c>
      <c r="AE2529" s="1" t="s">
        <v>51</v>
      </c>
      <c r="AF2529" s="1" t="s">
        <v>51</v>
      </c>
      <c r="AG2529" s="1" t="s">
        <v>47</v>
      </c>
      <c r="AH2529" s="1"/>
      <c r="AI2529" s="1"/>
      <c r="AJ2529" s="3">
        <v>2</v>
      </c>
      <c r="AK2529" s="1" t="s">
        <v>89</v>
      </c>
      <c r="AL2529" s="3">
        <v>6</v>
      </c>
      <c r="AM2529" s="8">
        <v>9.8000000000000007</v>
      </c>
      <c r="AN2529" s="1"/>
      <c r="AO2529" s="1" t="s">
        <v>18133</v>
      </c>
      <c r="AP2529" s="1" t="s">
        <v>15335</v>
      </c>
      <c r="AQ2529" s="1" t="s">
        <v>18134</v>
      </c>
      <c r="AR2529" s="1" t="s">
        <v>18135</v>
      </c>
    </row>
    <row r="2530">
      <c r="A2530" s="2">
        <f ca="1">DATE(2010,04,13)</f>
        <v>0</v>
      </c>
      <c r="B2530" s="2">
        <f ca="1">DATE(2010,05,14)</f>
        <v>0</v>
      </c>
      <c r="C2530" s="1" t="s">
        <v>18136</v>
      </c>
      <c r="D2530" s="3">
        <v>7372</v>
      </c>
      <c r="E2530" s="1" t="s">
        <v>744</v>
      </c>
      <c r="F2530" s="1" t="s">
        <v>18137</v>
      </c>
      <c r="G2530" s="1" t="s">
        <v>1048</v>
      </c>
      <c r="H2530" s="4">
        <v>0.20000000000000001</v>
      </c>
      <c r="I2530" s="4">
        <v>5</v>
      </c>
      <c r="J2530" s="5">
        <v>16</v>
      </c>
      <c r="K2530" s="4">
        <v>4</v>
      </c>
      <c r="L2530" s="1" t="s">
        <v>651</v>
      </c>
      <c r="M2530" s="1" t="s">
        <v>47</v>
      </c>
      <c r="N2530" s="3">
        <v>496880105</v>
      </c>
      <c r="O2530" s="1" t="s">
        <v>48</v>
      </c>
      <c r="P2530" s="1" t="s">
        <v>18138</v>
      </c>
      <c r="Q2530" s="1" t="s">
        <v>145</v>
      </c>
      <c r="R2530" s="1" t="s">
        <v>145</v>
      </c>
      <c r="S2530" s="8">
        <v>2.5</v>
      </c>
      <c r="T2530" s="1" t="s">
        <v>50</v>
      </c>
      <c r="U2530" s="1"/>
      <c r="V2530" s="1"/>
      <c r="W2530" s="1"/>
      <c r="X2530" s="5">
        <v>30</v>
      </c>
      <c r="Y2530" s="7">
        <v>4000000</v>
      </c>
      <c r="Z2530" s="1"/>
      <c r="AA2530" s="1" t="s">
        <v>18139</v>
      </c>
      <c r="AB2530" s="1" t="s">
        <v>5265</v>
      </c>
      <c r="AC2530" s="1" t="s">
        <v>7759</v>
      </c>
      <c r="AD2530" s="1" t="s">
        <v>18140</v>
      </c>
      <c r="AE2530" s="1" t="s">
        <v>47</v>
      </c>
      <c r="AF2530" s="1" t="s">
        <v>51</v>
      </c>
      <c r="AG2530" s="1" t="s">
        <v>47</v>
      </c>
      <c r="AH2530" s="1"/>
      <c r="AI2530" s="1"/>
      <c r="AJ2530" s="3">
        <v>1</v>
      </c>
      <c r="AK2530" s="1" t="s">
        <v>52</v>
      </c>
      <c r="AL2530" s="3">
        <v>2</v>
      </c>
      <c r="AM2530" s="8">
        <v>3.9399999999999999</v>
      </c>
      <c r="AN2530" s="1"/>
      <c r="AO2530" s="1" t="s">
        <v>18141</v>
      </c>
      <c r="AP2530" s="1" t="s">
        <v>1048</v>
      </c>
      <c r="AQ2530" s="1" t="s">
        <v>18142</v>
      </c>
      <c r="AR2530" s="1" t="s">
        <v>18138</v>
      </c>
    </row>
    <row r="2531">
      <c r="A2531" s="2">
        <f ca="1">DATE(2009,09,29)</f>
        <v>0</v>
      </c>
      <c r="B2531" s="2">
        <f ca="1">DATE(2010,05,19)</f>
        <v>0</v>
      </c>
      <c r="C2531" s="1" t="s">
        <v>18143</v>
      </c>
      <c r="D2531" s="3">
        <v>8741</v>
      </c>
      <c r="E2531" s="1" t="s">
        <v>43</v>
      </c>
      <c r="F2531" s="1" t="s">
        <v>18144</v>
      </c>
      <c r="G2531" s="1" t="s">
        <v>13075</v>
      </c>
      <c r="H2531" s="4">
        <v>0.83999999999999997</v>
      </c>
      <c r="I2531" s="8">
        <v>7</v>
      </c>
      <c r="J2531" s="5">
        <v>120</v>
      </c>
      <c r="K2531" s="4">
        <v>12</v>
      </c>
      <c r="L2531" s="1" t="s">
        <v>46</v>
      </c>
      <c r="M2531" s="1" t="s">
        <v>47</v>
      </c>
      <c r="N2531" s="1" t="s">
        <v>18145</v>
      </c>
      <c r="O2531" s="1" t="s">
        <v>108</v>
      </c>
      <c r="P2531" s="1" t="s">
        <v>18146</v>
      </c>
      <c r="Q2531" s="4">
        <v>1.3340000000000001</v>
      </c>
      <c r="R2531" s="4">
        <v>1.3340000000000001</v>
      </c>
      <c r="S2531" s="6">
        <v>0.40017000000000003</v>
      </c>
      <c r="T2531" s="1" t="s">
        <v>50</v>
      </c>
      <c r="U2531" s="1"/>
      <c r="V2531" s="1"/>
      <c r="W2531" s="1"/>
      <c r="X2531" s="5">
        <v>200</v>
      </c>
      <c r="Y2531" s="7">
        <v>6666667</v>
      </c>
      <c r="Z2531" s="7">
        <v>3333333</v>
      </c>
      <c r="AA2531" s="1" t="s">
        <v>18147</v>
      </c>
      <c r="AB2531" s="1" t="s">
        <v>2067</v>
      </c>
      <c r="AC2531" s="1" t="s">
        <v>2068</v>
      </c>
      <c r="AD2531" s="1" t="s">
        <v>2067</v>
      </c>
      <c r="AE2531" s="1" t="s">
        <v>51</v>
      </c>
      <c r="AF2531" s="1" t="s">
        <v>51</v>
      </c>
      <c r="AG2531" s="1" t="s">
        <v>47</v>
      </c>
      <c r="AH2531" s="1"/>
      <c r="AI2531" s="1"/>
      <c r="AJ2531" s="3">
        <v>4</v>
      </c>
      <c r="AK2531" s="1" t="s">
        <v>1209</v>
      </c>
      <c r="AL2531" s="3">
        <v>6</v>
      </c>
      <c r="AM2531" s="8">
        <v>13.550000000000001</v>
      </c>
      <c r="AN2531" s="1"/>
      <c r="AO2531" s="1" t="s">
        <v>18148</v>
      </c>
      <c r="AP2531" s="1" t="s">
        <v>13081</v>
      </c>
      <c r="AQ2531" s="1" t="s">
        <v>18149</v>
      </c>
      <c r="AR2531" s="1" t="s">
        <v>18150</v>
      </c>
    </row>
    <row r="2532">
      <c r="A2532" s="2">
        <f ca="1">DATE(2009,11,16)</f>
        <v>0</v>
      </c>
      <c r="B2532" s="2">
        <f ca="1">DATE(2010,05,19)</f>
        <v>0</v>
      </c>
      <c r="C2532" s="1" t="s">
        <v>18151</v>
      </c>
      <c r="D2532" s="3">
        <v>6726</v>
      </c>
      <c r="E2532" s="1" t="s">
        <v>43</v>
      </c>
      <c r="F2532" s="1" t="s">
        <v>18152</v>
      </c>
      <c r="G2532" s="1" t="s">
        <v>9810</v>
      </c>
      <c r="H2532" s="4">
        <v>0.29999999999999999</v>
      </c>
      <c r="I2532" s="4">
        <v>3</v>
      </c>
      <c r="J2532" s="5">
        <v>50</v>
      </c>
      <c r="K2532" s="4">
        <v>10</v>
      </c>
      <c r="L2532" s="1" t="s">
        <v>31</v>
      </c>
      <c r="M2532" s="1" t="s">
        <v>47</v>
      </c>
      <c r="N2532" s="3">
        <v>316816115</v>
      </c>
      <c r="O2532" s="1" t="s">
        <v>77</v>
      </c>
      <c r="P2532" s="1" t="s">
        <v>18153</v>
      </c>
      <c r="Q2532" s="1" t="s">
        <v>145</v>
      </c>
      <c r="R2532" s="1" t="s">
        <v>145</v>
      </c>
      <c r="S2532" s="1"/>
      <c r="T2532" s="1" t="s">
        <v>50</v>
      </c>
      <c r="U2532" s="8">
        <v>10</v>
      </c>
      <c r="V2532" s="8">
        <v>10</v>
      </c>
      <c r="W2532" s="7">
        <v>5000000</v>
      </c>
      <c r="X2532" s="5">
        <v>50</v>
      </c>
      <c r="Y2532" s="7">
        <v>5000000</v>
      </c>
      <c r="Z2532" s="1"/>
      <c r="AA2532" s="1"/>
      <c r="AB2532" s="1"/>
      <c r="AC2532" s="1"/>
      <c r="AD2532" s="1"/>
      <c r="AE2532" s="1" t="s">
        <v>51</v>
      </c>
      <c r="AF2532" s="1" t="s">
        <v>51</v>
      </c>
      <c r="AG2532" s="1" t="s">
        <v>51</v>
      </c>
      <c r="AH2532" s="1"/>
      <c r="AI2532" s="1"/>
      <c r="AJ2532" s="3">
        <v>1</v>
      </c>
      <c r="AK2532" s="1" t="s">
        <v>52</v>
      </c>
      <c r="AL2532" s="3">
        <v>5</v>
      </c>
      <c r="AM2532" s="1"/>
      <c r="AN2532" s="1"/>
      <c r="AO2532" s="1" t="s">
        <v>18154</v>
      </c>
      <c r="AP2532" s="1" t="s">
        <v>9810</v>
      </c>
      <c r="AQ2532" s="1" t="s">
        <v>18155</v>
      </c>
      <c r="AR2532" s="1" t="s">
        <v>18153</v>
      </c>
    </row>
    <row r="2533">
      <c r="A2533" s="2">
        <f ca="1">DATE(2009,12,22)</f>
        <v>0</v>
      </c>
      <c r="B2533" s="2">
        <f ca="1">DATE(2010,05,19)</f>
        <v>0</v>
      </c>
      <c r="C2533" s="1" t="s">
        <v>18156</v>
      </c>
      <c r="D2533" s="3">
        <v>7311</v>
      </c>
      <c r="E2533" s="1" t="s">
        <v>43</v>
      </c>
      <c r="F2533" s="1" t="s">
        <v>18157</v>
      </c>
      <c r="G2533" s="1" t="s">
        <v>8103</v>
      </c>
      <c r="H2533" s="4">
        <v>0.91000000000000003</v>
      </c>
      <c r="I2533" s="4">
        <v>7</v>
      </c>
      <c r="J2533" s="5">
        <v>54.200000000000003</v>
      </c>
      <c r="K2533" s="4">
        <v>13</v>
      </c>
      <c r="L2533" s="1" t="s">
        <v>46</v>
      </c>
      <c r="M2533" s="1" t="s">
        <v>47</v>
      </c>
      <c r="N2533" s="1" t="s">
        <v>18158</v>
      </c>
      <c r="O2533" s="1" t="s">
        <v>48</v>
      </c>
      <c r="P2533" s="1" t="s">
        <v>18159</v>
      </c>
      <c r="Q2533" s="4">
        <v>1.3999999999999999</v>
      </c>
      <c r="R2533" s="4">
        <v>1.3999999999999999</v>
      </c>
      <c r="S2533" s="8">
        <v>4.2000000000000002</v>
      </c>
      <c r="T2533" s="1" t="s">
        <v>50</v>
      </c>
      <c r="U2533" s="1"/>
      <c r="V2533" s="1"/>
      <c r="W2533" s="1"/>
      <c r="X2533" s="5">
        <v>100</v>
      </c>
      <c r="Y2533" s="7">
        <v>3316103</v>
      </c>
      <c r="Z2533" s="7">
        <v>850564</v>
      </c>
      <c r="AA2533" s="1" t="s">
        <v>17969</v>
      </c>
      <c r="AB2533" s="1" t="s">
        <v>5265</v>
      </c>
      <c r="AC2533" s="1" t="s">
        <v>7759</v>
      </c>
      <c r="AD2533" s="1" t="s">
        <v>5265</v>
      </c>
      <c r="AE2533" s="1" t="s">
        <v>51</v>
      </c>
      <c r="AF2533" s="1" t="s">
        <v>51</v>
      </c>
      <c r="AG2533" s="1" t="s">
        <v>47</v>
      </c>
      <c r="AH2533" s="1"/>
      <c r="AI2533" s="1"/>
      <c r="AJ2533" s="3">
        <v>2</v>
      </c>
      <c r="AK2533" s="1" t="s">
        <v>110</v>
      </c>
      <c r="AL2533" s="3">
        <v>6</v>
      </c>
      <c r="AM2533" s="8">
        <v>14.98</v>
      </c>
      <c r="AN2533" s="1"/>
      <c r="AO2533" s="1" t="s">
        <v>18160</v>
      </c>
      <c r="AP2533" s="1" t="s">
        <v>18161</v>
      </c>
      <c r="AQ2533" s="1" t="s">
        <v>18162</v>
      </c>
      <c r="AR2533" s="1" t="s">
        <v>18163</v>
      </c>
    </row>
    <row r="2534">
      <c r="A2534" s="2">
        <f ca="1">DATE(2010,03,08)</f>
        <v>0</v>
      </c>
      <c r="B2534" s="2">
        <f ca="1">DATE(2010,05,25)</f>
        <v>0</v>
      </c>
      <c r="C2534" s="1" t="s">
        <v>18164</v>
      </c>
      <c r="D2534" s="3">
        <v>6726</v>
      </c>
      <c r="E2534" s="1" t="s">
        <v>43</v>
      </c>
      <c r="F2534" s="1" t="s">
        <v>18165</v>
      </c>
      <c r="G2534" s="1" t="s">
        <v>18166</v>
      </c>
      <c r="H2534" s="4">
        <v>0.90000000000000002</v>
      </c>
      <c r="I2534" s="4">
        <v>4.5</v>
      </c>
      <c r="J2534" s="5">
        <v>280</v>
      </c>
      <c r="K2534" s="4">
        <v>20</v>
      </c>
      <c r="L2534" s="1" t="s">
        <v>46</v>
      </c>
      <c r="M2534" s="1" t="s">
        <v>47</v>
      </c>
      <c r="N2534" s="1" t="s">
        <v>18167</v>
      </c>
      <c r="O2534" s="1" t="s">
        <v>108</v>
      </c>
      <c r="P2534" s="1" t="s">
        <v>18168</v>
      </c>
      <c r="Q2534" s="1" t="s">
        <v>145</v>
      </c>
      <c r="R2534" s="1" t="s">
        <v>145</v>
      </c>
      <c r="S2534" s="8">
        <v>3</v>
      </c>
      <c r="T2534" s="1" t="s">
        <v>50</v>
      </c>
      <c r="U2534" s="8">
        <v>20</v>
      </c>
      <c r="V2534" s="8">
        <v>20</v>
      </c>
      <c r="W2534" s="1"/>
      <c r="X2534" s="5">
        <v>1</v>
      </c>
      <c r="Y2534" s="7">
        <v>14000000</v>
      </c>
      <c r="Z2534" s="1"/>
      <c r="AA2534" s="2">
        <f ca="1">DATE(2010,11,21)</f>
        <v>0</v>
      </c>
      <c r="AB2534" s="1"/>
      <c r="AC2534" s="3">
        <v>180</v>
      </c>
      <c r="AD2534" s="1"/>
      <c r="AE2534" s="1" t="s">
        <v>51</v>
      </c>
      <c r="AF2534" s="1" t="s">
        <v>51</v>
      </c>
      <c r="AG2534" s="1" t="s">
        <v>51</v>
      </c>
      <c r="AH2534" s="1"/>
      <c r="AI2534" s="1"/>
      <c r="AJ2534" s="3">
        <v>5</v>
      </c>
      <c r="AK2534" s="1" t="s">
        <v>3985</v>
      </c>
      <c r="AL2534" s="3">
        <v>12</v>
      </c>
      <c r="AM2534" s="8">
        <v>20</v>
      </c>
      <c r="AN2534" s="1"/>
      <c r="AO2534" s="1" t="s">
        <v>18169</v>
      </c>
      <c r="AP2534" s="1" t="s">
        <v>18170</v>
      </c>
      <c r="AQ2534" s="1" t="s">
        <v>18171</v>
      </c>
      <c r="AR2534" s="1" t="s">
        <v>18172</v>
      </c>
    </row>
    <row r="2535">
      <c r="A2535" s="2">
        <f ca="1">DATE(2010,03,19)</f>
        <v>0</v>
      </c>
      <c r="B2535" s="2">
        <f ca="1">DATE(2010,06,01)</f>
        <v>0</v>
      </c>
      <c r="C2535" s="1" t="s">
        <v>18173</v>
      </c>
      <c r="D2535" s="3">
        <v>3841</v>
      </c>
      <c r="E2535" s="1" t="s">
        <v>43</v>
      </c>
      <c r="F2535" s="1" t="s">
        <v>18174</v>
      </c>
      <c r="G2535" s="1" t="s">
        <v>17088</v>
      </c>
      <c r="H2535" s="4">
        <v>0.41999999999999998</v>
      </c>
      <c r="I2535" s="8">
        <v>7</v>
      </c>
      <c r="J2535" s="5">
        <v>27.600000000000001</v>
      </c>
      <c r="K2535" s="4">
        <v>6</v>
      </c>
      <c r="L2535" s="1" t="s">
        <v>46</v>
      </c>
      <c r="M2535" s="1" t="s">
        <v>47</v>
      </c>
      <c r="N2535" s="3">
        <v>372309104</v>
      </c>
      <c r="O2535" s="1" t="s">
        <v>48</v>
      </c>
      <c r="P2535" s="1" t="s">
        <v>18175</v>
      </c>
      <c r="Q2535" s="1" t="s">
        <v>145</v>
      </c>
      <c r="R2535" s="1" t="s">
        <v>145</v>
      </c>
      <c r="S2535" s="8">
        <v>4.2000000000000002</v>
      </c>
      <c r="T2535" s="1" t="s">
        <v>50</v>
      </c>
      <c r="U2535" s="1"/>
      <c r="V2535" s="1"/>
      <c r="W2535" s="1"/>
      <c r="X2535" s="5">
        <v>46</v>
      </c>
      <c r="Y2535" s="7">
        <v>4600000</v>
      </c>
      <c r="Z2535" s="1"/>
      <c r="AA2535" s="1" t="s">
        <v>18176</v>
      </c>
      <c r="AB2535" s="1" t="s">
        <v>5265</v>
      </c>
      <c r="AC2535" s="1" t="s">
        <v>7759</v>
      </c>
      <c r="AD2535" s="1" t="s">
        <v>5265</v>
      </c>
      <c r="AE2535" s="1" t="s">
        <v>51</v>
      </c>
      <c r="AF2535" s="1" t="s">
        <v>51</v>
      </c>
      <c r="AG2535" s="1" t="s">
        <v>51</v>
      </c>
      <c r="AH2535" s="1"/>
      <c r="AI2535" s="1"/>
      <c r="AJ2535" s="3">
        <v>1</v>
      </c>
      <c r="AK2535" s="1" t="s">
        <v>52</v>
      </c>
      <c r="AL2535" s="3">
        <v>3</v>
      </c>
      <c r="AM2535" s="8">
        <v>4.8799999999999999</v>
      </c>
      <c r="AN2535" s="1"/>
      <c r="AO2535" s="1" t="s">
        <v>18177</v>
      </c>
      <c r="AP2535" s="1" t="s">
        <v>17088</v>
      </c>
      <c r="AQ2535" s="1" t="s">
        <v>18178</v>
      </c>
      <c r="AR2535" s="1" t="s">
        <v>18175</v>
      </c>
    </row>
    <row r="2536">
      <c r="A2536" s="2">
        <f ca="1">DATE(2008,10,14)</f>
        <v>0</v>
      </c>
      <c r="B2536" s="2">
        <f ca="1">DATE(2010,06,04)</f>
        <v>0</v>
      </c>
      <c r="C2536" s="1" t="s">
        <v>18179</v>
      </c>
      <c r="D2536" s="3">
        <v>3841</v>
      </c>
      <c r="E2536" s="1" t="s">
        <v>43</v>
      </c>
      <c r="F2536" s="1" t="s">
        <v>18180</v>
      </c>
      <c r="G2536" s="1" t="s">
        <v>1542</v>
      </c>
      <c r="H2536" s="1" t="s">
        <v>57</v>
      </c>
      <c r="I2536" s="1" t="s">
        <v>57</v>
      </c>
      <c r="J2536" s="5">
        <v>0.90000000000000002</v>
      </c>
      <c r="K2536" s="4">
        <v>1</v>
      </c>
      <c r="L2536" s="1" t="s">
        <v>46</v>
      </c>
      <c r="M2536" s="1" t="s">
        <v>47</v>
      </c>
      <c r="N2536" s="1" t="s">
        <v>18181</v>
      </c>
      <c r="O2536" s="1" t="s">
        <v>77</v>
      </c>
      <c r="P2536" s="1" t="s">
        <v>1543</v>
      </c>
      <c r="Q2536" s="1"/>
      <c r="R2536" s="1"/>
      <c r="S2536" s="1"/>
      <c r="T2536" s="1" t="s">
        <v>50</v>
      </c>
      <c r="U2536" s="1"/>
      <c r="V2536" s="1"/>
      <c r="W2536" s="7">
        <v>2946680</v>
      </c>
      <c r="X2536" s="1"/>
      <c r="Y2536" s="1"/>
      <c r="Z2536" s="7">
        <v>915400</v>
      </c>
      <c r="AA2536" s="1"/>
      <c r="AB2536" s="1"/>
      <c r="AC2536" s="1"/>
      <c r="AD2536" s="1"/>
      <c r="AE2536" s="1" t="s">
        <v>51</v>
      </c>
      <c r="AF2536" s="1" t="s">
        <v>51</v>
      </c>
      <c r="AG2536" s="1" t="s">
        <v>51</v>
      </c>
      <c r="AH2536" s="1"/>
      <c r="AI2536" s="1"/>
      <c r="AJ2536" s="3">
        <v>1</v>
      </c>
      <c r="AK2536" s="1" t="s">
        <v>52</v>
      </c>
      <c r="AL2536" s="3">
        <v>1</v>
      </c>
      <c r="AM2536" s="1"/>
      <c r="AN2536" s="1"/>
      <c r="AO2536" s="1" t="s">
        <v>1542</v>
      </c>
      <c r="AP2536" s="1" t="s">
        <v>1542</v>
      </c>
      <c r="AQ2536" s="1" t="s">
        <v>1542</v>
      </c>
      <c r="AR2536" s="1" t="s">
        <v>1543</v>
      </c>
    </row>
    <row r="2537">
      <c r="A2537" s="2">
        <f ca="1">DATE(2010,04,27)</f>
        <v>0</v>
      </c>
      <c r="B2537" s="2">
        <f ca="1">DATE(2010,06,10)</f>
        <v>0</v>
      </c>
      <c r="C2537" s="1" t="s">
        <v>18182</v>
      </c>
      <c r="D2537" s="3">
        <v>2082</v>
      </c>
      <c r="E2537" s="1" t="s">
        <v>744</v>
      </c>
      <c r="F2537" s="1" t="s">
        <v>18183</v>
      </c>
      <c r="G2537" s="1" t="s">
        <v>17088</v>
      </c>
      <c r="H2537" s="4">
        <v>0.48999999999999999</v>
      </c>
      <c r="I2537" s="8">
        <v>7</v>
      </c>
      <c r="J2537" s="5">
        <v>40.100000000000001</v>
      </c>
      <c r="K2537" s="4">
        <v>7</v>
      </c>
      <c r="L2537" s="1" t="s">
        <v>651</v>
      </c>
      <c r="M2537" s="1" t="s">
        <v>47</v>
      </c>
      <c r="N2537" s="1" t="s">
        <v>18184</v>
      </c>
      <c r="O2537" s="1" t="s">
        <v>108</v>
      </c>
      <c r="P2537" s="1" t="s">
        <v>18185</v>
      </c>
      <c r="Q2537" s="1" t="s">
        <v>145</v>
      </c>
      <c r="R2537" s="1" t="s">
        <v>145</v>
      </c>
      <c r="S2537" s="6">
        <v>4.1428599999999998</v>
      </c>
      <c r="T2537" s="1" t="s">
        <v>50</v>
      </c>
      <c r="U2537" s="1"/>
      <c r="V2537" s="1"/>
      <c r="W2537" s="1"/>
      <c r="X2537" s="5">
        <v>92</v>
      </c>
      <c r="Y2537" s="7">
        <v>5725000</v>
      </c>
      <c r="Z2537" s="1"/>
      <c r="AA2537" s="1" t="s">
        <v>18186</v>
      </c>
      <c r="AB2537" s="1" t="s">
        <v>2067</v>
      </c>
      <c r="AC2537" s="1" t="s">
        <v>2068</v>
      </c>
      <c r="AD2537" s="1" t="s">
        <v>2067</v>
      </c>
      <c r="AE2537" s="1" t="s">
        <v>47</v>
      </c>
      <c r="AF2537" s="1" t="s">
        <v>51</v>
      </c>
      <c r="AG2537" s="1" t="s">
        <v>51</v>
      </c>
      <c r="AH2537" s="1"/>
      <c r="AI2537" s="1"/>
      <c r="AJ2537" s="3">
        <v>1</v>
      </c>
      <c r="AK2537" s="1" t="s">
        <v>52</v>
      </c>
      <c r="AL2537" s="3">
        <v>4</v>
      </c>
      <c r="AM2537" s="1"/>
      <c r="AN2537" s="1"/>
      <c r="AO2537" s="1" t="s">
        <v>18187</v>
      </c>
      <c r="AP2537" s="1" t="s">
        <v>17088</v>
      </c>
      <c r="AQ2537" s="1" t="s">
        <v>18188</v>
      </c>
      <c r="AR2537" s="1" t="s">
        <v>18185</v>
      </c>
    </row>
    <row r="2538">
      <c r="A2538" s="2">
        <f ca="1">DATE(2010,03,11)</f>
        <v>0</v>
      </c>
      <c r="B2538" s="2">
        <f ca="1">DATE(2010,06,14)</f>
        <v>0</v>
      </c>
      <c r="C2538" s="1" t="s">
        <v>18189</v>
      </c>
      <c r="D2538" s="3">
        <v>6231</v>
      </c>
      <c r="E2538" s="1" t="s">
        <v>43</v>
      </c>
      <c r="F2538" s="1" t="s">
        <v>18190</v>
      </c>
      <c r="G2538" s="1" t="s">
        <v>18191</v>
      </c>
      <c r="H2538" s="4">
        <v>1.958</v>
      </c>
      <c r="I2538" s="4">
        <v>6.75</v>
      </c>
      <c r="J2538" s="5">
        <v>339.30000000000001</v>
      </c>
      <c r="K2538" s="4">
        <v>29</v>
      </c>
      <c r="L2538" s="1" t="s">
        <v>46</v>
      </c>
      <c r="M2538" s="1" t="s">
        <v>47</v>
      </c>
      <c r="N2538" s="1" t="s">
        <v>18192</v>
      </c>
      <c r="O2538" s="1" t="s">
        <v>48</v>
      </c>
      <c r="P2538" s="1" t="s">
        <v>18193</v>
      </c>
      <c r="Q2538" s="4">
        <v>1.3500000000000001</v>
      </c>
      <c r="R2538" s="4">
        <v>1.3500000000000001</v>
      </c>
      <c r="S2538" s="8">
        <v>4.0499999999999998</v>
      </c>
      <c r="T2538" s="1" t="s">
        <v>50</v>
      </c>
      <c r="U2538" s="1"/>
      <c r="V2538" s="1"/>
      <c r="W2538" s="1"/>
      <c r="X2538" s="5">
        <v>300</v>
      </c>
      <c r="Y2538" s="7">
        <v>9614226</v>
      </c>
      <c r="Z2538" s="7">
        <v>2085774</v>
      </c>
      <c r="AA2538" s="1" t="s">
        <v>18194</v>
      </c>
      <c r="AB2538" s="1" t="s">
        <v>2067</v>
      </c>
      <c r="AC2538" s="1" t="s">
        <v>2068</v>
      </c>
      <c r="AD2538" s="1" t="s">
        <v>2067</v>
      </c>
      <c r="AE2538" s="1" t="s">
        <v>51</v>
      </c>
      <c r="AF2538" s="1" t="s">
        <v>51</v>
      </c>
      <c r="AG2538" s="1" t="s">
        <v>51</v>
      </c>
      <c r="AH2538" s="1"/>
      <c r="AI2538" s="1"/>
      <c r="AJ2538" s="3">
        <v>7</v>
      </c>
      <c r="AK2538" s="1" t="s">
        <v>8132</v>
      </c>
      <c r="AL2538" s="3">
        <v>18</v>
      </c>
      <c r="AM2538" s="1"/>
      <c r="AN2538" s="1"/>
      <c r="AO2538" s="1" t="s">
        <v>18195</v>
      </c>
      <c r="AP2538" s="1" t="s">
        <v>18196</v>
      </c>
      <c r="AQ2538" s="1" t="s">
        <v>18197</v>
      </c>
      <c r="AR2538" s="1" t="s">
        <v>18198</v>
      </c>
    </row>
    <row r="2539">
      <c r="A2539" s="2">
        <f ca="1">DATE(2010,03,15)</f>
        <v>0</v>
      </c>
      <c r="B2539" s="2">
        <f ca="1">DATE(2010,06,16)</f>
        <v>0</v>
      </c>
      <c r="C2539" s="1" t="s">
        <v>18199</v>
      </c>
      <c r="D2539" s="3">
        <v>7372</v>
      </c>
      <c r="E2539" s="1" t="s">
        <v>43</v>
      </c>
      <c r="F2539" s="1" t="s">
        <v>18200</v>
      </c>
      <c r="G2539" s="1" t="s">
        <v>18201</v>
      </c>
      <c r="H2539" s="4">
        <v>0.63</v>
      </c>
      <c r="I2539" s="4">
        <v>7</v>
      </c>
      <c r="J2539" s="5">
        <v>67.5</v>
      </c>
      <c r="K2539" s="4">
        <v>9</v>
      </c>
      <c r="L2539" s="1" t="s">
        <v>46</v>
      </c>
      <c r="M2539" s="1" t="s">
        <v>47</v>
      </c>
      <c r="N2539" s="1" t="s">
        <v>18202</v>
      </c>
      <c r="O2539" s="1" t="s">
        <v>48</v>
      </c>
      <c r="P2539" s="1" t="s">
        <v>18203</v>
      </c>
      <c r="Q2539" s="4">
        <v>1.3999999999999999</v>
      </c>
      <c r="R2539" s="4">
        <v>1.3999999999999999</v>
      </c>
      <c r="S2539" s="8">
        <v>4.2000000000000002</v>
      </c>
      <c r="T2539" s="1" t="s">
        <v>50</v>
      </c>
      <c r="U2539" s="1"/>
      <c r="V2539" s="1"/>
      <c r="W2539" s="1"/>
      <c r="X2539" s="5">
        <v>103.5</v>
      </c>
      <c r="Y2539" s="7">
        <v>5048131</v>
      </c>
      <c r="Z2539" s="7">
        <v>2451869</v>
      </c>
      <c r="AA2539" s="1" t="s">
        <v>18204</v>
      </c>
      <c r="AB2539" s="1" t="s">
        <v>2067</v>
      </c>
      <c r="AC2539" s="1" t="s">
        <v>2068</v>
      </c>
      <c r="AD2539" s="1" t="s">
        <v>2067</v>
      </c>
      <c r="AE2539" s="1" t="s">
        <v>51</v>
      </c>
      <c r="AF2539" s="1" t="s">
        <v>51</v>
      </c>
      <c r="AG2539" s="1" t="s">
        <v>47</v>
      </c>
      <c r="AH2539" s="1"/>
      <c r="AI2539" s="1"/>
      <c r="AJ2539" s="3">
        <v>2</v>
      </c>
      <c r="AK2539" s="1" t="s">
        <v>89</v>
      </c>
      <c r="AL2539" s="3">
        <v>4</v>
      </c>
      <c r="AM2539" s="8">
        <v>8.3000000000000007</v>
      </c>
      <c r="AN2539" s="1"/>
      <c r="AO2539" s="1" t="s">
        <v>18205</v>
      </c>
      <c r="AP2539" s="1" t="s">
        <v>7435</v>
      </c>
      <c r="AQ2539" s="1" t="s">
        <v>18206</v>
      </c>
      <c r="AR2539" s="1" t="s">
        <v>18207</v>
      </c>
    </row>
    <row r="2540">
      <c r="A2540" s="2">
        <f ca="1">DATE(2010,03,24)</f>
        <v>0</v>
      </c>
      <c r="B2540" s="2">
        <f ca="1">DATE(2010,06,16)</f>
        <v>0</v>
      </c>
      <c r="C2540" s="1" t="s">
        <v>18208</v>
      </c>
      <c r="D2540" s="3">
        <v>7389</v>
      </c>
      <c r="E2540" s="1" t="s">
        <v>43</v>
      </c>
      <c r="F2540" s="1" t="s">
        <v>18209</v>
      </c>
      <c r="G2540" s="1" t="s">
        <v>160</v>
      </c>
      <c r="H2540" s="4">
        <v>0.83999999999999997</v>
      </c>
      <c r="I2540" s="8">
        <v>7</v>
      </c>
      <c r="J2540" s="5">
        <v>108</v>
      </c>
      <c r="K2540" s="4">
        <v>12</v>
      </c>
      <c r="L2540" s="1" t="s">
        <v>46</v>
      </c>
      <c r="M2540" s="1" t="s">
        <v>47</v>
      </c>
      <c r="N2540" s="1" t="s">
        <v>18210</v>
      </c>
      <c r="O2540" s="1" t="s">
        <v>108</v>
      </c>
      <c r="P2540" s="1" t="s">
        <v>18211</v>
      </c>
      <c r="Q2540" s="4">
        <v>1.3999999999999999</v>
      </c>
      <c r="R2540" s="4">
        <v>1.05</v>
      </c>
      <c r="S2540" s="8">
        <v>4.5499999999999998</v>
      </c>
      <c r="T2540" s="1" t="s">
        <v>50</v>
      </c>
      <c r="U2540" s="1"/>
      <c r="V2540" s="1"/>
      <c r="W2540" s="1"/>
      <c r="X2540" s="5">
        <v>100</v>
      </c>
      <c r="Y2540" s="7">
        <v>3103822</v>
      </c>
      <c r="Z2540" s="7">
        <v>5896178</v>
      </c>
      <c r="AA2540" s="1" t="s">
        <v>18212</v>
      </c>
      <c r="AB2540" s="1" t="s">
        <v>13651</v>
      </c>
      <c r="AC2540" s="1" t="s">
        <v>16884</v>
      </c>
      <c r="AD2540" s="1" t="s">
        <v>13651</v>
      </c>
      <c r="AE2540" s="1" t="s">
        <v>51</v>
      </c>
      <c r="AF2540" s="1" t="s">
        <v>51</v>
      </c>
      <c r="AG2540" s="1" t="s">
        <v>51</v>
      </c>
      <c r="AH2540" s="1"/>
      <c r="AI2540" s="1"/>
      <c r="AJ2540" s="3">
        <v>1</v>
      </c>
      <c r="AK2540" s="1" t="s">
        <v>52</v>
      </c>
      <c r="AL2540" s="3">
        <v>6</v>
      </c>
      <c r="AM2540" s="8">
        <v>14.27</v>
      </c>
      <c r="AN2540" s="1"/>
      <c r="AO2540" s="1" t="s">
        <v>18213</v>
      </c>
      <c r="AP2540" s="1" t="s">
        <v>160</v>
      </c>
      <c r="AQ2540" s="1" t="s">
        <v>18214</v>
      </c>
      <c r="AR2540" s="1" t="s">
        <v>18211</v>
      </c>
    </row>
    <row r="2541">
      <c r="A2541" s="2">
        <f ca="1">DATE(2010,03,04)</f>
        <v>0</v>
      </c>
      <c r="B2541" s="2">
        <f ca="1">DATE(2010,06,16)</f>
        <v>0</v>
      </c>
      <c r="C2541" s="1" t="s">
        <v>18215</v>
      </c>
      <c r="D2541" s="3">
        <v>1311</v>
      </c>
      <c r="E2541" s="1" t="s">
        <v>43</v>
      </c>
      <c r="F2541" s="1" t="s">
        <v>18216</v>
      </c>
      <c r="G2541" s="1" t="s">
        <v>15058</v>
      </c>
      <c r="H2541" s="4">
        <v>0.83999999999999997</v>
      </c>
      <c r="I2541" s="4">
        <v>6</v>
      </c>
      <c r="J2541" s="5">
        <v>588</v>
      </c>
      <c r="K2541" s="4">
        <v>14</v>
      </c>
      <c r="L2541" s="1" t="s">
        <v>46</v>
      </c>
      <c r="M2541" s="1" t="s">
        <v>47</v>
      </c>
      <c r="N2541" s="3">
        <v>674215108</v>
      </c>
      <c r="O2541" s="1" t="s">
        <v>108</v>
      </c>
      <c r="P2541" s="1" t="s">
        <v>18217</v>
      </c>
      <c r="Q2541" s="1" t="s">
        <v>145</v>
      </c>
      <c r="R2541" s="1" t="s">
        <v>145</v>
      </c>
      <c r="S2541" s="8">
        <v>3.4500000000000002</v>
      </c>
      <c r="T2541" s="1" t="s">
        <v>50</v>
      </c>
      <c r="U2541" s="1"/>
      <c r="V2541" s="1"/>
      <c r="W2541" s="1"/>
      <c r="X2541" s="5">
        <v>350</v>
      </c>
      <c r="Y2541" s="7">
        <v>30370000</v>
      </c>
      <c r="Z2541" s="7">
        <v>11630000</v>
      </c>
      <c r="AA2541" s="1" t="s">
        <v>18212</v>
      </c>
      <c r="AB2541" s="1" t="s">
        <v>13651</v>
      </c>
      <c r="AC2541" s="1" t="s">
        <v>16884</v>
      </c>
      <c r="AD2541" s="1" t="s">
        <v>13651</v>
      </c>
      <c r="AE2541" s="1" t="s">
        <v>51</v>
      </c>
      <c r="AF2541" s="1" t="s">
        <v>51</v>
      </c>
      <c r="AG2541" s="1" t="s">
        <v>51</v>
      </c>
      <c r="AH2541" s="1"/>
      <c r="AI2541" s="1" t="s">
        <v>18218</v>
      </c>
      <c r="AJ2541" s="3">
        <v>2</v>
      </c>
      <c r="AK2541" s="1" t="s">
        <v>89</v>
      </c>
      <c r="AL2541" s="3">
        <v>13</v>
      </c>
      <c r="AM2541" s="8">
        <v>14.880000000000001</v>
      </c>
      <c r="AN2541" s="1"/>
      <c r="AO2541" s="1" t="s">
        <v>18219</v>
      </c>
      <c r="AP2541" s="1" t="s">
        <v>15062</v>
      </c>
      <c r="AQ2541" s="1" t="s">
        <v>18220</v>
      </c>
      <c r="AR2541" s="1" t="s">
        <v>18221</v>
      </c>
    </row>
    <row r="2542">
      <c r="A2542" s="2">
        <f ca="1">DATE(2010,02,16)</f>
        <v>0</v>
      </c>
      <c r="B2542" s="2">
        <f ca="1">DATE(2010,06,17)</f>
        <v>0</v>
      </c>
      <c r="C2542" s="1" t="s">
        <v>18222</v>
      </c>
      <c r="D2542" s="3">
        <v>3645</v>
      </c>
      <c r="E2542" s="1" t="s">
        <v>744</v>
      </c>
      <c r="F2542" s="1" t="s">
        <v>18223</v>
      </c>
      <c r="G2542" s="1" t="s">
        <v>17412</v>
      </c>
      <c r="H2542" s="4">
        <v>0.27000000000000002</v>
      </c>
      <c r="I2542" s="4">
        <v>9</v>
      </c>
      <c r="J2542" s="5">
        <v>10.1</v>
      </c>
      <c r="K2542" s="4">
        <v>3</v>
      </c>
      <c r="L2542" s="1" t="s">
        <v>46</v>
      </c>
      <c r="M2542" s="1" t="s">
        <v>47</v>
      </c>
      <c r="N2542" s="1" t="s">
        <v>18224</v>
      </c>
      <c r="O2542" s="1" t="s">
        <v>16605</v>
      </c>
      <c r="P2542" s="1" t="s">
        <v>17414</v>
      </c>
      <c r="Q2542" s="1" t="s">
        <v>145</v>
      </c>
      <c r="R2542" s="1" t="s">
        <v>145</v>
      </c>
      <c r="S2542" s="6">
        <v>5.7466699999999999</v>
      </c>
      <c r="T2542" s="1" t="s">
        <v>50</v>
      </c>
      <c r="U2542" s="8">
        <v>4</v>
      </c>
      <c r="V2542" s="8">
        <v>3</v>
      </c>
      <c r="W2542" s="7">
        <v>2500000</v>
      </c>
      <c r="X2542" s="5">
        <v>8.8000000000000007</v>
      </c>
      <c r="Y2542" s="7">
        <v>3350000</v>
      </c>
      <c r="Z2542" s="1"/>
      <c r="AA2542" s="1" t="s">
        <v>18225</v>
      </c>
      <c r="AB2542" s="1" t="s">
        <v>5265</v>
      </c>
      <c r="AC2542" s="1" t="s">
        <v>18226</v>
      </c>
      <c r="AD2542" s="1" t="s">
        <v>5265</v>
      </c>
      <c r="AE2542" s="1" t="s">
        <v>51</v>
      </c>
      <c r="AF2542" s="1" t="s">
        <v>51</v>
      </c>
      <c r="AG2542" s="1" t="s">
        <v>51</v>
      </c>
      <c r="AH2542" s="1"/>
      <c r="AI2542" s="1"/>
      <c r="AJ2542" s="3">
        <v>2</v>
      </c>
      <c r="AK2542" s="1" t="s">
        <v>89</v>
      </c>
      <c r="AL2542" s="3">
        <v>2</v>
      </c>
      <c r="AM2542" s="8">
        <v>2.9500000000000002</v>
      </c>
      <c r="AN2542" s="1"/>
      <c r="AO2542" s="1" t="s">
        <v>17415</v>
      </c>
      <c r="AP2542" s="1" t="s">
        <v>17416</v>
      </c>
      <c r="AQ2542" s="1" t="s">
        <v>17417</v>
      </c>
      <c r="AR2542" s="1" t="s">
        <v>17414</v>
      </c>
    </row>
    <row r="2543">
      <c r="A2543" s="2">
        <f ca="1">DATE(2010,01,22)</f>
        <v>0</v>
      </c>
      <c r="B2543" s="2">
        <f ca="1">DATE(2010,06,17)</f>
        <v>0</v>
      </c>
      <c r="C2543" s="1" t="s">
        <v>18227</v>
      </c>
      <c r="D2543" s="3">
        <v>7389</v>
      </c>
      <c r="E2543" s="1" t="s">
        <v>43</v>
      </c>
      <c r="F2543" s="1" t="s">
        <v>18228</v>
      </c>
      <c r="G2543" s="1" t="s">
        <v>4634</v>
      </c>
      <c r="H2543" s="4">
        <v>0.69999999999999996</v>
      </c>
      <c r="I2543" s="8">
        <v>7</v>
      </c>
      <c r="J2543" s="5">
        <v>60</v>
      </c>
      <c r="K2543" s="4">
        <v>10</v>
      </c>
      <c r="L2543" s="1" t="s">
        <v>46</v>
      </c>
      <c r="M2543" s="1" t="s">
        <v>47</v>
      </c>
      <c r="N2543" s="3">
        <v>620107102</v>
      </c>
      <c r="O2543" s="1" t="s">
        <v>48</v>
      </c>
      <c r="P2543" s="1" t="s">
        <v>18229</v>
      </c>
      <c r="Q2543" s="1" t="s">
        <v>145</v>
      </c>
      <c r="R2543" s="1" t="s">
        <v>145</v>
      </c>
      <c r="S2543" s="1"/>
      <c r="T2543" s="1" t="s">
        <v>50</v>
      </c>
      <c r="U2543" s="1"/>
      <c r="V2543" s="1"/>
      <c r="W2543" s="1"/>
      <c r="X2543" s="5">
        <v>250</v>
      </c>
      <c r="Y2543" s="7">
        <v>6000000</v>
      </c>
      <c r="Z2543" s="1"/>
      <c r="AA2543" s="1" t="s">
        <v>18230</v>
      </c>
      <c r="AB2543" s="1" t="s">
        <v>13651</v>
      </c>
      <c r="AC2543" s="1" t="s">
        <v>16884</v>
      </c>
      <c r="AD2543" s="1" t="s">
        <v>13651</v>
      </c>
      <c r="AE2543" s="1" t="s">
        <v>51</v>
      </c>
      <c r="AF2543" s="1" t="s">
        <v>51</v>
      </c>
      <c r="AG2543" s="1" t="s">
        <v>51</v>
      </c>
      <c r="AH2543" s="1"/>
      <c r="AI2543" s="1"/>
      <c r="AJ2543" s="3">
        <v>2</v>
      </c>
      <c r="AK2543" s="1" t="s">
        <v>89</v>
      </c>
      <c r="AL2543" s="3">
        <v>7</v>
      </c>
      <c r="AM2543" s="8">
        <v>9.2599999999999998</v>
      </c>
      <c r="AN2543" s="1"/>
      <c r="AO2543" s="1" t="s">
        <v>18231</v>
      </c>
      <c r="AP2543" s="1" t="s">
        <v>4642</v>
      </c>
      <c r="AQ2543" s="1" t="s">
        <v>18232</v>
      </c>
      <c r="AR2543" s="1" t="s">
        <v>18233</v>
      </c>
    </row>
    <row r="2544">
      <c r="A2544" s="2">
        <f ca="1">DATE(2010,01,29)</f>
        <v>0</v>
      </c>
      <c r="B2544" s="2">
        <f ca="1">DATE(2010,06,21)</f>
        <v>0</v>
      </c>
      <c r="C2544" s="1" t="s">
        <v>18234</v>
      </c>
      <c r="D2544" s="3">
        <v>7373</v>
      </c>
      <c r="E2544" s="1" t="s">
        <v>43</v>
      </c>
      <c r="F2544" s="1" t="s">
        <v>18235</v>
      </c>
      <c r="G2544" s="1" t="s">
        <v>10277</v>
      </c>
      <c r="H2544" s="4">
        <v>0.36799999999999999</v>
      </c>
      <c r="I2544" s="4">
        <v>8</v>
      </c>
      <c r="J2544" s="5">
        <v>11</v>
      </c>
      <c r="K2544" s="4">
        <v>4.5999999999999996</v>
      </c>
      <c r="L2544" s="1" t="s">
        <v>31</v>
      </c>
      <c r="M2544" s="1" t="s">
        <v>47</v>
      </c>
      <c r="N2544" s="1" t="s">
        <v>18236</v>
      </c>
      <c r="O2544" s="1" t="s">
        <v>16605</v>
      </c>
      <c r="P2544" s="1" t="s">
        <v>18237</v>
      </c>
      <c r="Q2544" s="1" t="s">
        <v>145</v>
      </c>
      <c r="R2544" s="1" t="s">
        <v>145</v>
      </c>
      <c r="S2544" s="8">
        <v>4.5</v>
      </c>
      <c r="T2544" s="1" t="s">
        <v>50</v>
      </c>
      <c r="U2544" s="1"/>
      <c r="V2544" s="1"/>
      <c r="W2544" s="7">
        <v>2400000</v>
      </c>
      <c r="X2544" s="5">
        <v>13.800000000000001</v>
      </c>
      <c r="Y2544" s="7">
        <v>2392000</v>
      </c>
      <c r="Z2544" s="1"/>
      <c r="AA2544" s="1" t="s">
        <v>18238</v>
      </c>
      <c r="AB2544" s="1" t="s">
        <v>5265</v>
      </c>
      <c r="AC2544" s="1" t="s">
        <v>12391</v>
      </c>
      <c r="AD2544" s="1" t="s">
        <v>5265</v>
      </c>
      <c r="AE2544" s="1" t="s">
        <v>51</v>
      </c>
      <c r="AF2544" s="1" t="s">
        <v>51</v>
      </c>
      <c r="AG2544" s="1" t="s">
        <v>47</v>
      </c>
      <c r="AH2544" s="1"/>
      <c r="AI2544" s="1"/>
      <c r="AJ2544" s="3">
        <v>1</v>
      </c>
      <c r="AK2544" s="1" t="s">
        <v>52</v>
      </c>
      <c r="AL2544" s="3">
        <v>3</v>
      </c>
      <c r="AM2544" s="1"/>
      <c r="AN2544" s="1"/>
      <c r="AO2544" s="1" t="s">
        <v>18239</v>
      </c>
      <c r="AP2544" s="1" t="s">
        <v>10277</v>
      </c>
      <c r="AQ2544" s="1" t="s">
        <v>18240</v>
      </c>
      <c r="AR2544" s="1" t="s">
        <v>18237</v>
      </c>
    </row>
    <row r="2545">
      <c r="A2545" s="2">
        <f ca="1">DATE(2010,02,16)</f>
        <v>0</v>
      </c>
      <c r="B2545" s="2">
        <f ca="1">DATE(2010,06,23)</f>
        <v>0</v>
      </c>
      <c r="C2545" s="1" t="s">
        <v>18241</v>
      </c>
      <c r="D2545" s="3">
        <v>6798</v>
      </c>
      <c r="E2545" s="1" t="s">
        <v>43</v>
      </c>
      <c r="F2545" s="1" t="s">
        <v>18242</v>
      </c>
      <c r="G2545" s="1" t="s">
        <v>18243</v>
      </c>
      <c r="H2545" s="4">
        <v>1.19</v>
      </c>
      <c r="I2545" s="8">
        <v>7</v>
      </c>
      <c r="J2545" s="5">
        <v>217.59999999999999</v>
      </c>
      <c r="K2545" s="4">
        <v>17</v>
      </c>
      <c r="L2545" s="1" t="s">
        <v>46</v>
      </c>
      <c r="M2545" s="1" t="s">
        <v>47</v>
      </c>
      <c r="N2545" s="3">
        <v>444097109</v>
      </c>
      <c r="O2545" s="1" t="s">
        <v>108</v>
      </c>
      <c r="P2545" s="1" t="s">
        <v>18244</v>
      </c>
      <c r="Q2545" s="4">
        <v>1.6499999999999999</v>
      </c>
      <c r="R2545" s="4">
        <v>1.6000000000000001</v>
      </c>
      <c r="S2545" s="8">
        <v>3.75</v>
      </c>
      <c r="T2545" s="1" t="s">
        <v>50</v>
      </c>
      <c r="U2545" s="1"/>
      <c r="V2545" s="1"/>
      <c r="W2545" s="1"/>
      <c r="X2545" s="5">
        <v>264.5</v>
      </c>
      <c r="Y2545" s="7">
        <v>12800000</v>
      </c>
      <c r="Z2545" s="1"/>
      <c r="AA2545" s="1" t="s">
        <v>18245</v>
      </c>
      <c r="AB2545" s="1" t="s">
        <v>2067</v>
      </c>
      <c r="AC2545" s="1" t="s">
        <v>2068</v>
      </c>
      <c r="AD2545" s="1" t="s">
        <v>2067</v>
      </c>
      <c r="AE2545" s="1" t="s">
        <v>51</v>
      </c>
      <c r="AF2545" s="1" t="s">
        <v>51</v>
      </c>
      <c r="AG2545" s="1" t="s">
        <v>51</v>
      </c>
      <c r="AH2545" s="1"/>
      <c r="AI2545" s="1"/>
      <c r="AJ2545" s="3">
        <v>3</v>
      </c>
      <c r="AK2545" s="1" t="s">
        <v>110</v>
      </c>
      <c r="AL2545" s="3">
        <v>6</v>
      </c>
      <c r="AM2545" s="8">
        <v>17.399999999999999</v>
      </c>
      <c r="AN2545" s="1"/>
      <c r="AO2545" s="1" t="s">
        <v>18246</v>
      </c>
      <c r="AP2545" s="1" t="s">
        <v>18247</v>
      </c>
      <c r="AQ2545" s="1" t="s">
        <v>18248</v>
      </c>
      <c r="AR2545" s="1" t="s">
        <v>18249</v>
      </c>
    </row>
    <row r="2546">
      <c r="A2546" s="2">
        <f ca="1">DATE(2010,04,13)</f>
        <v>0</v>
      </c>
      <c r="B2546" s="2">
        <f ca="1">DATE(2010,06,24)</f>
        <v>0</v>
      </c>
      <c r="C2546" s="1" t="s">
        <v>18250</v>
      </c>
      <c r="D2546" s="3">
        <v>6726</v>
      </c>
      <c r="E2546" s="1" t="s">
        <v>43</v>
      </c>
      <c r="F2546" s="1" t="s">
        <v>18251</v>
      </c>
      <c r="G2546" s="1" t="s">
        <v>18252</v>
      </c>
      <c r="H2546" s="4">
        <v>0.90000000000000002</v>
      </c>
      <c r="I2546" s="4">
        <v>4.5</v>
      </c>
      <c r="J2546" s="9">
        <v>1110</v>
      </c>
      <c r="K2546" s="4">
        <v>20</v>
      </c>
      <c r="L2546" s="1" t="s">
        <v>46</v>
      </c>
      <c r="M2546" s="1" t="s">
        <v>47</v>
      </c>
      <c r="N2546" s="3">
        <v>184692101</v>
      </c>
      <c r="O2546" s="1" t="s">
        <v>108</v>
      </c>
      <c r="P2546" s="1" t="s">
        <v>18253</v>
      </c>
      <c r="Q2546" s="1" t="s">
        <v>145</v>
      </c>
      <c r="R2546" s="1" t="s">
        <v>145</v>
      </c>
      <c r="S2546" s="8">
        <v>3</v>
      </c>
      <c r="T2546" s="1" t="s">
        <v>50</v>
      </c>
      <c r="U2546" s="8">
        <v>20</v>
      </c>
      <c r="V2546" s="8">
        <v>20</v>
      </c>
      <c r="W2546" s="1"/>
      <c r="X2546" s="5">
        <v>1</v>
      </c>
      <c r="Y2546" s="7">
        <v>55500000</v>
      </c>
      <c r="Z2546" s="1"/>
      <c r="AA2546" s="2">
        <f ca="1">DATE(2010,12,21)</f>
        <v>0</v>
      </c>
      <c r="AB2546" s="1"/>
      <c r="AC2546" s="3">
        <v>180</v>
      </c>
      <c r="AD2546" s="1"/>
      <c r="AE2546" s="1" t="s">
        <v>51</v>
      </c>
      <c r="AF2546" s="1" t="s">
        <v>51</v>
      </c>
      <c r="AG2546" s="1" t="s">
        <v>51</v>
      </c>
      <c r="AH2546" s="1"/>
      <c r="AI2546" s="1" t="s">
        <v>18254</v>
      </c>
      <c r="AJ2546" s="3">
        <v>4</v>
      </c>
      <c r="AK2546" s="1" t="s">
        <v>1209</v>
      </c>
      <c r="AL2546" s="3">
        <v>14</v>
      </c>
      <c r="AM2546" s="1"/>
      <c r="AN2546" s="1"/>
      <c r="AO2546" s="1" t="s">
        <v>18255</v>
      </c>
      <c r="AP2546" s="1" t="s">
        <v>18256</v>
      </c>
      <c r="AQ2546" s="1" t="s">
        <v>18257</v>
      </c>
      <c r="AR2546" s="1" t="s">
        <v>18258</v>
      </c>
    </row>
    <row r="2547">
      <c r="A2547" s="2">
        <f ca="1">DATE(2010,01,15)</f>
        <v>0</v>
      </c>
      <c r="B2547" s="2">
        <f ca="1">DATE(2010,06,24)</f>
        <v>0</v>
      </c>
      <c r="C2547" s="1" t="s">
        <v>18259</v>
      </c>
      <c r="D2547" s="3">
        <v>6726</v>
      </c>
      <c r="E2547" s="1" t="s">
        <v>43</v>
      </c>
      <c r="F2547" s="1" t="s">
        <v>18260</v>
      </c>
      <c r="G2547" s="1" t="s">
        <v>18261</v>
      </c>
      <c r="H2547" s="4">
        <v>0.90000000000000002</v>
      </c>
      <c r="I2547" s="4">
        <v>4.5</v>
      </c>
      <c r="J2547" s="5">
        <v>200</v>
      </c>
      <c r="K2547" s="4">
        <v>20</v>
      </c>
      <c r="L2547" s="1" t="s">
        <v>46</v>
      </c>
      <c r="M2547" s="1" t="s">
        <v>47</v>
      </c>
      <c r="N2547" s="1" t="s">
        <v>18262</v>
      </c>
      <c r="O2547" s="1" t="s">
        <v>108</v>
      </c>
      <c r="P2547" s="1" t="s">
        <v>18263</v>
      </c>
      <c r="Q2547" s="1" t="s">
        <v>145</v>
      </c>
      <c r="R2547" s="1" t="s">
        <v>145</v>
      </c>
      <c r="S2547" s="8">
        <v>3</v>
      </c>
      <c r="T2547" s="1" t="s">
        <v>50</v>
      </c>
      <c r="U2547" s="8">
        <v>20</v>
      </c>
      <c r="V2547" s="8">
        <v>20</v>
      </c>
      <c r="W2547" s="7">
        <v>50000</v>
      </c>
      <c r="X2547" s="5">
        <v>1</v>
      </c>
      <c r="Y2547" s="7">
        <v>10000000</v>
      </c>
      <c r="Z2547" s="1"/>
      <c r="AA2547" s="2">
        <f ca="1">DATE(2010,12,21)</f>
        <v>0</v>
      </c>
      <c r="AB2547" s="1"/>
      <c r="AC2547" s="3">
        <v>180</v>
      </c>
      <c r="AD2547" s="1"/>
      <c r="AE2547" s="1" t="s">
        <v>51</v>
      </c>
      <c r="AF2547" s="1" t="s">
        <v>51</v>
      </c>
      <c r="AG2547" s="1" t="s">
        <v>51</v>
      </c>
      <c r="AH2547" s="1"/>
      <c r="AI2547" s="1"/>
      <c r="AJ2547" s="3">
        <v>3</v>
      </c>
      <c r="AK2547" s="1" t="s">
        <v>110</v>
      </c>
      <c r="AL2547" s="3">
        <v>12</v>
      </c>
      <c r="AM2547" s="1"/>
      <c r="AN2547" s="1"/>
      <c r="AO2547" s="1" t="s">
        <v>18264</v>
      </c>
      <c r="AP2547" s="1" t="s">
        <v>18265</v>
      </c>
      <c r="AQ2547" s="1" t="s">
        <v>18266</v>
      </c>
      <c r="AR2547" s="1" t="s">
        <v>18267</v>
      </c>
    </row>
    <row r="2548">
      <c r="A2548" s="2">
        <f ca="1">DATE(2009,11,20)</f>
        <v>0</v>
      </c>
      <c r="B2548" s="2">
        <f ca="1">DATE(2010,06,24)</f>
        <v>0</v>
      </c>
      <c r="C2548" s="1" t="s">
        <v>18268</v>
      </c>
      <c r="D2548" s="3">
        <v>3661</v>
      </c>
      <c r="E2548" s="1" t="s">
        <v>2887</v>
      </c>
      <c r="F2548" s="1" t="s">
        <v>18269</v>
      </c>
      <c r="G2548" s="1" t="s">
        <v>12582</v>
      </c>
      <c r="H2548" s="4">
        <v>0.69999999999999996</v>
      </c>
      <c r="I2548" s="8">
        <v>7</v>
      </c>
      <c r="J2548" s="5">
        <v>85</v>
      </c>
      <c r="K2548" s="4">
        <v>10</v>
      </c>
      <c r="L2548" s="1" t="s">
        <v>46</v>
      </c>
      <c r="M2548" s="1" t="s">
        <v>47</v>
      </c>
      <c r="N2548" s="1" t="s">
        <v>18270</v>
      </c>
      <c r="O2548" s="1" t="s">
        <v>108</v>
      </c>
      <c r="P2548" s="1" t="s">
        <v>18271</v>
      </c>
      <c r="Q2548" s="1" t="s">
        <v>145</v>
      </c>
      <c r="R2548" s="1" t="s">
        <v>145</v>
      </c>
      <c r="S2548" s="8">
        <v>4.2000000000000002</v>
      </c>
      <c r="T2548" s="1" t="s">
        <v>50</v>
      </c>
      <c r="U2548" s="1"/>
      <c r="V2548" s="1"/>
      <c r="W2548" s="1"/>
      <c r="X2548" s="5">
        <v>150</v>
      </c>
      <c r="Y2548" s="7">
        <v>2830000</v>
      </c>
      <c r="Z2548" s="7">
        <v>5670000</v>
      </c>
      <c r="AA2548" s="1" t="s">
        <v>18272</v>
      </c>
      <c r="AB2548" s="1" t="s">
        <v>5265</v>
      </c>
      <c r="AC2548" s="1" t="s">
        <v>7759</v>
      </c>
      <c r="AD2548" s="1" t="s">
        <v>5265</v>
      </c>
      <c r="AE2548" s="1" t="s">
        <v>51</v>
      </c>
      <c r="AF2548" s="1" t="s">
        <v>51</v>
      </c>
      <c r="AG2548" s="1" t="s">
        <v>47</v>
      </c>
      <c r="AH2548" s="1"/>
      <c r="AI2548" s="1"/>
      <c r="AJ2548" s="3">
        <v>2</v>
      </c>
      <c r="AK2548" s="1" t="s">
        <v>89</v>
      </c>
      <c r="AL2548" s="3">
        <v>5</v>
      </c>
      <c r="AM2548" s="1"/>
      <c r="AN2548" s="1"/>
      <c r="AO2548" s="1" t="s">
        <v>18273</v>
      </c>
      <c r="AP2548" s="1" t="s">
        <v>10216</v>
      </c>
      <c r="AQ2548" s="1" t="s">
        <v>18274</v>
      </c>
      <c r="AR2548" s="1" t="s">
        <v>18275</v>
      </c>
    </row>
    <row r="2549">
      <c r="A2549" s="2">
        <f ca="1">DATE(2010,01,29)</f>
        <v>0</v>
      </c>
      <c r="B2549" s="2">
        <f ca="1">DATE(2010,06,28)</f>
        <v>0</v>
      </c>
      <c r="C2549" s="1" t="s">
        <v>18276</v>
      </c>
      <c r="D2549" s="3">
        <v>3711</v>
      </c>
      <c r="E2549" s="1" t="s">
        <v>43</v>
      </c>
      <c r="F2549" s="1" t="s">
        <v>18277</v>
      </c>
      <c r="G2549" s="1" t="s">
        <v>18278</v>
      </c>
      <c r="H2549" s="4">
        <v>1.105</v>
      </c>
      <c r="I2549" s="4">
        <v>6.5</v>
      </c>
      <c r="J2549" s="5">
        <v>226.09999999999999</v>
      </c>
      <c r="K2549" s="4">
        <v>17</v>
      </c>
      <c r="L2549" s="1" t="s">
        <v>46</v>
      </c>
      <c r="M2549" s="1" t="s">
        <v>47</v>
      </c>
      <c r="N2549" s="1" t="s">
        <v>18279</v>
      </c>
      <c r="O2549" s="1" t="s">
        <v>48</v>
      </c>
      <c r="P2549" s="1" t="s">
        <v>18280</v>
      </c>
      <c r="Q2549" s="4">
        <v>1.3</v>
      </c>
      <c r="R2549" s="4">
        <v>1.3</v>
      </c>
      <c r="S2549" s="8">
        <v>3.8999999999999999</v>
      </c>
      <c r="T2549" s="1" t="s">
        <v>50</v>
      </c>
      <c r="U2549" s="1"/>
      <c r="V2549" s="1"/>
      <c r="W2549" s="1"/>
      <c r="X2549" s="5">
        <v>100</v>
      </c>
      <c r="Y2549" s="7">
        <v>11880600</v>
      </c>
      <c r="Z2549" s="7">
        <v>1419400</v>
      </c>
      <c r="AA2549" s="1" t="s">
        <v>18281</v>
      </c>
      <c r="AB2549" s="1" t="s">
        <v>13651</v>
      </c>
      <c r="AC2549" s="1" t="s">
        <v>16884</v>
      </c>
      <c r="AD2549" s="1" t="s">
        <v>13651</v>
      </c>
      <c r="AE2549" s="1" t="s">
        <v>51</v>
      </c>
      <c r="AF2549" s="1" t="s">
        <v>51</v>
      </c>
      <c r="AG2549" s="1" t="s">
        <v>47</v>
      </c>
      <c r="AH2549" s="1"/>
      <c r="AI2549" s="1"/>
      <c r="AJ2549" s="3">
        <v>4</v>
      </c>
      <c r="AK2549" s="1" t="s">
        <v>1209</v>
      </c>
      <c r="AL2549" s="3">
        <v>4</v>
      </c>
      <c r="AM2549" s="1"/>
      <c r="AN2549" s="1"/>
      <c r="AO2549" s="1" t="s">
        <v>18282</v>
      </c>
      <c r="AP2549" s="1" t="s">
        <v>18283</v>
      </c>
      <c r="AQ2549" s="1" t="s">
        <v>18284</v>
      </c>
      <c r="AR2549" s="1" t="s">
        <v>18285</v>
      </c>
    </row>
    <row r="2550">
      <c r="A2550" s="2">
        <f ca="1">DATE(2010,06,17)</f>
        <v>0</v>
      </c>
      <c r="B2550" s="2">
        <f ca="1">DATE(2010,06,29)</f>
        <v>0</v>
      </c>
      <c r="C2550" s="1" t="s">
        <v>18286</v>
      </c>
      <c r="D2550" s="3">
        <v>7372</v>
      </c>
      <c r="E2550" s="1" t="s">
        <v>744</v>
      </c>
      <c r="F2550" s="1"/>
      <c r="G2550" s="1" t="s">
        <v>18287</v>
      </c>
      <c r="H2550" s="4">
        <v>0.84999999999999998</v>
      </c>
      <c r="I2550" s="4">
        <v>8.5</v>
      </c>
      <c r="J2550" s="5">
        <v>74</v>
      </c>
      <c r="K2550" s="4">
        <v>10</v>
      </c>
      <c r="L2550" s="1" t="s">
        <v>651</v>
      </c>
      <c r="M2550" s="1" t="s">
        <v>47</v>
      </c>
      <c r="N2550" s="1" t="s">
        <v>18288</v>
      </c>
      <c r="O2550" s="1"/>
      <c r="P2550" s="1" t="s">
        <v>18289</v>
      </c>
      <c r="Q2550" s="1" t="s">
        <v>145</v>
      </c>
      <c r="R2550" s="1" t="s">
        <v>145</v>
      </c>
      <c r="S2550" s="8">
        <v>5.0999999999999996</v>
      </c>
      <c r="T2550" s="1" t="s">
        <v>50</v>
      </c>
      <c r="U2550" s="8">
        <v>13</v>
      </c>
      <c r="V2550" s="8">
        <v>11</v>
      </c>
      <c r="W2550" s="7">
        <v>7400000</v>
      </c>
      <c r="X2550" s="5">
        <v>88.799999999999997</v>
      </c>
      <c r="Y2550" s="7">
        <v>6400000</v>
      </c>
      <c r="Z2550" s="7">
        <v>1000000</v>
      </c>
      <c r="AA2550" s="1" t="s">
        <v>18290</v>
      </c>
      <c r="AB2550" s="1" t="s">
        <v>2067</v>
      </c>
      <c r="AC2550" s="1" t="s">
        <v>2068</v>
      </c>
      <c r="AD2550" s="1" t="s">
        <v>2067</v>
      </c>
      <c r="AE2550" s="1" t="s">
        <v>47</v>
      </c>
      <c r="AF2550" s="1" t="s">
        <v>51</v>
      </c>
      <c r="AG2550" s="1" t="s">
        <v>47</v>
      </c>
      <c r="AH2550" s="1"/>
      <c r="AI2550" s="1"/>
      <c r="AJ2550" s="3">
        <v>3</v>
      </c>
      <c r="AK2550" s="1" t="s">
        <v>110</v>
      </c>
      <c r="AL2550" s="3">
        <v>5</v>
      </c>
      <c r="AM2550" s="1"/>
      <c r="AN2550" s="1"/>
      <c r="AO2550" s="1" t="s">
        <v>18291</v>
      </c>
      <c r="AP2550" s="1" t="s">
        <v>18292</v>
      </c>
      <c r="AQ2550" s="1" t="s">
        <v>18293</v>
      </c>
      <c r="AR2550" s="1" t="s">
        <v>18294</v>
      </c>
    </row>
    <row r="2551">
      <c r="A2551" s="2">
        <f ca="1">DATE(2010,06,09)</f>
        <v>0</v>
      </c>
      <c r="B2551" s="2">
        <f ca="1">DATE(2010,06,30)</f>
        <v>0</v>
      </c>
      <c r="C2551" s="1" t="s">
        <v>18295</v>
      </c>
      <c r="D2551" s="3">
        <v>7372</v>
      </c>
      <c r="E2551" s="1" t="s">
        <v>744</v>
      </c>
      <c r="F2551" s="1" t="s">
        <v>18296</v>
      </c>
      <c r="G2551" s="1" t="s">
        <v>160</v>
      </c>
      <c r="H2551" s="4">
        <v>0.875</v>
      </c>
      <c r="I2551" s="4">
        <v>7</v>
      </c>
      <c r="J2551" s="5">
        <v>107.8</v>
      </c>
      <c r="K2551" s="4">
        <v>12.5</v>
      </c>
      <c r="L2551" s="1" t="s">
        <v>651</v>
      </c>
      <c r="M2551" s="1" t="s">
        <v>47</v>
      </c>
      <c r="N2551" s="1" t="s">
        <v>18297</v>
      </c>
      <c r="O2551" s="1" t="s">
        <v>48</v>
      </c>
      <c r="P2551" s="1" t="s">
        <v>18298</v>
      </c>
      <c r="Q2551" s="4">
        <v>1.3999999999999999</v>
      </c>
      <c r="R2551" s="4">
        <v>1.3999999999999999</v>
      </c>
      <c r="S2551" s="8">
        <v>4.2000000000000002</v>
      </c>
      <c r="T2551" s="1" t="s">
        <v>50</v>
      </c>
      <c r="U2551" s="1"/>
      <c r="V2551" s="1"/>
      <c r="W2551" s="1"/>
      <c r="X2551" s="5">
        <v>100</v>
      </c>
      <c r="Y2551" s="7">
        <v>7503750</v>
      </c>
      <c r="Z2551" s="7">
        <v>1121250</v>
      </c>
      <c r="AA2551" s="1" t="s">
        <v>18299</v>
      </c>
      <c r="AB2551" s="1" t="s">
        <v>5265</v>
      </c>
      <c r="AC2551" s="1" t="s">
        <v>7759</v>
      </c>
      <c r="AD2551" s="1" t="s">
        <v>5265</v>
      </c>
      <c r="AE2551" s="1" t="s">
        <v>47</v>
      </c>
      <c r="AF2551" s="1" t="s">
        <v>51</v>
      </c>
      <c r="AG2551" s="1" t="s">
        <v>47</v>
      </c>
      <c r="AH2551" s="1"/>
      <c r="AI2551" s="1"/>
      <c r="AJ2551" s="3">
        <v>1</v>
      </c>
      <c r="AK2551" s="1" t="s">
        <v>52</v>
      </c>
      <c r="AL2551" s="3">
        <v>3</v>
      </c>
      <c r="AM2551" s="1"/>
      <c r="AN2551" s="1"/>
      <c r="AO2551" s="1" t="s">
        <v>18300</v>
      </c>
      <c r="AP2551" s="1" t="s">
        <v>160</v>
      </c>
      <c r="AQ2551" s="1" t="s">
        <v>18301</v>
      </c>
      <c r="AR2551" s="1" t="s">
        <v>18298</v>
      </c>
    </row>
    <row r="2552">
      <c r="A2552" s="2">
        <f ca="1">DATE(2010,04,01)</f>
        <v>0</v>
      </c>
      <c r="B2552" s="2">
        <f ca="1">DATE(2010,07,01)</f>
        <v>0</v>
      </c>
      <c r="C2552" s="1" t="s">
        <v>18302</v>
      </c>
      <c r="D2552" s="3">
        <v>1311</v>
      </c>
      <c r="E2552" s="1" t="s">
        <v>43</v>
      </c>
      <c r="F2552" s="1" t="s">
        <v>18303</v>
      </c>
      <c r="G2552" s="1" t="s">
        <v>18304</v>
      </c>
      <c r="H2552" s="4">
        <v>1.3</v>
      </c>
      <c r="I2552" s="4">
        <v>6.5</v>
      </c>
      <c r="J2552" s="5">
        <v>176.09999999999999</v>
      </c>
      <c r="K2552" s="4">
        <v>20</v>
      </c>
      <c r="L2552" s="1" t="s">
        <v>31</v>
      </c>
      <c r="M2552" s="1" t="s">
        <v>47</v>
      </c>
      <c r="N2552" s="1" t="s">
        <v>18305</v>
      </c>
      <c r="O2552" s="1" t="s">
        <v>108</v>
      </c>
      <c r="P2552" s="1" t="s">
        <v>18306</v>
      </c>
      <c r="Q2552" s="1" t="s">
        <v>145</v>
      </c>
      <c r="R2552" s="1" t="s">
        <v>145</v>
      </c>
      <c r="S2552" s="8">
        <v>3.8999999999999999</v>
      </c>
      <c r="T2552" s="1" t="s">
        <v>50</v>
      </c>
      <c r="U2552" s="1"/>
      <c r="V2552" s="1"/>
      <c r="W2552" s="7">
        <v>9000000</v>
      </c>
      <c r="X2552" s="1"/>
      <c r="Y2552" s="7">
        <v>8802500</v>
      </c>
      <c r="Z2552" s="1"/>
      <c r="AA2552" s="2">
        <f ca="1">DATE(2010,12,28)</f>
        <v>0</v>
      </c>
      <c r="AB2552" s="1"/>
      <c r="AC2552" s="3">
        <v>180</v>
      </c>
      <c r="AD2552" s="1"/>
      <c r="AE2552" s="1" t="s">
        <v>51</v>
      </c>
      <c r="AF2552" s="1" t="s">
        <v>51</v>
      </c>
      <c r="AG2552" s="1" t="s">
        <v>51</v>
      </c>
      <c r="AH2552" s="1"/>
      <c r="AI2552" s="1"/>
      <c r="AJ2552" s="3">
        <v>2</v>
      </c>
      <c r="AK2552" s="1" t="s">
        <v>89</v>
      </c>
      <c r="AL2552" s="3">
        <v>5</v>
      </c>
      <c r="AM2552" s="1"/>
      <c r="AN2552" s="1"/>
      <c r="AO2552" s="1" t="s">
        <v>18307</v>
      </c>
      <c r="AP2552" s="1" t="s">
        <v>18308</v>
      </c>
      <c r="AQ2552" s="1" t="s">
        <v>18309</v>
      </c>
      <c r="AR2552" s="1" t="s">
        <v>18306</v>
      </c>
    </row>
    <row r="2553">
      <c r="A2553" s="2">
        <f ca="1">DATE(2010,03,17)</f>
        <v>0</v>
      </c>
      <c r="B2553" s="2">
        <f ca="1">DATE(2010,07,06)</f>
        <v>0</v>
      </c>
      <c r="C2553" s="1" t="s">
        <v>18310</v>
      </c>
      <c r="D2553" s="3">
        <v>6712</v>
      </c>
      <c r="E2553" s="1" t="s">
        <v>43</v>
      </c>
      <c r="F2553" s="1" t="s">
        <v>18311</v>
      </c>
      <c r="G2553" s="1" t="s">
        <v>1542</v>
      </c>
      <c r="H2553" s="1" t="s">
        <v>57</v>
      </c>
      <c r="I2553" s="1" t="s">
        <v>57</v>
      </c>
      <c r="J2553" s="5">
        <v>66.099999999999994</v>
      </c>
      <c r="K2553" s="4">
        <v>10</v>
      </c>
      <c r="L2553" s="1" t="s">
        <v>46</v>
      </c>
      <c r="M2553" s="1" t="s">
        <v>47</v>
      </c>
      <c r="N2553" s="3">
        <v>711037101</v>
      </c>
      <c r="O2553" s="1" t="s">
        <v>48</v>
      </c>
      <c r="P2553" s="1" t="s">
        <v>1543</v>
      </c>
      <c r="Q2553" s="1"/>
      <c r="R2553" s="1"/>
      <c r="S2553" s="1"/>
      <c r="T2553" s="1" t="s">
        <v>50</v>
      </c>
      <c r="U2553" s="8">
        <v>10</v>
      </c>
      <c r="V2553" s="8">
        <v>10</v>
      </c>
      <c r="W2553" s="7">
        <v>5750000</v>
      </c>
      <c r="X2553" s="5">
        <v>57.5</v>
      </c>
      <c r="Y2553" s="7">
        <v>6612500</v>
      </c>
      <c r="Z2553" s="1"/>
      <c r="AA2553" s="1"/>
      <c r="AB2553" s="1"/>
      <c r="AC2553" s="1"/>
      <c r="AD2553" s="1"/>
      <c r="AE2553" s="1" t="s">
        <v>51</v>
      </c>
      <c r="AF2553" s="1" t="s">
        <v>51</v>
      </c>
      <c r="AG2553" s="1" t="s">
        <v>51</v>
      </c>
      <c r="AH2553" s="1"/>
      <c r="AI2553" s="1"/>
      <c r="AJ2553" s="3">
        <v>1</v>
      </c>
      <c r="AK2553" s="1" t="s">
        <v>52</v>
      </c>
      <c r="AL2553" s="3">
        <v>1</v>
      </c>
      <c r="AM2553" s="1"/>
      <c r="AN2553" s="1"/>
      <c r="AO2553" s="1" t="s">
        <v>1542</v>
      </c>
      <c r="AP2553" s="1" t="s">
        <v>1542</v>
      </c>
      <c r="AQ2553" s="1" t="s">
        <v>1542</v>
      </c>
      <c r="AR2553" s="1" t="s">
        <v>1543</v>
      </c>
    </row>
    <row r="2554">
      <c r="A2554" s="2">
        <f ca="1">DATE(2010,03,17)</f>
        <v>0</v>
      </c>
      <c r="B2554" s="2">
        <f ca="1">DATE(2010,07,07)</f>
        <v>0</v>
      </c>
      <c r="C2554" s="1" t="s">
        <v>18312</v>
      </c>
      <c r="D2554" s="3">
        <v>6712</v>
      </c>
      <c r="E2554" s="1" t="s">
        <v>43</v>
      </c>
      <c r="F2554" s="1" t="s">
        <v>18313</v>
      </c>
      <c r="G2554" s="1" t="s">
        <v>7287</v>
      </c>
      <c r="H2554" s="1" t="s">
        <v>57</v>
      </c>
      <c r="I2554" s="1" t="s">
        <v>57</v>
      </c>
      <c r="J2554" s="5">
        <v>23</v>
      </c>
      <c r="K2554" s="4">
        <v>10</v>
      </c>
      <c r="L2554" s="1" t="s">
        <v>46</v>
      </c>
      <c r="M2554" s="1" t="s">
        <v>47</v>
      </c>
      <c r="N2554" s="1" t="s">
        <v>18314</v>
      </c>
      <c r="O2554" s="1" t="s">
        <v>48</v>
      </c>
      <c r="P2554" s="1" t="s">
        <v>18315</v>
      </c>
      <c r="Q2554" s="1"/>
      <c r="R2554" s="1"/>
      <c r="S2554" s="1"/>
      <c r="T2554" s="1" t="s">
        <v>50</v>
      </c>
      <c r="U2554" s="8">
        <v>10</v>
      </c>
      <c r="V2554" s="8">
        <v>10</v>
      </c>
      <c r="W2554" s="7">
        <v>3105000</v>
      </c>
      <c r="X2554" s="5">
        <v>31.100000000000001</v>
      </c>
      <c r="Y2554" s="7">
        <v>2295000</v>
      </c>
      <c r="Z2554" s="1"/>
      <c r="AA2554" s="1"/>
      <c r="AB2554" s="1"/>
      <c r="AC2554" s="1"/>
      <c r="AD2554" s="1"/>
      <c r="AE2554" s="1" t="s">
        <v>51</v>
      </c>
      <c r="AF2554" s="1" t="s">
        <v>51</v>
      </c>
      <c r="AG2554" s="1" t="s">
        <v>51</v>
      </c>
      <c r="AH2554" s="1"/>
      <c r="AI2554" s="1"/>
      <c r="AJ2554" s="3">
        <v>1</v>
      </c>
      <c r="AK2554" s="1" t="s">
        <v>52</v>
      </c>
      <c r="AL2554" s="3">
        <v>1</v>
      </c>
      <c r="AM2554" s="8">
        <v>10.050000000000001</v>
      </c>
      <c r="AN2554" s="1"/>
      <c r="AO2554" s="1" t="s">
        <v>7287</v>
      </c>
      <c r="AP2554" s="1" t="s">
        <v>7287</v>
      </c>
      <c r="AQ2554" s="1" t="s">
        <v>7287</v>
      </c>
      <c r="AR2554" s="1" t="s">
        <v>18315</v>
      </c>
    </row>
    <row r="2555">
      <c r="A2555" s="2">
        <f ca="1">DATE(2010,03,25)</f>
        <v>0</v>
      </c>
      <c r="B2555" s="2">
        <f ca="1">DATE(2010,07,07)</f>
        <v>0</v>
      </c>
      <c r="C2555" s="1" t="s">
        <v>18316</v>
      </c>
      <c r="D2555" s="3">
        <v>3949</v>
      </c>
      <c r="E2555" s="1" t="s">
        <v>43</v>
      </c>
      <c r="F2555" s="1" t="s">
        <v>18317</v>
      </c>
      <c r="G2555" s="1" t="s">
        <v>1542</v>
      </c>
      <c r="H2555" s="1" t="s">
        <v>57</v>
      </c>
      <c r="I2555" s="1" t="s">
        <v>57</v>
      </c>
      <c r="J2555" s="5">
        <v>0</v>
      </c>
      <c r="K2555" s="4">
        <v>0.0050000000000000001</v>
      </c>
      <c r="L2555" s="1" t="s">
        <v>46</v>
      </c>
      <c r="M2555" s="1" t="s">
        <v>47</v>
      </c>
      <c r="N2555" s="1"/>
      <c r="O2555" s="1" t="s">
        <v>77</v>
      </c>
      <c r="P2555" s="1" t="s">
        <v>1543</v>
      </c>
      <c r="Q2555" s="1"/>
      <c r="R2555" s="1"/>
      <c r="S2555" s="1"/>
      <c r="T2555" s="1" t="s">
        <v>50</v>
      </c>
      <c r="U2555" s="4">
        <v>0.0050000000000000001</v>
      </c>
      <c r="V2555" s="4">
        <v>0.0050000000000000001</v>
      </c>
      <c r="W2555" s="7">
        <v>2500000</v>
      </c>
      <c r="X2555" s="5">
        <v>0</v>
      </c>
      <c r="Y2555" s="7">
        <v>2500000</v>
      </c>
      <c r="Z2555" s="1"/>
      <c r="AA2555" s="1"/>
      <c r="AB2555" s="1"/>
      <c r="AC2555" s="1"/>
      <c r="AD2555" s="1"/>
      <c r="AE2555" s="1" t="s">
        <v>51</v>
      </c>
      <c r="AF2555" s="1" t="s">
        <v>51</v>
      </c>
      <c r="AG2555" s="1" t="s">
        <v>51</v>
      </c>
      <c r="AH2555" s="1"/>
      <c r="AI2555" s="1"/>
      <c r="AJ2555" s="3">
        <v>1</v>
      </c>
      <c r="AK2555" s="1" t="s">
        <v>52</v>
      </c>
      <c r="AL2555" s="3">
        <v>1</v>
      </c>
      <c r="AM2555" s="1"/>
      <c r="AN2555" s="1"/>
      <c r="AO2555" s="1" t="s">
        <v>1542</v>
      </c>
      <c r="AP2555" s="1" t="s">
        <v>1542</v>
      </c>
      <c r="AQ2555" s="1" t="s">
        <v>1542</v>
      </c>
      <c r="AR2555" s="1" t="s">
        <v>1543</v>
      </c>
    </row>
    <row r="2556">
      <c r="A2556" s="2">
        <f ca="1">DATE(2010,03,24)</f>
        <v>0</v>
      </c>
      <c r="B2556" s="2">
        <f ca="1">DATE(2010,07,13)</f>
        <v>0</v>
      </c>
      <c r="C2556" s="1" t="s">
        <v>18318</v>
      </c>
      <c r="D2556" s="3">
        <v>1221</v>
      </c>
      <c r="E2556" s="1" t="s">
        <v>43</v>
      </c>
      <c r="F2556" s="1" t="s">
        <v>18319</v>
      </c>
      <c r="G2556" s="1" t="s">
        <v>18320</v>
      </c>
      <c r="H2556" s="4">
        <v>1.2030000000000001</v>
      </c>
      <c r="I2556" s="8">
        <v>6.5</v>
      </c>
      <c r="J2556" s="5">
        <v>161.90000000000001</v>
      </c>
      <c r="K2556" s="4">
        <v>18.5</v>
      </c>
      <c r="L2556" s="1" t="s">
        <v>31</v>
      </c>
      <c r="M2556" s="1" t="s">
        <v>47</v>
      </c>
      <c r="N2556" s="3">
        <v>691807101</v>
      </c>
      <c r="O2556" s="1" t="s">
        <v>108</v>
      </c>
      <c r="P2556" s="1" t="s">
        <v>18321</v>
      </c>
      <c r="Q2556" s="1" t="s">
        <v>145</v>
      </c>
      <c r="R2556" s="1" t="s">
        <v>145</v>
      </c>
      <c r="S2556" s="8">
        <v>3.8999999999999999</v>
      </c>
      <c r="T2556" s="1" t="s">
        <v>50</v>
      </c>
      <c r="U2556" s="1"/>
      <c r="V2556" s="1"/>
      <c r="W2556" s="1"/>
      <c r="X2556" s="5">
        <v>250</v>
      </c>
      <c r="Y2556" s="7">
        <v>8750000</v>
      </c>
      <c r="Z2556" s="1"/>
      <c r="AA2556" s="1" t="s">
        <v>18322</v>
      </c>
      <c r="AB2556" s="1" t="s">
        <v>2067</v>
      </c>
      <c r="AC2556" s="1" t="s">
        <v>2068</v>
      </c>
      <c r="AD2556" s="1" t="s">
        <v>2067</v>
      </c>
      <c r="AE2556" s="1" t="s">
        <v>51</v>
      </c>
      <c r="AF2556" s="1" t="s">
        <v>51</v>
      </c>
      <c r="AG2556" s="1" t="s">
        <v>51</v>
      </c>
      <c r="AH2556" s="1"/>
      <c r="AI2556" s="1"/>
      <c r="AJ2556" s="3">
        <v>2</v>
      </c>
      <c r="AK2556" s="1" t="s">
        <v>89</v>
      </c>
      <c r="AL2556" s="3">
        <v>6</v>
      </c>
      <c r="AM2556" s="1"/>
      <c r="AN2556" s="1"/>
      <c r="AO2556" s="1" t="s">
        <v>18323</v>
      </c>
      <c r="AP2556" s="1" t="s">
        <v>18324</v>
      </c>
      <c r="AQ2556" s="1" t="s">
        <v>18325</v>
      </c>
      <c r="AR2556" s="1" t="s">
        <v>18321</v>
      </c>
    </row>
    <row r="2557">
      <c r="A2557" s="2">
        <f ca="1">DATE(2010,06,24)</f>
        <v>0</v>
      </c>
      <c r="B2557" s="2">
        <f ca="1">DATE(2010,07,14)</f>
        <v>0</v>
      </c>
      <c r="C2557" s="1" t="s">
        <v>18326</v>
      </c>
      <c r="D2557" s="3">
        <v>3577</v>
      </c>
      <c r="E2557" s="1" t="s">
        <v>166</v>
      </c>
      <c r="F2557" s="1" t="s">
        <v>18327</v>
      </c>
      <c r="G2557" s="1" t="s">
        <v>18328</v>
      </c>
      <c r="H2557" s="4">
        <v>0.89000000000000001</v>
      </c>
      <c r="I2557" s="4">
        <v>5.2350000000000003</v>
      </c>
      <c r="J2557" s="5">
        <v>660.10000000000002</v>
      </c>
      <c r="K2557" s="8">
        <v>17</v>
      </c>
      <c r="L2557" s="1" t="s">
        <v>152</v>
      </c>
      <c r="M2557" s="1" t="s">
        <v>47</v>
      </c>
      <c r="N2557" s="1" t="s">
        <v>18329</v>
      </c>
      <c r="O2557" s="1" t="s">
        <v>48</v>
      </c>
      <c r="P2557" s="1" t="s">
        <v>18330</v>
      </c>
      <c r="Q2557" s="4">
        <v>1.05</v>
      </c>
      <c r="R2557" s="4">
        <v>1.05</v>
      </c>
      <c r="S2557" s="8">
        <v>3.1499999999999999</v>
      </c>
      <c r="T2557" s="1" t="s">
        <v>60</v>
      </c>
      <c r="U2557" s="1"/>
      <c r="V2557" s="1"/>
      <c r="W2557" s="1"/>
      <c r="X2557" s="5">
        <v>730.70000000000005</v>
      </c>
      <c r="Y2557" s="7">
        <v>8800000</v>
      </c>
      <c r="Z2557" s="7">
        <v>30030000</v>
      </c>
      <c r="AA2557" s="1"/>
      <c r="AB2557" s="1" t="s">
        <v>13651</v>
      </c>
      <c r="AC2557" s="1" t="s">
        <v>16884</v>
      </c>
      <c r="AD2557" s="1" t="s">
        <v>13651</v>
      </c>
      <c r="AE2557" s="1" t="s">
        <v>51</v>
      </c>
      <c r="AF2557" s="1" t="s">
        <v>51</v>
      </c>
      <c r="AG2557" s="1" t="s">
        <v>51</v>
      </c>
      <c r="AH2557" s="1"/>
      <c r="AI2557" s="1"/>
      <c r="AJ2557" s="3">
        <v>5</v>
      </c>
      <c r="AK2557" s="1" t="s">
        <v>3985</v>
      </c>
      <c r="AL2557" s="3">
        <v>5</v>
      </c>
      <c r="AM2557" s="1"/>
      <c r="AN2557" s="1"/>
      <c r="AO2557" s="1" t="s">
        <v>18331</v>
      </c>
      <c r="AP2557" s="1" t="s">
        <v>18332</v>
      </c>
      <c r="AQ2557" s="1" t="s">
        <v>18333</v>
      </c>
      <c r="AR2557" s="1" t="s">
        <v>18334</v>
      </c>
    </row>
    <row r="2558">
      <c r="A2558" s="2">
        <f ca="1">DATE(2010,04,01)</f>
        <v>0</v>
      </c>
      <c r="B2558" s="2">
        <f ca="1">DATE(2010,07,15)</f>
        <v>0</v>
      </c>
      <c r="C2558" s="1" t="s">
        <v>18335</v>
      </c>
      <c r="D2558" s="3">
        <v>7372</v>
      </c>
      <c r="E2558" s="1" t="s">
        <v>43</v>
      </c>
      <c r="F2558" s="1" t="s">
        <v>18336</v>
      </c>
      <c r="G2558" s="1" t="s">
        <v>15543</v>
      </c>
      <c r="H2558" s="4">
        <v>0.69999999999999996</v>
      </c>
      <c r="I2558" s="8">
        <v>7</v>
      </c>
      <c r="J2558" s="5">
        <v>112</v>
      </c>
      <c r="K2558" s="4">
        <v>10</v>
      </c>
      <c r="L2558" s="1" t="s">
        <v>46</v>
      </c>
      <c r="M2558" s="1" t="s">
        <v>47</v>
      </c>
      <c r="N2558" s="1" t="s">
        <v>18337</v>
      </c>
      <c r="O2558" s="1" t="s">
        <v>48</v>
      </c>
      <c r="P2558" s="1" t="s">
        <v>18338</v>
      </c>
      <c r="Q2558" s="1" t="s">
        <v>145</v>
      </c>
      <c r="R2558" s="1" t="s">
        <v>145</v>
      </c>
      <c r="S2558" s="8">
        <v>4.2000000000000002</v>
      </c>
      <c r="T2558" s="1" t="s">
        <v>50</v>
      </c>
      <c r="U2558" s="1"/>
      <c r="V2558" s="1"/>
      <c r="W2558" s="1"/>
      <c r="X2558" s="5">
        <v>100</v>
      </c>
      <c r="Y2558" s="7">
        <v>11200000</v>
      </c>
      <c r="Z2558" s="1"/>
      <c r="AA2558" s="1" t="s">
        <v>18339</v>
      </c>
      <c r="AB2558" s="1" t="s">
        <v>5265</v>
      </c>
      <c r="AC2558" s="1" t="s">
        <v>7759</v>
      </c>
      <c r="AD2558" s="1" t="s">
        <v>5265</v>
      </c>
      <c r="AE2558" s="1" t="s">
        <v>51</v>
      </c>
      <c r="AF2558" s="1" t="s">
        <v>51</v>
      </c>
      <c r="AG2558" s="1" t="s">
        <v>47</v>
      </c>
      <c r="AH2558" s="1"/>
      <c r="AI2558" s="1"/>
      <c r="AJ2558" s="3">
        <v>3</v>
      </c>
      <c r="AK2558" s="1" t="s">
        <v>110</v>
      </c>
      <c r="AL2558" s="3">
        <v>5</v>
      </c>
      <c r="AM2558" s="1"/>
      <c r="AN2558" s="1"/>
      <c r="AO2558" s="1" t="s">
        <v>18340</v>
      </c>
      <c r="AP2558" s="1" t="s">
        <v>15547</v>
      </c>
      <c r="AQ2558" s="1" t="s">
        <v>18341</v>
      </c>
      <c r="AR2558" s="1" t="s">
        <v>18342</v>
      </c>
    </row>
    <row r="2559">
      <c r="A2559" s="2">
        <f ca="1">DATE(2010,04,09)</f>
        <v>0</v>
      </c>
      <c r="B2559" s="2">
        <f ca="1">DATE(2010,07,15)</f>
        <v>0</v>
      </c>
      <c r="C2559" s="1" t="s">
        <v>18343</v>
      </c>
      <c r="D2559" s="3">
        <v>3663</v>
      </c>
      <c r="E2559" s="1" t="s">
        <v>43</v>
      </c>
      <c r="F2559" s="1" t="s">
        <v>18344</v>
      </c>
      <c r="G2559" s="1" t="s">
        <v>18345</v>
      </c>
      <c r="H2559" s="4">
        <v>1.1200000000000001</v>
      </c>
      <c r="I2559" s="4">
        <v>7</v>
      </c>
      <c r="J2559" s="5">
        <v>200</v>
      </c>
      <c r="K2559" s="4">
        <v>16</v>
      </c>
      <c r="L2559" s="1" t="s">
        <v>46</v>
      </c>
      <c r="M2559" s="1" t="s">
        <v>47</v>
      </c>
      <c r="N2559" s="1" t="s">
        <v>18346</v>
      </c>
      <c r="O2559" s="1" t="s">
        <v>108</v>
      </c>
      <c r="P2559" s="1" t="s">
        <v>18347</v>
      </c>
      <c r="Q2559" s="1" t="s">
        <v>145</v>
      </c>
      <c r="R2559" s="1" t="s">
        <v>145</v>
      </c>
      <c r="S2559" s="8">
        <v>4.2000000000000002</v>
      </c>
      <c r="T2559" s="1" t="s">
        <v>50</v>
      </c>
      <c r="U2559" s="1"/>
      <c r="V2559" s="1"/>
      <c r="W2559" s="1"/>
      <c r="X2559" s="5">
        <v>200</v>
      </c>
      <c r="Y2559" s="7">
        <v>6000000</v>
      </c>
      <c r="Z2559" s="7">
        <v>6500000</v>
      </c>
      <c r="AA2559" s="1" t="s">
        <v>18339</v>
      </c>
      <c r="AB2559" s="1" t="s">
        <v>5265</v>
      </c>
      <c r="AC2559" s="1" t="s">
        <v>7759</v>
      </c>
      <c r="AD2559" s="1" t="s">
        <v>5265</v>
      </c>
      <c r="AE2559" s="1" t="s">
        <v>51</v>
      </c>
      <c r="AF2559" s="1" t="s">
        <v>51</v>
      </c>
      <c r="AG2559" s="1" t="s">
        <v>51</v>
      </c>
      <c r="AH2559" s="1"/>
      <c r="AI2559" s="1"/>
      <c r="AJ2559" s="3">
        <v>2</v>
      </c>
      <c r="AK2559" s="1" t="s">
        <v>89</v>
      </c>
      <c r="AL2559" s="3">
        <v>5</v>
      </c>
      <c r="AM2559" s="1"/>
      <c r="AN2559" s="1"/>
      <c r="AO2559" s="1" t="s">
        <v>18348</v>
      </c>
      <c r="AP2559" s="1" t="s">
        <v>18349</v>
      </c>
      <c r="AQ2559" s="1" t="s">
        <v>18350</v>
      </c>
      <c r="AR2559" s="1" t="s">
        <v>18351</v>
      </c>
    </row>
    <row r="2560">
      <c r="A2560" s="2">
        <f ca="1">DATE(2010,06,25)</f>
        <v>0</v>
      </c>
      <c r="B2560" s="2">
        <f ca="1">DATE(2010,07,20)</f>
        <v>0</v>
      </c>
      <c r="C2560" s="1" t="s">
        <v>18352</v>
      </c>
      <c r="D2560" s="3">
        <v>7371</v>
      </c>
      <c r="E2560" s="1" t="s">
        <v>744</v>
      </c>
      <c r="F2560" s="1" t="s">
        <v>18353</v>
      </c>
      <c r="G2560" s="1" t="s">
        <v>18354</v>
      </c>
      <c r="H2560" s="4">
        <v>0.77000000000000002</v>
      </c>
      <c r="I2560" s="4">
        <v>7</v>
      </c>
      <c r="J2560" s="5">
        <v>146.69999999999999</v>
      </c>
      <c r="K2560" s="4">
        <v>11</v>
      </c>
      <c r="L2560" s="1" t="s">
        <v>651</v>
      </c>
      <c r="M2560" s="1" t="s">
        <v>47</v>
      </c>
      <c r="N2560" s="1" t="s">
        <v>18355</v>
      </c>
      <c r="O2560" s="1" t="s">
        <v>108</v>
      </c>
      <c r="P2560" s="1" t="s">
        <v>18356</v>
      </c>
      <c r="Q2560" s="4">
        <v>1.3999999999999999</v>
      </c>
      <c r="R2560" s="4">
        <v>1.3999999999999999</v>
      </c>
      <c r="S2560" s="8">
        <v>4.2000000000000002</v>
      </c>
      <c r="T2560" s="1" t="s">
        <v>50</v>
      </c>
      <c r="U2560" s="1"/>
      <c r="V2560" s="1"/>
      <c r="W2560" s="1"/>
      <c r="X2560" s="5">
        <v>250</v>
      </c>
      <c r="Y2560" s="7">
        <v>9166667</v>
      </c>
      <c r="Z2560" s="7">
        <v>4166667</v>
      </c>
      <c r="AA2560" s="1" t="s">
        <v>18357</v>
      </c>
      <c r="AB2560" s="1" t="s">
        <v>5265</v>
      </c>
      <c r="AC2560" s="1" t="s">
        <v>7759</v>
      </c>
      <c r="AD2560" s="1" t="s">
        <v>5265</v>
      </c>
      <c r="AE2560" s="1" t="s">
        <v>47</v>
      </c>
      <c r="AF2560" s="1" t="s">
        <v>51</v>
      </c>
      <c r="AG2560" s="1" t="s">
        <v>47</v>
      </c>
      <c r="AH2560" s="1"/>
      <c r="AI2560" s="1"/>
      <c r="AJ2560" s="3">
        <v>2</v>
      </c>
      <c r="AK2560" s="1" t="s">
        <v>89</v>
      </c>
      <c r="AL2560" s="3">
        <v>5</v>
      </c>
      <c r="AM2560" s="1"/>
      <c r="AN2560" s="1"/>
      <c r="AO2560" s="1" t="s">
        <v>18358</v>
      </c>
      <c r="AP2560" s="1" t="s">
        <v>18359</v>
      </c>
      <c r="AQ2560" s="1" t="s">
        <v>18360</v>
      </c>
      <c r="AR2560" s="1" t="s">
        <v>18356</v>
      </c>
    </row>
    <row r="2561">
      <c r="A2561" s="2">
        <f ca="1">DATE(2010,03,17)</f>
        <v>0</v>
      </c>
      <c r="B2561" s="2">
        <f ca="1">DATE(2010,07,20)</f>
        <v>0</v>
      </c>
      <c r="C2561" s="1" t="s">
        <v>18361</v>
      </c>
      <c r="D2561" s="3">
        <v>5154</v>
      </c>
      <c r="E2561" s="1" t="s">
        <v>744</v>
      </c>
      <c r="F2561" s="1" t="s">
        <v>18362</v>
      </c>
      <c r="G2561" s="1" t="s">
        <v>1542</v>
      </c>
      <c r="H2561" s="4">
        <v>0.41999999999999998</v>
      </c>
      <c r="I2561" s="8">
        <v>7</v>
      </c>
      <c r="J2561" s="5">
        <v>12</v>
      </c>
      <c r="K2561" s="4">
        <v>6</v>
      </c>
      <c r="L2561" s="1" t="s">
        <v>46</v>
      </c>
      <c r="M2561" s="1" t="s">
        <v>47</v>
      </c>
      <c r="N2561" s="1"/>
      <c r="O2561" s="1" t="s">
        <v>48</v>
      </c>
      <c r="P2561" s="1" t="s">
        <v>17155</v>
      </c>
      <c r="Q2561" s="1" t="s">
        <v>145</v>
      </c>
      <c r="R2561" s="1" t="s">
        <v>145</v>
      </c>
      <c r="S2561" s="1"/>
      <c r="T2561" s="1" t="s">
        <v>50</v>
      </c>
      <c r="U2561" s="8">
        <v>7</v>
      </c>
      <c r="V2561" s="8">
        <v>5</v>
      </c>
      <c r="W2561" s="7">
        <v>1667000</v>
      </c>
      <c r="X2561" s="5">
        <v>10</v>
      </c>
      <c r="Y2561" s="7">
        <v>2000000</v>
      </c>
      <c r="Z2561" s="1"/>
      <c r="AA2561" s="2">
        <f ca="1">DATE(2010,10,18)</f>
        <v>0</v>
      </c>
      <c r="AB2561" s="1"/>
      <c r="AC2561" s="3">
        <v>90</v>
      </c>
      <c r="AD2561" s="1"/>
      <c r="AE2561" s="1" t="s">
        <v>51</v>
      </c>
      <c r="AF2561" s="1" t="s">
        <v>51</v>
      </c>
      <c r="AG2561" s="1" t="s">
        <v>51</v>
      </c>
      <c r="AH2561" s="1"/>
      <c r="AI2561" s="1"/>
      <c r="AJ2561" s="3">
        <v>1</v>
      </c>
      <c r="AK2561" s="1" t="s">
        <v>89</v>
      </c>
      <c r="AL2561" s="3">
        <v>2</v>
      </c>
      <c r="AM2561" s="1"/>
      <c r="AN2561" s="1"/>
      <c r="AO2561" s="1" t="s">
        <v>17156</v>
      </c>
      <c r="AP2561" s="1" t="s">
        <v>17157</v>
      </c>
      <c r="AQ2561" s="1" t="s">
        <v>17158</v>
      </c>
      <c r="AR2561" s="1" t="s">
        <v>17155</v>
      </c>
    </row>
    <row r="2562">
      <c r="A2562" s="2">
        <f ca="1">DATE(2010,03,31)</f>
        <v>0</v>
      </c>
      <c r="B2562" s="2">
        <f ca="1">DATE(2010,07,21)</f>
        <v>0</v>
      </c>
      <c r="C2562" s="1" t="s">
        <v>18363</v>
      </c>
      <c r="D2562" s="3">
        <v>1799</v>
      </c>
      <c r="E2562" s="1" t="s">
        <v>43</v>
      </c>
      <c r="F2562" s="1" t="s">
        <v>18364</v>
      </c>
      <c r="G2562" s="1" t="s">
        <v>45</v>
      </c>
      <c r="H2562" s="4">
        <v>0.69999999999999996</v>
      </c>
      <c r="I2562" s="8">
        <v>7</v>
      </c>
      <c r="J2562" s="5">
        <v>87</v>
      </c>
      <c r="K2562" s="4">
        <v>10</v>
      </c>
      <c r="L2562" s="1" t="s">
        <v>152</v>
      </c>
      <c r="M2562" s="1" t="s">
        <v>47</v>
      </c>
      <c r="N2562" s="1" t="s">
        <v>18365</v>
      </c>
      <c r="O2562" s="1" t="s">
        <v>108</v>
      </c>
      <c r="P2562" s="1" t="s">
        <v>18366</v>
      </c>
      <c r="Q2562" s="4">
        <v>1.3049999999999999</v>
      </c>
      <c r="R2562" s="4">
        <v>1.9950000000000001</v>
      </c>
      <c r="S2562" s="8">
        <v>3.7000000000000002</v>
      </c>
      <c r="T2562" s="1" t="s">
        <v>50</v>
      </c>
      <c r="U2562" s="1"/>
      <c r="V2562" s="1"/>
      <c r="W2562" s="1"/>
      <c r="X2562" s="5">
        <v>125</v>
      </c>
      <c r="Y2562" s="7">
        <v>6000000</v>
      </c>
      <c r="Z2562" s="7">
        <v>2696820</v>
      </c>
      <c r="AA2562" s="1" t="s">
        <v>18367</v>
      </c>
      <c r="AB2562" s="1" t="s">
        <v>2067</v>
      </c>
      <c r="AC2562" s="1" t="s">
        <v>2068</v>
      </c>
      <c r="AD2562" s="1" t="s">
        <v>2067</v>
      </c>
      <c r="AE2562" s="1" t="s">
        <v>51</v>
      </c>
      <c r="AF2562" s="1" t="s">
        <v>51</v>
      </c>
      <c r="AG2562" s="1" t="s">
        <v>51</v>
      </c>
      <c r="AH2562" s="1"/>
      <c r="AI2562" s="1"/>
      <c r="AJ2562" s="3">
        <v>1</v>
      </c>
      <c r="AK2562" s="1" t="s">
        <v>89</v>
      </c>
      <c r="AL2562" s="3">
        <v>7</v>
      </c>
      <c r="AM2562" s="1"/>
      <c r="AN2562" s="1"/>
      <c r="AO2562" s="1" t="s">
        <v>18368</v>
      </c>
      <c r="AP2562" s="1" t="s">
        <v>18369</v>
      </c>
      <c r="AQ2562" s="1" t="s">
        <v>18370</v>
      </c>
      <c r="AR2562" s="1" t="s">
        <v>18371</v>
      </c>
    </row>
    <row r="2563">
      <c r="A2563" s="2">
        <f ca="1">DATE(2010,02,26)</f>
        <v>0</v>
      </c>
      <c r="B2563" s="2">
        <f ca="1">DATE(2010,07,21)</f>
        <v>0</v>
      </c>
      <c r="C2563" s="1" t="s">
        <v>18372</v>
      </c>
      <c r="D2563" s="3">
        <v>6141</v>
      </c>
      <c r="E2563" s="1" t="s">
        <v>43</v>
      </c>
      <c r="F2563" s="1" t="s">
        <v>18373</v>
      </c>
      <c r="G2563" s="1" t="s">
        <v>16215</v>
      </c>
      <c r="H2563" s="4">
        <v>2.52</v>
      </c>
      <c r="I2563" s="4">
        <v>7</v>
      </c>
      <c r="J2563" s="5">
        <v>164.09999999999999</v>
      </c>
      <c r="K2563" s="4">
        <v>36</v>
      </c>
      <c r="L2563" s="1" t="s">
        <v>152</v>
      </c>
      <c r="M2563" s="1" t="s">
        <v>47</v>
      </c>
      <c r="N2563" s="1" t="s">
        <v>18374</v>
      </c>
      <c r="O2563" s="1" t="s">
        <v>108</v>
      </c>
      <c r="P2563" s="1" t="s">
        <v>18375</v>
      </c>
      <c r="Q2563" s="1" t="s">
        <v>145</v>
      </c>
      <c r="R2563" s="1" t="s">
        <v>145</v>
      </c>
      <c r="S2563" s="8">
        <v>4.2000000000000002</v>
      </c>
      <c r="T2563" s="1" t="s">
        <v>50</v>
      </c>
      <c r="U2563" s="1"/>
      <c r="V2563" s="1"/>
      <c r="W2563" s="1"/>
      <c r="X2563" s="5">
        <v>150</v>
      </c>
      <c r="Y2563" s="1"/>
      <c r="Z2563" s="7">
        <v>4558050</v>
      </c>
      <c r="AA2563" s="1" t="s">
        <v>18367</v>
      </c>
      <c r="AB2563" s="1" t="s">
        <v>2067</v>
      </c>
      <c r="AC2563" s="1" t="s">
        <v>2068</v>
      </c>
      <c r="AD2563" s="1" t="s">
        <v>2067</v>
      </c>
      <c r="AE2563" s="1" t="s">
        <v>51</v>
      </c>
      <c r="AF2563" s="1" t="s">
        <v>51</v>
      </c>
      <c r="AG2563" s="1" t="s">
        <v>51</v>
      </c>
      <c r="AH2563" s="1"/>
      <c r="AI2563" s="1"/>
      <c r="AJ2563" s="3">
        <v>2</v>
      </c>
      <c r="AK2563" s="1" t="s">
        <v>89</v>
      </c>
      <c r="AL2563" s="3">
        <v>5</v>
      </c>
      <c r="AM2563" s="1"/>
      <c r="AN2563" s="1"/>
      <c r="AO2563" s="1" t="s">
        <v>18376</v>
      </c>
      <c r="AP2563" s="1" t="s">
        <v>16220</v>
      </c>
      <c r="AQ2563" s="1" t="s">
        <v>18377</v>
      </c>
      <c r="AR2563" s="1" t="s">
        <v>18378</v>
      </c>
    </row>
    <row r="2564">
      <c r="A2564" s="2">
        <f ca="1">DATE(2010,04,23)</f>
        <v>0</v>
      </c>
      <c r="B2564" s="2">
        <f ca="1">DATE(2010,07,27)</f>
        <v>0</v>
      </c>
      <c r="C2564" s="1" t="s">
        <v>18379</v>
      </c>
      <c r="D2564" s="3">
        <v>6726</v>
      </c>
      <c r="E2564" s="1" t="s">
        <v>43</v>
      </c>
      <c r="F2564" s="1" t="s">
        <v>150</v>
      </c>
      <c r="G2564" s="1" t="s">
        <v>18166</v>
      </c>
      <c r="H2564" s="4">
        <v>1.125</v>
      </c>
      <c r="I2564" s="4">
        <v>4.5</v>
      </c>
      <c r="J2564" s="9">
        <v>1060</v>
      </c>
      <c r="K2564" s="4">
        <v>25</v>
      </c>
      <c r="L2564" s="1" t="s">
        <v>46</v>
      </c>
      <c r="M2564" s="1" t="s">
        <v>47</v>
      </c>
      <c r="N2564" s="1" t="s">
        <v>18380</v>
      </c>
      <c r="O2564" s="1" t="s">
        <v>108</v>
      </c>
      <c r="P2564" s="1" t="s">
        <v>18381</v>
      </c>
      <c r="Q2564" s="1" t="s">
        <v>145</v>
      </c>
      <c r="R2564" s="1" t="s">
        <v>145</v>
      </c>
      <c r="S2564" s="8">
        <v>3</v>
      </c>
      <c r="T2564" s="1" t="s">
        <v>50</v>
      </c>
      <c r="U2564" s="1"/>
      <c r="V2564" s="1"/>
      <c r="W2564" s="1"/>
      <c r="X2564" s="5">
        <v>5</v>
      </c>
      <c r="Y2564" s="7">
        <v>42400000</v>
      </c>
      <c r="Z2564" s="1"/>
      <c r="AA2564" s="1" t="s">
        <v>18382</v>
      </c>
      <c r="AB2564" s="1" t="s">
        <v>2067</v>
      </c>
      <c r="AC2564" s="1" t="s">
        <v>2068</v>
      </c>
      <c r="AD2564" s="1" t="s">
        <v>2067</v>
      </c>
      <c r="AE2564" s="1" t="s">
        <v>51</v>
      </c>
      <c r="AF2564" s="1" t="s">
        <v>51</v>
      </c>
      <c r="AG2564" s="1" t="s">
        <v>51</v>
      </c>
      <c r="AH2564" s="1"/>
      <c r="AI2564" s="1" t="s">
        <v>18383</v>
      </c>
      <c r="AJ2564" s="3">
        <v>5</v>
      </c>
      <c r="AK2564" s="1" t="s">
        <v>3985</v>
      </c>
      <c r="AL2564" s="3">
        <v>21</v>
      </c>
      <c r="AM2564" s="1"/>
      <c r="AN2564" s="1"/>
      <c r="AO2564" s="1" t="s">
        <v>18384</v>
      </c>
      <c r="AP2564" s="1" t="s">
        <v>18170</v>
      </c>
      <c r="AQ2564" s="1" t="s">
        <v>18385</v>
      </c>
      <c r="AR2564" s="1" t="s">
        <v>18386</v>
      </c>
    </row>
    <row r="2565">
      <c r="A2565" s="2">
        <f ca="1">DATE(2010,02,16)</f>
        <v>0</v>
      </c>
      <c r="B2565" s="2">
        <f ca="1">DATE(2010,07,28)</f>
        <v>0</v>
      </c>
      <c r="C2565" s="1" t="s">
        <v>18387</v>
      </c>
      <c r="D2565" s="3">
        <v>4922</v>
      </c>
      <c r="E2565" s="1" t="s">
        <v>43</v>
      </c>
      <c r="F2565" s="1" t="s">
        <v>18388</v>
      </c>
      <c r="G2565" s="1" t="s">
        <v>18389</v>
      </c>
      <c r="H2565" s="4">
        <v>1.26</v>
      </c>
      <c r="I2565" s="4">
        <v>6</v>
      </c>
      <c r="J2565" s="5">
        <v>446.30000000000001</v>
      </c>
      <c r="K2565" s="4">
        <v>21</v>
      </c>
      <c r="L2565" s="1" t="s">
        <v>31</v>
      </c>
      <c r="M2565" s="1" t="s">
        <v>47</v>
      </c>
      <c r="N2565" s="1" t="s">
        <v>18390</v>
      </c>
      <c r="O2565" s="1" t="s">
        <v>108</v>
      </c>
      <c r="P2565" s="1" t="s">
        <v>18391</v>
      </c>
      <c r="Q2565" s="4">
        <v>1.2</v>
      </c>
      <c r="R2565" s="4">
        <v>1.2</v>
      </c>
      <c r="S2565" s="8">
        <v>3.6000000000000001</v>
      </c>
      <c r="T2565" s="1" t="s">
        <v>50</v>
      </c>
      <c r="U2565" s="1"/>
      <c r="V2565" s="1"/>
      <c r="W2565" s="1"/>
      <c r="X2565" s="5">
        <v>345</v>
      </c>
      <c r="Y2565" s="7">
        <v>21250000</v>
      </c>
      <c r="Z2565" s="1"/>
      <c r="AA2565" s="1" t="s">
        <v>18392</v>
      </c>
      <c r="AB2565" s="1" t="s">
        <v>2067</v>
      </c>
      <c r="AC2565" s="1" t="s">
        <v>2068</v>
      </c>
      <c r="AD2565" s="1" t="s">
        <v>2067</v>
      </c>
      <c r="AE2565" s="1" t="s">
        <v>51</v>
      </c>
      <c r="AF2565" s="1" t="s">
        <v>51</v>
      </c>
      <c r="AG2565" s="1" t="s">
        <v>51</v>
      </c>
      <c r="AH2565" s="1"/>
      <c r="AI2565" s="1"/>
      <c r="AJ2565" s="3">
        <v>8</v>
      </c>
      <c r="AK2565" s="1" t="s">
        <v>16691</v>
      </c>
      <c r="AL2565" s="3">
        <v>23</v>
      </c>
      <c r="AM2565" s="8">
        <v>22.399999999999999</v>
      </c>
      <c r="AN2565" s="1"/>
      <c r="AO2565" s="1" t="s">
        <v>18393</v>
      </c>
      <c r="AP2565" s="1" t="s">
        <v>18394</v>
      </c>
      <c r="AQ2565" s="1" t="s">
        <v>18395</v>
      </c>
      <c r="AR2565" s="1" t="s">
        <v>18396</v>
      </c>
    </row>
    <row r="2566">
      <c r="A2566" s="2">
        <f ca="1">DATE(2010,03,26)</f>
        <v>0</v>
      </c>
      <c r="B2566" s="2">
        <f ca="1">DATE(2010,07,28)</f>
        <v>0</v>
      </c>
      <c r="C2566" s="1" t="s">
        <v>18397</v>
      </c>
      <c r="D2566" s="3">
        <v>7389</v>
      </c>
      <c r="E2566" s="1" t="s">
        <v>43</v>
      </c>
      <c r="F2566" s="1" t="s">
        <v>18398</v>
      </c>
      <c r="G2566" s="1" t="s">
        <v>18399</v>
      </c>
      <c r="H2566" s="4">
        <v>0.63</v>
      </c>
      <c r="I2566" s="4">
        <v>7</v>
      </c>
      <c r="J2566" s="5">
        <v>63</v>
      </c>
      <c r="K2566" s="4">
        <v>9</v>
      </c>
      <c r="L2566" s="1" t="s">
        <v>46</v>
      </c>
      <c r="M2566" s="1" t="s">
        <v>47</v>
      </c>
      <c r="N2566" s="1" t="s">
        <v>18400</v>
      </c>
      <c r="O2566" s="1" t="s">
        <v>108</v>
      </c>
      <c r="P2566" s="1" t="s">
        <v>18401</v>
      </c>
      <c r="Q2566" s="1" t="s">
        <v>145</v>
      </c>
      <c r="R2566" s="1" t="s">
        <v>145</v>
      </c>
      <c r="S2566" s="6">
        <v>4.3333300000000001</v>
      </c>
      <c r="T2566" s="1" t="s">
        <v>50</v>
      </c>
      <c r="U2566" s="1"/>
      <c r="V2566" s="1"/>
      <c r="W2566" s="1"/>
      <c r="X2566" s="5">
        <v>100</v>
      </c>
      <c r="Y2566" s="7">
        <v>4705500</v>
      </c>
      <c r="Z2566" s="7">
        <v>2294500</v>
      </c>
      <c r="AA2566" s="1" t="s">
        <v>18402</v>
      </c>
      <c r="AB2566" s="1" t="s">
        <v>5265</v>
      </c>
      <c r="AC2566" s="1" t="s">
        <v>7759</v>
      </c>
      <c r="AD2566" s="1" t="s">
        <v>5265</v>
      </c>
      <c r="AE2566" s="1" t="s">
        <v>51</v>
      </c>
      <c r="AF2566" s="1" t="s">
        <v>51</v>
      </c>
      <c r="AG2566" s="1" t="s">
        <v>47</v>
      </c>
      <c r="AH2566" s="1"/>
      <c r="AI2566" s="1"/>
      <c r="AJ2566" s="3">
        <v>3</v>
      </c>
      <c r="AK2566" s="1" t="s">
        <v>110</v>
      </c>
      <c r="AL2566" s="3">
        <v>8</v>
      </c>
      <c r="AM2566" s="8">
        <v>10.23</v>
      </c>
      <c r="AN2566" s="1"/>
      <c r="AO2566" s="1" t="s">
        <v>18403</v>
      </c>
      <c r="AP2566" s="1" t="s">
        <v>18404</v>
      </c>
      <c r="AQ2566" s="1" t="s">
        <v>18405</v>
      </c>
      <c r="AR2566" s="1" t="s">
        <v>18406</v>
      </c>
    </row>
    <row r="2567">
      <c r="A2567" s="2">
        <f ca="1">DATE(2010,04,16)</f>
        <v>0</v>
      </c>
      <c r="B2567" s="2">
        <f ca="1">DATE(2010,07,29)</f>
        <v>0</v>
      </c>
      <c r="C2567" s="1" t="s">
        <v>18407</v>
      </c>
      <c r="D2567" s="3">
        <v>3399</v>
      </c>
      <c r="E2567" s="1" t="s">
        <v>43</v>
      </c>
      <c r="F2567" s="1" t="s">
        <v>18408</v>
      </c>
      <c r="G2567" s="1" t="s">
        <v>10704</v>
      </c>
      <c r="H2567" s="4">
        <v>0.96299999999999997</v>
      </c>
      <c r="I2567" s="4">
        <v>6.875</v>
      </c>
      <c r="J2567" s="5">
        <v>393.80000000000001</v>
      </c>
      <c r="K2567" s="4">
        <v>14</v>
      </c>
      <c r="L2567" s="1" t="s">
        <v>46</v>
      </c>
      <c r="M2567" s="1" t="s">
        <v>47</v>
      </c>
      <c r="N2567" s="3">
        <v>608753109</v>
      </c>
      <c r="O2567" s="1" t="s">
        <v>108</v>
      </c>
      <c r="P2567" s="1" t="s">
        <v>18409</v>
      </c>
      <c r="Q2567" s="1" t="s">
        <v>145</v>
      </c>
      <c r="R2567" s="1" t="s">
        <v>145</v>
      </c>
      <c r="S2567" s="1"/>
      <c r="T2567" s="1" t="s">
        <v>50</v>
      </c>
      <c r="U2567" s="1"/>
      <c r="V2567" s="1"/>
      <c r="W2567" s="1"/>
      <c r="X2567" s="5">
        <v>350</v>
      </c>
      <c r="Y2567" s="7">
        <v>28125000</v>
      </c>
      <c r="Z2567" s="1"/>
      <c r="AA2567" s="1" t="s">
        <v>18410</v>
      </c>
      <c r="AB2567" s="1" t="s">
        <v>5265</v>
      </c>
      <c r="AC2567" s="1" t="s">
        <v>7759</v>
      </c>
      <c r="AD2567" s="1" t="s">
        <v>5265</v>
      </c>
      <c r="AE2567" s="1" t="s">
        <v>51</v>
      </c>
      <c r="AF2567" s="1" t="s">
        <v>51</v>
      </c>
      <c r="AG2567" s="1" t="s">
        <v>51</v>
      </c>
      <c r="AH2567" s="1"/>
      <c r="AI2567" s="1"/>
      <c r="AJ2567" s="3">
        <v>2</v>
      </c>
      <c r="AK2567" s="1" t="s">
        <v>89</v>
      </c>
      <c r="AL2567" s="3">
        <v>10</v>
      </c>
      <c r="AM2567" s="1"/>
      <c r="AN2567" s="1"/>
      <c r="AO2567" s="1" t="s">
        <v>18411</v>
      </c>
      <c r="AP2567" s="1" t="s">
        <v>6680</v>
      </c>
      <c r="AQ2567" s="1" t="s">
        <v>18412</v>
      </c>
      <c r="AR2567" s="1" t="s">
        <v>18413</v>
      </c>
    </row>
    <row r="2568">
      <c r="A2568" s="2">
        <f ca="1">DATE(2009,11,06)</f>
        <v>0</v>
      </c>
      <c r="B2568" s="2">
        <f ca="1">DATE(2010,08,02)</f>
        <v>0</v>
      </c>
      <c r="C2568" s="1" t="s">
        <v>18414</v>
      </c>
      <c r="D2568" s="3">
        <v>2834</v>
      </c>
      <c r="E2568" s="1" t="s">
        <v>43</v>
      </c>
      <c r="F2568" s="1" t="s">
        <v>18415</v>
      </c>
      <c r="G2568" s="1" t="s">
        <v>15222</v>
      </c>
      <c r="H2568" s="4">
        <v>0.34999999999999998</v>
      </c>
      <c r="I2568" s="8">
        <v>7</v>
      </c>
      <c r="J2568" s="5">
        <v>50</v>
      </c>
      <c r="K2568" s="4">
        <v>5</v>
      </c>
      <c r="L2568" s="1" t="s">
        <v>46</v>
      </c>
      <c r="M2568" s="1" t="s">
        <v>47</v>
      </c>
      <c r="N2568" s="1" t="s">
        <v>18416</v>
      </c>
      <c r="O2568" s="1" t="s">
        <v>48</v>
      </c>
      <c r="P2568" s="1" t="s">
        <v>18417</v>
      </c>
      <c r="Q2568" s="1" t="s">
        <v>145</v>
      </c>
      <c r="R2568" s="1" t="s">
        <v>145</v>
      </c>
      <c r="S2568" s="8">
        <v>4.2000000000000002</v>
      </c>
      <c r="T2568" s="1" t="s">
        <v>50</v>
      </c>
      <c r="U2568" s="1"/>
      <c r="V2568" s="1"/>
      <c r="W2568" s="1"/>
      <c r="X2568" s="5">
        <v>86.299999999999997</v>
      </c>
      <c r="Y2568" s="7">
        <v>10000000</v>
      </c>
      <c r="Z2568" s="1"/>
      <c r="AA2568" s="1" t="s">
        <v>18418</v>
      </c>
      <c r="AB2568" s="1" t="s">
        <v>5265</v>
      </c>
      <c r="AC2568" s="1" t="s">
        <v>7759</v>
      </c>
      <c r="AD2568" s="1" t="s">
        <v>5265</v>
      </c>
      <c r="AE2568" s="1" t="s">
        <v>51</v>
      </c>
      <c r="AF2568" s="1" t="s">
        <v>51</v>
      </c>
      <c r="AG2568" s="1" t="s">
        <v>47</v>
      </c>
      <c r="AH2568" s="1"/>
      <c r="AI2568" s="1"/>
      <c r="AJ2568" s="3">
        <v>1</v>
      </c>
      <c r="AK2568" s="1" t="s">
        <v>52</v>
      </c>
      <c r="AL2568" s="3">
        <v>4</v>
      </c>
      <c r="AM2568" s="8">
        <v>5</v>
      </c>
      <c r="AN2568" s="1"/>
      <c r="AO2568" s="1" t="s">
        <v>18419</v>
      </c>
      <c r="AP2568" s="1" t="s">
        <v>15222</v>
      </c>
      <c r="AQ2568" s="1" t="s">
        <v>18420</v>
      </c>
      <c r="AR2568" s="1" t="s">
        <v>18417</v>
      </c>
    </row>
    <row r="2569">
      <c r="A2569" s="2">
        <f ca="1">DATE(2010,05,05)</f>
        <v>0</v>
      </c>
      <c r="B2569" s="2">
        <f ca="1">DATE(2010,08,03)</f>
        <v>0</v>
      </c>
      <c r="C2569" s="1" t="s">
        <v>18421</v>
      </c>
      <c r="D2569" s="3">
        <v>1081</v>
      </c>
      <c r="E2569" s="1" t="s">
        <v>166</v>
      </c>
      <c r="F2569" s="1" t="s">
        <v>17784</v>
      </c>
      <c r="G2569" s="1" t="s">
        <v>1542</v>
      </c>
      <c r="H2569" s="1" t="s">
        <v>57</v>
      </c>
      <c r="I2569" s="1" t="s">
        <v>57</v>
      </c>
      <c r="J2569" s="5">
        <v>0.10000000000000001</v>
      </c>
      <c r="K2569" s="4">
        <v>0.02</v>
      </c>
      <c r="L2569" s="1" t="s">
        <v>46</v>
      </c>
      <c r="M2569" s="1" t="s">
        <v>47</v>
      </c>
      <c r="N2569" s="3">
        <v>922120100</v>
      </c>
      <c r="O2569" s="1" t="s">
        <v>77</v>
      </c>
      <c r="P2569" s="1" t="s">
        <v>1543</v>
      </c>
      <c r="Q2569" s="1"/>
      <c r="R2569" s="1"/>
      <c r="S2569" s="1"/>
      <c r="T2569" s="1" t="s">
        <v>50</v>
      </c>
      <c r="U2569" s="8">
        <v>0.02</v>
      </c>
      <c r="V2569" s="8">
        <v>0.02</v>
      </c>
      <c r="W2569" s="7">
        <v>2800000</v>
      </c>
      <c r="X2569" s="5">
        <v>0.10000000000000001</v>
      </c>
      <c r="Y2569" s="1"/>
      <c r="Z2569" s="7">
        <v>2800000</v>
      </c>
      <c r="AA2569" s="1"/>
      <c r="AB2569" s="1"/>
      <c r="AC2569" s="1"/>
      <c r="AD2569" s="1"/>
      <c r="AE2569" s="1" t="s">
        <v>51</v>
      </c>
      <c r="AF2569" s="1" t="s">
        <v>51</v>
      </c>
      <c r="AG2569" s="1" t="s">
        <v>51</v>
      </c>
      <c r="AH2569" s="1"/>
      <c r="AI2569" s="1"/>
      <c r="AJ2569" s="3">
        <v>1</v>
      </c>
      <c r="AK2569" s="1" t="s">
        <v>52</v>
      </c>
      <c r="AL2569" s="3">
        <v>1</v>
      </c>
      <c r="AM2569" s="1"/>
      <c r="AN2569" s="1"/>
      <c r="AO2569" s="1" t="s">
        <v>1542</v>
      </c>
      <c r="AP2569" s="1" t="s">
        <v>1542</v>
      </c>
      <c r="AQ2569" s="1" t="s">
        <v>1542</v>
      </c>
      <c r="AR2569" s="1" t="s">
        <v>1543</v>
      </c>
    </row>
    <row r="2570">
      <c r="A2570" s="2">
        <f ca="1">DATE(2010,07,14)</f>
        <v>0</v>
      </c>
      <c r="B2570" s="2">
        <f ca="1">DATE(2010,08,04)</f>
        <v>0</v>
      </c>
      <c r="C2570" s="1" t="s">
        <v>18422</v>
      </c>
      <c r="D2570" s="3">
        <v>8211</v>
      </c>
      <c r="E2570" s="1" t="s">
        <v>744</v>
      </c>
      <c r="F2570" s="1" t="s">
        <v>18423</v>
      </c>
      <c r="G2570" s="1" t="s">
        <v>18424</v>
      </c>
      <c r="H2570" s="4">
        <v>0.69999999999999996</v>
      </c>
      <c r="I2570" s="8">
        <v>7</v>
      </c>
      <c r="J2570" s="5">
        <v>106.8</v>
      </c>
      <c r="K2570" s="4">
        <v>10</v>
      </c>
      <c r="L2570" s="1" t="s">
        <v>651</v>
      </c>
      <c r="M2570" s="1" t="s">
        <v>47</v>
      </c>
      <c r="N2570" s="1" t="s">
        <v>18425</v>
      </c>
      <c r="O2570" s="1" t="s">
        <v>108</v>
      </c>
      <c r="P2570" s="1" t="s">
        <v>18426</v>
      </c>
      <c r="Q2570" s="1" t="s">
        <v>145</v>
      </c>
      <c r="R2570" s="1" t="s">
        <v>145</v>
      </c>
      <c r="S2570" s="8">
        <v>4.2000000000000002</v>
      </c>
      <c r="T2570" s="1" t="s">
        <v>50</v>
      </c>
      <c r="U2570" s="1"/>
      <c r="V2570" s="1"/>
      <c r="W2570" s="1"/>
      <c r="X2570" s="5">
        <v>138</v>
      </c>
      <c r="Y2570" s="7">
        <v>7500000</v>
      </c>
      <c r="Z2570" s="7">
        <v>3177207</v>
      </c>
      <c r="AA2570" s="1" t="s">
        <v>18427</v>
      </c>
      <c r="AB2570" s="1" t="s">
        <v>5265</v>
      </c>
      <c r="AC2570" s="1" t="s">
        <v>7759</v>
      </c>
      <c r="AD2570" s="1" t="s">
        <v>5265</v>
      </c>
      <c r="AE2570" s="1" t="s">
        <v>47</v>
      </c>
      <c r="AF2570" s="1" t="s">
        <v>51</v>
      </c>
      <c r="AG2570" s="1" t="s">
        <v>51</v>
      </c>
      <c r="AH2570" s="1"/>
      <c r="AI2570" s="1"/>
      <c r="AJ2570" s="3">
        <v>2</v>
      </c>
      <c r="AK2570" s="1" t="s">
        <v>89</v>
      </c>
      <c r="AL2570" s="3">
        <v>4</v>
      </c>
      <c r="AM2570" s="8">
        <v>9.25</v>
      </c>
      <c r="AN2570" s="1"/>
      <c r="AO2570" s="1" t="s">
        <v>18428</v>
      </c>
      <c r="AP2570" s="1" t="s">
        <v>18429</v>
      </c>
      <c r="AQ2570" s="1" t="s">
        <v>18430</v>
      </c>
      <c r="AR2570" s="1" t="s">
        <v>18431</v>
      </c>
    </row>
    <row r="2571">
      <c r="A2571" s="2">
        <f ca="1">DATE(2010,04,30)</f>
        <v>0</v>
      </c>
      <c r="B2571" s="2">
        <f ca="1">DATE(2010,08,04)</f>
        <v>0</v>
      </c>
      <c r="C2571" s="1" t="s">
        <v>18432</v>
      </c>
      <c r="D2571" s="3">
        <v>5699</v>
      </c>
      <c r="E2571" s="1" t="s">
        <v>43</v>
      </c>
      <c r="F2571" s="1" t="s">
        <v>18433</v>
      </c>
      <c r="G2571" s="1" t="s">
        <v>18434</v>
      </c>
      <c r="H2571" s="4">
        <v>0.77000000000000002</v>
      </c>
      <c r="I2571" s="4">
        <v>7</v>
      </c>
      <c r="J2571" s="5">
        <v>58.899999999999999</v>
      </c>
      <c r="K2571" s="4">
        <v>11</v>
      </c>
      <c r="L2571" s="1" t="s">
        <v>46</v>
      </c>
      <c r="M2571" s="1" t="s">
        <v>47</v>
      </c>
      <c r="N2571" s="1" t="s">
        <v>18435</v>
      </c>
      <c r="O2571" s="1" t="s">
        <v>48</v>
      </c>
      <c r="P2571" s="1" t="s">
        <v>18436</v>
      </c>
      <c r="Q2571" s="1" t="s">
        <v>145</v>
      </c>
      <c r="R2571" s="1" t="s">
        <v>145</v>
      </c>
      <c r="S2571" s="6">
        <v>4.1818200000000001</v>
      </c>
      <c r="T2571" s="1" t="s">
        <v>50</v>
      </c>
      <c r="U2571" s="1"/>
      <c r="V2571" s="1"/>
      <c r="W2571" s="1"/>
      <c r="X2571" s="5">
        <v>75</v>
      </c>
      <c r="Y2571" s="7">
        <v>3214286</v>
      </c>
      <c r="Z2571" s="7">
        <v>2142857</v>
      </c>
      <c r="AA2571" s="1" t="s">
        <v>18427</v>
      </c>
      <c r="AB2571" s="1" t="s">
        <v>5265</v>
      </c>
      <c r="AC2571" s="1" t="s">
        <v>7759</v>
      </c>
      <c r="AD2571" s="1" t="s">
        <v>5265</v>
      </c>
      <c r="AE2571" s="1" t="s">
        <v>51</v>
      </c>
      <c r="AF2571" s="1" t="s">
        <v>51</v>
      </c>
      <c r="AG2571" s="1" t="s">
        <v>51</v>
      </c>
      <c r="AH2571" s="1"/>
      <c r="AI2571" s="1"/>
      <c r="AJ2571" s="3">
        <v>2</v>
      </c>
      <c r="AK2571" s="1" t="s">
        <v>89</v>
      </c>
      <c r="AL2571" s="3">
        <v>4</v>
      </c>
      <c r="AM2571" s="8">
        <v>11.029999999999999</v>
      </c>
      <c r="AN2571" s="1"/>
      <c r="AO2571" s="1" t="s">
        <v>18437</v>
      </c>
      <c r="AP2571" s="1" t="s">
        <v>18438</v>
      </c>
      <c r="AQ2571" s="1" t="s">
        <v>18439</v>
      </c>
      <c r="AR2571" s="1" t="s">
        <v>18436</v>
      </c>
    </row>
    <row r="2572">
      <c r="A2572" s="2">
        <f ca="1">DATE(2010,05,26)</f>
        <v>0</v>
      </c>
      <c r="B2572" s="2">
        <f ca="1">DATE(2010,08,04)</f>
        <v>0</v>
      </c>
      <c r="C2572" s="1" t="s">
        <v>18440</v>
      </c>
      <c r="D2572" s="3">
        <v>3679</v>
      </c>
      <c r="E2572" s="1" t="s">
        <v>934</v>
      </c>
      <c r="F2572" s="1" t="s">
        <v>18441</v>
      </c>
      <c r="G2572" s="1" t="s">
        <v>11777</v>
      </c>
      <c r="H2572" s="4">
        <v>0.48999999999999999</v>
      </c>
      <c r="I2572" s="8">
        <v>7</v>
      </c>
      <c r="J2572" s="5">
        <v>10.5</v>
      </c>
      <c r="K2572" s="4">
        <v>7</v>
      </c>
      <c r="L2572" s="1" t="s">
        <v>1057</v>
      </c>
      <c r="M2572" s="1" t="s">
        <v>47</v>
      </c>
      <c r="N2572" s="1"/>
      <c r="O2572" s="1" t="s">
        <v>2646</v>
      </c>
      <c r="P2572" s="1" t="s">
        <v>14744</v>
      </c>
      <c r="Q2572" s="1" t="s">
        <v>145</v>
      </c>
      <c r="R2572" s="1" t="s">
        <v>145</v>
      </c>
      <c r="S2572" s="1"/>
      <c r="T2572" s="1" t="s">
        <v>50</v>
      </c>
      <c r="U2572" s="1"/>
      <c r="V2572" s="1"/>
      <c r="W2572" s="1"/>
      <c r="X2572" s="5">
        <v>29.600000000000001</v>
      </c>
      <c r="Y2572" s="7">
        <v>1500906</v>
      </c>
      <c r="Z2572" s="1"/>
      <c r="AA2572" s="1" t="s">
        <v>18442</v>
      </c>
      <c r="AB2572" s="1" t="s">
        <v>2067</v>
      </c>
      <c r="AC2572" s="1" t="s">
        <v>2068</v>
      </c>
      <c r="AD2572" s="1" t="s">
        <v>2067</v>
      </c>
      <c r="AE2572" s="1" t="s">
        <v>51</v>
      </c>
      <c r="AF2572" s="1" t="s">
        <v>51</v>
      </c>
      <c r="AG2572" s="1" t="s">
        <v>51</v>
      </c>
      <c r="AH2572" s="1"/>
      <c r="AI2572" s="1"/>
      <c r="AJ2572" s="3">
        <v>1</v>
      </c>
      <c r="AK2572" s="1" t="s">
        <v>52</v>
      </c>
      <c r="AL2572" s="3">
        <v>1</v>
      </c>
      <c r="AM2572" s="1"/>
      <c r="AN2572" s="1"/>
      <c r="AO2572" s="1" t="s">
        <v>11777</v>
      </c>
      <c r="AP2572" s="1" t="s">
        <v>11777</v>
      </c>
      <c r="AQ2572" s="1" t="s">
        <v>11777</v>
      </c>
      <c r="AR2572" s="1" t="s">
        <v>14744</v>
      </c>
    </row>
    <row r="2573">
      <c r="A2573" s="2">
        <f ca="1">DATE(2010,04,12)</f>
        <v>0</v>
      </c>
      <c r="B2573" s="2">
        <f ca="1">DATE(2010,08,05)</f>
        <v>0</v>
      </c>
      <c r="C2573" s="1" t="s">
        <v>18443</v>
      </c>
      <c r="D2573" s="3">
        <v>7372</v>
      </c>
      <c r="E2573" s="1" t="s">
        <v>43</v>
      </c>
      <c r="F2573" s="1" t="s">
        <v>18444</v>
      </c>
      <c r="G2573" s="1" t="s">
        <v>18445</v>
      </c>
      <c r="H2573" s="4">
        <v>0.91000000000000003</v>
      </c>
      <c r="I2573" s="4">
        <v>7</v>
      </c>
      <c r="J2573" s="5">
        <v>143</v>
      </c>
      <c r="K2573" s="4">
        <v>13</v>
      </c>
      <c r="L2573" s="1" t="s">
        <v>46</v>
      </c>
      <c r="M2573" s="1" t="s">
        <v>47</v>
      </c>
      <c r="N2573" s="1" t="s">
        <v>18446</v>
      </c>
      <c r="O2573" s="1" t="s">
        <v>108</v>
      </c>
      <c r="P2573" s="1" t="s">
        <v>18447</v>
      </c>
      <c r="Q2573" s="1" t="s">
        <v>145</v>
      </c>
      <c r="R2573" s="1" t="s">
        <v>145</v>
      </c>
      <c r="S2573" s="8">
        <v>4.2000000000000002</v>
      </c>
      <c r="T2573" s="1" t="s">
        <v>50</v>
      </c>
      <c r="U2573" s="1"/>
      <c r="V2573" s="1"/>
      <c r="W2573" s="1"/>
      <c r="X2573" s="5">
        <v>150</v>
      </c>
      <c r="Y2573" s="7">
        <v>11000000</v>
      </c>
      <c r="Z2573" s="1"/>
      <c r="AA2573" s="1" t="s">
        <v>18448</v>
      </c>
      <c r="AB2573" s="1" t="s">
        <v>5265</v>
      </c>
      <c r="AC2573" s="1" t="s">
        <v>7759</v>
      </c>
      <c r="AD2573" s="1" t="s">
        <v>5265</v>
      </c>
      <c r="AE2573" s="1" t="s">
        <v>51</v>
      </c>
      <c r="AF2573" s="1" t="s">
        <v>51</v>
      </c>
      <c r="AG2573" s="1" t="s">
        <v>51</v>
      </c>
      <c r="AH2573" s="1"/>
      <c r="AI2573" s="1" t="s">
        <v>18449</v>
      </c>
      <c r="AJ2573" s="3">
        <v>3</v>
      </c>
      <c r="AK2573" s="1" t="s">
        <v>1209</v>
      </c>
      <c r="AL2573" s="3">
        <v>7</v>
      </c>
      <c r="AM2573" s="8">
        <v>13</v>
      </c>
      <c r="AN2573" s="1"/>
      <c r="AO2573" s="1" t="s">
        <v>18450</v>
      </c>
      <c r="AP2573" s="1" t="s">
        <v>18451</v>
      </c>
      <c r="AQ2573" s="1" t="s">
        <v>18452</v>
      </c>
      <c r="AR2573" s="1" t="s">
        <v>18453</v>
      </c>
    </row>
    <row r="2574">
      <c r="A2574" s="2">
        <f ca="1">DATE(2010,05,14)</f>
        <v>0</v>
      </c>
      <c r="B2574" s="2">
        <f ca="1">DATE(2010,08,05)</f>
        <v>0</v>
      </c>
      <c r="C2574" s="1" t="s">
        <v>18454</v>
      </c>
      <c r="D2574" s="3">
        <v>2834</v>
      </c>
      <c r="E2574" s="1" t="s">
        <v>43</v>
      </c>
      <c r="F2574" s="1" t="s">
        <v>18455</v>
      </c>
      <c r="G2574" s="1" t="s">
        <v>18456</v>
      </c>
      <c r="H2574" s="4">
        <v>0.69999999999999996</v>
      </c>
      <c r="I2574" s="8">
        <v>7</v>
      </c>
      <c r="J2574" s="5">
        <v>50</v>
      </c>
      <c r="K2574" s="4">
        <v>10</v>
      </c>
      <c r="L2574" s="1" t="s">
        <v>46</v>
      </c>
      <c r="M2574" s="1" t="s">
        <v>47</v>
      </c>
      <c r="N2574" s="1" t="s">
        <v>18457</v>
      </c>
      <c r="O2574" s="1" t="s">
        <v>48</v>
      </c>
      <c r="P2574" s="1" t="s">
        <v>18458</v>
      </c>
      <c r="Q2574" s="1" t="s">
        <v>145</v>
      </c>
      <c r="R2574" s="1" t="s">
        <v>145</v>
      </c>
      <c r="S2574" s="8">
        <v>4</v>
      </c>
      <c r="T2574" s="1" t="s">
        <v>50</v>
      </c>
      <c r="U2574" s="1"/>
      <c r="V2574" s="1"/>
      <c r="W2574" s="1"/>
      <c r="X2574" s="5">
        <v>86.299999999999997</v>
      </c>
      <c r="Y2574" s="7">
        <v>5000000</v>
      </c>
      <c r="Z2574" s="1"/>
      <c r="AA2574" s="1" t="s">
        <v>18448</v>
      </c>
      <c r="AB2574" s="1" t="s">
        <v>5265</v>
      </c>
      <c r="AC2574" s="1" t="s">
        <v>7759</v>
      </c>
      <c r="AD2574" s="1" t="s">
        <v>5265</v>
      </c>
      <c r="AE2574" s="1" t="s">
        <v>51</v>
      </c>
      <c r="AF2574" s="1" t="s">
        <v>51</v>
      </c>
      <c r="AG2574" s="1" t="s">
        <v>47</v>
      </c>
      <c r="AH2574" s="1"/>
      <c r="AI2574" s="1"/>
      <c r="AJ2574" s="3">
        <v>2</v>
      </c>
      <c r="AK2574" s="1" t="s">
        <v>89</v>
      </c>
      <c r="AL2574" s="3">
        <v>3</v>
      </c>
      <c r="AM2574" s="8">
        <v>9.6099999999999994</v>
      </c>
      <c r="AN2574" s="1"/>
      <c r="AO2574" s="1" t="s">
        <v>18459</v>
      </c>
      <c r="AP2574" s="1" t="s">
        <v>18460</v>
      </c>
      <c r="AQ2574" s="1" t="s">
        <v>18461</v>
      </c>
      <c r="AR2574" s="1" t="s">
        <v>18458</v>
      </c>
    </row>
    <row r="2575">
      <c r="A2575" s="2">
        <f ca="1">DATE(2010,04,16)</f>
        <v>0</v>
      </c>
      <c r="B2575" s="2">
        <f ca="1">DATE(2010,08,05)</f>
        <v>0</v>
      </c>
      <c r="C2575" s="1" t="s">
        <v>18462</v>
      </c>
      <c r="D2575" s="3">
        <v>3674</v>
      </c>
      <c r="E2575" s="1" t="s">
        <v>510</v>
      </c>
      <c r="F2575" s="1" t="s">
        <v>18463</v>
      </c>
      <c r="G2575" s="1" t="s">
        <v>18464</v>
      </c>
      <c r="H2575" s="4">
        <v>0.69999999999999996</v>
      </c>
      <c r="I2575" s="4">
        <v>5</v>
      </c>
      <c r="J2575" s="5">
        <v>476</v>
      </c>
      <c r="K2575" s="4">
        <v>14</v>
      </c>
      <c r="L2575" s="1" t="s">
        <v>46</v>
      </c>
      <c r="M2575" s="1" t="s">
        <v>47</v>
      </c>
      <c r="N2575" s="1" t="s">
        <v>18465</v>
      </c>
      <c r="O2575" s="1" t="s">
        <v>48</v>
      </c>
      <c r="P2575" s="1" t="s">
        <v>18466</v>
      </c>
      <c r="Q2575" s="4">
        <v>1</v>
      </c>
      <c r="R2575" s="4">
        <v>1</v>
      </c>
      <c r="S2575" s="8">
        <v>3</v>
      </c>
      <c r="T2575" s="1" t="s">
        <v>50</v>
      </c>
      <c r="U2575" s="1"/>
      <c r="V2575" s="1"/>
      <c r="W2575" s="1"/>
      <c r="X2575" s="9">
        <v>1150</v>
      </c>
      <c r="Y2575" s="7">
        <v>34000000</v>
      </c>
      <c r="Z2575" s="1"/>
      <c r="AA2575" s="1" t="s">
        <v>18467</v>
      </c>
      <c r="AB2575" s="1" t="s">
        <v>2067</v>
      </c>
      <c r="AC2575" s="1" t="s">
        <v>2068</v>
      </c>
      <c r="AD2575" s="1" t="s">
        <v>2067</v>
      </c>
      <c r="AE2575" s="1" t="s">
        <v>51</v>
      </c>
      <c r="AF2575" s="1" t="s">
        <v>51</v>
      </c>
      <c r="AG2575" s="1" t="s">
        <v>51</v>
      </c>
      <c r="AH2575" s="1"/>
      <c r="AI2575" s="1"/>
      <c r="AJ2575" s="3">
        <v>5</v>
      </c>
      <c r="AK2575" s="1" t="s">
        <v>3985</v>
      </c>
      <c r="AL2575" s="3">
        <v>10</v>
      </c>
      <c r="AM2575" s="8">
        <v>14</v>
      </c>
      <c r="AN2575" s="1"/>
      <c r="AO2575" s="1" t="s">
        <v>18468</v>
      </c>
      <c r="AP2575" s="1" t="s">
        <v>18469</v>
      </c>
      <c r="AQ2575" s="1" t="s">
        <v>18470</v>
      </c>
      <c r="AR2575" s="1" t="s">
        <v>18471</v>
      </c>
    </row>
    <row r="2576">
      <c r="A2576" s="2">
        <f ca="1">DATE(2010,07,23)</f>
        <v>0</v>
      </c>
      <c r="B2576" s="2">
        <f ca="1">DATE(2010,08,10)</f>
        <v>0</v>
      </c>
      <c r="C2576" s="1" t="s">
        <v>18472</v>
      </c>
      <c r="D2576" s="3">
        <v>3841</v>
      </c>
      <c r="E2576" s="1" t="s">
        <v>744</v>
      </c>
      <c r="F2576" s="1" t="s">
        <v>18473</v>
      </c>
      <c r="G2576" s="1" t="s">
        <v>18474</v>
      </c>
      <c r="H2576" s="4">
        <v>0.71999999999999997</v>
      </c>
      <c r="I2576" s="4">
        <v>7.024</v>
      </c>
      <c r="J2576" s="5">
        <v>68.400000000000006</v>
      </c>
      <c r="K2576" s="4">
        <v>10.25</v>
      </c>
      <c r="L2576" s="1" t="s">
        <v>651</v>
      </c>
      <c r="M2576" s="1" t="s">
        <v>47</v>
      </c>
      <c r="N2576" s="1" t="s">
        <v>18475</v>
      </c>
      <c r="O2576" s="1" t="s">
        <v>108</v>
      </c>
      <c r="P2576" s="1" t="s">
        <v>18476</v>
      </c>
      <c r="Q2576" s="1" t="s">
        <v>145</v>
      </c>
      <c r="R2576" s="1" t="s">
        <v>145</v>
      </c>
      <c r="S2576" s="8">
        <v>4.2000000000000002</v>
      </c>
      <c r="T2576" s="1" t="s">
        <v>50</v>
      </c>
      <c r="U2576" s="1"/>
      <c r="V2576" s="1"/>
      <c r="W2576" s="1"/>
      <c r="X2576" s="5">
        <v>75</v>
      </c>
      <c r="Y2576" s="7">
        <v>5340000</v>
      </c>
      <c r="Z2576" s="7">
        <v>1335000</v>
      </c>
      <c r="AA2576" s="1" t="s">
        <v>18477</v>
      </c>
      <c r="AB2576" s="1" t="s">
        <v>5265</v>
      </c>
      <c r="AC2576" s="1" t="s">
        <v>7759</v>
      </c>
      <c r="AD2576" s="1" t="s">
        <v>5265</v>
      </c>
      <c r="AE2576" s="1" t="s">
        <v>47</v>
      </c>
      <c r="AF2576" s="1" t="s">
        <v>51</v>
      </c>
      <c r="AG2576" s="1" t="s">
        <v>47</v>
      </c>
      <c r="AH2576" s="1"/>
      <c r="AI2576" s="1"/>
      <c r="AJ2576" s="3">
        <v>2</v>
      </c>
      <c r="AK2576" s="1" t="s">
        <v>89</v>
      </c>
      <c r="AL2576" s="3">
        <v>4</v>
      </c>
      <c r="AM2576" s="8">
        <v>12.16</v>
      </c>
      <c r="AN2576" s="1"/>
      <c r="AO2576" s="1" t="s">
        <v>18478</v>
      </c>
      <c r="AP2576" s="1" t="s">
        <v>18479</v>
      </c>
      <c r="AQ2576" s="1" t="s">
        <v>18480</v>
      </c>
      <c r="AR2576" s="1" t="s">
        <v>18481</v>
      </c>
    </row>
    <row r="2577">
      <c r="A2577" s="2">
        <f ca="1">DATE(2010,03,10)</f>
        <v>0</v>
      </c>
      <c r="B2577" s="2">
        <f ca="1">DATE(2010,08,10)</f>
        <v>0</v>
      </c>
      <c r="C2577" s="1" t="s">
        <v>18482</v>
      </c>
      <c r="D2577" s="3">
        <v>7389</v>
      </c>
      <c r="E2577" s="1" t="s">
        <v>43</v>
      </c>
      <c r="F2577" s="1" t="s">
        <v>18483</v>
      </c>
      <c r="G2577" s="1" t="s">
        <v>15331</v>
      </c>
      <c r="H2577" s="4">
        <v>0.80500000000000005</v>
      </c>
      <c r="I2577" s="4">
        <v>7</v>
      </c>
      <c r="J2577" s="5">
        <v>57.5</v>
      </c>
      <c r="K2577" s="4">
        <v>11.5</v>
      </c>
      <c r="L2577" s="1" t="s">
        <v>46</v>
      </c>
      <c r="M2577" s="1" t="s">
        <v>47</v>
      </c>
      <c r="N2577" s="1" t="s">
        <v>18484</v>
      </c>
      <c r="O2577" s="1" t="s">
        <v>48</v>
      </c>
      <c r="P2577" s="1" t="s">
        <v>18485</v>
      </c>
      <c r="Q2577" s="1" t="s">
        <v>145</v>
      </c>
      <c r="R2577" s="1" t="s">
        <v>145</v>
      </c>
      <c r="S2577" s="8">
        <v>4.2000000000000002</v>
      </c>
      <c r="T2577" s="1" t="s">
        <v>50</v>
      </c>
      <c r="U2577" s="1"/>
      <c r="V2577" s="1"/>
      <c r="W2577" s="1"/>
      <c r="X2577" s="5">
        <v>115</v>
      </c>
      <c r="Y2577" s="7">
        <v>5000000</v>
      </c>
      <c r="Z2577" s="1"/>
      <c r="AA2577" s="1" t="s">
        <v>18486</v>
      </c>
      <c r="AB2577" s="1" t="s">
        <v>2067</v>
      </c>
      <c r="AC2577" s="1" t="s">
        <v>2068</v>
      </c>
      <c r="AD2577" s="1" t="s">
        <v>2067</v>
      </c>
      <c r="AE2577" s="1" t="s">
        <v>51</v>
      </c>
      <c r="AF2577" s="1" t="s">
        <v>51</v>
      </c>
      <c r="AG2577" s="1" t="s">
        <v>47</v>
      </c>
      <c r="AH2577" s="1"/>
      <c r="AI2577" s="1"/>
      <c r="AJ2577" s="3">
        <v>2</v>
      </c>
      <c r="AK2577" s="1" t="s">
        <v>89</v>
      </c>
      <c r="AL2577" s="3">
        <v>5</v>
      </c>
      <c r="AM2577" s="8">
        <v>11</v>
      </c>
      <c r="AN2577" s="1"/>
      <c r="AO2577" s="1" t="s">
        <v>18487</v>
      </c>
      <c r="AP2577" s="1" t="s">
        <v>15335</v>
      </c>
      <c r="AQ2577" s="1" t="s">
        <v>18488</v>
      </c>
      <c r="AR2577" s="1" t="s">
        <v>18489</v>
      </c>
    </row>
    <row r="2578">
      <c r="A2578" s="2">
        <f ca="1">DATE(2010,04,29)</f>
        <v>0</v>
      </c>
      <c r="B2578" s="2">
        <f ca="1">DATE(2010,08,11)</f>
        <v>0</v>
      </c>
      <c r="C2578" s="1" t="s">
        <v>18490</v>
      </c>
      <c r="D2578" s="3">
        <v>7372</v>
      </c>
      <c r="E2578" s="1" t="s">
        <v>43</v>
      </c>
      <c r="F2578" s="1" t="s">
        <v>18491</v>
      </c>
      <c r="G2578" s="1" t="s">
        <v>12593</v>
      </c>
      <c r="H2578" s="4">
        <v>0.77000000000000002</v>
      </c>
      <c r="I2578" s="4">
        <v>7</v>
      </c>
      <c r="J2578" s="5">
        <v>135.30000000000001</v>
      </c>
      <c r="K2578" s="4">
        <v>11</v>
      </c>
      <c r="L2578" s="1" t="s">
        <v>46</v>
      </c>
      <c r="M2578" s="1" t="s">
        <v>47</v>
      </c>
      <c r="N2578" s="1" t="s">
        <v>18492</v>
      </c>
      <c r="O2578" s="1" t="s">
        <v>48</v>
      </c>
      <c r="P2578" s="1" t="s">
        <v>18493</v>
      </c>
      <c r="Q2578" s="1" t="s">
        <v>145</v>
      </c>
      <c r="R2578" s="1" t="s">
        <v>145</v>
      </c>
      <c r="S2578" s="8">
        <v>4.2000000000000002</v>
      </c>
      <c r="T2578" s="1" t="s">
        <v>50</v>
      </c>
      <c r="U2578" s="1"/>
      <c r="V2578" s="1"/>
      <c r="W2578" s="1"/>
      <c r="X2578" s="5">
        <v>150</v>
      </c>
      <c r="Y2578" s="7">
        <v>6000000</v>
      </c>
      <c r="Z2578" s="7">
        <v>6300000</v>
      </c>
      <c r="AA2578" s="1" t="s">
        <v>18494</v>
      </c>
      <c r="AB2578" s="1" t="s">
        <v>5265</v>
      </c>
      <c r="AC2578" s="1" t="s">
        <v>7759</v>
      </c>
      <c r="AD2578" s="1" t="s">
        <v>5265</v>
      </c>
      <c r="AE2578" s="1" t="s">
        <v>51</v>
      </c>
      <c r="AF2578" s="1" t="s">
        <v>51</v>
      </c>
      <c r="AG2578" s="1" t="s">
        <v>47</v>
      </c>
      <c r="AH2578" s="1"/>
      <c r="AI2578" s="1"/>
      <c r="AJ2578" s="3">
        <v>2</v>
      </c>
      <c r="AK2578" s="1" t="s">
        <v>89</v>
      </c>
      <c r="AL2578" s="3">
        <v>6</v>
      </c>
      <c r="AM2578" s="8">
        <v>14.52</v>
      </c>
      <c r="AN2578" s="1"/>
      <c r="AO2578" s="1" t="s">
        <v>18495</v>
      </c>
      <c r="AP2578" s="1" t="s">
        <v>12599</v>
      </c>
      <c r="AQ2578" s="1" t="s">
        <v>18496</v>
      </c>
      <c r="AR2578" s="1" t="s">
        <v>18497</v>
      </c>
    </row>
    <row r="2579">
      <c r="A2579" s="2">
        <f ca="1">DATE(2010,07,26)</f>
        <v>0</v>
      </c>
      <c r="B2579" s="2">
        <f ca="1">DATE(2010,08,11)</f>
        <v>0</v>
      </c>
      <c r="C2579" s="1" t="s">
        <v>18498</v>
      </c>
      <c r="D2579" s="3">
        <v>4724</v>
      </c>
      <c r="E2579" s="1" t="s">
        <v>1806</v>
      </c>
      <c r="F2579" s="1" t="s">
        <v>18499</v>
      </c>
      <c r="G2579" s="1" t="s">
        <v>796</v>
      </c>
      <c r="H2579" s="4">
        <v>0.97999999999999998</v>
      </c>
      <c r="I2579" s="8">
        <v>7</v>
      </c>
      <c r="J2579" s="5">
        <v>70</v>
      </c>
      <c r="K2579" s="4">
        <v>14</v>
      </c>
      <c r="L2579" s="1" t="s">
        <v>46</v>
      </c>
      <c r="M2579" s="1" t="s">
        <v>47</v>
      </c>
      <c r="N2579" s="1" t="s">
        <v>18500</v>
      </c>
      <c r="O2579" s="1" t="s">
        <v>108</v>
      </c>
      <c r="P2579" s="1" t="s">
        <v>18501</v>
      </c>
      <c r="Q2579" s="1" t="s">
        <v>145</v>
      </c>
      <c r="R2579" s="1" t="s">
        <v>145</v>
      </c>
      <c r="S2579" s="8">
        <v>4.2000000000000002</v>
      </c>
      <c r="T2579" s="1" t="s">
        <v>50</v>
      </c>
      <c r="U2579" s="1"/>
      <c r="V2579" s="1"/>
      <c r="W2579" s="1"/>
      <c r="X2579" s="5">
        <v>100</v>
      </c>
      <c r="Y2579" s="7">
        <v>3846154</v>
      </c>
      <c r="Z2579" s="7">
        <v>1153846</v>
      </c>
      <c r="AA2579" s="1" t="s">
        <v>18494</v>
      </c>
      <c r="AB2579" s="1" t="s">
        <v>5265</v>
      </c>
      <c r="AC2579" s="1" t="s">
        <v>7759</v>
      </c>
      <c r="AD2579" s="1" t="s">
        <v>5265</v>
      </c>
      <c r="AE2579" s="1" t="s">
        <v>51</v>
      </c>
      <c r="AF2579" s="1" t="s">
        <v>51</v>
      </c>
      <c r="AG2579" s="1" t="s">
        <v>47</v>
      </c>
      <c r="AH2579" s="1"/>
      <c r="AI2579" s="1"/>
      <c r="AJ2579" s="3">
        <v>1</v>
      </c>
      <c r="AK2579" s="1" t="s">
        <v>52</v>
      </c>
      <c r="AL2579" s="3">
        <v>3</v>
      </c>
      <c r="AM2579" s="8">
        <v>26.449999999999999</v>
      </c>
      <c r="AN2579" s="1"/>
      <c r="AO2579" s="1" t="s">
        <v>18502</v>
      </c>
      <c r="AP2579" s="1" t="s">
        <v>796</v>
      </c>
      <c r="AQ2579" s="1" t="s">
        <v>18503</v>
      </c>
      <c r="AR2579" s="1" t="s">
        <v>18501</v>
      </c>
    </row>
    <row r="2580">
      <c r="A2580" s="2">
        <f ca="1">DATE(2010,05,03)</f>
        <v>0</v>
      </c>
      <c r="B2580" s="2">
        <f ca="1">DATE(2010,08,13)</f>
        <v>0</v>
      </c>
      <c r="C2580" s="1" t="s">
        <v>18504</v>
      </c>
      <c r="D2580" s="3">
        <v>3845</v>
      </c>
      <c r="E2580" s="1" t="s">
        <v>43</v>
      </c>
      <c r="F2580" s="1" t="s">
        <v>18505</v>
      </c>
      <c r="G2580" s="1" t="s">
        <v>8344</v>
      </c>
      <c r="H2580" s="4">
        <v>0.29999999999999999</v>
      </c>
      <c r="I2580" s="4">
        <v>7.5</v>
      </c>
      <c r="J2580" s="5">
        <v>6.7999999999999998</v>
      </c>
      <c r="K2580" s="4">
        <v>4</v>
      </c>
      <c r="L2580" s="1" t="s">
        <v>46</v>
      </c>
      <c r="M2580" s="1" t="s">
        <v>47</v>
      </c>
      <c r="N2580" s="3">
        <v>285409108</v>
      </c>
      <c r="O2580" s="1" t="s">
        <v>48</v>
      </c>
      <c r="P2580" s="1" t="s">
        <v>8348</v>
      </c>
      <c r="Q2580" s="1" t="s">
        <v>145</v>
      </c>
      <c r="R2580" s="1" t="s">
        <v>145</v>
      </c>
      <c r="S2580" s="8">
        <v>4.5</v>
      </c>
      <c r="T2580" s="1" t="s">
        <v>50</v>
      </c>
      <c r="U2580" s="1"/>
      <c r="V2580" s="1"/>
      <c r="W2580" s="1"/>
      <c r="X2580" s="5">
        <v>13.800000000000001</v>
      </c>
      <c r="Y2580" s="7">
        <v>1700000</v>
      </c>
      <c r="Z2580" s="1"/>
      <c r="AA2580" s="1" t="s">
        <v>18506</v>
      </c>
      <c r="AB2580" s="1" t="s">
        <v>2067</v>
      </c>
      <c r="AC2580" s="1" t="s">
        <v>6689</v>
      </c>
      <c r="AD2580" s="1" t="s">
        <v>2067</v>
      </c>
      <c r="AE2580" s="1" t="s">
        <v>51</v>
      </c>
      <c r="AF2580" s="1" t="s">
        <v>51</v>
      </c>
      <c r="AG2580" s="1" t="s">
        <v>51</v>
      </c>
      <c r="AH2580" s="1"/>
      <c r="AI2580" s="1"/>
      <c r="AJ2580" s="3">
        <v>1</v>
      </c>
      <c r="AK2580" s="1" t="s">
        <v>52</v>
      </c>
      <c r="AL2580" s="3">
        <v>1</v>
      </c>
      <c r="AM2580" s="1"/>
      <c r="AN2580" s="1"/>
      <c r="AO2580" s="1" t="s">
        <v>8344</v>
      </c>
      <c r="AP2580" s="1" t="s">
        <v>8344</v>
      </c>
      <c r="AQ2580" s="1" t="s">
        <v>8344</v>
      </c>
      <c r="AR2580" s="1" t="s">
        <v>8348</v>
      </c>
    </row>
    <row r="2581">
      <c r="A2581" s="2">
        <f ca="1">DATE(2010,07,30)</f>
        <v>0</v>
      </c>
      <c r="B2581" s="2">
        <f ca="1">DATE(2010,08,13)</f>
        <v>0</v>
      </c>
      <c r="C2581" s="1" t="s">
        <v>18507</v>
      </c>
      <c r="D2581" s="3">
        <v>6712</v>
      </c>
      <c r="E2581" s="1" t="s">
        <v>43</v>
      </c>
      <c r="F2581" s="1" t="s">
        <v>18508</v>
      </c>
      <c r="G2581" s="1" t="s">
        <v>4996</v>
      </c>
      <c r="H2581" s="1" t="s">
        <v>57</v>
      </c>
      <c r="I2581" s="1" t="s">
        <v>57</v>
      </c>
      <c r="J2581" s="5">
        <v>150.19999999999999</v>
      </c>
      <c r="K2581" s="4">
        <v>6.5</v>
      </c>
      <c r="L2581" s="1" t="s">
        <v>46</v>
      </c>
      <c r="M2581" s="1" t="s">
        <v>47</v>
      </c>
      <c r="N2581" s="1" t="s">
        <v>18509</v>
      </c>
      <c r="O2581" s="1" t="s">
        <v>48</v>
      </c>
      <c r="P2581" s="1" t="s">
        <v>18510</v>
      </c>
      <c r="Q2581" s="1"/>
      <c r="R2581" s="1"/>
      <c r="S2581" s="1"/>
      <c r="T2581" s="1" t="s">
        <v>50</v>
      </c>
      <c r="U2581" s="8">
        <v>11</v>
      </c>
      <c r="V2581" s="8">
        <v>9</v>
      </c>
      <c r="W2581" s="7">
        <v>23000000</v>
      </c>
      <c r="X2581" s="5">
        <v>230</v>
      </c>
      <c r="Y2581" s="7">
        <v>23100000</v>
      </c>
      <c r="Z2581" s="1"/>
      <c r="AA2581" s="1"/>
      <c r="AB2581" s="1"/>
      <c r="AC2581" s="1"/>
      <c r="AD2581" s="1"/>
      <c r="AE2581" s="1" t="s">
        <v>51</v>
      </c>
      <c r="AF2581" s="1" t="s">
        <v>51</v>
      </c>
      <c r="AG2581" s="1" t="s">
        <v>51</v>
      </c>
      <c r="AH2581" s="1"/>
      <c r="AI2581" s="1"/>
      <c r="AJ2581" s="3">
        <v>1</v>
      </c>
      <c r="AK2581" s="1" t="s">
        <v>52</v>
      </c>
      <c r="AL2581" s="3">
        <v>4</v>
      </c>
      <c r="AM2581" s="8">
        <v>8</v>
      </c>
      <c r="AN2581" s="1"/>
      <c r="AO2581" s="1" t="s">
        <v>18511</v>
      </c>
      <c r="AP2581" s="1" t="s">
        <v>4996</v>
      </c>
      <c r="AQ2581" s="1" t="s">
        <v>18512</v>
      </c>
      <c r="AR2581" s="1" t="s">
        <v>18513</v>
      </c>
    </row>
    <row r="2582">
      <c r="A2582" s="2">
        <f ca="1">DATE(2010,03,09)</f>
        <v>0</v>
      </c>
      <c r="B2582" s="2">
        <f ca="1">DATE(2010,08,17)</f>
        <v>0</v>
      </c>
      <c r="C2582" s="1" t="s">
        <v>18514</v>
      </c>
      <c r="D2582" s="3">
        <v>1041</v>
      </c>
      <c r="E2582" s="1" t="s">
        <v>166</v>
      </c>
      <c r="F2582" s="1" t="s">
        <v>18515</v>
      </c>
      <c r="G2582" s="1" t="s">
        <v>1542</v>
      </c>
      <c r="H2582" s="1" t="s">
        <v>57</v>
      </c>
      <c r="I2582" s="1" t="s">
        <v>57</v>
      </c>
      <c r="J2582" s="5">
        <v>0.10000000000000001</v>
      </c>
      <c r="K2582" s="4">
        <v>0.040000000000000001</v>
      </c>
      <c r="L2582" s="1" t="s">
        <v>46</v>
      </c>
      <c r="M2582" s="1" t="s">
        <v>47</v>
      </c>
      <c r="N2582" s="3">
        <v>667133102</v>
      </c>
      <c r="O2582" s="1" t="s">
        <v>77</v>
      </c>
      <c r="P2582" s="1" t="s">
        <v>1543</v>
      </c>
      <c r="Q2582" s="1"/>
      <c r="R2582" s="1"/>
      <c r="S2582" s="1"/>
      <c r="T2582" s="1" t="s">
        <v>50</v>
      </c>
      <c r="U2582" s="8">
        <v>0.040000000000000001</v>
      </c>
      <c r="V2582" s="8">
        <v>0.040000000000000001</v>
      </c>
      <c r="W2582" s="7">
        <v>2127500</v>
      </c>
      <c r="X2582" s="5">
        <v>0.10000000000000001</v>
      </c>
      <c r="Y2582" s="1"/>
      <c r="Z2582" s="7">
        <v>2127500</v>
      </c>
      <c r="AA2582" s="1"/>
      <c r="AB2582" s="1"/>
      <c r="AC2582" s="1"/>
      <c r="AD2582" s="1"/>
      <c r="AE2582" s="1" t="s">
        <v>51</v>
      </c>
      <c r="AF2582" s="1" t="s">
        <v>51</v>
      </c>
      <c r="AG2582" s="1" t="s">
        <v>51</v>
      </c>
      <c r="AH2582" s="1"/>
      <c r="AI2582" s="1"/>
      <c r="AJ2582" s="3">
        <v>1</v>
      </c>
      <c r="AK2582" s="1" t="s">
        <v>52</v>
      </c>
      <c r="AL2582" s="3">
        <v>1</v>
      </c>
      <c r="AM2582" s="1"/>
      <c r="AN2582" s="1"/>
      <c r="AO2582" s="1" t="s">
        <v>1542</v>
      </c>
      <c r="AP2582" s="1" t="s">
        <v>1542</v>
      </c>
      <c r="AQ2582" s="1" t="s">
        <v>1542</v>
      </c>
      <c r="AR2582" s="1" t="s">
        <v>1543</v>
      </c>
    </row>
    <row r="2583">
      <c r="A2583" s="2">
        <f ca="1">DATE(2009,11,04)</f>
        <v>0</v>
      </c>
      <c r="B2583" s="2">
        <f ca="1">DATE(2010,08,25)</f>
        <v>0</v>
      </c>
      <c r="C2583" s="1" t="s">
        <v>18516</v>
      </c>
      <c r="D2583" s="3">
        <v>6798</v>
      </c>
      <c r="E2583" s="1" t="s">
        <v>43</v>
      </c>
      <c r="F2583" s="1" t="s">
        <v>18517</v>
      </c>
      <c r="G2583" s="1" t="s">
        <v>18518</v>
      </c>
      <c r="H2583" s="4">
        <v>0.83999999999999997</v>
      </c>
      <c r="I2583" s="8">
        <v>7</v>
      </c>
      <c r="J2583" s="5">
        <v>26.399999999999999</v>
      </c>
      <c r="K2583" s="4">
        <v>12</v>
      </c>
      <c r="L2583" s="1" t="s">
        <v>2698</v>
      </c>
      <c r="M2583" s="1" t="s">
        <v>47</v>
      </c>
      <c r="N2583" s="3">
        <v>966084105</v>
      </c>
      <c r="O2583" s="1" t="s">
        <v>16605</v>
      </c>
      <c r="P2583" s="1" t="s">
        <v>18519</v>
      </c>
      <c r="Q2583" s="1" t="s">
        <v>145</v>
      </c>
      <c r="R2583" s="1" t="s">
        <v>145</v>
      </c>
      <c r="S2583" s="8">
        <v>4.2000000000000002</v>
      </c>
      <c r="T2583" s="1" t="s">
        <v>50</v>
      </c>
      <c r="U2583" s="1"/>
      <c r="V2583" s="1"/>
      <c r="W2583" s="1"/>
      <c r="X2583" s="5">
        <v>50</v>
      </c>
      <c r="Y2583" s="7">
        <v>2200000</v>
      </c>
      <c r="Z2583" s="1"/>
      <c r="AA2583" s="1" t="s">
        <v>18520</v>
      </c>
      <c r="AB2583" s="1" t="s">
        <v>2067</v>
      </c>
      <c r="AC2583" s="1" t="s">
        <v>2068</v>
      </c>
      <c r="AD2583" s="1" t="s">
        <v>2067</v>
      </c>
      <c r="AE2583" s="1" t="s">
        <v>51</v>
      </c>
      <c r="AF2583" s="1" t="s">
        <v>51</v>
      </c>
      <c r="AG2583" s="1" t="s">
        <v>51</v>
      </c>
      <c r="AH2583" s="1"/>
      <c r="AI2583" s="1"/>
      <c r="AJ2583" s="3">
        <v>2</v>
      </c>
      <c r="AK2583" s="1" t="s">
        <v>89</v>
      </c>
      <c r="AL2583" s="3">
        <v>5</v>
      </c>
      <c r="AM2583" s="1"/>
      <c r="AN2583" s="1"/>
      <c r="AO2583" s="1" t="s">
        <v>18521</v>
      </c>
      <c r="AP2583" s="1" t="s">
        <v>18522</v>
      </c>
      <c r="AQ2583" s="1" t="s">
        <v>18523</v>
      </c>
      <c r="AR2583" s="1" t="s">
        <v>18519</v>
      </c>
    </row>
    <row r="2584">
      <c r="A2584" s="2">
        <f ca="1">DATE(2010,06,10)</f>
        <v>0</v>
      </c>
      <c r="B2584" s="2">
        <f ca="1">DATE(2010,08,26)</f>
        <v>0</v>
      </c>
      <c r="C2584" s="1" t="s">
        <v>18524</v>
      </c>
      <c r="D2584" s="3">
        <v>6726</v>
      </c>
      <c r="E2584" s="1" t="s">
        <v>43</v>
      </c>
      <c r="F2584" s="1" t="s">
        <v>18525</v>
      </c>
      <c r="G2584" s="1" t="s">
        <v>18526</v>
      </c>
      <c r="H2584" s="4">
        <v>0.90000000000000002</v>
      </c>
      <c r="I2584" s="4">
        <v>4.5</v>
      </c>
      <c r="J2584" s="9">
        <v>1015</v>
      </c>
      <c r="K2584" s="4">
        <v>20</v>
      </c>
      <c r="L2584" s="1" t="s">
        <v>46</v>
      </c>
      <c r="M2584" s="1" t="s">
        <v>47</v>
      </c>
      <c r="N2584" s="1" t="s">
        <v>18527</v>
      </c>
      <c r="O2584" s="1" t="s">
        <v>108</v>
      </c>
      <c r="P2584" s="1" t="s">
        <v>18528</v>
      </c>
      <c r="Q2584" s="1" t="s">
        <v>145</v>
      </c>
      <c r="R2584" s="1" t="s">
        <v>145</v>
      </c>
      <c r="S2584" s="8">
        <v>3</v>
      </c>
      <c r="T2584" s="1" t="s">
        <v>50</v>
      </c>
      <c r="U2584" s="1"/>
      <c r="V2584" s="1"/>
      <c r="W2584" s="1"/>
      <c r="X2584" s="5">
        <v>1</v>
      </c>
      <c r="Y2584" s="7">
        <v>50750000</v>
      </c>
      <c r="Z2584" s="1"/>
      <c r="AA2584" s="1"/>
      <c r="AB2584" s="1"/>
      <c r="AC2584" s="1"/>
      <c r="AD2584" s="1"/>
      <c r="AE2584" s="1" t="s">
        <v>51</v>
      </c>
      <c r="AF2584" s="1" t="s">
        <v>51</v>
      </c>
      <c r="AG2584" s="1" t="s">
        <v>51</v>
      </c>
      <c r="AH2584" s="1"/>
      <c r="AI2584" s="1"/>
      <c r="AJ2584" s="3">
        <v>6</v>
      </c>
      <c r="AK2584" s="1" t="s">
        <v>10120</v>
      </c>
      <c r="AL2584" s="3">
        <v>16</v>
      </c>
      <c r="AM2584" s="8">
        <v>20</v>
      </c>
      <c r="AN2584" s="1"/>
      <c r="AO2584" s="1" t="s">
        <v>18529</v>
      </c>
      <c r="AP2584" s="1" t="s">
        <v>18530</v>
      </c>
      <c r="AQ2584" s="1" t="s">
        <v>18531</v>
      </c>
      <c r="AR2584" s="1" t="s">
        <v>18532</v>
      </c>
    </row>
    <row r="2585">
      <c r="A2585" s="2">
        <f ca="1">DATE(2010,04,26)</f>
        <v>0</v>
      </c>
      <c r="B2585" s="2">
        <f ca="1">DATE(2010,08,31)</f>
        <v>0</v>
      </c>
      <c r="C2585" s="1" t="s">
        <v>18533</v>
      </c>
      <c r="D2585" s="3">
        <v>6726</v>
      </c>
      <c r="E2585" s="1" t="s">
        <v>43</v>
      </c>
      <c r="F2585" s="1" t="s">
        <v>18534</v>
      </c>
      <c r="G2585" s="1" t="s">
        <v>10946</v>
      </c>
      <c r="H2585" s="4">
        <v>0.67500000000000004</v>
      </c>
      <c r="I2585" s="4">
        <v>7.5</v>
      </c>
      <c r="J2585" s="5">
        <v>18</v>
      </c>
      <c r="K2585" s="4">
        <v>9</v>
      </c>
      <c r="L2585" s="1" t="s">
        <v>46</v>
      </c>
      <c r="M2585" s="1" t="s">
        <v>47</v>
      </c>
      <c r="N2585" s="3">
        <v>359671104</v>
      </c>
      <c r="O2585" s="1" t="s">
        <v>48</v>
      </c>
      <c r="P2585" s="1" t="s">
        <v>18535</v>
      </c>
      <c r="Q2585" s="1" t="s">
        <v>145</v>
      </c>
      <c r="R2585" s="1" t="s">
        <v>145</v>
      </c>
      <c r="S2585" s="8">
        <v>3.75</v>
      </c>
      <c r="T2585" s="1" t="s">
        <v>50</v>
      </c>
      <c r="U2585" s="1"/>
      <c r="V2585" s="1"/>
      <c r="W2585" s="1"/>
      <c r="X2585" s="5">
        <v>30</v>
      </c>
      <c r="Y2585" s="7">
        <v>2000000</v>
      </c>
      <c r="Z2585" s="1"/>
      <c r="AA2585" s="2">
        <f ca="1">DATE(2011,02,27)</f>
        <v>0</v>
      </c>
      <c r="AB2585" s="1"/>
      <c r="AC2585" s="3">
        <v>180</v>
      </c>
      <c r="AD2585" s="1"/>
      <c r="AE2585" s="1" t="s">
        <v>51</v>
      </c>
      <c r="AF2585" s="1" t="s">
        <v>51</v>
      </c>
      <c r="AG2585" s="1" t="s">
        <v>51</v>
      </c>
      <c r="AH2585" s="1"/>
      <c r="AI2585" s="1"/>
      <c r="AJ2585" s="3">
        <v>1</v>
      </c>
      <c r="AK2585" s="1" t="s">
        <v>52</v>
      </c>
      <c r="AL2585" s="3">
        <v>4</v>
      </c>
      <c r="AM2585" s="8">
        <v>8.9000000000000004</v>
      </c>
      <c r="AN2585" s="1"/>
      <c r="AO2585" s="1" t="s">
        <v>18536</v>
      </c>
      <c r="AP2585" s="1" t="s">
        <v>10946</v>
      </c>
      <c r="AQ2585" s="1" t="s">
        <v>18537</v>
      </c>
      <c r="AR2585" s="1" t="s">
        <v>18538</v>
      </c>
    </row>
    <row r="2586">
      <c r="A2586" s="2">
        <f ca="1">DATE(2010,06,03)</f>
        <v>0</v>
      </c>
      <c r="B2586" s="2">
        <f ca="1">DATE(2010,09,08)</f>
        <v>0</v>
      </c>
      <c r="C2586" s="1" t="s">
        <v>18539</v>
      </c>
      <c r="D2586" s="3">
        <v>6153</v>
      </c>
      <c r="E2586" s="1" t="s">
        <v>166</v>
      </c>
      <c r="F2586" s="1" t="s">
        <v>18540</v>
      </c>
      <c r="G2586" s="1" t="s">
        <v>1542</v>
      </c>
      <c r="H2586" s="1" t="s">
        <v>57</v>
      </c>
      <c r="I2586" s="1" t="s">
        <v>57</v>
      </c>
      <c r="J2586" s="5">
        <v>0.10000000000000001</v>
      </c>
      <c r="K2586" s="4">
        <v>0.01</v>
      </c>
      <c r="L2586" s="1" t="s">
        <v>46</v>
      </c>
      <c r="M2586" s="1" t="s">
        <v>47</v>
      </c>
      <c r="N2586" s="1"/>
      <c r="O2586" s="1" t="s">
        <v>77</v>
      </c>
      <c r="P2586" s="1" t="s">
        <v>1543</v>
      </c>
      <c r="Q2586" s="1"/>
      <c r="R2586" s="1"/>
      <c r="S2586" s="1"/>
      <c r="T2586" s="1" t="s">
        <v>50</v>
      </c>
      <c r="U2586" s="8">
        <v>0.01</v>
      </c>
      <c r="V2586" s="8">
        <v>0.01</v>
      </c>
      <c r="W2586" s="7">
        <v>10000000</v>
      </c>
      <c r="X2586" s="5">
        <v>0.10000000000000001</v>
      </c>
      <c r="Y2586" s="7">
        <v>10000000</v>
      </c>
      <c r="Z2586" s="1"/>
      <c r="AA2586" s="1"/>
      <c r="AB2586" s="1"/>
      <c r="AC2586" s="1"/>
      <c r="AD2586" s="1"/>
      <c r="AE2586" s="1" t="s">
        <v>51</v>
      </c>
      <c r="AF2586" s="1" t="s">
        <v>51</v>
      </c>
      <c r="AG2586" s="1" t="s">
        <v>51</v>
      </c>
      <c r="AH2586" s="1"/>
      <c r="AI2586" s="1"/>
      <c r="AJ2586" s="3">
        <v>1</v>
      </c>
      <c r="AK2586" s="1" t="s">
        <v>52</v>
      </c>
      <c r="AL2586" s="3">
        <v>1</v>
      </c>
      <c r="AM2586" s="1"/>
      <c r="AN2586" s="1"/>
      <c r="AO2586" s="1" t="s">
        <v>1542</v>
      </c>
      <c r="AP2586" s="1" t="s">
        <v>1542</v>
      </c>
      <c r="AQ2586" s="1" t="s">
        <v>1542</v>
      </c>
      <c r="AR2586" s="1" t="s">
        <v>1543</v>
      </c>
    </row>
    <row r="2587">
      <c r="A2587" s="2">
        <f ca="1">DATE(2010,09,02)</f>
        <v>0</v>
      </c>
      <c r="B2587" s="2">
        <f ca="1">DATE(2010,09,16)</f>
        <v>0</v>
      </c>
      <c r="C2587" s="1" t="s">
        <v>18541</v>
      </c>
      <c r="D2587" s="3">
        <v>7374</v>
      </c>
      <c r="E2587" s="1" t="s">
        <v>744</v>
      </c>
      <c r="F2587" s="1" t="s">
        <v>11385</v>
      </c>
      <c r="G2587" s="1" t="s">
        <v>18542</v>
      </c>
      <c r="H2587" s="4">
        <v>2.9750000000000001</v>
      </c>
      <c r="I2587" s="4">
        <v>7</v>
      </c>
      <c r="J2587" s="5">
        <v>124.7</v>
      </c>
      <c r="K2587" s="4">
        <v>42.5</v>
      </c>
      <c r="L2587" s="1" t="s">
        <v>651</v>
      </c>
      <c r="M2587" s="1" t="s">
        <v>47</v>
      </c>
      <c r="N2587" s="3">
        <v>836034108</v>
      </c>
      <c r="O2587" s="1" t="s">
        <v>108</v>
      </c>
      <c r="P2587" s="1" t="s">
        <v>18543</v>
      </c>
      <c r="Q2587" s="1" t="s">
        <v>145</v>
      </c>
      <c r="R2587" s="1" t="s">
        <v>145</v>
      </c>
      <c r="S2587" s="8">
        <v>4.2000000000000002</v>
      </c>
      <c r="T2587" s="1" t="s">
        <v>50</v>
      </c>
      <c r="U2587" s="8">
        <v>42.5</v>
      </c>
      <c r="V2587" s="8">
        <v>40.5</v>
      </c>
      <c r="W2587" s="7">
        <v>2933238</v>
      </c>
      <c r="X2587" s="5">
        <v>121.7</v>
      </c>
      <c r="Y2587" s="7">
        <v>246914</v>
      </c>
      <c r="Z2587" s="7">
        <v>2686324</v>
      </c>
      <c r="AA2587" s="1" t="s">
        <v>18544</v>
      </c>
      <c r="AB2587" s="1" t="s">
        <v>5265</v>
      </c>
      <c r="AC2587" s="1" t="s">
        <v>7759</v>
      </c>
      <c r="AD2587" s="1" t="s">
        <v>5265</v>
      </c>
      <c r="AE2587" s="1" t="s">
        <v>47</v>
      </c>
      <c r="AF2587" s="1" t="s">
        <v>51</v>
      </c>
      <c r="AG2587" s="1" t="s">
        <v>47</v>
      </c>
      <c r="AH2587" s="1"/>
      <c r="AI2587" s="1" t="s">
        <v>18545</v>
      </c>
      <c r="AJ2587" s="3">
        <v>2</v>
      </c>
      <c r="AK2587" s="1" t="s">
        <v>89</v>
      </c>
      <c r="AL2587" s="3">
        <v>2</v>
      </c>
      <c r="AM2587" s="1"/>
      <c r="AN2587" s="1"/>
      <c r="AO2587" s="1" t="s">
        <v>18546</v>
      </c>
      <c r="AP2587" s="1" t="s">
        <v>18547</v>
      </c>
      <c r="AQ2587" s="1" t="s">
        <v>18548</v>
      </c>
      <c r="AR2587" s="1" t="s">
        <v>18543</v>
      </c>
    </row>
    <row r="2588">
      <c r="A2588" s="2">
        <f ca="1">DATE(2010,05,13)</f>
        <v>0</v>
      </c>
      <c r="B2588" s="2">
        <f ca="1">DATE(2010,09,22)</f>
        <v>0</v>
      </c>
      <c r="C2588" s="1" t="s">
        <v>18549</v>
      </c>
      <c r="D2588" s="3">
        <v>7374</v>
      </c>
      <c r="E2588" s="1" t="s">
        <v>43</v>
      </c>
      <c r="F2588" s="1" t="s">
        <v>18550</v>
      </c>
      <c r="G2588" s="1" t="s">
        <v>18551</v>
      </c>
      <c r="H2588" s="4">
        <v>1.1200000000000001</v>
      </c>
      <c r="I2588" s="4">
        <v>7</v>
      </c>
      <c r="J2588" s="5">
        <v>270.39999999999998</v>
      </c>
      <c r="K2588" s="4">
        <v>16</v>
      </c>
      <c r="L2588" s="1" t="s">
        <v>46</v>
      </c>
      <c r="M2588" s="1" t="s">
        <v>47</v>
      </c>
      <c r="N2588" s="1" t="s">
        <v>18552</v>
      </c>
      <c r="O2588" s="1" t="s">
        <v>108</v>
      </c>
      <c r="P2588" s="1" t="s">
        <v>18553</v>
      </c>
      <c r="Q2588" s="4">
        <v>1.298</v>
      </c>
      <c r="R2588" s="4">
        <v>1.827</v>
      </c>
      <c r="S2588" s="4">
        <v>3.875</v>
      </c>
      <c r="T2588" s="1" t="s">
        <v>50</v>
      </c>
      <c r="U2588" s="1"/>
      <c r="V2588" s="1"/>
      <c r="W2588" s="1"/>
      <c r="X2588" s="5">
        <v>230</v>
      </c>
      <c r="Y2588" s="7">
        <v>16900000</v>
      </c>
      <c r="Z2588" s="1"/>
      <c r="AA2588" s="1" t="s">
        <v>18554</v>
      </c>
      <c r="AB2588" s="1" t="s">
        <v>2067</v>
      </c>
      <c r="AC2588" s="1" t="s">
        <v>2068</v>
      </c>
      <c r="AD2588" s="1" t="s">
        <v>2067</v>
      </c>
      <c r="AE2588" s="1" t="s">
        <v>51</v>
      </c>
      <c r="AF2588" s="1" t="s">
        <v>51</v>
      </c>
      <c r="AG2588" s="1" t="s">
        <v>51</v>
      </c>
      <c r="AH2588" s="1"/>
      <c r="AI2588" s="1" t="s">
        <v>18555</v>
      </c>
      <c r="AJ2588" s="3">
        <v>3</v>
      </c>
      <c r="AK2588" s="1" t="s">
        <v>3985</v>
      </c>
      <c r="AL2588" s="3">
        <v>5</v>
      </c>
      <c r="AM2588" s="1"/>
      <c r="AN2588" s="1"/>
      <c r="AO2588" s="1" t="s">
        <v>18556</v>
      </c>
      <c r="AP2588" s="1" t="s">
        <v>18557</v>
      </c>
      <c r="AQ2588" s="1" t="s">
        <v>18558</v>
      </c>
      <c r="AR2588" s="1" t="s">
        <v>18559</v>
      </c>
    </row>
    <row r="2589">
      <c r="A2589" s="2">
        <f ca="1">DATE(2010,06,18)</f>
        <v>0</v>
      </c>
      <c r="B2589" s="2">
        <f ca="1">DATE(2010,09,23)</f>
        <v>0</v>
      </c>
      <c r="C2589" s="1" t="s">
        <v>18560</v>
      </c>
      <c r="D2589" s="3">
        <v>6712</v>
      </c>
      <c r="E2589" s="1" t="s">
        <v>43</v>
      </c>
      <c r="F2589" s="1" t="s">
        <v>18561</v>
      </c>
      <c r="G2589" s="1" t="s">
        <v>7287</v>
      </c>
      <c r="H2589" s="1" t="s">
        <v>57</v>
      </c>
      <c r="I2589" s="1" t="s">
        <v>57</v>
      </c>
      <c r="J2589" s="5">
        <v>34.200000000000003</v>
      </c>
      <c r="K2589" s="4">
        <v>7.7800000000000002</v>
      </c>
      <c r="L2589" s="1" t="s">
        <v>46</v>
      </c>
      <c r="M2589" s="1" t="s">
        <v>47</v>
      </c>
      <c r="N2589" s="3">
        <v>160901104</v>
      </c>
      <c r="O2589" s="1" t="s">
        <v>77</v>
      </c>
      <c r="P2589" s="1" t="s">
        <v>18315</v>
      </c>
      <c r="Q2589" s="1"/>
      <c r="R2589" s="1"/>
      <c r="S2589" s="1"/>
      <c r="T2589" s="1" t="s">
        <v>50</v>
      </c>
      <c r="U2589" s="8">
        <v>9.8900000000000006</v>
      </c>
      <c r="V2589" s="8">
        <v>7.3099999999999996</v>
      </c>
      <c r="W2589" s="7">
        <v>5961573</v>
      </c>
      <c r="X2589" s="5">
        <v>51.299999999999997</v>
      </c>
      <c r="Y2589" s="7">
        <v>4400000</v>
      </c>
      <c r="Z2589" s="1"/>
      <c r="AA2589" s="1" t="s">
        <v>18562</v>
      </c>
      <c r="AB2589" s="1" t="s">
        <v>2067</v>
      </c>
      <c r="AC2589" s="1" t="s">
        <v>9674</v>
      </c>
      <c r="AD2589" s="1" t="s">
        <v>2067</v>
      </c>
      <c r="AE2589" s="1" t="s">
        <v>51</v>
      </c>
      <c r="AF2589" s="1" t="s">
        <v>51</v>
      </c>
      <c r="AG2589" s="1" t="s">
        <v>51</v>
      </c>
      <c r="AH2589" s="1"/>
      <c r="AI2589" s="1"/>
      <c r="AJ2589" s="3">
        <v>1</v>
      </c>
      <c r="AK2589" s="1" t="s">
        <v>52</v>
      </c>
      <c r="AL2589" s="3">
        <v>1</v>
      </c>
      <c r="AM2589" s="8">
        <v>8.1999999999999993</v>
      </c>
      <c r="AN2589" s="1"/>
      <c r="AO2589" s="1" t="s">
        <v>7287</v>
      </c>
      <c r="AP2589" s="1" t="s">
        <v>7287</v>
      </c>
      <c r="AQ2589" s="1" t="s">
        <v>7287</v>
      </c>
      <c r="AR2589" s="1" t="s">
        <v>18315</v>
      </c>
    </row>
    <row r="2590">
      <c r="A2590" s="2">
        <f ca="1">DATE(2010,03,26)</f>
        <v>0</v>
      </c>
      <c r="B2590" s="2">
        <f ca="1">DATE(2010,09,24)</f>
        <v>0</v>
      </c>
      <c r="C2590" s="1" t="s">
        <v>18563</v>
      </c>
      <c r="D2590" s="3">
        <v>7372</v>
      </c>
      <c r="E2590" s="1" t="s">
        <v>43</v>
      </c>
      <c r="F2590" s="1" t="s">
        <v>18564</v>
      </c>
      <c r="G2590" s="1" t="s">
        <v>7287</v>
      </c>
      <c r="H2590" s="4">
        <v>0.66500000000000004</v>
      </c>
      <c r="I2590" s="4">
        <v>7</v>
      </c>
      <c r="J2590" s="5">
        <v>57</v>
      </c>
      <c r="K2590" s="4">
        <v>9.5</v>
      </c>
      <c r="L2590" s="1" t="s">
        <v>46</v>
      </c>
      <c r="M2590" s="1" t="s">
        <v>47</v>
      </c>
      <c r="N2590" s="1" t="s">
        <v>18565</v>
      </c>
      <c r="O2590" s="1" t="s">
        <v>48</v>
      </c>
      <c r="P2590" s="1" t="s">
        <v>18566</v>
      </c>
      <c r="Q2590" s="1" t="s">
        <v>145</v>
      </c>
      <c r="R2590" s="1" t="s">
        <v>145</v>
      </c>
      <c r="S2590" s="8">
        <v>4.2000000000000002</v>
      </c>
      <c r="T2590" s="1" t="s">
        <v>50</v>
      </c>
      <c r="U2590" s="1"/>
      <c r="V2590" s="1"/>
      <c r="W2590" s="1"/>
      <c r="X2590" s="5">
        <v>75</v>
      </c>
      <c r="Y2590" s="7">
        <v>6000000</v>
      </c>
      <c r="Z2590" s="1"/>
      <c r="AA2590" s="1" t="s">
        <v>18567</v>
      </c>
      <c r="AB2590" s="1" t="s">
        <v>2067</v>
      </c>
      <c r="AC2590" s="1" t="s">
        <v>2068</v>
      </c>
      <c r="AD2590" s="1" t="s">
        <v>2067</v>
      </c>
      <c r="AE2590" s="1" t="s">
        <v>51</v>
      </c>
      <c r="AF2590" s="1" t="s">
        <v>51</v>
      </c>
      <c r="AG2590" s="1" t="s">
        <v>51</v>
      </c>
      <c r="AH2590" s="1"/>
      <c r="AI2590" s="1" t="s">
        <v>18568</v>
      </c>
      <c r="AJ2590" s="3">
        <v>1</v>
      </c>
      <c r="AK2590" s="1" t="s">
        <v>52</v>
      </c>
      <c r="AL2590" s="3">
        <v>4</v>
      </c>
      <c r="AM2590" s="1"/>
      <c r="AN2590" s="1"/>
      <c r="AO2590" s="1" t="s">
        <v>18569</v>
      </c>
      <c r="AP2590" s="1" t="s">
        <v>7287</v>
      </c>
      <c r="AQ2590" s="1" t="s">
        <v>18570</v>
      </c>
      <c r="AR2590" s="1" t="s">
        <v>18566</v>
      </c>
    </row>
    <row r="2591">
      <c r="A2591" s="2">
        <f ca="1">DATE(2010,04,16)</f>
        <v>0</v>
      </c>
      <c r="B2591" s="2">
        <f ca="1">DATE(2010,09,27)</f>
        <v>0</v>
      </c>
      <c r="C2591" s="1" t="s">
        <v>18571</v>
      </c>
      <c r="D2591" s="3">
        <v>2869</v>
      </c>
      <c r="E2591" s="1" t="s">
        <v>43</v>
      </c>
      <c r="F2591" s="1" t="s">
        <v>18572</v>
      </c>
      <c r="G2591" s="1" t="s">
        <v>18573</v>
      </c>
      <c r="H2591" s="4">
        <v>1.1200000000000001</v>
      </c>
      <c r="I2591" s="4">
        <v>7</v>
      </c>
      <c r="J2591" s="5">
        <v>84.799999999999997</v>
      </c>
      <c r="K2591" s="4">
        <v>16</v>
      </c>
      <c r="L2591" s="1" t="s">
        <v>46</v>
      </c>
      <c r="M2591" s="1" t="s">
        <v>47</v>
      </c>
      <c r="N2591" s="1" t="s">
        <v>18574</v>
      </c>
      <c r="O2591" s="1" t="s">
        <v>48</v>
      </c>
      <c r="P2591" s="1" t="s">
        <v>18575</v>
      </c>
      <c r="Q2591" s="1" t="s">
        <v>145</v>
      </c>
      <c r="R2591" s="1" t="s">
        <v>145</v>
      </c>
      <c r="S2591" s="8">
        <v>4.2000000000000002</v>
      </c>
      <c r="T2591" s="1" t="s">
        <v>50</v>
      </c>
      <c r="U2591" s="1"/>
      <c r="V2591" s="1"/>
      <c r="W2591" s="1"/>
      <c r="X2591" s="5">
        <v>100</v>
      </c>
      <c r="Y2591" s="7">
        <v>5300000</v>
      </c>
      <c r="Z2591" s="1"/>
      <c r="AA2591" s="1" t="s">
        <v>18576</v>
      </c>
      <c r="AB2591" s="1" t="s">
        <v>5265</v>
      </c>
      <c r="AC2591" s="1" t="s">
        <v>7759</v>
      </c>
      <c r="AD2591" s="1" t="s">
        <v>5265</v>
      </c>
      <c r="AE2591" s="1" t="s">
        <v>51</v>
      </c>
      <c r="AF2591" s="1" t="s">
        <v>51</v>
      </c>
      <c r="AG2591" s="1" t="s">
        <v>47</v>
      </c>
      <c r="AH2591" s="1"/>
      <c r="AI2591" s="1"/>
      <c r="AJ2591" s="3">
        <v>3</v>
      </c>
      <c r="AK2591" s="1" t="s">
        <v>110</v>
      </c>
      <c r="AL2591" s="3">
        <v>5</v>
      </c>
      <c r="AM2591" s="1"/>
      <c r="AN2591" s="1"/>
      <c r="AO2591" s="1" t="s">
        <v>18577</v>
      </c>
      <c r="AP2591" s="1" t="s">
        <v>18578</v>
      </c>
      <c r="AQ2591" s="1" t="s">
        <v>18579</v>
      </c>
      <c r="AR2591" s="1" t="s">
        <v>18580</v>
      </c>
    </row>
    <row r="2592">
      <c r="A2592" s="2">
        <f ca="1">DATE(2010,09,07)</f>
        <v>0</v>
      </c>
      <c r="B2592" s="2">
        <f ca="1">DATE(2010,09,27)</f>
        <v>0</v>
      </c>
      <c r="C2592" s="1" t="s">
        <v>18581</v>
      </c>
      <c r="D2592" s="3">
        <v>5812</v>
      </c>
      <c r="E2592" s="1" t="s">
        <v>744</v>
      </c>
      <c r="F2592" s="1" t="s">
        <v>18582</v>
      </c>
      <c r="G2592" s="1" t="s">
        <v>12535</v>
      </c>
      <c r="H2592" s="4">
        <v>1.155</v>
      </c>
      <c r="I2592" s="4">
        <v>7</v>
      </c>
      <c r="J2592" s="5">
        <v>82.5</v>
      </c>
      <c r="K2592" s="4">
        <v>16.5</v>
      </c>
      <c r="L2592" s="1" t="s">
        <v>651</v>
      </c>
      <c r="M2592" s="1" t="s">
        <v>47</v>
      </c>
      <c r="N2592" s="1" t="s">
        <v>18583</v>
      </c>
      <c r="O2592" s="1" t="s">
        <v>108</v>
      </c>
      <c r="P2592" s="1" t="s">
        <v>18584</v>
      </c>
      <c r="Q2592" s="4">
        <v>1.409</v>
      </c>
      <c r="R2592" s="4">
        <v>1.409</v>
      </c>
      <c r="S2592" s="6">
        <v>4.1818200000000001</v>
      </c>
      <c r="T2592" s="1" t="s">
        <v>50</v>
      </c>
      <c r="U2592" s="1"/>
      <c r="V2592" s="1"/>
      <c r="W2592" s="1"/>
      <c r="X2592" s="5">
        <v>100</v>
      </c>
      <c r="Y2592" s="7">
        <v>5000000</v>
      </c>
      <c r="Z2592" s="1"/>
      <c r="AA2592" s="1" t="s">
        <v>18585</v>
      </c>
      <c r="AB2592" s="1" t="s">
        <v>2067</v>
      </c>
      <c r="AC2592" s="1" t="s">
        <v>2068</v>
      </c>
      <c r="AD2592" s="1" t="s">
        <v>2067</v>
      </c>
      <c r="AE2592" s="1" t="s">
        <v>47</v>
      </c>
      <c r="AF2592" s="1" t="s">
        <v>51</v>
      </c>
      <c r="AG2592" s="1" t="s">
        <v>47</v>
      </c>
      <c r="AH2592" s="1"/>
      <c r="AI2592" s="1"/>
      <c r="AJ2592" s="3">
        <v>2</v>
      </c>
      <c r="AK2592" s="1" t="s">
        <v>89</v>
      </c>
      <c r="AL2592" s="3">
        <v>4</v>
      </c>
      <c r="AM2592" s="1"/>
      <c r="AN2592" s="1"/>
      <c r="AO2592" s="1" t="s">
        <v>18586</v>
      </c>
      <c r="AP2592" s="1" t="s">
        <v>12541</v>
      </c>
      <c r="AQ2592" s="1" t="s">
        <v>18587</v>
      </c>
      <c r="AR2592" s="1" t="s">
        <v>18588</v>
      </c>
    </row>
    <row r="2593">
      <c r="A2593" s="2">
        <f ca="1">DATE(2010,07,16)</f>
        <v>0</v>
      </c>
      <c r="B2593" s="2">
        <f ca="1">DATE(2010,09,27)</f>
        <v>0</v>
      </c>
      <c r="C2593" s="1" t="s">
        <v>18589</v>
      </c>
      <c r="D2593" s="3">
        <v>6726</v>
      </c>
      <c r="E2593" s="1" t="s">
        <v>43</v>
      </c>
      <c r="F2593" s="1" t="s">
        <v>18590</v>
      </c>
      <c r="G2593" s="1" t="s">
        <v>18591</v>
      </c>
      <c r="H2593" s="4">
        <v>0.90000000000000002</v>
      </c>
      <c r="I2593" s="4">
        <v>4.5</v>
      </c>
      <c r="J2593" s="5">
        <v>645</v>
      </c>
      <c r="K2593" s="4">
        <v>20</v>
      </c>
      <c r="L2593" s="1" t="s">
        <v>46</v>
      </c>
      <c r="M2593" s="1" t="s">
        <v>47</v>
      </c>
      <c r="N2593" s="1" t="s">
        <v>18592</v>
      </c>
      <c r="O2593" s="1" t="s">
        <v>108</v>
      </c>
      <c r="P2593" s="1" t="s">
        <v>18593</v>
      </c>
      <c r="Q2593" s="1" t="s">
        <v>145</v>
      </c>
      <c r="R2593" s="1" t="s">
        <v>145</v>
      </c>
      <c r="S2593" s="1"/>
      <c r="T2593" s="1" t="s">
        <v>50</v>
      </c>
      <c r="U2593" s="8">
        <v>20</v>
      </c>
      <c r="V2593" s="8">
        <v>20</v>
      </c>
      <c r="W2593" s="1"/>
      <c r="X2593" s="5">
        <v>0</v>
      </c>
      <c r="Y2593" s="7">
        <v>32250000</v>
      </c>
      <c r="Z2593" s="1"/>
      <c r="AA2593" s="1"/>
      <c r="AB2593" s="1"/>
      <c r="AC2593" s="1"/>
      <c r="AD2593" s="1"/>
      <c r="AE2593" s="1" t="s">
        <v>51</v>
      </c>
      <c r="AF2593" s="1" t="s">
        <v>51</v>
      </c>
      <c r="AG2593" s="1" t="s">
        <v>51</v>
      </c>
      <c r="AH2593" s="1"/>
      <c r="AI2593" s="1"/>
      <c r="AJ2593" s="3">
        <v>4</v>
      </c>
      <c r="AK2593" s="1" t="s">
        <v>1209</v>
      </c>
      <c r="AL2593" s="3">
        <v>13</v>
      </c>
      <c r="AM2593" s="1"/>
      <c r="AN2593" s="1"/>
      <c r="AO2593" s="1" t="s">
        <v>18594</v>
      </c>
      <c r="AP2593" s="1" t="s">
        <v>18595</v>
      </c>
      <c r="AQ2593" s="1" t="s">
        <v>18596</v>
      </c>
      <c r="AR2593" s="1" t="s">
        <v>18597</v>
      </c>
    </row>
    <row r="2594">
      <c r="A2594" s="2">
        <f ca="1">DATE(2005,12,15)</f>
        <v>0</v>
      </c>
      <c r="B2594" s="2">
        <f ca="1">DATE(2010,09,27)</f>
        <v>0</v>
      </c>
      <c r="C2594" s="1" t="s">
        <v>18598</v>
      </c>
      <c r="D2594" s="3">
        <v>6799</v>
      </c>
      <c r="E2594" s="1" t="s">
        <v>43</v>
      </c>
      <c r="F2594" s="1" t="s">
        <v>18599</v>
      </c>
      <c r="G2594" s="1" t="s">
        <v>18600</v>
      </c>
      <c r="H2594" s="4">
        <v>1.125</v>
      </c>
      <c r="I2594" s="4">
        <v>4.5</v>
      </c>
      <c r="J2594" s="5">
        <v>213.80000000000001</v>
      </c>
      <c r="K2594" s="4">
        <v>25</v>
      </c>
      <c r="L2594" s="1" t="s">
        <v>46</v>
      </c>
      <c r="M2594" s="1" t="s">
        <v>47</v>
      </c>
      <c r="N2594" s="1" t="s">
        <v>18601</v>
      </c>
      <c r="O2594" s="1" t="s">
        <v>16605</v>
      </c>
      <c r="P2594" s="1" t="s">
        <v>18602</v>
      </c>
      <c r="Q2594" s="4">
        <v>1</v>
      </c>
      <c r="R2594" s="4">
        <v>0.5</v>
      </c>
      <c r="S2594" s="8">
        <v>3</v>
      </c>
      <c r="T2594" s="1" t="s">
        <v>50</v>
      </c>
      <c r="U2594" s="8">
        <v>25</v>
      </c>
      <c r="V2594" s="8">
        <v>25</v>
      </c>
      <c r="W2594" s="7">
        <v>1000000</v>
      </c>
      <c r="X2594" s="5">
        <v>25</v>
      </c>
      <c r="Y2594" s="7">
        <v>8550000</v>
      </c>
      <c r="Z2594" s="1"/>
      <c r="AA2594" s="1"/>
      <c r="AB2594" s="1"/>
      <c r="AC2594" s="1"/>
      <c r="AD2594" s="1"/>
      <c r="AE2594" s="1" t="s">
        <v>51</v>
      </c>
      <c r="AF2594" s="1" t="s">
        <v>51</v>
      </c>
      <c r="AG2594" s="1" t="s">
        <v>51</v>
      </c>
      <c r="AH2594" s="1"/>
      <c r="AI2594" s="1"/>
      <c r="AJ2594" s="3">
        <v>3</v>
      </c>
      <c r="AK2594" s="1" t="s">
        <v>1209</v>
      </c>
      <c r="AL2594" s="3">
        <v>14</v>
      </c>
      <c r="AM2594" s="1"/>
      <c r="AN2594" s="1"/>
      <c r="AO2594" s="1" t="s">
        <v>18603</v>
      </c>
      <c r="AP2594" s="1" t="s">
        <v>18604</v>
      </c>
      <c r="AQ2594" s="1" t="s">
        <v>18605</v>
      </c>
      <c r="AR2594" s="1" t="s">
        <v>18602</v>
      </c>
    </row>
    <row r="2595">
      <c r="A2595" s="2">
        <f ca="1">DATE(2010,06,17)</f>
        <v>0</v>
      </c>
      <c r="B2595" s="2">
        <f ca="1">DATE(2010,09,28)</f>
        <v>0</v>
      </c>
      <c r="C2595" s="1" t="s">
        <v>18606</v>
      </c>
      <c r="D2595" s="3">
        <v>6035</v>
      </c>
      <c r="E2595" s="1" t="s">
        <v>43</v>
      </c>
      <c r="F2595" s="1" t="s">
        <v>18607</v>
      </c>
      <c r="G2595" s="1" t="s">
        <v>1542</v>
      </c>
      <c r="H2595" s="1" t="s">
        <v>57</v>
      </c>
      <c r="I2595" s="1" t="s">
        <v>57</v>
      </c>
      <c r="J2595" s="5">
        <v>10.6</v>
      </c>
      <c r="K2595" s="4">
        <v>10</v>
      </c>
      <c r="L2595" s="1" t="s">
        <v>46</v>
      </c>
      <c r="M2595" s="1" t="s">
        <v>47</v>
      </c>
      <c r="N2595" s="3">
        <v>156635104</v>
      </c>
      <c r="O2595" s="1" t="s">
        <v>77</v>
      </c>
      <c r="P2595" s="1" t="s">
        <v>1543</v>
      </c>
      <c r="Q2595" s="1"/>
      <c r="R2595" s="1"/>
      <c r="S2595" s="1"/>
      <c r="T2595" s="1" t="s">
        <v>50</v>
      </c>
      <c r="U2595" s="8">
        <v>10</v>
      </c>
      <c r="V2595" s="8">
        <v>10</v>
      </c>
      <c r="W2595" s="7">
        <v>920000</v>
      </c>
      <c r="X2595" s="5">
        <v>9.1999999999999993</v>
      </c>
      <c r="Y2595" s="7">
        <v>1058000</v>
      </c>
      <c r="Z2595" s="1"/>
      <c r="AA2595" s="1"/>
      <c r="AB2595" s="1"/>
      <c r="AC2595" s="1"/>
      <c r="AD2595" s="1"/>
      <c r="AE2595" s="1" t="s">
        <v>51</v>
      </c>
      <c r="AF2595" s="1" t="s">
        <v>51</v>
      </c>
      <c r="AG2595" s="1" t="s">
        <v>51</v>
      </c>
      <c r="AH2595" s="1"/>
      <c r="AI2595" s="1"/>
      <c r="AJ2595" s="3">
        <v>1</v>
      </c>
      <c r="AK2595" s="1" t="s">
        <v>52</v>
      </c>
      <c r="AL2595" s="3">
        <v>1</v>
      </c>
      <c r="AM2595" s="1"/>
      <c r="AN2595" s="1"/>
      <c r="AO2595" s="1" t="s">
        <v>1542</v>
      </c>
      <c r="AP2595" s="1" t="s">
        <v>1542</v>
      </c>
      <c r="AQ2595" s="1" t="s">
        <v>1542</v>
      </c>
      <c r="AR2595" s="1" t="s">
        <v>1543</v>
      </c>
    </row>
    <row r="2596">
      <c r="A2596" s="2">
        <f ca="1">DATE(2010,05,05)</f>
        <v>0</v>
      </c>
      <c r="B2596" s="2">
        <f ca="1">DATE(2010,09,29)</f>
        <v>0</v>
      </c>
      <c r="C2596" s="1" t="s">
        <v>18608</v>
      </c>
      <c r="D2596" s="3">
        <v>1221</v>
      </c>
      <c r="E2596" s="1" t="s">
        <v>43</v>
      </c>
      <c r="F2596" s="1" t="s">
        <v>18609</v>
      </c>
      <c r="G2596" s="1" t="s">
        <v>4327</v>
      </c>
      <c r="H2596" s="4">
        <v>1.3839999999999999</v>
      </c>
      <c r="I2596" s="4">
        <v>6.7510000000000003</v>
      </c>
      <c r="J2596" s="5">
        <v>66.5</v>
      </c>
      <c r="K2596" s="4">
        <v>20.5</v>
      </c>
      <c r="L2596" s="1" t="s">
        <v>31</v>
      </c>
      <c r="M2596" s="1" t="s">
        <v>47</v>
      </c>
      <c r="N2596" s="1" t="s">
        <v>18610</v>
      </c>
      <c r="O2596" s="1" t="s">
        <v>108</v>
      </c>
      <c r="P2596" s="1" t="s">
        <v>18611</v>
      </c>
      <c r="Q2596" s="1" t="s">
        <v>145</v>
      </c>
      <c r="R2596" s="1" t="s">
        <v>145</v>
      </c>
      <c r="S2596" s="8">
        <v>4</v>
      </c>
      <c r="T2596" s="1" t="s">
        <v>50</v>
      </c>
      <c r="U2596" s="1"/>
      <c r="V2596" s="1"/>
      <c r="W2596" s="1"/>
      <c r="X2596" s="5">
        <v>90.599999999999994</v>
      </c>
      <c r="Y2596" s="7">
        <v>3244000</v>
      </c>
      <c r="Z2596" s="1"/>
      <c r="AA2596" s="1" t="s">
        <v>18612</v>
      </c>
      <c r="AB2596" s="1" t="s">
        <v>2067</v>
      </c>
      <c r="AC2596" s="1" t="s">
        <v>2068</v>
      </c>
      <c r="AD2596" s="1" t="s">
        <v>2067</v>
      </c>
      <c r="AE2596" s="1" t="s">
        <v>51</v>
      </c>
      <c r="AF2596" s="1" t="s">
        <v>51</v>
      </c>
      <c r="AG2596" s="1" t="s">
        <v>51</v>
      </c>
      <c r="AH2596" s="1"/>
      <c r="AI2596" s="1"/>
      <c r="AJ2596" s="3">
        <v>1</v>
      </c>
      <c r="AK2596" s="1" t="s">
        <v>52</v>
      </c>
      <c r="AL2596" s="3">
        <v>3</v>
      </c>
      <c r="AM2596" s="1"/>
      <c r="AN2596" s="1"/>
      <c r="AO2596" s="1" t="s">
        <v>18613</v>
      </c>
      <c r="AP2596" s="1" t="s">
        <v>4327</v>
      </c>
      <c r="AQ2596" s="1" t="s">
        <v>18614</v>
      </c>
      <c r="AR2596" s="1" t="s">
        <v>18611</v>
      </c>
    </row>
    <row r="2597">
      <c r="A2597" s="2">
        <f ca="1">DATE(2010,09,07)</f>
        <v>0</v>
      </c>
      <c r="B2597" s="2">
        <f ca="1">DATE(2010,09,30)</f>
        <v>0</v>
      </c>
      <c r="C2597" s="1" t="s">
        <v>18615</v>
      </c>
      <c r="D2597" s="3">
        <v>3511</v>
      </c>
      <c r="E2597" s="1" t="s">
        <v>744</v>
      </c>
      <c r="F2597" s="1" t="s">
        <v>18616</v>
      </c>
      <c r="G2597" s="1" t="s">
        <v>18617</v>
      </c>
      <c r="H2597" s="4">
        <v>0.97999999999999998</v>
      </c>
      <c r="I2597" s="8">
        <v>7</v>
      </c>
      <c r="J2597" s="5">
        <v>350</v>
      </c>
      <c r="K2597" s="4">
        <v>14</v>
      </c>
      <c r="L2597" s="1" t="s">
        <v>651</v>
      </c>
      <c r="M2597" s="1" t="s">
        <v>47</v>
      </c>
      <c r="N2597" s="1" t="s">
        <v>18618</v>
      </c>
      <c r="O2597" s="1" t="s">
        <v>108</v>
      </c>
      <c r="P2597" s="1" t="s">
        <v>18619</v>
      </c>
      <c r="Q2597" s="4">
        <v>1.4290000000000001</v>
      </c>
      <c r="R2597" s="4">
        <v>1.4290000000000001</v>
      </c>
      <c r="S2597" s="6">
        <v>4.1428599999999998</v>
      </c>
      <c r="T2597" s="1" t="s">
        <v>50</v>
      </c>
      <c r="U2597" s="1"/>
      <c r="V2597" s="1"/>
      <c r="W2597" s="1"/>
      <c r="X2597" s="5">
        <v>400</v>
      </c>
      <c r="Y2597" s="7">
        <v>25000000</v>
      </c>
      <c r="Z2597" s="1"/>
      <c r="AA2597" s="1" t="s">
        <v>18620</v>
      </c>
      <c r="AB2597" s="1" t="s">
        <v>18621</v>
      </c>
      <c r="AC2597" s="1" t="s">
        <v>7759</v>
      </c>
      <c r="AD2597" s="1" t="s">
        <v>18622</v>
      </c>
      <c r="AE2597" s="1" t="s">
        <v>47</v>
      </c>
      <c r="AF2597" s="1" t="s">
        <v>51</v>
      </c>
      <c r="AG2597" s="1" t="s">
        <v>51</v>
      </c>
      <c r="AH2597" s="1"/>
      <c r="AI2597" s="1"/>
      <c r="AJ2597" s="3">
        <v>3</v>
      </c>
      <c r="AK2597" s="1" t="s">
        <v>110</v>
      </c>
      <c r="AL2597" s="3">
        <v>3</v>
      </c>
      <c r="AM2597" s="1"/>
      <c r="AN2597" s="1"/>
      <c r="AO2597" s="1" t="s">
        <v>18623</v>
      </c>
      <c r="AP2597" s="1" t="s">
        <v>18624</v>
      </c>
      <c r="AQ2597" s="1" t="s">
        <v>18625</v>
      </c>
      <c r="AR2597" s="1" t="s">
        <v>18626</v>
      </c>
    </row>
    <row r="2598">
      <c r="A2598" s="2">
        <f ca="1">DATE(2010,09,13)</f>
        <v>0</v>
      </c>
      <c r="B2598" s="2">
        <f ca="1">DATE(2010,09,30)</f>
        <v>0</v>
      </c>
      <c r="C2598" s="1" t="s">
        <v>18627</v>
      </c>
      <c r="D2598" s="3">
        <v>3825</v>
      </c>
      <c r="E2598" s="1" t="s">
        <v>921</v>
      </c>
      <c r="F2598" s="1" t="s">
        <v>18628</v>
      </c>
      <c r="G2598" s="1" t="s">
        <v>18629</v>
      </c>
      <c r="H2598" s="4">
        <v>0.58499999999999996</v>
      </c>
      <c r="I2598" s="4">
        <v>4.5</v>
      </c>
      <c r="J2598" s="5">
        <v>210.59999999999999</v>
      </c>
      <c r="K2598" s="4">
        <v>13</v>
      </c>
      <c r="L2598" s="1" t="s">
        <v>651</v>
      </c>
      <c r="M2598" s="1" t="s">
        <v>47</v>
      </c>
      <c r="N2598" s="3">
        <v>290348101</v>
      </c>
      <c r="O2598" s="1" t="s">
        <v>108</v>
      </c>
      <c r="P2598" s="1" t="s">
        <v>18630</v>
      </c>
      <c r="Q2598" s="4">
        <v>0.90000000000000002</v>
      </c>
      <c r="R2598" s="4">
        <v>0.90000000000000002</v>
      </c>
      <c r="S2598" s="8">
        <v>2.7000000000000002</v>
      </c>
      <c r="T2598" s="1" t="s">
        <v>50</v>
      </c>
      <c r="U2598" s="8">
        <v>18</v>
      </c>
      <c r="V2598" s="8">
        <v>16</v>
      </c>
      <c r="W2598" s="7">
        <v>16200000</v>
      </c>
      <c r="X2598" s="5">
        <v>275.39999999999998</v>
      </c>
      <c r="Y2598" s="7">
        <v>13461540</v>
      </c>
      <c r="Z2598" s="7">
        <v>2738460</v>
      </c>
      <c r="AA2598" s="1" t="s">
        <v>18631</v>
      </c>
      <c r="AB2598" s="1" t="s">
        <v>13651</v>
      </c>
      <c r="AC2598" s="1" t="s">
        <v>16884</v>
      </c>
      <c r="AD2598" s="1" t="s">
        <v>13651</v>
      </c>
      <c r="AE2598" s="1" t="s">
        <v>47</v>
      </c>
      <c r="AF2598" s="1" t="s">
        <v>51</v>
      </c>
      <c r="AG2598" s="1" t="s">
        <v>51</v>
      </c>
      <c r="AH2598" s="1"/>
      <c r="AI2598" s="1"/>
      <c r="AJ2598" s="3">
        <v>3</v>
      </c>
      <c r="AK2598" s="1" t="s">
        <v>110</v>
      </c>
      <c r="AL2598" s="3">
        <v>8</v>
      </c>
      <c r="AM2598" s="1"/>
      <c r="AN2598" s="1"/>
      <c r="AO2598" s="1" t="s">
        <v>18632</v>
      </c>
      <c r="AP2598" s="1" t="s">
        <v>17456</v>
      </c>
      <c r="AQ2598" s="1" t="s">
        <v>18633</v>
      </c>
      <c r="AR2598" s="1" t="s">
        <v>18634</v>
      </c>
    </row>
    <row r="2599">
      <c r="A2599" s="2">
        <f ca="1">DATE(2010,06,17)</f>
        <v>0</v>
      </c>
      <c r="B2599" s="2">
        <f ca="1">DATE(2010,09,30)</f>
        <v>0</v>
      </c>
      <c r="C2599" s="1" t="s">
        <v>18635</v>
      </c>
      <c r="D2599" s="3">
        <v>8711</v>
      </c>
      <c r="E2599" s="1" t="s">
        <v>43</v>
      </c>
      <c r="F2599" s="1" t="s">
        <v>18636</v>
      </c>
      <c r="G2599" s="1" t="s">
        <v>6379</v>
      </c>
      <c r="H2599" s="4">
        <v>0.69999999999999996</v>
      </c>
      <c r="I2599" s="8">
        <v>7</v>
      </c>
      <c r="J2599" s="5">
        <v>91</v>
      </c>
      <c r="K2599" s="4">
        <v>10</v>
      </c>
      <c r="L2599" s="1" t="s">
        <v>46</v>
      </c>
      <c r="M2599" s="1" t="s">
        <v>47</v>
      </c>
      <c r="N2599" s="3">
        <v>493723100</v>
      </c>
      <c r="O2599" s="1" t="s">
        <v>48</v>
      </c>
      <c r="P2599" s="1" t="s">
        <v>18637</v>
      </c>
      <c r="Q2599" s="1" t="s">
        <v>145</v>
      </c>
      <c r="R2599" s="1" t="s">
        <v>145</v>
      </c>
      <c r="S2599" s="8">
        <v>4.2000000000000002</v>
      </c>
      <c r="T2599" s="1" t="s">
        <v>50</v>
      </c>
      <c r="U2599" s="1"/>
      <c r="V2599" s="1"/>
      <c r="W2599" s="1"/>
      <c r="X2599" s="5">
        <v>100</v>
      </c>
      <c r="Y2599" s="7">
        <v>8274090</v>
      </c>
      <c r="Z2599" s="7">
        <v>825910</v>
      </c>
      <c r="AA2599" s="1" t="s">
        <v>18638</v>
      </c>
      <c r="AB2599" s="1" t="s">
        <v>2067</v>
      </c>
      <c r="AC2599" s="1" t="s">
        <v>2068</v>
      </c>
      <c r="AD2599" s="1" t="s">
        <v>2067</v>
      </c>
      <c r="AE2599" s="1" t="s">
        <v>51</v>
      </c>
      <c r="AF2599" s="1" t="s">
        <v>51</v>
      </c>
      <c r="AG2599" s="1" t="s">
        <v>51</v>
      </c>
      <c r="AH2599" s="1"/>
      <c r="AI2599" s="1"/>
      <c r="AJ2599" s="3">
        <v>1</v>
      </c>
      <c r="AK2599" s="1" t="s">
        <v>52</v>
      </c>
      <c r="AL2599" s="3">
        <v>4</v>
      </c>
      <c r="AM2599" s="1"/>
      <c r="AN2599" s="1"/>
      <c r="AO2599" s="1" t="s">
        <v>18639</v>
      </c>
      <c r="AP2599" s="1" t="s">
        <v>6379</v>
      </c>
      <c r="AQ2599" s="1" t="s">
        <v>18640</v>
      </c>
      <c r="AR2599" s="1" t="s">
        <v>18641</v>
      </c>
    </row>
    <row r="2600">
      <c r="A2600" s="2">
        <f ca="1">DATE(2010,09,09)</f>
        <v>0</v>
      </c>
      <c r="B2600" s="2">
        <f ca="1">DATE(2010,09,30)</f>
        <v>0</v>
      </c>
      <c r="C2600" s="1" t="s">
        <v>18642</v>
      </c>
      <c r="D2600" s="3">
        <v>7389</v>
      </c>
      <c r="E2600" s="1" t="s">
        <v>744</v>
      </c>
      <c r="F2600" s="1" t="s">
        <v>18643</v>
      </c>
      <c r="G2600" s="1" t="s">
        <v>14768</v>
      </c>
      <c r="H2600" s="4">
        <v>0.97299999999999998</v>
      </c>
      <c r="I2600" s="8">
        <v>7</v>
      </c>
      <c r="J2600" s="5">
        <v>84.200000000000003</v>
      </c>
      <c r="K2600" s="4">
        <v>13.9</v>
      </c>
      <c r="L2600" s="1" t="s">
        <v>651</v>
      </c>
      <c r="M2600" s="1" t="s">
        <v>47</v>
      </c>
      <c r="N2600" s="1" t="s">
        <v>18644</v>
      </c>
      <c r="O2600" s="1" t="s">
        <v>48</v>
      </c>
      <c r="P2600" s="1" t="s">
        <v>18645</v>
      </c>
      <c r="Q2600" s="4">
        <v>1.4139999999999999</v>
      </c>
      <c r="R2600" s="4">
        <v>1.4139999999999999</v>
      </c>
      <c r="S2600" s="6">
        <v>4.1726599999999996</v>
      </c>
      <c r="T2600" s="1" t="s">
        <v>50</v>
      </c>
      <c r="U2600" s="1"/>
      <c r="V2600" s="1"/>
      <c r="W2600" s="1"/>
      <c r="X2600" s="5">
        <v>100</v>
      </c>
      <c r="Y2600" s="7">
        <v>5014100</v>
      </c>
      <c r="Z2600" s="7">
        <v>1046880</v>
      </c>
      <c r="AA2600" s="1" t="s">
        <v>18620</v>
      </c>
      <c r="AB2600" s="1" t="s">
        <v>5265</v>
      </c>
      <c r="AC2600" s="1" t="s">
        <v>7759</v>
      </c>
      <c r="AD2600" s="1" t="s">
        <v>5265</v>
      </c>
      <c r="AE2600" s="1" t="s">
        <v>47</v>
      </c>
      <c r="AF2600" s="1" t="s">
        <v>51</v>
      </c>
      <c r="AG2600" s="1" t="s">
        <v>47</v>
      </c>
      <c r="AH2600" s="1"/>
      <c r="AI2600" s="1"/>
      <c r="AJ2600" s="3">
        <v>2</v>
      </c>
      <c r="AK2600" s="1" t="s">
        <v>89</v>
      </c>
      <c r="AL2600" s="3">
        <v>4</v>
      </c>
      <c r="AM2600" s="1"/>
      <c r="AN2600" s="1"/>
      <c r="AO2600" s="1" t="s">
        <v>18646</v>
      </c>
      <c r="AP2600" s="1" t="s">
        <v>13347</v>
      </c>
      <c r="AQ2600" s="1" t="s">
        <v>18647</v>
      </c>
      <c r="AR2600" s="1" t="s">
        <v>18648</v>
      </c>
    </row>
    <row r="2601">
      <c r="A2601" s="2">
        <f ca="1">DATE(2010,01,12)</f>
        <v>0</v>
      </c>
      <c r="B2601" s="2">
        <f ca="1">DATE(2010,10,06)</f>
        <v>0</v>
      </c>
      <c r="C2601" s="1" t="s">
        <v>18649</v>
      </c>
      <c r="D2601" s="3">
        <v>3674</v>
      </c>
      <c r="E2601" s="1" t="s">
        <v>744</v>
      </c>
      <c r="F2601" s="1" t="s">
        <v>18650</v>
      </c>
      <c r="G2601" s="1" t="s">
        <v>796</v>
      </c>
      <c r="H2601" s="4">
        <v>0.66500000000000004</v>
      </c>
      <c r="I2601" s="4">
        <v>7</v>
      </c>
      <c r="J2601" s="5">
        <v>76</v>
      </c>
      <c r="K2601" s="4">
        <v>9.5</v>
      </c>
      <c r="L2601" s="1" t="s">
        <v>651</v>
      </c>
      <c r="M2601" s="1" t="s">
        <v>47</v>
      </c>
      <c r="N2601" s="1" t="s">
        <v>18651</v>
      </c>
      <c r="O2601" s="1" t="s">
        <v>108</v>
      </c>
      <c r="P2601" s="1" t="s">
        <v>18652</v>
      </c>
      <c r="Q2601" s="4">
        <v>1.3999999999999999</v>
      </c>
      <c r="R2601" s="4">
        <v>1.3999999999999999</v>
      </c>
      <c r="S2601" s="8">
        <v>4.2000000000000002</v>
      </c>
      <c r="T2601" s="1" t="s">
        <v>50</v>
      </c>
      <c r="U2601" s="8">
        <v>14.5</v>
      </c>
      <c r="V2601" s="8">
        <v>12.5</v>
      </c>
      <c r="W2601" s="7">
        <v>6500000</v>
      </c>
      <c r="X2601" s="5">
        <v>87.799999999999997</v>
      </c>
      <c r="Y2601" s="7">
        <v>8000000</v>
      </c>
      <c r="Z2601" s="1"/>
      <c r="AA2601" s="1" t="s">
        <v>18653</v>
      </c>
      <c r="AB2601" s="1" t="s">
        <v>5265</v>
      </c>
      <c r="AC2601" s="1" t="s">
        <v>7759</v>
      </c>
      <c r="AD2601" s="1" t="s">
        <v>5265</v>
      </c>
      <c r="AE2601" s="1" t="s">
        <v>47</v>
      </c>
      <c r="AF2601" s="1" t="s">
        <v>51</v>
      </c>
      <c r="AG2601" s="1" t="s">
        <v>47</v>
      </c>
      <c r="AH2601" s="1"/>
      <c r="AI2601" s="1"/>
      <c r="AJ2601" s="3">
        <v>1</v>
      </c>
      <c r="AK2601" s="1" t="s">
        <v>52</v>
      </c>
      <c r="AL2601" s="3">
        <v>2</v>
      </c>
      <c r="AM2601" s="8">
        <v>10.25</v>
      </c>
      <c r="AN2601" s="1"/>
      <c r="AO2601" s="1" t="s">
        <v>18654</v>
      </c>
      <c r="AP2601" s="1" t="s">
        <v>796</v>
      </c>
      <c r="AQ2601" s="1" t="s">
        <v>18655</v>
      </c>
      <c r="AR2601" s="1" t="s">
        <v>18652</v>
      </c>
    </row>
    <row r="2602">
      <c r="A2602" s="2">
        <f ca="1">DATE(2010,09,03)</f>
        <v>0</v>
      </c>
      <c r="B2602" s="2">
        <f ca="1">DATE(2010,10,07)</f>
        <v>0</v>
      </c>
      <c r="C2602" s="1" t="s">
        <v>18656</v>
      </c>
      <c r="D2602" s="3">
        <v>6726</v>
      </c>
      <c r="E2602" s="1" t="s">
        <v>2887</v>
      </c>
      <c r="F2602" s="1" t="s">
        <v>18657</v>
      </c>
      <c r="G2602" s="1" t="s">
        <v>18658</v>
      </c>
      <c r="H2602" s="4">
        <v>0.22500000000000001</v>
      </c>
      <c r="I2602" s="4">
        <v>2.25</v>
      </c>
      <c r="J2602" s="5">
        <v>40</v>
      </c>
      <c r="K2602" s="4">
        <v>10</v>
      </c>
      <c r="L2602" s="1" t="s">
        <v>31</v>
      </c>
      <c r="M2602" s="1" t="s">
        <v>47</v>
      </c>
      <c r="N2602" s="1"/>
      <c r="O2602" s="1" t="s">
        <v>48</v>
      </c>
      <c r="P2602" s="1" t="s">
        <v>18659</v>
      </c>
      <c r="Q2602" s="1" t="s">
        <v>145</v>
      </c>
      <c r="R2602" s="1" t="s">
        <v>145</v>
      </c>
      <c r="S2602" s="1"/>
      <c r="T2602" s="1" t="s">
        <v>50</v>
      </c>
      <c r="U2602" s="8">
        <v>10</v>
      </c>
      <c r="V2602" s="8">
        <v>10</v>
      </c>
      <c r="W2602" s="7">
        <v>5000000</v>
      </c>
      <c r="X2602" s="5">
        <v>50</v>
      </c>
      <c r="Y2602" s="7">
        <v>4000000</v>
      </c>
      <c r="Z2602" s="1"/>
      <c r="AA2602" s="1" t="s">
        <v>18660</v>
      </c>
      <c r="AB2602" s="1" t="s">
        <v>5265</v>
      </c>
      <c r="AC2602" s="1" t="s">
        <v>7759</v>
      </c>
      <c r="AD2602" s="1" t="s">
        <v>5265</v>
      </c>
      <c r="AE2602" s="1" t="s">
        <v>51</v>
      </c>
      <c r="AF2602" s="1" t="s">
        <v>51</v>
      </c>
      <c r="AG2602" s="1" t="s">
        <v>51</v>
      </c>
      <c r="AH2602" s="1"/>
      <c r="AI2602" s="1"/>
      <c r="AJ2602" s="3">
        <v>2</v>
      </c>
      <c r="AK2602" s="1" t="s">
        <v>89</v>
      </c>
      <c r="AL2602" s="3">
        <v>5</v>
      </c>
      <c r="AM2602" s="1"/>
      <c r="AN2602" s="1"/>
      <c r="AO2602" s="1" t="s">
        <v>18661</v>
      </c>
      <c r="AP2602" s="1" t="s">
        <v>18662</v>
      </c>
      <c r="AQ2602" s="1" t="s">
        <v>18663</v>
      </c>
      <c r="AR2602" s="1" t="s">
        <v>18659</v>
      </c>
    </row>
    <row r="2603">
      <c r="A2603" s="2">
        <f ca="1">DATE(2009,07,14)</f>
        <v>0</v>
      </c>
      <c r="B2603" s="2">
        <f ca="1">DATE(2010,10,07)</f>
        <v>0</v>
      </c>
      <c r="C2603" s="1" t="s">
        <v>18664</v>
      </c>
      <c r="D2603" s="3">
        <v>6531</v>
      </c>
      <c r="E2603" s="1" t="s">
        <v>43</v>
      </c>
      <c r="F2603" s="1" t="s">
        <v>18665</v>
      </c>
      <c r="G2603" s="1" t="s">
        <v>5110</v>
      </c>
      <c r="H2603" s="4">
        <v>1.3500000000000001</v>
      </c>
      <c r="I2603" s="4">
        <v>6</v>
      </c>
      <c r="J2603" s="5">
        <v>101.3</v>
      </c>
      <c r="K2603" s="4">
        <v>22.5</v>
      </c>
      <c r="L2603" s="1" t="s">
        <v>46</v>
      </c>
      <c r="M2603" s="1" t="s">
        <v>47</v>
      </c>
      <c r="N2603" s="3">
        <v>288522204</v>
      </c>
      <c r="O2603" s="1" t="s">
        <v>108</v>
      </c>
      <c r="P2603" s="1" t="s">
        <v>18666</v>
      </c>
      <c r="Q2603" s="1" t="s">
        <v>145</v>
      </c>
      <c r="R2603" s="1" t="s">
        <v>145</v>
      </c>
      <c r="S2603" s="8">
        <v>3.6000000000000001</v>
      </c>
      <c r="T2603" s="1" t="s">
        <v>50</v>
      </c>
      <c r="U2603" s="1"/>
      <c r="V2603" s="1"/>
      <c r="W2603" s="1"/>
      <c r="X2603" s="5">
        <v>200</v>
      </c>
      <c r="Y2603" s="7">
        <v>4500000</v>
      </c>
      <c r="Z2603" s="1"/>
      <c r="AA2603" s="1" t="s">
        <v>18660</v>
      </c>
      <c r="AB2603" s="1" t="s">
        <v>5265</v>
      </c>
      <c r="AC2603" s="1" t="s">
        <v>7759</v>
      </c>
      <c r="AD2603" s="1" t="s">
        <v>5265</v>
      </c>
      <c r="AE2603" s="1" t="s">
        <v>51</v>
      </c>
      <c r="AF2603" s="1" t="s">
        <v>51</v>
      </c>
      <c r="AG2603" s="1" t="s">
        <v>51</v>
      </c>
      <c r="AH2603" s="1"/>
      <c r="AI2603" s="1"/>
      <c r="AJ2603" s="3">
        <v>1</v>
      </c>
      <c r="AK2603" s="1" t="s">
        <v>52</v>
      </c>
      <c r="AL2603" s="3">
        <v>2</v>
      </c>
      <c r="AM2603" s="8">
        <v>22.350000000000001</v>
      </c>
      <c r="AN2603" s="5">
        <v>22.399999999999999</v>
      </c>
      <c r="AO2603" s="1" t="s">
        <v>18667</v>
      </c>
      <c r="AP2603" s="1" t="s">
        <v>5110</v>
      </c>
      <c r="AQ2603" s="1" t="s">
        <v>18668</v>
      </c>
      <c r="AR2603" s="1" t="s">
        <v>18669</v>
      </c>
    </row>
    <row r="2604">
      <c r="A2604" s="2">
        <f ca="1">DATE(2010,05,12)</f>
        <v>0</v>
      </c>
      <c r="B2604" s="2">
        <f ca="1">DATE(2010,10,07)</f>
        <v>0</v>
      </c>
      <c r="C2604" s="1" t="s">
        <v>18670</v>
      </c>
      <c r="D2604" s="3">
        <v>8299</v>
      </c>
      <c r="E2604" s="1" t="s">
        <v>744</v>
      </c>
      <c r="F2604" s="1" t="s">
        <v>18671</v>
      </c>
      <c r="G2604" s="1" t="s">
        <v>15210</v>
      </c>
      <c r="H2604" s="4">
        <v>0.73499999999999999</v>
      </c>
      <c r="I2604" s="8">
        <v>7</v>
      </c>
      <c r="J2604" s="5">
        <v>66.900000000000006</v>
      </c>
      <c r="K2604" s="4">
        <v>10.5</v>
      </c>
      <c r="L2604" s="1" t="s">
        <v>651</v>
      </c>
      <c r="M2604" s="1" t="s">
        <v>47</v>
      </c>
      <c r="N2604" s="1" t="s">
        <v>18672</v>
      </c>
      <c r="O2604" s="1" t="s">
        <v>48</v>
      </c>
      <c r="P2604" s="1" t="s">
        <v>18673</v>
      </c>
      <c r="Q2604" s="4">
        <v>1.3999999999999999</v>
      </c>
      <c r="R2604" s="4">
        <v>1.3999999999999999</v>
      </c>
      <c r="S2604" s="8">
        <v>4.2000000000000002</v>
      </c>
      <c r="T2604" s="1" t="s">
        <v>50</v>
      </c>
      <c r="U2604" s="1"/>
      <c r="V2604" s="1"/>
      <c r="W2604" s="1"/>
      <c r="X2604" s="5">
        <v>100</v>
      </c>
      <c r="Y2604" s="7">
        <v>6375000</v>
      </c>
      <c r="Z2604" s="1"/>
      <c r="AA2604" s="1" t="s">
        <v>18660</v>
      </c>
      <c r="AB2604" s="1" t="s">
        <v>5265</v>
      </c>
      <c r="AC2604" s="1" t="s">
        <v>7759</v>
      </c>
      <c r="AD2604" s="1" t="s">
        <v>5265</v>
      </c>
      <c r="AE2604" s="1" t="s">
        <v>47</v>
      </c>
      <c r="AF2604" s="1" t="s">
        <v>51</v>
      </c>
      <c r="AG2604" s="1" t="s">
        <v>47</v>
      </c>
      <c r="AH2604" s="1"/>
      <c r="AI2604" s="1"/>
      <c r="AJ2604" s="3">
        <v>2</v>
      </c>
      <c r="AK2604" s="1" t="s">
        <v>89</v>
      </c>
      <c r="AL2604" s="3">
        <v>4</v>
      </c>
      <c r="AM2604" s="1"/>
      <c r="AN2604" s="1"/>
      <c r="AO2604" s="1" t="s">
        <v>18674</v>
      </c>
      <c r="AP2604" s="1" t="s">
        <v>15214</v>
      </c>
      <c r="AQ2604" s="1" t="s">
        <v>18675</v>
      </c>
      <c r="AR2604" s="1" t="s">
        <v>18676</v>
      </c>
    </row>
    <row r="2605">
      <c r="A2605" s="2">
        <f ca="1">DATE(2010,06,17)</f>
        <v>0</v>
      </c>
      <c r="B2605" s="2">
        <f ca="1">DATE(2010,10,07)</f>
        <v>0</v>
      </c>
      <c r="C2605" s="1" t="s">
        <v>18677</v>
      </c>
      <c r="D2605" s="3">
        <v>6712</v>
      </c>
      <c r="E2605" s="1" t="s">
        <v>43</v>
      </c>
      <c r="F2605" s="1" t="s">
        <v>18678</v>
      </c>
      <c r="G2605" s="1" t="s">
        <v>7287</v>
      </c>
      <c r="H2605" s="4">
        <v>1.7</v>
      </c>
      <c r="I2605" s="4">
        <v>17</v>
      </c>
      <c r="J2605" s="5">
        <v>34.799999999999997</v>
      </c>
      <c r="K2605" s="4">
        <v>10</v>
      </c>
      <c r="L2605" s="1" t="s">
        <v>46</v>
      </c>
      <c r="M2605" s="1" t="s">
        <v>47</v>
      </c>
      <c r="N2605" s="3">
        <v>853393106</v>
      </c>
      <c r="O2605" s="1" t="s">
        <v>48</v>
      </c>
      <c r="P2605" s="1" t="s">
        <v>18315</v>
      </c>
      <c r="Q2605" s="1" t="s">
        <v>145</v>
      </c>
      <c r="R2605" s="1" t="s">
        <v>145</v>
      </c>
      <c r="S2605" s="1"/>
      <c r="T2605" s="1" t="s">
        <v>50</v>
      </c>
      <c r="U2605" s="8">
        <v>10</v>
      </c>
      <c r="V2605" s="8">
        <v>10</v>
      </c>
      <c r="W2605" s="7">
        <v>3450000</v>
      </c>
      <c r="X2605" s="5">
        <v>34.5</v>
      </c>
      <c r="Y2605" s="7">
        <v>3478173</v>
      </c>
      <c r="Z2605" s="1"/>
      <c r="AA2605" s="1"/>
      <c r="AB2605" s="1"/>
      <c r="AC2605" s="1"/>
      <c r="AD2605" s="1"/>
      <c r="AE2605" s="1" t="s">
        <v>51</v>
      </c>
      <c r="AF2605" s="1" t="s">
        <v>51</v>
      </c>
      <c r="AG2605" s="1" t="s">
        <v>51</v>
      </c>
      <c r="AH2605" s="1"/>
      <c r="AI2605" s="1"/>
      <c r="AJ2605" s="3">
        <v>1</v>
      </c>
      <c r="AK2605" s="1" t="s">
        <v>52</v>
      </c>
      <c r="AL2605" s="3">
        <v>1</v>
      </c>
      <c r="AM2605" s="1"/>
      <c r="AN2605" s="1"/>
      <c r="AO2605" s="1" t="s">
        <v>7287</v>
      </c>
      <c r="AP2605" s="1" t="s">
        <v>7287</v>
      </c>
      <c r="AQ2605" s="1" t="s">
        <v>7287</v>
      </c>
      <c r="AR2605" s="1" t="s">
        <v>18315</v>
      </c>
    </row>
    <row r="2606">
      <c r="A2606" s="2">
        <f ca="1">DATE(2010,06,28)</f>
        <v>0</v>
      </c>
      <c r="B2606" s="2">
        <f ca="1">DATE(2010,10,08)</f>
        <v>0</v>
      </c>
      <c r="C2606" s="1" t="s">
        <v>18679</v>
      </c>
      <c r="D2606" s="3">
        <v>6726</v>
      </c>
      <c r="E2606" s="1" t="s">
        <v>43</v>
      </c>
      <c r="F2606" s="1" t="s">
        <v>17784</v>
      </c>
      <c r="G2606" s="1" t="s">
        <v>15222</v>
      </c>
      <c r="H2606" s="4">
        <v>0.5</v>
      </c>
      <c r="I2606" s="4">
        <v>5</v>
      </c>
      <c r="J2606" s="5">
        <v>150</v>
      </c>
      <c r="K2606" s="4">
        <v>10</v>
      </c>
      <c r="L2606" s="1" t="s">
        <v>31</v>
      </c>
      <c r="M2606" s="1" t="s">
        <v>47</v>
      </c>
      <c r="N2606" s="1"/>
      <c r="O2606" s="1" t="s">
        <v>77</v>
      </c>
      <c r="P2606" s="1" t="s">
        <v>18680</v>
      </c>
      <c r="Q2606" s="1" t="s">
        <v>145</v>
      </c>
      <c r="R2606" s="1" t="s">
        <v>145</v>
      </c>
      <c r="S2606" s="1"/>
      <c r="T2606" s="1" t="s">
        <v>50</v>
      </c>
      <c r="U2606" s="8">
        <v>10</v>
      </c>
      <c r="V2606" s="8">
        <v>10</v>
      </c>
      <c r="W2606" s="7">
        <v>20000000</v>
      </c>
      <c r="X2606" s="5">
        <v>200</v>
      </c>
      <c r="Y2606" s="7">
        <v>15000000</v>
      </c>
      <c r="Z2606" s="1"/>
      <c r="AA2606" s="1" t="s">
        <v>18681</v>
      </c>
      <c r="AB2606" s="1" t="s">
        <v>2067</v>
      </c>
      <c r="AC2606" s="1" t="s">
        <v>2068</v>
      </c>
      <c r="AD2606" s="1" t="s">
        <v>2067</v>
      </c>
      <c r="AE2606" s="1" t="s">
        <v>51</v>
      </c>
      <c r="AF2606" s="1" t="s">
        <v>51</v>
      </c>
      <c r="AG2606" s="1" t="s">
        <v>51</v>
      </c>
      <c r="AH2606" s="1"/>
      <c r="AI2606" s="1"/>
      <c r="AJ2606" s="3">
        <v>1</v>
      </c>
      <c r="AK2606" s="1" t="s">
        <v>52</v>
      </c>
      <c r="AL2606" s="3">
        <v>3</v>
      </c>
      <c r="AM2606" s="1"/>
      <c r="AN2606" s="1"/>
      <c r="AO2606" s="1" t="s">
        <v>18682</v>
      </c>
      <c r="AP2606" s="1" t="s">
        <v>15222</v>
      </c>
      <c r="AQ2606" s="1" t="s">
        <v>18683</v>
      </c>
      <c r="AR2606" s="1" t="s">
        <v>18684</v>
      </c>
    </row>
    <row r="2607">
      <c r="A2607" s="2">
        <f ca="1">DATE(2010,05,14)</f>
        <v>0</v>
      </c>
      <c r="B2607" s="2">
        <f ca="1">DATE(2010,10,13)</f>
        <v>0</v>
      </c>
      <c r="C2607" s="1" t="s">
        <v>18685</v>
      </c>
      <c r="D2607" s="3">
        <v>6798</v>
      </c>
      <c r="E2607" s="1" t="s">
        <v>43</v>
      </c>
      <c r="F2607" s="1" t="s">
        <v>18686</v>
      </c>
      <c r="G2607" s="1" t="s">
        <v>18687</v>
      </c>
      <c r="H2607" s="4">
        <v>0.76300000000000001</v>
      </c>
      <c r="I2607" s="4">
        <v>6.0999999999999996</v>
      </c>
      <c r="J2607" s="5">
        <v>354.19999999999999</v>
      </c>
      <c r="K2607" s="4">
        <v>12.5</v>
      </c>
      <c r="L2607" s="1" t="s">
        <v>46</v>
      </c>
      <c r="M2607" s="1" t="s">
        <v>47</v>
      </c>
      <c r="N2607" s="1" t="s">
        <v>18688</v>
      </c>
      <c r="O2607" s="1" t="s">
        <v>108</v>
      </c>
      <c r="P2607" s="1" t="s">
        <v>18689</v>
      </c>
      <c r="Q2607" s="4">
        <v>1.2</v>
      </c>
      <c r="R2607" s="4">
        <v>1.3799999999999999</v>
      </c>
      <c r="S2607" s="8">
        <v>3.52</v>
      </c>
      <c r="T2607" s="1" t="s">
        <v>50</v>
      </c>
      <c r="U2607" s="1"/>
      <c r="V2607" s="1"/>
      <c r="W2607" s="1"/>
      <c r="X2607" s="5">
        <v>385.30000000000001</v>
      </c>
      <c r="Y2607" s="7">
        <v>28333333</v>
      </c>
      <c r="Z2607" s="1"/>
      <c r="AA2607" s="1" t="s">
        <v>18690</v>
      </c>
      <c r="AB2607" s="1" t="s">
        <v>2067</v>
      </c>
      <c r="AC2607" s="1" t="s">
        <v>6689</v>
      </c>
      <c r="AD2607" s="1" t="s">
        <v>2067</v>
      </c>
      <c r="AE2607" s="1" t="s">
        <v>51</v>
      </c>
      <c r="AF2607" s="1" t="s">
        <v>51</v>
      </c>
      <c r="AG2607" s="1" t="s">
        <v>51</v>
      </c>
      <c r="AH2607" s="1"/>
      <c r="AI2607" s="1"/>
      <c r="AJ2607" s="3">
        <v>5</v>
      </c>
      <c r="AK2607" s="1" t="s">
        <v>3985</v>
      </c>
      <c r="AL2607" s="3">
        <v>6</v>
      </c>
      <c r="AM2607" s="1"/>
      <c r="AN2607" s="1"/>
      <c r="AO2607" s="1" t="s">
        <v>18691</v>
      </c>
      <c r="AP2607" s="1" t="s">
        <v>18692</v>
      </c>
      <c r="AQ2607" s="1" t="s">
        <v>18693</v>
      </c>
      <c r="AR2607" s="1" t="s">
        <v>18689</v>
      </c>
    </row>
    <row r="2608">
      <c r="A2608" s="2">
        <f ca="1">DATE(2010,07,07)</f>
        <v>0</v>
      </c>
      <c r="B2608" s="2">
        <f ca="1">DATE(2010,10,14)</f>
        <v>0</v>
      </c>
      <c r="C2608" s="1" t="s">
        <v>18694</v>
      </c>
      <c r="D2608" s="3">
        <v>5699</v>
      </c>
      <c r="E2608" s="1" t="s">
        <v>43</v>
      </c>
      <c r="F2608" s="1" t="s">
        <v>18695</v>
      </c>
      <c r="G2608" s="1" t="s">
        <v>18696</v>
      </c>
      <c r="H2608" s="4">
        <v>0.91000000000000003</v>
      </c>
      <c r="I2608" s="4">
        <v>7</v>
      </c>
      <c r="J2608" s="5">
        <v>65</v>
      </c>
      <c r="K2608" s="4">
        <v>13</v>
      </c>
      <c r="L2608" s="1" t="s">
        <v>46</v>
      </c>
      <c r="M2608" s="1" t="s">
        <v>47</v>
      </c>
      <c r="N2608" s="1" t="s">
        <v>18697</v>
      </c>
      <c r="O2608" s="1" t="s">
        <v>48</v>
      </c>
      <c r="P2608" s="1" t="s">
        <v>18698</v>
      </c>
      <c r="Q2608" s="1" t="s">
        <v>145</v>
      </c>
      <c r="R2608" s="1" t="s">
        <v>145</v>
      </c>
      <c r="S2608" s="6">
        <v>4.2307699999999997</v>
      </c>
      <c r="T2608" s="1" t="s">
        <v>50</v>
      </c>
      <c r="U2608" s="1"/>
      <c r="V2608" s="1"/>
      <c r="W2608" s="1"/>
      <c r="X2608" s="5">
        <v>86.299999999999997</v>
      </c>
      <c r="Y2608" s="7">
        <v>3333333</v>
      </c>
      <c r="Z2608" s="7">
        <v>1666667</v>
      </c>
      <c r="AA2608" s="1" t="s">
        <v>18699</v>
      </c>
      <c r="AB2608" s="1" t="s">
        <v>5265</v>
      </c>
      <c r="AC2608" s="1" t="s">
        <v>7759</v>
      </c>
      <c r="AD2608" s="1" t="s">
        <v>5265</v>
      </c>
      <c r="AE2608" s="1" t="s">
        <v>51</v>
      </c>
      <c r="AF2608" s="1" t="s">
        <v>51</v>
      </c>
      <c r="AG2608" s="1" t="s">
        <v>47</v>
      </c>
      <c r="AH2608" s="1"/>
      <c r="AI2608" s="1"/>
      <c r="AJ2608" s="3">
        <v>2</v>
      </c>
      <c r="AK2608" s="1" t="s">
        <v>89</v>
      </c>
      <c r="AL2608" s="3">
        <v>4</v>
      </c>
      <c r="AM2608" s="1"/>
      <c r="AN2608" s="1"/>
      <c r="AO2608" s="1" t="s">
        <v>18700</v>
      </c>
      <c r="AP2608" s="1" t="s">
        <v>18701</v>
      </c>
      <c r="AQ2608" s="1" t="s">
        <v>18702</v>
      </c>
      <c r="AR2608" s="1" t="s">
        <v>18698</v>
      </c>
    </row>
    <row r="2609">
      <c r="A2609" s="2">
        <f ca="1">DATE(2010,03,04)</f>
        <v>0</v>
      </c>
      <c r="B2609" s="2">
        <f ca="1">DATE(2010,10,14)</f>
        <v>0</v>
      </c>
      <c r="C2609" s="1" t="s">
        <v>18703</v>
      </c>
      <c r="D2609" s="3">
        <v>3714</v>
      </c>
      <c r="E2609" s="1" t="s">
        <v>43</v>
      </c>
      <c r="F2609" s="1" t="s">
        <v>18704</v>
      </c>
      <c r="G2609" s="1" t="s">
        <v>18705</v>
      </c>
      <c r="H2609" s="4">
        <v>0.91000000000000003</v>
      </c>
      <c r="I2609" s="4">
        <v>7</v>
      </c>
      <c r="J2609" s="5">
        <v>81.299999999999997</v>
      </c>
      <c r="K2609" s="4">
        <v>13</v>
      </c>
      <c r="L2609" s="1" t="s">
        <v>46</v>
      </c>
      <c r="M2609" s="1" t="s">
        <v>47</v>
      </c>
      <c r="N2609" s="3">
        <v>891826109</v>
      </c>
      <c r="O2609" s="1" t="s">
        <v>108</v>
      </c>
      <c r="P2609" s="1" t="s">
        <v>18706</v>
      </c>
      <c r="Q2609" s="4">
        <v>1.3999999999999999</v>
      </c>
      <c r="R2609" s="4">
        <v>1.3999999999999999</v>
      </c>
      <c r="S2609" s="8">
        <v>4.2000000000000002</v>
      </c>
      <c r="T2609" s="1" t="s">
        <v>50</v>
      </c>
      <c r="U2609" s="1"/>
      <c r="V2609" s="1"/>
      <c r="W2609" s="1"/>
      <c r="X2609" s="5">
        <v>100</v>
      </c>
      <c r="Y2609" s="7">
        <v>6250000</v>
      </c>
      <c r="Z2609" s="1"/>
      <c r="AA2609" s="1" t="s">
        <v>18699</v>
      </c>
      <c r="AB2609" s="1" t="s">
        <v>5265</v>
      </c>
      <c r="AC2609" s="1" t="s">
        <v>7759</v>
      </c>
      <c r="AD2609" s="1" t="s">
        <v>5265</v>
      </c>
      <c r="AE2609" s="1" t="s">
        <v>51</v>
      </c>
      <c r="AF2609" s="1" t="s">
        <v>51</v>
      </c>
      <c r="AG2609" s="1" t="s">
        <v>51</v>
      </c>
      <c r="AH2609" s="1"/>
      <c r="AI2609" s="1"/>
      <c r="AJ2609" s="3">
        <v>3</v>
      </c>
      <c r="AK2609" s="1" t="s">
        <v>110</v>
      </c>
      <c r="AL2609" s="3">
        <v>6</v>
      </c>
      <c r="AM2609" s="1"/>
      <c r="AN2609" s="1"/>
      <c r="AO2609" s="1" t="s">
        <v>18707</v>
      </c>
      <c r="AP2609" s="1" t="s">
        <v>18708</v>
      </c>
      <c r="AQ2609" s="1" t="s">
        <v>18709</v>
      </c>
      <c r="AR2609" s="1" t="s">
        <v>18710</v>
      </c>
    </row>
    <row r="2610">
      <c r="A2610" s="2">
        <f ca="1">DATE(2010,07,15)</f>
        <v>0</v>
      </c>
      <c r="B2610" s="2">
        <f ca="1">DATE(2010,10,18)</f>
        <v>0</v>
      </c>
      <c r="C2610" s="1" t="s">
        <v>18711</v>
      </c>
      <c r="D2610" s="3">
        <v>6141</v>
      </c>
      <c r="E2610" s="1" t="s">
        <v>43</v>
      </c>
      <c r="F2610" s="1" t="s">
        <v>18712</v>
      </c>
      <c r="G2610" s="1" t="s">
        <v>6056</v>
      </c>
      <c r="H2610" s="4">
        <v>0.71499999999999997</v>
      </c>
      <c r="I2610" s="4">
        <v>6.5</v>
      </c>
      <c r="J2610" s="5">
        <v>203.90000000000001</v>
      </c>
      <c r="K2610" s="4">
        <v>11</v>
      </c>
      <c r="L2610" s="1" t="s">
        <v>46</v>
      </c>
      <c r="M2610" s="1" t="s">
        <v>47</v>
      </c>
      <c r="N2610" s="1" t="s">
        <v>18713</v>
      </c>
      <c r="O2610" s="1" t="s">
        <v>48</v>
      </c>
      <c r="P2610" s="1" t="s">
        <v>18714</v>
      </c>
      <c r="Q2610" s="4">
        <v>1.341</v>
      </c>
      <c r="R2610" s="4">
        <v>1.341</v>
      </c>
      <c r="S2610" s="6">
        <v>3.8181799999999999</v>
      </c>
      <c r="T2610" s="1" t="s">
        <v>50</v>
      </c>
      <c r="U2610" s="1"/>
      <c r="V2610" s="1"/>
      <c r="W2610" s="1"/>
      <c r="X2610" s="5">
        <v>200</v>
      </c>
      <c r="Y2610" s="7">
        <v>2272727</v>
      </c>
      <c r="Z2610" s="7">
        <v>16263316</v>
      </c>
      <c r="AA2610" s="1" t="s">
        <v>18715</v>
      </c>
      <c r="AB2610" s="1" t="s">
        <v>13651</v>
      </c>
      <c r="AC2610" s="1" t="s">
        <v>16884</v>
      </c>
      <c r="AD2610" s="1" t="s">
        <v>13651</v>
      </c>
      <c r="AE2610" s="1" t="s">
        <v>51</v>
      </c>
      <c r="AF2610" s="1" t="s">
        <v>51</v>
      </c>
      <c r="AG2610" s="1" t="s">
        <v>51</v>
      </c>
      <c r="AH2610" s="1"/>
      <c r="AI2610" s="1"/>
      <c r="AJ2610" s="3">
        <v>2</v>
      </c>
      <c r="AK2610" s="1" t="s">
        <v>110</v>
      </c>
      <c r="AL2610" s="3">
        <v>8</v>
      </c>
      <c r="AM2610" s="1"/>
      <c r="AN2610" s="1"/>
      <c r="AO2610" s="1" t="s">
        <v>18716</v>
      </c>
      <c r="AP2610" s="1" t="s">
        <v>18717</v>
      </c>
      <c r="AQ2610" s="1" t="s">
        <v>18718</v>
      </c>
      <c r="AR2610" s="1" t="s">
        <v>18719</v>
      </c>
    </row>
    <row r="2611">
      <c r="A2611" s="2">
        <f ca="1">DATE(2010,09,30)</f>
        <v>0</v>
      </c>
      <c r="B2611" s="2">
        <f ca="1">DATE(2010,10,18)</f>
        <v>0</v>
      </c>
      <c r="C2611" s="1" t="s">
        <v>18720</v>
      </c>
      <c r="D2611" s="3">
        <v>2834</v>
      </c>
      <c r="E2611" s="1" t="s">
        <v>744</v>
      </c>
      <c r="F2611" s="1" t="s">
        <v>18721</v>
      </c>
      <c r="G2611" s="1" t="s">
        <v>18722</v>
      </c>
      <c r="H2611" s="4">
        <v>1.05</v>
      </c>
      <c r="I2611" s="4">
        <v>7</v>
      </c>
      <c r="J2611" s="5">
        <v>87</v>
      </c>
      <c r="K2611" s="4">
        <v>15</v>
      </c>
      <c r="L2611" s="1" t="s">
        <v>651</v>
      </c>
      <c r="M2611" s="1" t="s">
        <v>47</v>
      </c>
      <c r="N2611" s="1" t="s">
        <v>18723</v>
      </c>
      <c r="O2611" s="1" t="s">
        <v>108</v>
      </c>
      <c r="P2611" s="1" t="s">
        <v>18724</v>
      </c>
      <c r="Q2611" s="1" t="s">
        <v>145</v>
      </c>
      <c r="R2611" s="1" t="s">
        <v>145</v>
      </c>
      <c r="S2611" s="8">
        <v>4.2000000000000002</v>
      </c>
      <c r="T2611" s="1" t="s">
        <v>50</v>
      </c>
      <c r="U2611" s="8">
        <v>16.5</v>
      </c>
      <c r="V2611" s="8">
        <v>14.5</v>
      </c>
      <c r="W2611" s="7">
        <v>5800000</v>
      </c>
      <c r="X2611" s="5">
        <v>89.900000000000006</v>
      </c>
      <c r="Y2611" s="7">
        <v>3200000</v>
      </c>
      <c r="Z2611" s="7">
        <v>2600000</v>
      </c>
      <c r="AA2611" s="1" t="s">
        <v>18725</v>
      </c>
      <c r="AB2611" s="1" t="s">
        <v>5265</v>
      </c>
      <c r="AC2611" s="1" t="s">
        <v>7759</v>
      </c>
      <c r="AD2611" s="1" t="s">
        <v>5265</v>
      </c>
      <c r="AE2611" s="1" t="s">
        <v>47</v>
      </c>
      <c r="AF2611" s="1" t="s">
        <v>51</v>
      </c>
      <c r="AG2611" s="1" t="s">
        <v>47</v>
      </c>
      <c r="AH2611" s="1"/>
      <c r="AI2611" s="1"/>
      <c r="AJ2611" s="3">
        <v>2</v>
      </c>
      <c r="AK2611" s="1" t="s">
        <v>89</v>
      </c>
      <c r="AL2611" s="3">
        <v>4</v>
      </c>
      <c r="AM2611" s="1"/>
      <c r="AN2611" s="1"/>
      <c r="AO2611" s="1" t="s">
        <v>18726</v>
      </c>
      <c r="AP2611" s="1" t="s">
        <v>18727</v>
      </c>
      <c r="AQ2611" s="1" t="s">
        <v>18728</v>
      </c>
      <c r="AR2611" s="1" t="s">
        <v>18729</v>
      </c>
    </row>
    <row r="2612">
      <c r="A2612" s="2">
        <f ca="1">DATE(2010,09,29)</f>
        <v>0</v>
      </c>
      <c r="B2612" s="2">
        <f ca="1">DATE(2010,10,19)</f>
        <v>0</v>
      </c>
      <c r="C2612" s="1" t="s">
        <v>18730</v>
      </c>
      <c r="D2612" s="3">
        <v>8299</v>
      </c>
      <c r="E2612" s="1" t="s">
        <v>744</v>
      </c>
      <c r="F2612" s="1" t="s">
        <v>18731</v>
      </c>
      <c r="G2612" s="1" t="s">
        <v>18732</v>
      </c>
      <c r="H2612" s="4">
        <v>0.69999999999999996</v>
      </c>
      <c r="I2612" s="8">
        <v>7</v>
      </c>
      <c r="J2612" s="5">
        <v>120</v>
      </c>
      <c r="K2612" s="4">
        <v>10</v>
      </c>
      <c r="L2612" s="1" t="s">
        <v>651</v>
      </c>
      <c r="M2612" s="1" t="s">
        <v>47</v>
      </c>
      <c r="N2612" s="3">
        <v>874080104</v>
      </c>
      <c r="O2612" s="1" t="s">
        <v>108</v>
      </c>
      <c r="P2612" s="1" t="s">
        <v>18733</v>
      </c>
      <c r="Q2612" s="4">
        <v>1.3999999999999999</v>
      </c>
      <c r="R2612" s="4">
        <v>1.3999999999999999</v>
      </c>
      <c r="S2612" s="8">
        <v>4.2000000000000002</v>
      </c>
      <c r="T2612" s="1" t="s">
        <v>50</v>
      </c>
      <c r="U2612" s="1"/>
      <c r="V2612" s="1"/>
      <c r="W2612" s="1"/>
      <c r="X2612" s="5">
        <v>100</v>
      </c>
      <c r="Y2612" s="7">
        <v>12000000</v>
      </c>
      <c r="Z2612" s="1"/>
      <c r="AA2612" s="1" t="s">
        <v>18734</v>
      </c>
      <c r="AB2612" s="1" t="s">
        <v>5265</v>
      </c>
      <c r="AC2612" s="1" t="s">
        <v>7759</v>
      </c>
      <c r="AD2612" s="1" t="s">
        <v>5265</v>
      </c>
      <c r="AE2612" s="1" t="s">
        <v>47</v>
      </c>
      <c r="AF2612" s="1" t="s">
        <v>51</v>
      </c>
      <c r="AG2612" s="1" t="s">
        <v>51</v>
      </c>
      <c r="AH2612" s="1"/>
      <c r="AI2612" s="1"/>
      <c r="AJ2612" s="3">
        <v>2</v>
      </c>
      <c r="AK2612" s="1" t="s">
        <v>89</v>
      </c>
      <c r="AL2612" s="3">
        <v>4</v>
      </c>
      <c r="AM2612" s="8">
        <v>15</v>
      </c>
      <c r="AN2612" s="1"/>
      <c r="AO2612" s="1" t="s">
        <v>18735</v>
      </c>
      <c r="AP2612" s="1" t="s">
        <v>18736</v>
      </c>
      <c r="AQ2612" s="1" t="s">
        <v>18737</v>
      </c>
      <c r="AR2612" s="1" t="s">
        <v>18738</v>
      </c>
    </row>
    <row r="2613">
      <c r="A2613" s="2">
        <f ca="1">DATE(2010,07,01)</f>
        <v>0</v>
      </c>
      <c r="B2613" s="2">
        <f ca="1">DATE(2010,10,20)</f>
        <v>0</v>
      </c>
      <c r="C2613" s="1" t="s">
        <v>18739</v>
      </c>
      <c r="D2613" s="3">
        <v>3171</v>
      </c>
      <c r="E2613" s="1" t="s">
        <v>43</v>
      </c>
      <c r="F2613" s="1" t="s">
        <v>18740</v>
      </c>
      <c r="G2613" s="1" t="s">
        <v>18741</v>
      </c>
      <c r="H2613" s="4">
        <v>1.1200000000000001</v>
      </c>
      <c r="I2613" s="4">
        <v>7</v>
      </c>
      <c r="J2613" s="5">
        <v>176</v>
      </c>
      <c r="K2613" s="4">
        <v>16</v>
      </c>
      <c r="L2613" s="1" t="s">
        <v>46</v>
      </c>
      <c r="M2613" s="1" t="s">
        <v>47</v>
      </c>
      <c r="N2613" s="1" t="s">
        <v>18742</v>
      </c>
      <c r="O2613" s="1" t="s">
        <v>48</v>
      </c>
      <c r="P2613" s="1" t="s">
        <v>18743</v>
      </c>
      <c r="Q2613" s="1" t="s">
        <v>145</v>
      </c>
      <c r="R2613" s="1" t="s">
        <v>145</v>
      </c>
      <c r="S2613" s="1"/>
      <c r="T2613" s="1" t="s">
        <v>50</v>
      </c>
      <c r="U2613" s="1"/>
      <c r="V2613" s="1"/>
      <c r="W2613" s="1"/>
      <c r="X2613" s="5">
        <v>175</v>
      </c>
      <c r="Y2613" s="7">
        <v>4000000</v>
      </c>
      <c r="Z2613" s="7">
        <v>7000000</v>
      </c>
      <c r="AA2613" s="1" t="s">
        <v>18744</v>
      </c>
      <c r="AB2613" s="1" t="s">
        <v>5265</v>
      </c>
      <c r="AC2613" s="1" t="s">
        <v>7759</v>
      </c>
      <c r="AD2613" s="1" t="s">
        <v>5265</v>
      </c>
      <c r="AE2613" s="1" t="s">
        <v>51</v>
      </c>
      <c r="AF2613" s="1" t="s">
        <v>51</v>
      </c>
      <c r="AG2613" s="1" t="s">
        <v>51</v>
      </c>
      <c r="AH2613" s="1"/>
      <c r="AI2613" s="1"/>
      <c r="AJ2613" s="3">
        <v>2</v>
      </c>
      <c r="AK2613" s="1" t="s">
        <v>89</v>
      </c>
      <c r="AL2613" s="3">
        <v>5</v>
      </c>
      <c r="AM2613" s="1"/>
      <c r="AN2613" s="1"/>
      <c r="AO2613" s="1" t="s">
        <v>18745</v>
      </c>
      <c r="AP2613" s="1" t="s">
        <v>18746</v>
      </c>
      <c r="AQ2613" s="1" t="s">
        <v>18747</v>
      </c>
      <c r="AR2613" s="1" t="s">
        <v>18743</v>
      </c>
    </row>
    <row r="2614">
      <c r="A2614" s="2">
        <f ca="1">DATE(2010,07,02)</f>
        <v>0</v>
      </c>
      <c r="B2614" s="2">
        <f ca="1">DATE(2010,10,21)</f>
        <v>0</v>
      </c>
      <c r="C2614" s="1" t="s">
        <v>18748</v>
      </c>
      <c r="D2614" s="3">
        <v>5812</v>
      </c>
      <c r="E2614" s="1" t="s">
        <v>43</v>
      </c>
      <c r="F2614" s="1" t="s">
        <v>18749</v>
      </c>
      <c r="G2614" s="1" t="s">
        <v>18750</v>
      </c>
      <c r="H2614" s="4">
        <v>0.97999999999999998</v>
      </c>
      <c r="I2614" s="8">
        <v>7</v>
      </c>
      <c r="J2614" s="5">
        <v>140</v>
      </c>
      <c r="K2614" s="4">
        <v>14</v>
      </c>
      <c r="L2614" s="1" t="s">
        <v>46</v>
      </c>
      <c r="M2614" s="1" t="s">
        <v>47</v>
      </c>
      <c r="N2614" s="1" t="s">
        <v>18751</v>
      </c>
      <c r="O2614" s="1" t="s">
        <v>48</v>
      </c>
      <c r="P2614" s="1" t="s">
        <v>18752</v>
      </c>
      <c r="Q2614" s="1" t="s">
        <v>145</v>
      </c>
      <c r="R2614" s="1" t="s">
        <v>145</v>
      </c>
      <c r="S2614" s="6">
        <v>4.2142900000000001</v>
      </c>
      <c r="T2614" s="1" t="s">
        <v>50</v>
      </c>
      <c r="U2614" s="1"/>
      <c r="V2614" s="1"/>
      <c r="W2614" s="1"/>
      <c r="X2614" s="5">
        <v>172.5</v>
      </c>
      <c r="Y2614" s="7">
        <v>5000000</v>
      </c>
      <c r="Z2614" s="7">
        <v>5000000</v>
      </c>
      <c r="AA2614" s="1" t="s">
        <v>18753</v>
      </c>
      <c r="AB2614" s="1" t="s">
        <v>5265</v>
      </c>
      <c r="AC2614" s="1" t="s">
        <v>7759</v>
      </c>
      <c r="AD2614" s="1" t="s">
        <v>5265</v>
      </c>
      <c r="AE2614" s="1" t="s">
        <v>51</v>
      </c>
      <c r="AF2614" s="1" t="s">
        <v>51</v>
      </c>
      <c r="AG2614" s="1" t="s">
        <v>51</v>
      </c>
      <c r="AH2614" s="1"/>
      <c r="AI2614" s="1"/>
      <c r="AJ2614" s="3">
        <v>3</v>
      </c>
      <c r="AK2614" s="1" t="s">
        <v>110</v>
      </c>
      <c r="AL2614" s="3">
        <v>5</v>
      </c>
      <c r="AM2614" s="1"/>
      <c r="AN2614" s="1"/>
      <c r="AO2614" s="1" t="s">
        <v>18754</v>
      </c>
      <c r="AP2614" s="1" t="s">
        <v>18755</v>
      </c>
      <c r="AQ2614" s="1" t="s">
        <v>18756</v>
      </c>
      <c r="AR2614" s="1" t="s">
        <v>18752</v>
      </c>
    </row>
    <row r="2615">
      <c r="A2615" s="2">
        <f ca="1">DATE(2010,08,10)</f>
        <v>0</v>
      </c>
      <c r="B2615" s="2">
        <f ca="1">DATE(2010,10,22)</f>
        <v>0</v>
      </c>
      <c r="C2615" s="1" t="s">
        <v>18757</v>
      </c>
      <c r="D2615" s="3">
        <v>2834</v>
      </c>
      <c r="E2615" s="1" t="s">
        <v>43</v>
      </c>
      <c r="F2615" s="1" t="s">
        <v>18758</v>
      </c>
      <c r="G2615" s="1" t="s">
        <v>18456</v>
      </c>
      <c r="H2615" s="4">
        <v>0.66500000000000004</v>
      </c>
      <c r="I2615" s="4">
        <v>7</v>
      </c>
      <c r="J2615" s="5">
        <v>47.5</v>
      </c>
      <c r="K2615" s="4">
        <v>9.5</v>
      </c>
      <c r="L2615" s="1" t="s">
        <v>46</v>
      </c>
      <c r="M2615" s="1" t="s">
        <v>47</v>
      </c>
      <c r="N2615" s="1" t="s">
        <v>18759</v>
      </c>
      <c r="O2615" s="1" t="s">
        <v>48</v>
      </c>
      <c r="P2615" s="1" t="s">
        <v>18760</v>
      </c>
      <c r="Q2615" s="1" t="s">
        <v>145</v>
      </c>
      <c r="R2615" s="1" t="s">
        <v>145</v>
      </c>
      <c r="S2615" s="8">
        <v>4.2000000000000002</v>
      </c>
      <c r="T2615" s="1" t="s">
        <v>50</v>
      </c>
      <c r="U2615" s="1"/>
      <c r="V2615" s="1"/>
      <c r="W2615" s="1"/>
      <c r="X2615" s="5">
        <v>86.299999999999997</v>
      </c>
      <c r="Y2615" s="7">
        <v>5000000</v>
      </c>
      <c r="Z2615" s="1"/>
      <c r="AA2615" s="1" t="s">
        <v>18761</v>
      </c>
      <c r="AB2615" s="1" t="s">
        <v>5265</v>
      </c>
      <c r="AC2615" s="1" t="s">
        <v>7759</v>
      </c>
      <c r="AD2615" s="1" t="s">
        <v>5265</v>
      </c>
      <c r="AE2615" s="1" t="s">
        <v>51</v>
      </c>
      <c r="AF2615" s="1" t="s">
        <v>51</v>
      </c>
      <c r="AG2615" s="1" t="s">
        <v>47</v>
      </c>
      <c r="AH2615" s="1"/>
      <c r="AI2615" s="1"/>
      <c r="AJ2615" s="3">
        <v>2</v>
      </c>
      <c r="AK2615" s="1" t="s">
        <v>89</v>
      </c>
      <c r="AL2615" s="3">
        <v>5</v>
      </c>
      <c r="AM2615" s="1"/>
      <c r="AN2615" s="1"/>
      <c r="AO2615" s="1" t="s">
        <v>18762</v>
      </c>
      <c r="AP2615" s="1" t="s">
        <v>18460</v>
      </c>
      <c r="AQ2615" s="1" t="s">
        <v>18763</v>
      </c>
      <c r="AR2615" s="1" t="s">
        <v>18760</v>
      </c>
    </row>
    <row r="2616">
      <c r="A2616" s="2">
        <f ca="1">DATE(2010,05,26)</f>
        <v>0</v>
      </c>
      <c r="B2616" s="2">
        <f ca="1">DATE(2010,10,25)</f>
        <v>0</v>
      </c>
      <c r="C2616" s="1" t="s">
        <v>18764</v>
      </c>
      <c r="D2616" s="3">
        <v>2895</v>
      </c>
      <c r="E2616" s="1" t="s">
        <v>43</v>
      </c>
      <c r="F2616" s="1" t="s">
        <v>18765</v>
      </c>
      <c r="G2616" s="1" t="s">
        <v>1542</v>
      </c>
      <c r="H2616" s="1" t="s">
        <v>57</v>
      </c>
      <c r="I2616" s="1" t="s">
        <v>57</v>
      </c>
      <c r="J2616" s="5">
        <v>13.800000000000001</v>
      </c>
      <c r="K2616" s="4">
        <v>1.5</v>
      </c>
      <c r="L2616" s="1" t="s">
        <v>46</v>
      </c>
      <c r="M2616" s="1" t="s">
        <v>47</v>
      </c>
      <c r="N2616" s="1"/>
      <c r="O2616" s="1" t="s">
        <v>77</v>
      </c>
      <c r="P2616" s="1" t="s">
        <v>1543</v>
      </c>
      <c r="Q2616" s="1"/>
      <c r="R2616" s="1"/>
      <c r="S2616" s="1"/>
      <c r="T2616" s="1" t="s">
        <v>50</v>
      </c>
      <c r="U2616" s="8">
        <v>1.5</v>
      </c>
      <c r="V2616" s="8">
        <v>1.5</v>
      </c>
      <c r="W2616" s="7">
        <v>9202884</v>
      </c>
      <c r="X2616" s="5">
        <v>13.800000000000001</v>
      </c>
      <c r="Y2616" s="1"/>
      <c r="Z2616" s="7">
        <v>9202884</v>
      </c>
      <c r="AA2616" s="1"/>
      <c r="AB2616" s="1"/>
      <c r="AC2616" s="1"/>
      <c r="AD2616" s="1"/>
      <c r="AE2616" s="1" t="s">
        <v>51</v>
      </c>
      <c r="AF2616" s="1" t="s">
        <v>51</v>
      </c>
      <c r="AG2616" s="1" t="s">
        <v>51</v>
      </c>
      <c r="AH2616" s="1"/>
      <c r="AI2616" s="1"/>
      <c r="AJ2616" s="3">
        <v>1</v>
      </c>
      <c r="AK2616" s="1" t="s">
        <v>52</v>
      </c>
      <c r="AL2616" s="3">
        <v>1</v>
      </c>
      <c r="AM2616" s="1"/>
      <c r="AN2616" s="1"/>
      <c r="AO2616" s="1" t="s">
        <v>1542</v>
      </c>
      <c r="AP2616" s="1" t="s">
        <v>1542</v>
      </c>
      <c r="AQ2616" s="1" t="s">
        <v>1542</v>
      </c>
      <c r="AR2616" s="1" t="s">
        <v>1543</v>
      </c>
    </row>
    <row r="2617">
      <c r="A2617" s="2">
        <f ca="1">DATE(2010,07,09)</f>
        <v>0</v>
      </c>
      <c r="B2617" s="2">
        <f ca="1">DATE(2010,10,26)</f>
        <v>0</v>
      </c>
      <c r="C2617" s="1" t="s">
        <v>18766</v>
      </c>
      <c r="D2617" s="3">
        <v>6726</v>
      </c>
      <c r="E2617" s="1" t="s">
        <v>43</v>
      </c>
      <c r="F2617" s="1" t="s">
        <v>18767</v>
      </c>
      <c r="G2617" s="1" t="s">
        <v>18768</v>
      </c>
      <c r="H2617" s="4">
        <v>0.90000000000000002</v>
      </c>
      <c r="I2617" s="4">
        <v>4.5</v>
      </c>
      <c r="J2617" s="5">
        <v>340</v>
      </c>
      <c r="K2617" s="4">
        <v>20</v>
      </c>
      <c r="L2617" s="1" t="s">
        <v>46</v>
      </c>
      <c r="M2617" s="1" t="s">
        <v>47</v>
      </c>
      <c r="N2617" s="3">
        <v>401664107</v>
      </c>
      <c r="O2617" s="1" t="s">
        <v>108</v>
      </c>
      <c r="P2617" s="1" t="s">
        <v>18769</v>
      </c>
      <c r="Q2617" s="1" t="s">
        <v>145</v>
      </c>
      <c r="R2617" s="1" t="s">
        <v>145</v>
      </c>
      <c r="S2617" s="8">
        <v>3</v>
      </c>
      <c r="T2617" s="1" t="s">
        <v>50</v>
      </c>
      <c r="U2617" s="8">
        <v>20</v>
      </c>
      <c r="V2617" s="8">
        <v>20</v>
      </c>
      <c r="W2617" s="1"/>
      <c r="X2617" s="5">
        <v>1</v>
      </c>
      <c r="Y2617" s="7">
        <v>17000000</v>
      </c>
      <c r="Z2617" s="1"/>
      <c r="AA2617" s="1"/>
      <c r="AB2617" s="1"/>
      <c r="AC2617" s="1"/>
      <c r="AD2617" s="1"/>
      <c r="AE2617" s="1" t="s">
        <v>51</v>
      </c>
      <c r="AF2617" s="1" t="s">
        <v>51</v>
      </c>
      <c r="AG2617" s="1" t="s">
        <v>51</v>
      </c>
      <c r="AH2617" s="1"/>
      <c r="AI2617" s="1" t="s">
        <v>18770</v>
      </c>
      <c r="AJ2617" s="3">
        <v>5</v>
      </c>
      <c r="AK2617" s="1" t="s">
        <v>3985</v>
      </c>
      <c r="AL2617" s="3">
        <v>15</v>
      </c>
      <c r="AM2617" s="1"/>
      <c r="AN2617" s="1"/>
      <c r="AO2617" s="1" t="s">
        <v>18771</v>
      </c>
      <c r="AP2617" s="1" t="s">
        <v>18772</v>
      </c>
      <c r="AQ2617" s="1" t="s">
        <v>18773</v>
      </c>
      <c r="AR2617" s="1" t="s">
        <v>18774</v>
      </c>
    </row>
    <row r="2618">
      <c r="A2618" s="2">
        <f ca="1">DATE(2010,08,16)</f>
        <v>0</v>
      </c>
      <c r="B2618" s="2">
        <f ca="1">DATE(2010,10,26)</f>
        <v>0</v>
      </c>
      <c r="C2618" s="1" t="s">
        <v>18775</v>
      </c>
      <c r="D2618" s="3">
        <v>3826</v>
      </c>
      <c r="E2618" s="1" t="s">
        <v>43</v>
      </c>
      <c r="F2618" s="1" t="s">
        <v>18776</v>
      </c>
      <c r="G2618" s="1" t="s">
        <v>16215</v>
      </c>
      <c r="H2618" s="4">
        <v>1.1200000000000001</v>
      </c>
      <c r="I2618" s="4">
        <v>7</v>
      </c>
      <c r="J2618" s="5">
        <v>200</v>
      </c>
      <c r="K2618" s="4">
        <v>16</v>
      </c>
      <c r="L2618" s="1" t="s">
        <v>46</v>
      </c>
      <c r="M2618" s="1" t="s">
        <v>47</v>
      </c>
      <c r="N2618" s="1" t="s">
        <v>18777</v>
      </c>
      <c r="O2618" s="1" t="s">
        <v>48</v>
      </c>
      <c r="P2618" s="1" t="s">
        <v>18778</v>
      </c>
      <c r="Q2618" s="1" t="s">
        <v>145</v>
      </c>
      <c r="R2618" s="1" t="s">
        <v>145</v>
      </c>
      <c r="S2618" s="8">
        <v>4.2000000000000002</v>
      </c>
      <c r="T2618" s="1" t="s">
        <v>50</v>
      </c>
      <c r="U2618" s="1"/>
      <c r="V2618" s="1"/>
      <c r="W2618" s="1"/>
      <c r="X2618" s="5">
        <v>200</v>
      </c>
      <c r="Y2618" s="7">
        <v>12500000</v>
      </c>
      <c r="Z2618" s="1"/>
      <c r="AA2618" s="1" t="s">
        <v>18779</v>
      </c>
      <c r="AB2618" s="1" t="s">
        <v>5265</v>
      </c>
      <c r="AC2618" s="1" t="s">
        <v>7759</v>
      </c>
      <c r="AD2618" s="1" t="s">
        <v>5265</v>
      </c>
      <c r="AE2618" s="1" t="s">
        <v>51</v>
      </c>
      <c r="AF2618" s="1" t="s">
        <v>51</v>
      </c>
      <c r="AG2618" s="1" t="s">
        <v>47</v>
      </c>
      <c r="AH2618" s="1"/>
      <c r="AI2618" s="1"/>
      <c r="AJ2618" s="3">
        <v>2</v>
      </c>
      <c r="AK2618" s="1" t="s">
        <v>89</v>
      </c>
      <c r="AL2618" s="3">
        <v>4</v>
      </c>
      <c r="AM2618" s="1"/>
      <c r="AN2618" s="1"/>
      <c r="AO2618" s="1" t="s">
        <v>18780</v>
      </c>
      <c r="AP2618" s="1" t="s">
        <v>16220</v>
      </c>
      <c r="AQ2618" s="1" t="s">
        <v>18781</v>
      </c>
      <c r="AR2618" s="1" t="s">
        <v>18782</v>
      </c>
    </row>
    <row r="2619">
      <c r="A2619" s="2">
        <f ca="1">DATE(2010,07,23)</f>
        <v>0</v>
      </c>
      <c r="B2619" s="2">
        <f ca="1">DATE(2010,10,26)</f>
        <v>0</v>
      </c>
      <c r="C2619" s="1" t="s">
        <v>18783</v>
      </c>
      <c r="D2619" s="3">
        <v>6726</v>
      </c>
      <c r="E2619" s="1" t="s">
        <v>43</v>
      </c>
      <c r="F2619" s="1" t="s">
        <v>18784</v>
      </c>
      <c r="G2619" s="1" t="s">
        <v>18785</v>
      </c>
      <c r="H2619" s="4">
        <v>0.90000000000000002</v>
      </c>
      <c r="I2619" s="4">
        <v>4.5</v>
      </c>
      <c r="J2619" s="5">
        <v>420</v>
      </c>
      <c r="K2619" s="4">
        <v>20</v>
      </c>
      <c r="L2619" s="1" t="s">
        <v>46</v>
      </c>
      <c r="M2619" s="1" t="s">
        <v>47</v>
      </c>
      <c r="N2619" s="1" t="s">
        <v>18786</v>
      </c>
      <c r="O2619" s="1" t="s">
        <v>108</v>
      </c>
      <c r="P2619" s="1" t="s">
        <v>18787</v>
      </c>
      <c r="Q2619" s="1" t="s">
        <v>145</v>
      </c>
      <c r="R2619" s="1" t="s">
        <v>145</v>
      </c>
      <c r="S2619" s="8">
        <v>3</v>
      </c>
      <c r="T2619" s="1" t="s">
        <v>50</v>
      </c>
      <c r="U2619" s="8">
        <v>20</v>
      </c>
      <c r="V2619" s="8">
        <v>20</v>
      </c>
      <c r="W2619" s="1"/>
      <c r="X2619" s="5">
        <v>1</v>
      </c>
      <c r="Y2619" s="7">
        <v>21000000</v>
      </c>
      <c r="Z2619" s="1"/>
      <c r="AA2619" s="2">
        <f ca="1">DATE(2011,04,24)</f>
        <v>0</v>
      </c>
      <c r="AB2619" s="1"/>
      <c r="AC2619" s="3">
        <v>180</v>
      </c>
      <c r="AD2619" s="1"/>
      <c r="AE2619" s="1" t="s">
        <v>51</v>
      </c>
      <c r="AF2619" s="1" t="s">
        <v>51</v>
      </c>
      <c r="AG2619" s="1" t="s">
        <v>51</v>
      </c>
      <c r="AH2619" s="1"/>
      <c r="AI2619" s="1" t="s">
        <v>18254</v>
      </c>
      <c r="AJ2619" s="3">
        <v>4</v>
      </c>
      <c r="AK2619" s="1" t="s">
        <v>1209</v>
      </c>
      <c r="AL2619" s="3">
        <v>8</v>
      </c>
      <c r="AM2619" s="1"/>
      <c r="AN2619" s="1"/>
      <c r="AO2619" s="1" t="s">
        <v>18788</v>
      </c>
      <c r="AP2619" s="1" t="s">
        <v>18789</v>
      </c>
      <c r="AQ2619" s="1" t="s">
        <v>18790</v>
      </c>
      <c r="AR2619" s="1" t="s">
        <v>18791</v>
      </c>
    </row>
    <row r="2620">
      <c r="A2620" s="2">
        <f ca="1">DATE(2010,10,06)</f>
        <v>0</v>
      </c>
      <c r="B2620" s="2">
        <f ca="1">DATE(2010,10,26)</f>
        <v>0</v>
      </c>
      <c r="C2620" s="1" t="s">
        <v>18792</v>
      </c>
      <c r="D2620" s="3">
        <v>5999</v>
      </c>
      <c r="E2620" s="1" t="s">
        <v>744</v>
      </c>
      <c r="F2620" s="1"/>
      <c r="G2620" s="1" t="s">
        <v>11830</v>
      </c>
      <c r="H2620" s="4">
        <v>0.77000000000000002</v>
      </c>
      <c r="I2620" s="4">
        <v>7</v>
      </c>
      <c r="J2620" s="5">
        <v>129.19999999999999</v>
      </c>
      <c r="K2620" s="4">
        <v>11</v>
      </c>
      <c r="L2620" s="1" t="s">
        <v>651</v>
      </c>
      <c r="M2620" s="1" t="s">
        <v>47</v>
      </c>
      <c r="N2620" s="1" t="s">
        <v>18793</v>
      </c>
      <c r="O2620" s="1"/>
      <c r="P2620" s="1" t="s">
        <v>18794</v>
      </c>
      <c r="Q2620" s="1" t="s">
        <v>145</v>
      </c>
      <c r="R2620" s="1" t="s">
        <v>145</v>
      </c>
      <c r="S2620" s="8">
        <v>4.2000000000000002</v>
      </c>
      <c r="T2620" s="1" t="s">
        <v>50</v>
      </c>
      <c r="U2620" s="1"/>
      <c r="V2620" s="1"/>
      <c r="W2620" s="1"/>
      <c r="X2620" s="5">
        <v>100</v>
      </c>
      <c r="Y2620" s="7">
        <v>9714286</v>
      </c>
      <c r="Z2620" s="7">
        <v>2028571</v>
      </c>
      <c r="AA2620" s="1" t="s">
        <v>18779</v>
      </c>
      <c r="AB2620" s="1" t="s">
        <v>5265</v>
      </c>
      <c r="AC2620" s="1" t="s">
        <v>7759</v>
      </c>
      <c r="AD2620" s="1" t="s">
        <v>5265</v>
      </c>
      <c r="AE2620" s="1" t="s">
        <v>47</v>
      </c>
      <c r="AF2620" s="1" t="s">
        <v>51</v>
      </c>
      <c r="AG2620" s="1" t="s">
        <v>51</v>
      </c>
      <c r="AH2620" s="1"/>
      <c r="AI2620" s="1"/>
      <c r="AJ2620" s="3">
        <v>2</v>
      </c>
      <c r="AK2620" s="1" t="s">
        <v>89</v>
      </c>
      <c r="AL2620" s="3">
        <v>4</v>
      </c>
      <c r="AM2620" s="1"/>
      <c r="AN2620" s="1"/>
      <c r="AO2620" s="1" t="s">
        <v>18795</v>
      </c>
      <c r="AP2620" s="1" t="s">
        <v>11836</v>
      </c>
      <c r="AQ2620" s="1" t="s">
        <v>18796</v>
      </c>
      <c r="AR2620" s="1" t="s">
        <v>18794</v>
      </c>
    </row>
    <row r="2621">
      <c r="A2621" s="2">
        <f ca="1">DATE(2010,08,13)</f>
        <v>0</v>
      </c>
      <c r="B2621" s="2">
        <f ca="1">DATE(2010,10,27)</f>
        <v>0</v>
      </c>
      <c r="C2621" s="1" t="s">
        <v>18797</v>
      </c>
      <c r="D2621" s="3">
        <v>8099</v>
      </c>
      <c r="E2621" s="1" t="s">
        <v>43</v>
      </c>
      <c r="F2621" s="1" t="s">
        <v>18798</v>
      </c>
      <c r="G2621" s="1" t="s">
        <v>18799</v>
      </c>
      <c r="H2621" s="4">
        <v>1.1200000000000001</v>
      </c>
      <c r="I2621" s="4">
        <v>7</v>
      </c>
      <c r="J2621" s="5">
        <v>164.80000000000001</v>
      </c>
      <c r="K2621" s="4">
        <v>16</v>
      </c>
      <c r="L2621" s="1" t="s">
        <v>46</v>
      </c>
      <c r="M2621" s="1" t="s">
        <v>47</v>
      </c>
      <c r="N2621" s="1" t="s">
        <v>18800</v>
      </c>
      <c r="O2621" s="1" t="s">
        <v>108</v>
      </c>
      <c r="P2621" s="1" t="s">
        <v>18801</v>
      </c>
      <c r="Q2621" s="1" t="s">
        <v>145</v>
      </c>
      <c r="R2621" s="1" t="s">
        <v>145</v>
      </c>
      <c r="S2621" s="1"/>
      <c r="T2621" s="1" t="s">
        <v>50</v>
      </c>
      <c r="U2621" s="1"/>
      <c r="V2621" s="1"/>
      <c r="W2621" s="1"/>
      <c r="X2621" s="5">
        <v>172.5</v>
      </c>
      <c r="Y2621" s="7">
        <v>7745114</v>
      </c>
      <c r="Z2621" s="7">
        <v>2554886</v>
      </c>
      <c r="AA2621" s="1" t="s">
        <v>18802</v>
      </c>
      <c r="AB2621" s="1" t="s">
        <v>13651</v>
      </c>
      <c r="AC2621" s="1" t="s">
        <v>16884</v>
      </c>
      <c r="AD2621" s="1" t="s">
        <v>13651</v>
      </c>
      <c r="AE2621" s="1" t="s">
        <v>51</v>
      </c>
      <c r="AF2621" s="1" t="s">
        <v>51</v>
      </c>
      <c r="AG2621" s="1" t="s">
        <v>47</v>
      </c>
      <c r="AH2621" s="1"/>
      <c r="AI2621" s="1"/>
      <c r="AJ2621" s="3">
        <v>3</v>
      </c>
      <c r="AK2621" s="1" t="s">
        <v>110</v>
      </c>
      <c r="AL2621" s="3">
        <v>5</v>
      </c>
      <c r="AM2621" s="1"/>
      <c r="AN2621" s="1"/>
      <c r="AO2621" s="1" t="s">
        <v>18803</v>
      </c>
      <c r="AP2621" s="1" t="s">
        <v>18804</v>
      </c>
      <c r="AQ2621" s="1" t="s">
        <v>18805</v>
      </c>
      <c r="AR2621" s="1" t="s">
        <v>18801</v>
      </c>
    </row>
    <row r="2622">
      <c r="A2622" s="2">
        <f ca="1">DATE(2010,03,29)</f>
        <v>0</v>
      </c>
      <c r="B2622" s="2">
        <f ca="1">DATE(2010,10,27)</f>
        <v>0</v>
      </c>
      <c r="C2622" s="1" t="s">
        <v>18806</v>
      </c>
      <c r="D2622" s="3">
        <v>7359</v>
      </c>
      <c r="E2622" s="1" t="s">
        <v>43</v>
      </c>
      <c r="F2622" s="1" t="s">
        <v>18807</v>
      </c>
      <c r="G2622" s="1" t="s">
        <v>18808</v>
      </c>
      <c r="H2622" s="4">
        <v>0.69999999999999996</v>
      </c>
      <c r="I2622" s="8">
        <v>7</v>
      </c>
      <c r="J2622" s="5">
        <v>95</v>
      </c>
      <c r="K2622" s="4">
        <v>10</v>
      </c>
      <c r="L2622" s="1" t="s">
        <v>46</v>
      </c>
      <c r="M2622" s="1" t="s">
        <v>47</v>
      </c>
      <c r="N2622" s="1" t="s">
        <v>18809</v>
      </c>
      <c r="O2622" s="1" t="s">
        <v>108</v>
      </c>
      <c r="P2622" s="1" t="s">
        <v>18810</v>
      </c>
      <c r="Q2622" s="4">
        <v>1.3999999999999999</v>
      </c>
      <c r="R2622" s="4">
        <v>1.3999999999999999</v>
      </c>
      <c r="S2622" s="8">
        <v>4.2000000000000002</v>
      </c>
      <c r="T2622" s="1" t="s">
        <v>50</v>
      </c>
      <c r="U2622" s="1"/>
      <c r="V2622" s="1"/>
      <c r="W2622" s="1"/>
      <c r="X2622" s="5">
        <v>165</v>
      </c>
      <c r="Y2622" s="7">
        <v>2500000</v>
      </c>
      <c r="Z2622" s="7">
        <v>7000000</v>
      </c>
      <c r="AA2622" s="1" t="s">
        <v>18811</v>
      </c>
      <c r="AB2622" s="1" t="s">
        <v>5265</v>
      </c>
      <c r="AC2622" s="1" t="s">
        <v>7759</v>
      </c>
      <c r="AD2622" s="1" t="s">
        <v>5265</v>
      </c>
      <c r="AE2622" s="1" t="s">
        <v>51</v>
      </c>
      <c r="AF2622" s="1" t="s">
        <v>51</v>
      </c>
      <c r="AG2622" s="1" t="s">
        <v>51</v>
      </c>
      <c r="AH2622" s="1"/>
      <c r="AI2622" s="1"/>
      <c r="AJ2622" s="3">
        <v>4</v>
      </c>
      <c r="AK2622" s="1" t="s">
        <v>1209</v>
      </c>
      <c r="AL2622" s="3">
        <v>9</v>
      </c>
      <c r="AM2622" s="1"/>
      <c r="AN2622" s="1"/>
      <c r="AO2622" s="1" t="s">
        <v>18812</v>
      </c>
      <c r="AP2622" s="1" t="s">
        <v>18813</v>
      </c>
      <c r="AQ2622" s="1" t="s">
        <v>18814</v>
      </c>
      <c r="AR2622" s="1" t="s">
        <v>18815</v>
      </c>
    </row>
    <row r="2623">
      <c r="A2623" s="2">
        <f ca="1">DATE(2010,03,19)</f>
        <v>0</v>
      </c>
      <c r="B2623" s="2">
        <f ca="1">DATE(2010,10,28)</f>
        <v>0</v>
      </c>
      <c r="C2623" s="1" t="s">
        <v>18816</v>
      </c>
      <c r="D2623" s="3">
        <v>6726</v>
      </c>
      <c r="E2623" s="1" t="s">
        <v>43</v>
      </c>
      <c r="F2623" s="1" t="s">
        <v>18817</v>
      </c>
      <c r="G2623" s="1" t="s">
        <v>15058</v>
      </c>
      <c r="H2623" s="4">
        <v>1.1200000000000001</v>
      </c>
      <c r="I2623" s="4">
        <v>7</v>
      </c>
      <c r="J2623" s="5">
        <v>100</v>
      </c>
      <c r="K2623" s="4">
        <v>16</v>
      </c>
      <c r="L2623" s="1" t="s">
        <v>46</v>
      </c>
      <c r="M2623" s="1" t="s">
        <v>47</v>
      </c>
      <c r="N2623" s="1" t="s">
        <v>18818</v>
      </c>
      <c r="O2623" s="1" t="s">
        <v>48</v>
      </c>
      <c r="P2623" s="1" t="s">
        <v>18819</v>
      </c>
      <c r="Q2623" s="1" t="s">
        <v>145</v>
      </c>
      <c r="R2623" s="1" t="s">
        <v>145</v>
      </c>
      <c r="S2623" s="8">
        <v>4.2000000000000002</v>
      </c>
      <c r="T2623" s="1" t="s">
        <v>50</v>
      </c>
      <c r="U2623" s="1"/>
      <c r="V2623" s="1"/>
      <c r="W2623" s="1"/>
      <c r="X2623" s="5">
        <v>125</v>
      </c>
      <c r="Y2623" s="7">
        <v>4910000</v>
      </c>
      <c r="Z2623" s="7">
        <v>1340000</v>
      </c>
      <c r="AA2623" s="1" t="s">
        <v>18820</v>
      </c>
      <c r="AB2623" s="1" t="s">
        <v>5265</v>
      </c>
      <c r="AC2623" s="1" t="s">
        <v>7759</v>
      </c>
      <c r="AD2623" s="1" t="s">
        <v>5265</v>
      </c>
      <c r="AE2623" s="1" t="s">
        <v>51</v>
      </c>
      <c r="AF2623" s="1" t="s">
        <v>51</v>
      </c>
      <c r="AG2623" s="1" t="s">
        <v>51</v>
      </c>
      <c r="AH2623" s="1"/>
      <c r="AI2623" s="1"/>
      <c r="AJ2623" s="3">
        <v>2</v>
      </c>
      <c r="AK2623" s="1" t="s">
        <v>89</v>
      </c>
      <c r="AL2623" s="3">
        <v>8</v>
      </c>
      <c r="AM2623" s="1"/>
      <c r="AN2623" s="1"/>
      <c r="AO2623" s="1" t="s">
        <v>18821</v>
      </c>
      <c r="AP2623" s="1" t="s">
        <v>15062</v>
      </c>
      <c r="AQ2623" s="1" t="s">
        <v>18822</v>
      </c>
      <c r="AR2623" s="1" t="s">
        <v>18819</v>
      </c>
    </row>
    <row r="2624">
      <c r="A2624" s="2">
        <f ca="1">DATE(2010,10,08)</f>
        <v>0</v>
      </c>
      <c r="B2624" s="2">
        <f ca="1">DATE(2010,10,28)</f>
        <v>0</v>
      </c>
      <c r="C2624" s="1" t="s">
        <v>18823</v>
      </c>
      <c r="D2624" s="1" t="s">
        <v>18824</v>
      </c>
      <c r="E2624" s="1" t="s">
        <v>845</v>
      </c>
      <c r="F2624" s="1" t="s">
        <v>18825</v>
      </c>
      <c r="G2624" s="1" t="s">
        <v>11153</v>
      </c>
      <c r="H2624" s="4">
        <v>0.66500000000000004</v>
      </c>
      <c r="I2624" s="4">
        <v>7</v>
      </c>
      <c r="J2624" s="5">
        <v>103.3</v>
      </c>
      <c r="K2624" s="4">
        <v>9.5</v>
      </c>
      <c r="L2624" s="1" t="s">
        <v>651</v>
      </c>
      <c r="M2624" s="1" t="s">
        <v>47</v>
      </c>
      <c r="N2624" s="3">
        <v>521168104</v>
      </c>
      <c r="O2624" s="1" t="s">
        <v>48</v>
      </c>
      <c r="P2624" s="1" t="s">
        <v>18826</v>
      </c>
      <c r="Q2624" s="4">
        <v>1.3999999999999999</v>
      </c>
      <c r="R2624" s="4">
        <v>1.3999999999999999</v>
      </c>
      <c r="S2624" s="8">
        <v>4.2000000000000002</v>
      </c>
      <c r="T2624" s="1" t="s">
        <v>50</v>
      </c>
      <c r="U2624" s="1"/>
      <c r="V2624" s="1"/>
      <c r="W2624" s="1"/>
      <c r="X2624" s="5">
        <v>100</v>
      </c>
      <c r="Y2624" s="7">
        <v>9200000</v>
      </c>
      <c r="Z2624" s="7">
        <v>1671599</v>
      </c>
      <c r="AA2624" s="1" t="s">
        <v>18827</v>
      </c>
      <c r="AB2624" s="1" t="s">
        <v>2067</v>
      </c>
      <c r="AC2624" s="1" t="s">
        <v>2068</v>
      </c>
      <c r="AD2624" s="1" t="s">
        <v>2067</v>
      </c>
      <c r="AE2624" s="1" t="s">
        <v>47</v>
      </c>
      <c r="AF2624" s="1" t="s">
        <v>51</v>
      </c>
      <c r="AG2624" s="1" t="s">
        <v>47</v>
      </c>
      <c r="AH2624" s="1"/>
      <c r="AI2624" s="1"/>
      <c r="AJ2624" s="3">
        <v>2</v>
      </c>
      <c r="AK2624" s="1" t="s">
        <v>89</v>
      </c>
      <c r="AL2624" s="3">
        <v>4</v>
      </c>
      <c r="AM2624" s="1"/>
      <c r="AN2624" s="1"/>
      <c r="AO2624" s="1" t="s">
        <v>18828</v>
      </c>
      <c r="AP2624" s="1" t="s">
        <v>9826</v>
      </c>
      <c r="AQ2624" s="1" t="s">
        <v>18829</v>
      </c>
      <c r="AR2624" s="1" t="s">
        <v>18830</v>
      </c>
    </row>
    <row r="2625">
      <c r="A2625" s="2">
        <f ca="1">DATE(2010,07,02)</f>
        <v>0</v>
      </c>
      <c r="B2625" s="2">
        <f ca="1">DATE(2010,10,29)</f>
        <v>0</v>
      </c>
      <c r="C2625" s="1" t="s">
        <v>18831</v>
      </c>
      <c r="D2625" s="3">
        <v>6021</v>
      </c>
      <c r="E2625" s="1" t="s">
        <v>43</v>
      </c>
      <c r="F2625" s="1" t="s">
        <v>18832</v>
      </c>
      <c r="G2625" s="1" t="s">
        <v>2371</v>
      </c>
      <c r="H2625" s="1" t="s">
        <v>57</v>
      </c>
      <c r="I2625" s="1" t="s">
        <v>57</v>
      </c>
      <c r="J2625" s="5">
        <v>17.300000000000001</v>
      </c>
      <c r="K2625" s="4">
        <v>10</v>
      </c>
      <c r="L2625" s="1" t="s">
        <v>46</v>
      </c>
      <c r="M2625" s="1" t="s">
        <v>47</v>
      </c>
      <c r="N2625" s="1" t="s">
        <v>18833</v>
      </c>
      <c r="O2625" s="1" t="s">
        <v>48</v>
      </c>
      <c r="P2625" s="1" t="s">
        <v>8544</v>
      </c>
      <c r="Q2625" s="1"/>
      <c r="R2625" s="1"/>
      <c r="S2625" s="1"/>
      <c r="T2625" s="1" t="s">
        <v>50</v>
      </c>
      <c r="U2625" s="8">
        <v>10</v>
      </c>
      <c r="V2625" s="8">
        <v>10</v>
      </c>
      <c r="W2625" s="7">
        <v>1275000</v>
      </c>
      <c r="X2625" s="5">
        <v>12.800000000000001</v>
      </c>
      <c r="Y2625" s="7">
        <v>1725000</v>
      </c>
      <c r="Z2625" s="1"/>
      <c r="AA2625" s="1"/>
      <c r="AB2625" s="1"/>
      <c r="AC2625" s="1"/>
      <c r="AD2625" s="1"/>
      <c r="AE2625" s="1" t="s">
        <v>51</v>
      </c>
      <c r="AF2625" s="1" t="s">
        <v>51</v>
      </c>
      <c r="AG2625" s="1" t="s">
        <v>51</v>
      </c>
      <c r="AH2625" s="1"/>
      <c r="AI2625" s="1"/>
      <c r="AJ2625" s="3">
        <v>1</v>
      </c>
      <c r="AK2625" s="1" t="s">
        <v>52</v>
      </c>
      <c r="AL2625" s="3">
        <v>1</v>
      </c>
      <c r="AM2625" s="1"/>
      <c r="AN2625" s="1"/>
      <c r="AO2625" s="1" t="s">
        <v>2371</v>
      </c>
      <c r="AP2625" s="1" t="s">
        <v>2371</v>
      </c>
      <c r="AQ2625" s="1" t="s">
        <v>2371</v>
      </c>
      <c r="AR2625" s="1" t="s">
        <v>2374</v>
      </c>
    </row>
    <row r="2626">
      <c r="A2626" s="2">
        <f ca="1">DATE(2010,10,15)</f>
        <v>0</v>
      </c>
      <c r="B2626" s="2">
        <f ca="1">DATE(2010,11,01)</f>
        <v>0</v>
      </c>
      <c r="C2626" s="1" t="s">
        <v>18834</v>
      </c>
      <c r="D2626" s="3">
        <v>8211</v>
      </c>
      <c r="E2626" s="1" t="s">
        <v>744</v>
      </c>
      <c r="F2626" s="1" t="s">
        <v>18835</v>
      </c>
      <c r="G2626" s="1" t="s">
        <v>160</v>
      </c>
      <c r="H2626" s="4">
        <v>0.66500000000000004</v>
      </c>
      <c r="I2626" s="4">
        <v>7</v>
      </c>
      <c r="J2626" s="5">
        <v>127.59999999999999</v>
      </c>
      <c r="K2626" s="4">
        <v>9.5</v>
      </c>
      <c r="L2626" s="1" t="s">
        <v>651</v>
      </c>
      <c r="M2626" s="1" t="s">
        <v>47</v>
      </c>
      <c r="N2626" s="1" t="s">
        <v>18836</v>
      </c>
      <c r="O2626" s="1" t="s">
        <v>108</v>
      </c>
      <c r="P2626" s="1" t="s">
        <v>18837</v>
      </c>
      <c r="Q2626" s="1" t="s">
        <v>145</v>
      </c>
      <c r="R2626" s="1" t="s">
        <v>145</v>
      </c>
      <c r="S2626" s="1"/>
      <c r="T2626" s="1" t="s">
        <v>50</v>
      </c>
      <c r="U2626" s="1"/>
      <c r="V2626" s="1"/>
      <c r="W2626" s="1"/>
      <c r="X2626" s="5">
        <v>100</v>
      </c>
      <c r="Y2626" s="7">
        <v>13430000</v>
      </c>
      <c r="Z2626" s="1"/>
      <c r="AA2626" s="2">
        <f ca="1">DATE(2011,04,30)</f>
        <v>0</v>
      </c>
      <c r="AB2626" s="1"/>
      <c r="AC2626" s="3">
        <v>180</v>
      </c>
      <c r="AD2626" s="1"/>
      <c r="AE2626" s="1" t="s">
        <v>47</v>
      </c>
      <c r="AF2626" s="1" t="s">
        <v>51</v>
      </c>
      <c r="AG2626" s="1" t="s">
        <v>47</v>
      </c>
      <c r="AH2626" s="1"/>
      <c r="AI2626" s="1"/>
      <c r="AJ2626" s="3">
        <v>1</v>
      </c>
      <c r="AK2626" s="1" t="s">
        <v>52</v>
      </c>
      <c r="AL2626" s="3">
        <v>3</v>
      </c>
      <c r="AM2626" s="8">
        <v>12.5</v>
      </c>
      <c r="AN2626" s="1"/>
      <c r="AO2626" s="1" t="s">
        <v>18838</v>
      </c>
      <c r="AP2626" s="1" t="s">
        <v>160</v>
      </c>
      <c r="AQ2626" s="1" t="s">
        <v>18839</v>
      </c>
      <c r="AR2626" s="1" t="s">
        <v>18840</v>
      </c>
    </row>
    <row r="2627">
      <c r="A2627" s="2">
        <f ca="1">DATE(2010,10,19)</f>
        <v>0</v>
      </c>
      <c r="B2627" s="2">
        <f ca="1">DATE(2010,11,02)</f>
        <v>0</v>
      </c>
      <c r="C2627" s="1" t="s">
        <v>18841</v>
      </c>
      <c r="D2627" s="3">
        <v>3639</v>
      </c>
      <c r="E2627" s="1" t="s">
        <v>934</v>
      </c>
      <c r="F2627" s="1" t="s">
        <v>18842</v>
      </c>
      <c r="G2627" s="1" t="s">
        <v>18843</v>
      </c>
      <c r="H2627" s="4">
        <v>1.3999999999999999</v>
      </c>
      <c r="I2627" s="8">
        <v>7</v>
      </c>
      <c r="J2627" s="5">
        <v>108.90000000000001</v>
      </c>
      <c r="K2627" s="4">
        <v>20</v>
      </c>
      <c r="L2627" s="1" t="s">
        <v>1057</v>
      </c>
      <c r="M2627" s="1" t="s">
        <v>47</v>
      </c>
      <c r="N2627" s="1" t="s">
        <v>18844</v>
      </c>
      <c r="O2627" s="1" t="s">
        <v>48</v>
      </c>
      <c r="P2627" s="1" t="s">
        <v>18845</v>
      </c>
      <c r="Q2627" s="1" t="s">
        <v>145</v>
      </c>
      <c r="R2627" s="1" t="s">
        <v>145</v>
      </c>
      <c r="S2627" s="8">
        <v>4.2000000000000002</v>
      </c>
      <c r="T2627" s="1" t="s">
        <v>50</v>
      </c>
      <c r="U2627" s="8">
        <v>20</v>
      </c>
      <c r="V2627" s="8">
        <v>18</v>
      </c>
      <c r="W2627" s="7">
        <v>4736842</v>
      </c>
      <c r="X2627" s="5">
        <v>90</v>
      </c>
      <c r="Y2627" s="7">
        <v>5447368</v>
      </c>
      <c r="Z2627" s="1"/>
      <c r="AA2627" s="1" t="s">
        <v>18846</v>
      </c>
      <c r="AB2627" s="1" t="s">
        <v>5265</v>
      </c>
      <c r="AC2627" s="1" t="s">
        <v>7759</v>
      </c>
      <c r="AD2627" s="1" t="s">
        <v>5265</v>
      </c>
      <c r="AE2627" s="1" t="s">
        <v>51</v>
      </c>
      <c r="AF2627" s="1" t="s">
        <v>51</v>
      </c>
      <c r="AG2627" s="1" t="s">
        <v>51</v>
      </c>
      <c r="AH2627" s="1"/>
      <c r="AI2627" s="1"/>
      <c r="AJ2627" s="3">
        <v>2</v>
      </c>
      <c r="AK2627" s="1" t="s">
        <v>89</v>
      </c>
      <c r="AL2627" s="3">
        <v>6</v>
      </c>
      <c r="AM2627" s="8">
        <v>24.120000000000001</v>
      </c>
      <c r="AN2627" s="1"/>
      <c r="AO2627" s="1" t="s">
        <v>18847</v>
      </c>
      <c r="AP2627" s="1" t="s">
        <v>18848</v>
      </c>
      <c r="AQ2627" s="1" t="s">
        <v>18849</v>
      </c>
      <c r="AR2627" s="1" t="s">
        <v>18850</v>
      </c>
    </row>
    <row r="2628">
      <c r="A2628" s="2">
        <f ca="1">DATE(2010,10,12)</f>
        <v>0</v>
      </c>
      <c r="B2628" s="2">
        <f ca="1">DATE(2010,11,03)</f>
        <v>0</v>
      </c>
      <c r="C2628" s="1" t="s">
        <v>18851</v>
      </c>
      <c r="D2628" s="3">
        <v>5085</v>
      </c>
      <c r="E2628" s="1" t="s">
        <v>744</v>
      </c>
      <c r="F2628" s="1" t="s">
        <v>18852</v>
      </c>
      <c r="G2628" s="1" t="s">
        <v>5704</v>
      </c>
      <c r="H2628" s="4">
        <v>0.59499999999999997</v>
      </c>
      <c r="I2628" s="8">
        <v>7</v>
      </c>
      <c r="J2628" s="5">
        <v>167.80000000000001</v>
      </c>
      <c r="K2628" s="4">
        <v>8.5</v>
      </c>
      <c r="L2628" s="1" t="s">
        <v>651</v>
      </c>
      <c r="M2628" s="1" t="s">
        <v>47</v>
      </c>
      <c r="N2628" s="3">
        <v>829359108</v>
      </c>
      <c r="O2628" s="1" t="s">
        <v>48</v>
      </c>
      <c r="P2628" s="1" t="s">
        <v>18853</v>
      </c>
      <c r="Q2628" s="1" t="s">
        <v>145</v>
      </c>
      <c r="R2628" s="1" t="s">
        <v>145</v>
      </c>
      <c r="S2628" s="1"/>
      <c r="T2628" s="1" t="s">
        <v>50</v>
      </c>
      <c r="U2628" s="1"/>
      <c r="V2628" s="1"/>
      <c r="W2628" s="1"/>
      <c r="X2628" s="5">
        <v>100</v>
      </c>
      <c r="Y2628" s="7">
        <v>15789474</v>
      </c>
      <c r="Z2628" s="7">
        <v>3947368</v>
      </c>
      <c r="AA2628" s="1" t="s">
        <v>18854</v>
      </c>
      <c r="AB2628" s="1" t="s">
        <v>5265</v>
      </c>
      <c r="AC2628" s="1" t="s">
        <v>7759</v>
      </c>
      <c r="AD2628" s="1" t="s">
        <v>5265</v>
      </c>
      <c r="AE2628" s="1" t="s">
        <v>47</v>
      </c>
      <c r="AF2628" s="1" t="s">
        <v>51</v>
      </c>
      <c r="AG2628" s="1" t="s">
        <v>47</v>
      </c>
      <c r="AH2628" s="1"/>
      <c r="AI2628" s="1"/>
      <c r="AJ2628" s="3">
        <v>1</v>
      </c>
      <c r="AK2628" s="1" t="s">
        <v>52</v>
      </c>
      <c r="AL2628" s="3">
        <v>3</v>
      </c>
      <c r="AM2628" s="8">
        <v>6.8600000000000003</v>
      </c>
      <c r="AN2628" s="1"/>
      <c r="AO2628" s="1" t="s">
        <v>18855</v>
      </c>
      <c r="AP2628" s="1" t="s">
        <v>5704</v>
      </c>
      <c r="AQ2628" s="1" t="s">
        <v>18856</v>
      </c>
      <c r="AR2628" s="1" t="s">
        <v>18857</v>
      </c>
    </row>
    <row r="2629">
      <c r="A2629" s="2">
        <f ca="1">DATE(2010,10,20)</f>
        <v>0</v>
      </c>
      <c r="B2629" s="2">
        <f ca="1">DATE(2010,11,03)</f>
        <v>0</v>
      </c>
      <c r="C2629" s="1" t="s">
        <v>18858</v>
      </c>
      <c r="D2629" s="3">
        <v>4412</v>
      </c>
      <c r="E2629" s="1" t="s">
        <v>3764</v>
      </c>
      <c r="F2629" s="1" t="s">
        <v>18859</v>
      </c>
      <c r="G2629" s="1" t="s">
        <v>9071</v>
      </c>
      <c r="H2629" s="4">
        <v>0.81000000000000005</v>
      </c>
      <c r="I2629" s="4">
        <v>6.75</v>
      </c>
      <c r="J2629" s="5">
        <v>159.59999999999999</v>
      </c>
      <c r="K2629" s="4">
        <v>12</v>
      </c>
      <c r="L2629" s="1" t="s">
        <v>46</v>
      </c>
      <c r="M2629" s="1" t="s">
        <v>47</v>
      </c>
      <c r="N2629" s="1" t="s">
        <v>18860</v>
      </c>
      <c r="O2629" s="1" t="s">
        <v>108</v>
      </c>
      <c r="P2629" s="1" t="s">
        <v>18861</v>
      </c>
      <c r="Q2629" s="4">
        <v>1.3500000000000001</v>
      </c>
      <c r="R2629" s="4">
        <v>1.3500000000000001</v>
      </c>
      <c r="S2629" s="8">
        <v>4.0499999999999998</v>
      </c>
      <c r="T2629" s="1" t="s">
        <v>50</v>
      </c>
      <c r="U2629" s="8">
        <v>17</v>
      </c>
      <c r="V2629" s="8">
        <v>15</v>
      </c>
      <c r="W2629" s="7">
        <v>13300000</v>
      </c>
      <c r="X2629" s="5">
        <v>212.80000000000001</v>
      </c>
      <c r="Y2629" s="7">
        <v>13300000</v>
      </c>
      <c r="Z2629" s="1"/>
      <c r="AA2629" s="1" t="s">
        <v>18854</v>
      </c>
      <c r="AB2629" s="1" t="s">
        <v>5265</v>
      </c>
      <c r="AC2629" s="1" t="s">
        <v>7759</v>
      </c>
      <c r="AD2629" s="1" t="s">
        <v>5265</v>
      </c>
      <c r="AE2629" s="1" t="s">
        <v>51</v>
      </c>
      <c r="AF2629" s="1" t="s">
        <v>51</v>
      </c>
      <c r="AG2629" s="1" t="s">
        <v>51</v>
      </c>
      <c r="AH2629" s="1"/>
      <c r="AI2629" s="1"/>
      <c r="AJ2629" s="3">
        <v>2</v>
      </c>
      <c r="AK2629" s="1" t="s">
        <v>89</v>
      </c>
      <c r="AL2629" s="3">
        <v>5</v>
      </c>
      <c r="AM2629" s="1"/>
      <c r="AN2629" s="1"/>
      <c r="AO2629" s="1" t="s">
        <v>18862</v>
      </c>
      <c r="AP2629" s="1" t="s">
        <v>4103</v>
      </c>
      <c r="AQ2629" s="1" t="s">
        <v>18863</v>
      </c>
      <c r="AR2629" s="1" t="s">
        <v>18864</v>
      </c>
    </row>
    <row r="2630">
      <c r="A2630" s="2">
        <f ca="1">DATE(2010,05,03)</f>
        <v>0</v>
      </c>
      <c r="B2630" s="2">
        <f ca="1">DATE(2010,11,04)</f>
        <v>0</v>
      </c>
      <c r="C2630" s="1" t="s">
        <v>18865</v>
      </c>
      <c r="D2630" s="3">
        <v>5411</v>
      </c>
      <c r="E2630" s="1" t="s">
        <v>43</v>
      </c>
      <c r="F2630" s="1" t="s">
        <v>18866</v>
      </c>
      <c r="G2630" s="1" t="s">
        <v>18867</v>
      </c>
      <c r="H2630" s="4">
        <v>1.54</v>
      </c>
      <c r="I2630" s="4">
        <v>7</v>
      </c>
      <c r="J2630" s="5">
        <v>289.89999999999998</v>
      </c>
      <c r="K2630" s="4">
        <v>22</v>
      </c>
      <c r="L2630" s="1" t="s">
        <v>46</v>
      </c>
      <c r="M2630" s="1" t="s">
        <v>47</v>
      </c>
      <c r="N2630" s="1" t="s">
        <v>18868</v>
      </c>
      <c r="O2630" s="1" t="s">
        <v>48</v>
      </c>
      <c r="P2630" s="1" t="s">
        <v>18869</v>
      </c>
      <c r="Q2630" s="4">
        <v>1.409</v>
      </c>
      <c r="R2630" s="4">
        <v>1.409</v>
      </c>
      <c r="S2630" s="6">
        <v>4.1818200000000001</v>
      </c>
      <c r="T2630" s="1" t="s">
        <v>50</v>
      </c>
      <c r="U2630" s="1"/>
      <c r="V2630" s="1"/>
      <c r="W2630" s="1"/>
      <c r="X2630" s="5">
        <v>345</v>
      </c>
      <c r="Y2630" s="1"/>
      <c r="Z2630" s="7">
        <v>13175000</v>
      </c>
      <c r="AA2630" s="1" t="s">
        <v>18870</v>
      </c>
      <c r="AB2630" s="1" t="s">
        <v>2067</v>
      </c>
      <c r="AC2630" s="1" t="s">
        <v>2068</v>
      </c>
      <c r="AD2630" s="1" t="s">
        <v>2067</v>
      </c>
      <c r="AE2630" s="1" t="s">
        <v>51</v>
      </c>
      <c r="AF2630" s="1" t="s">
        <v>51</v>
      </c>
      <c r="AG2630" s="1" t="s">
        <v>51</v>
      </c>
      <c r="AH2630" s="1"/>
      <c r="AI2630" s="1"/>
      <c r="AJ2630" s="3">
        <v>3</v>
      </c>
      <c r="AK2630" s="1" t="s">
        <v>110</v>
      </c>
      <c r="AL2630" s="3">
        <v>7</v>
      </c>
      <c r="AM2630" s="1"/>
      <c r="AN2630" s="1"/>
      <c r="AO2630" s="1" t="s">
        <v>18871</v>
      </c>
      <c r="AP2630" s="1" t="s">
        <v>18872</v>
      </c>
      <c r="AQ2630" s="1" t="s">
        <v>18873</v>
      </c>
      <c r="AR2630" s="1" t="s">
        <v>18874</v>
      </c>
    </row>
    <row r="2631">
      <c r="A2631" s="2">
        <f ca="1">DATE(2010,03,12)</f>
        <v>0</v>
      </c>
      <c r="B2631" s="2">
        <f ca="1">DATE(2010,11,04)</f>
        <v>0</v>
      </c>
      <c r="C2631" s="1" t="s">
        <v>18875</v>
      </c>
      <c r="D2631" s="3">
        <v>3585</v>
      </c>
      <c r="E2631" s="1" t="s">
        <v>43</v>
      </c>
      <c r="F2631" s="1" t="s">
        <v>18876</v>
      </c>
      <c r="G2631" s="1" t="s">
        <v>7287</v>
      </c>
      <c r="H2631" s="4">
        <v>0.83999999999999997</v>
      </c>
      <c r="I2631" s="8">
        <v>7</v>
      </c>
      <c r="J2631" s="5">
        <v>100</v>
      </c>
      <c r="K2631" s="4">
        <v>12</v>
      </c>
      <c r="L2631" s="1" t="s">
        <v>46</v>
      </c>
      <c r="M2631" s="1" t="s">
        <v>47</v>
      </c>
      <c r="N2631" s="1" t="s">
        <v>18877</v>
      </c>
      <c r="O2631" s="1" t="s">
        <v>48</v>
      </c>
      <c r="P2631" s="1" t="s">
        <v>18878</v>
      </c>
      <c r="Q2631" s="1" t="s">
        <v>145</v>
      </c>
      <c r="R2631" s="1" t="s">
        <v>145</v>
      </c>
      <c r="S2631" s="1"/>
      <c r="T2631" s="1" t="s">
        <v>50</v>
      </c>
      <c r="U2631" s="1"/>
      <c r="V2631" s="1"/>
      <c r="W2631" s="1"/>
      <c r="X2631" s="5">
        <v>60</v>
      </c>
      <c r="Y2631" s="7">
        <v>8333333</v>
      </c>
      <c r="Z2631" s="1"/>
      <c r="AA2631" s="1" t="s">
        <v>18870</v>
      </c>
      <c r="AB2631" s="1" t="s">
        <v>2067</v>
      </c>
      <c r="AC2631" s="1" t="s">
        <v>2068</v>
      </c>
      <c r="AD2631" s="1" t="s">
        <v>2067</v>
      </c>
      <c r="AE2631" s="1" t="s">
        <v>51</v>
      </c>
      <c r="AF2631" s="1" t="s">
        <v>51</v>
      </c>
      <c r="AG2631" s="1" t="s">
        <v>47</v>
      </c>
      <c r="AH2631" s="1"/>
      <c r="AI2631" s="1"/>
      <c r="AJ2631" s="3">
        <v>1</v>
      </c>
      <c r="AK2631" s="1" t="s">
        <v>52</v>
      </c>
      <c r="AL2631" s="3">
        <v>4</v>
      </c>
      <c r="AM2631" s="1"/>
      <c r="AN2631" s="1"/>
      <c r="AO2631" s="1" t="s">
        <v>18879</v>
      </c>
      <c r="AP2631" s="1" t="s">
        <v>7287</v>
      </c>
      <c r="AQ2631" s="1" t="s">
        <v>18880</v>
      </c>
      <c r="AR2631" s="1" t="s">
        <v>18878</v>
      </c>
    </row>
    <row r="2632">
      <c r="A2632" s="2">
        <f ca="1">DATE(2010,10,20)</f>
        <v>0</v>
      </c>
      <c r="B2632" s="2">
        <f ca="1">DATE(2010,11,09)</f>
        <v>0</v>
      </c>
      <c r="C2632" s="1" t="s">
        <v>18881</v>
      </c>
      <c r="D2632" s="3">
        <v>6282</v>
      </c>
      <c r="E2632" s="1" t="s">
        <v>744</v>
      </c>
      <c r="F2632" s="1" t="s">
        <v>18882</v>
      </c>
      <c r="G2632" s="1" t="s">
        <v>8103</v>
      </c>
      <c r="H2632" s="4">
        <v>0.83999999999999997</v>
      </c>
      <c r="I2632" s="8">
        <v>7</v>
      </c>
      <c r="J2632" s="5">
        <v>100.8</v>
      </c>
      <c r="K2632" s="4">
        <v>12</v>
      </c>
      <c r="L2632" s="1" t="s">
        <v>651</v>
      </c>
      <c r="M2632" s="1" t="s">
        <v>47</v>
      </c>
      <c r="N2632" s="1" t="s">
        <v>18883</v>
      </c>
      <c r="O2632" s="1" t="s">
        <v>108</v>
      </c>
      <c r="P2632" s="1" t="s">
        <v>18884</v>
      </c>
      <c r="Q2632" s="4">
        <v>1.417</v>
      </c>
      <c r="R2632" s="4">
        <v>1.417</v>
      </c>
      <c r="S2632" s="6">
        <v>4.1666699999999999</v>
      </c>
      <c r="T2632" s="1" t="s">
        <v>50</v>
      </c>
      <c r="U2632" s="1"/>
      <c r="V2632" s="1"/>
      <c r="W2632" s="1"/>
      <c r="X2632" s="5">
        <v>90</v>
      </c>
      <c r="Y2632" s="7">
        <v>8400000</v>
      </c>
      <c r="Z2632" s="1"/>
      <c r="AA2632" s="1" t="s">
        <v>18885</v>
      </c>
      <c r="AB2632" s="1" t="s">
        <v>5265</v>
      </c>
      <c r="AC2632" s="1" t="s">
        <v>7759</v>
      </c>
      <c r="AD2632" s="1" t="s">
        <v>5265</v>
      </c>
      <c r="AE2632" s="1" t="s">
        <v>47</v>
      </c>
      <c r="AF2632" s="1" t="s">
        <v>51</v>
      </c>
      <c r="AG2632" s="1" t="s">
        <v>51</v>
      </c>
      <c r="AH2632" s="1"/>
      <c r="AI2632" s="1"/>
      <c r="AJ2632" s="3">
        <v>2</v>
      </c>
      <c r="AK2632" s="1" t="s">
        <v>89</v>
      </c>
      <c r="AL2632" s="3">
        <v>4</v>
      </c>
      <c r="AM2632" s="1"/>
      <c r="AN2632" s="1"/>
      <c r="AO2632" s="1" t="s">
        <v>18886</v>
      </c>
      <c r="AP2632" s="1" t="s">
        <v>8107</v>
      </c>
      <c r="AQ2632" s="1" t="s">
        <v>18887</v>
      </c>
      <c r="AR2632" s="1" t="s">
        <v>18888</v>
      </c>
    </row>
    <row r="2633">
      <c r="A2633" s="2">
        <f ca="1">DATE(2010,10,21)</f>
        <v>0</v>
      </c>
      <c r="B2633" s="2">
        <f ca="1">DATE(2010,11,09)</f>
        <v>0</v>
      </c>
      <c r="C2633" s="1" t="s">
        <v>18889</v>
      </c>
      <c r="D2633" s="3">
        <v>3674</v>
      </c>
      <c r="E2633" s="1" t="s">
        <v>744</v>
      </c>
      <c r="F2633" s="1" t="s">
        <v>18890</v>
      </c>
      <c r="G2633" s="1" t="s">
        <v>13389</v>
      </c>
      <c r="H2633" s="4">
        <v>0.63</v>
      </c>
      <c r="I2633" s="4">
        <v>7</v>
      </c>
      <c r="J2633" s="5">
        <v>67.5</v>
      </c>
      <c r="K2633" s="4">
        <v>9</v>
      </c>
      <c r="L2633" s="1" t="s">
        <v>651</v>
      </c>
      <c r="M2633" s="1" t="s">
        <v>47</v>
      </c>
      <c r="N2633" s="3">
        <v>749394102</v>
      </c>
      <c r="O2633" s="1" t="s">
        <v>48</v>
      </c>
      <c r="P2633" s="1" t="s">
        <v>18891</v>
      </c>
      <c r="Q2633" s="1" t="s">
        <v>145</v>
      </c>
      <c r="R2633" s="1" t="s">
        <v>145</v>
      </c>
      <c r="S2633" s="8">
        <v>4.2000000000000002</v>
      </c>
      <c r="T2633" s="1" t="s">
        <v>50</v>
      </c>
      <c r="U2633" s="1"/>
      <c r="V2633" s="1"/>
      <c r="W2633" s="1"/>
      <c r="X2633" s="5">
        <v>100</v>
      </c>
      <c r="Y2633" s="7">
        <v>7342000</v>
      </c>
      <c r="Z2633" s="7">
        <v>158000</v>
      </c>
      <c r="AA2633" s="1" t="s">
        <v>18885</v>
      </c>
      <c r="AB2633" s="1" t="s">
        <v>5265</v>
      </c>
      <c r="AC2633" s="1" t="s">
        <v>7759</v>
      </c>
      <c r="AD2633" s="1" t="s">
        <v>5265</v>
      </c>
      <c r="AE2633" s="1" t="s">
        <v>47</v>
      </c>
      <c r="AF2633" s="1" t="s">
        <v>51</v>
      </c>
      <c r="AG2633" s="1" t="s">
        <v>47</v>
      </c>
      <c r="AH2633" s="1"/>
      <c r="AI2633" s="1" t="s">
        <v>18892</v>
      </c>
      <c r="AJ2633" s="3">
        <v>2</v>
      </c>
      <c r="AK2633" s="1" t="s">
        <v>89</v>
      </c>
      <c r="AL2633" s="3">
        <v>3</v>
      </c>
      <c r="AM2633" s="1"/>
      <c r="AN2633" s="1"/>
      <c r="AO2633" s="1" t="s">
        <v>18893</v>
      </c>
      <c r="AP2633" s="1" t="s">
        <v>12249</v>
      </c>
      <c r="AQ2633" s="1" t="s">
        <v>18894</v>
      </c>
      <c r="AR2633" s="1" t="s">
        <v>18891</v>
      </c>
    </row>
    <row r="2634">
      <c r="A2634" s="2">
        <f ca="1">DATE(2010,07,30)</f>
        <v>0</v>
      </c>
      <c r="B2634" s="2">
        <f ca="1">DATE(2010,11,10)</f>
        <v>0</v>
      </c>
      <c r="C2634" s="1" t="s">
        <v>18895</v>
      </c>
      <c r="D2634" s="3">
        <v>8731</v>
      </c>
      <c r="E2634" s="1" t="s">
        <v>43</v>
      </c>
      <c r="F2634" s="1" t="s">
        <v>3092</v>
      </c>
      <c r="G2634" s="1" t="s">
        <v>8996</v>
      </c>
      <c r="H2634" s="4">
        <v>0.63</v>
      </c>
      <c r="I2634" s="4">
        <v>7</v>
      </c>
      <c r="J2634" s="5">
        <v>54</v>
      </c>
      <c r="K2634" s="4">
        <v>9</v>
      </c>
      <c r="L2634" s="1" t="s">
        <v>46</v>
      </c>
      <c r="M2634" s="1" t="s">
        <v>47</v>
      </c>
      <c r="N2634" s="1" t="s">
        <v>18896</v>
      </c>
      <c r="O2634" s="1" t="s">
        <v>48</v>
      </c>
      <c r="P2634" s="1" t="s">
        <v>18897</v>
      </c>
      <c r="Q2634" s="1" t="s">
        <v>145</v>
      </c>
      <c r="R2634" s="1" t="s">
        <v>145</v>
      </c>
      <c r="S2634" s="1"/>
      <c r="T2634" s="1" t="s">
        <v>50</v>
      </c>
      <c r="U2634" s="1"/>
      <c r="V2634" s="1"/>
      <c r="W2634" s="1"/>
      <c r="X2634" s="5">
        <v>86.299999999999997</v>
      </c>
      <c r="Y2634" s="7">
        <v>6000000</v>
      </c>
      <c r="Z2634" s="1"/>
      <c r="AA2634" s="1" t="s">
        <v>18898</v>
      </c>
      <c r="AB2634" s="1" t="s">
        <v>5265</v>
      </c>
      <c r="AC2634" s="1" t="s">
        <v>7759</v>
      </c>
      <c r="AD2634" s="1" t="s">
        <v>5265</v>
      </c>
      <c r="AE2634" s="1" t="s">
        <v>51</v>
      </c>
      <c r="AF2634" s="1" t="s">
        <v>51</v>
      </c>
      <c r="AG2634" s="1" t="s">
        <v>47</v>
      </c>
      <c r="AH2634" s="1"/>
      <c r="AI2634" s="1"/>
      <c r="AJ2634" s="3">
        <v>2</v>
      </c>
      <c r="AK2634" s="1" t="s">
        <v>89</v>
      </c>
      <c r="AL2634" s="3">
        <v>4</v>
      </c>
      <c r="AM2634" s="1"/>
      <c r="AN2634" s="1"/>
      <c r="AO2634" s="1" t="s">
        <v>18899</v>
      </c>
      <c r="AP2634" s="1" t="s">
        <v>9000</v>
      </c>
      <c r="AQ2634" s="1" t="s">
        <v>18900</v>
      </c>
      <c r="AR2634" s="1" t="s">
        <v>18897</v>
      </c>
    </row>
    <row r="2635">
      <c r="A2635" s="2">
        <f ca="1">DATE(2010,06,16)</f>
        <v>0</v>
      </c>
      <c r="B2635" s="2">
        <f ca="1">DATE(2010,11,10)</f>
        <v>0</v>
      </c>
      <c r="C2635" s="1" t="s">
        <v>18901</v>
      </c>
      <c r="D2635" s="3">
        <v>3674</v>
      </c>
      <c r="E2635" s="1" t="s">
        <v>43</v>
      </c>
      <c r="F2635" s="1" t="s">
        <v>18902</v>
      </c>
      <c r="G2635" s="1" t="s">
        <v>18903</v>
      </c>
      <c r="H2635" s="4">
        <v>0.83999999999999997</v>
      </c>
      <c r="I2635" s="8">
        <v>7</v>
      </c>
      <c r="J2635" s="5">
        <v>81.599999999999994</v>
      </c>
      <c r="K2635" s="4">
        <v>12</v>
      </c>
      <c r="L2635" s="1" t="s">
        <v>46</v>
      </c>
      <c r="M2635" s="1" t="s">
        <v>47</v>
      </c>
      <c r="N2635" s="1" t="s">
        <v>18904</v>
      </c>
      <c r="O2635" s="1" t="s">
        <v>108</v>
      </c>
      <c r="P2635" s="1" t="s">
        <v>18905</v>
      </c>
      <c r="Q2635" s="1" t="s">
        <v>145</v>
      </c>
      <c r="R2635" s="1" t="s">
        <v>145</v>
      </c>
      <c r="S2635" s="8">
        <v>4.2000000000000002</v>
      </c>
      <c r="T2635" s="1" t="s">
        <v>50</v>
      </c>
      <c r="U2635" s="1"/>
      <c r="V2635" s="1"/>
      <c r="W2635" s="1"/>
      <c r="X2635" s="5">
        <v>115</v>
      </c>
      <c r="Y2635" s="7">
        <v>6800000</v>
      </c>
      <c r="Z2635" s="1"/>
      <c r="AA2635" s="1" t="s">
        <v>18898</v>
      </c>
      <c r="AB2635" s="1" t="s">
        <v>5265</v>
      </c>
      <c r="AC2635" s="1" t="s">
        <v>7759</v>
      </c>
      <c r="AD2635" s="1" t="s">
        <v>5265</v>
      </c>
      <c r="AE2635" s="1" t="s">
        <v>51</v>
      </c>
      <c r="AF2635" s="1" t="s">
        <v>51</v>
      </c>
      <c r="AG2635" s="1" t="s">
        <v>47</v>
      </c>
      <c r="AH2635" s="1"/>
      <c r="AI2635" s="1"/>
      <c r="AJ2635" s="3">
        <v>3</v>
      </c>
      <c r="AK2635" s="1" t="s">
        <v>110</v>
      </c>
      <c r="AL2635" s="3">
        <v>5</v>
      </c>
      <c r="AM2635" s="1"/>
      <c r="AN2635" s="1"/>
      <c r="AO2635" s="1" t="s">
        <v>18906</v>
      </c>
      <c r="AP2635" s="1" t="s">
        <v>18907</v>
      </c>
      <c r="AQ2635" s="1" t="s">
        <v>18908</v>
      </c>
      <c r="AR2635" s="1" t="s">
        <v>18909</v>
      </c>
    </row>
    <row r="2636">
      <c r="A2636" s="2">
        <f ca="1">DATE(2010,08,16)</f>
        <v>0</v>
      </c>
      <c r="B2636" s="2">
        <f ca="1">DATE(2010,11,10)</f>
        <v>0</v>
      </c>
      <c r="C2636" s="1" t="s">
        <v>18910</v>
      </c>
      <c r="D2636" s="3">
        <v>4812</v>
      </c>
      <c r="E2636" s="1" t="s">
        <v>43</v>
      </c>
      <c r="F2636" s="1" t="s">
        <v>18911</v>
      </c>
      <c r="G2636" s="1" t="s">
        <v>18912</v>
      </c>
      <c r="H2636" s="4">
        <v>0.33300000000000002</v>
      </c>
      <c r="I2636" s="4">
        <v>7</v>
      </c>
      <c r="J2636" s="5">
        <v>90.299999999999997</v>
      </c>
      <c r="K2636" s="4">
        <v>4.75</v>
      </c>
      <c r="L2636" s="1" t="s">
        <v>46</v>
      </c>
      <c r="M2636" s="1" t="s">
        <v>47</v>
      </c>
      <c r="N2636" s="1" t="s">
        <v>18913</v>
      </c>
      <c r="O2636" s="1" t="s">
        <v>48</v>
      </c>
      <c r="P2636" s="1" t="s">
        <v>18914</v>
      </c>
      <c r="Q2636" s="1" t="s">
        <v>145</v>
      </c>
      <c r="R2636" s="1" t="s">
        <v>145</v>
      </c>
      <c r="S2636" s="1"/>
      <c r="T2636" s="1" t="s">
        <v>50</v>
      </c>
      <c r="U2636" s="1"/>
      <c r="V2636" s="1"/>
      <c r="W2636" s="1"/>
      <c r="X2636" s="5">
        <v>86.299999999999997</v>
      </c>
      <c r="Y2636" s="7">
        <v>19000000</v>
      </c>
      <c r="Z2636" s="1"/>
      <c r="AA2636" s="1" t="s">
        <v>18915</v>
      </c>
      <c r="AB2636" s="1" t="s">
        <v>2067</v>
      </c>
      <c r="AC2636" s="1" t="s">
        <v>2068</v>
      </c>
      <c r="AD2636" s="1" t="s">
        <v>2067</v>
      </c>
      <c r="AE2636" s="1" t="s">
        <v>51</v>
      </c>
      <c r="AF2636" s="1" t="s">
        <v>51</v>
      </c>
      <c r="AG2636" s="1" t="s">
        <v>51</v>
      </c>
      <c r="AH2636" s="1"/>
      <c r="AI2636" s="1"/>
      <c r="AJ2636" s="3">
        <v>2</v>
      </c>
      <c r="AK2636" s="1" t="s">
        <v>89</v>
      </c>
      <c r="AL2636" s="3">
        <v>4</v>
      </c>
      <c r="AM2636" s="1"/>
      <c r="AN2636" s="1"/>
      <c r="AO2636" s="1" t="s">
        <v>18916</v>
      </c>
      <c r="AP2636" s="1" t="s">
        <v>18917</v>
      </c>
      <c r="AQ2636" s="1" t="s">
        <v>18918</v>
      </c>
      <c r="AR2636" s="1" t="s">
        <v>18914</v>
      </c>
    </row>
    <row r="2637">
      <c r="A2637" s="2">
        <f ca="1">DATE(2010,10,18)</f>
        <v>0</v>
      </c>
      <c r="B2637" s="2">
        <f ca="1">DATE(2010,11,15)</f>
        <v>0</v>
      </c>
      <c r="C2637" s="1" t="s">
        <v>18919</v>
      </c>
      <c r="D2637" s="3">
        <v>6726</v>
      </c>
      <c r="E2637" s="1" t="s">
        <v>7001</v>
      </c>
      <c r="F2637" s="1" t="s">
        <v>18920</v>
      </c>
      <c r="G2637" s="1" t="s">
        <v>17526</v>
      </c>
      <c r="H2637" s="4">
        <v>0.27500000000000002</v>
      </c>
      <c r="I2637" s="4">
        <v>2.75</v>
      </c>
      <c r="J2637" s="5">
        <v>64</v>
      </c>
      <c r="K2637" s="4">
        <v>10</v>
      </c>
      <c r="L2637" s="1" t="s">
        <v>31</v>
      </c>
      <c r="M2637" s="1" t="s">
        <v>47</v>
      </c>
      <c r="N2637" s="1"/>
      <c r="O2637" s="1" t="s">
        <v>48</v>
      </c>
      <c r="P2637" s="1" t="s">
        <v>18921</v>
      </c>
      <c r="Q2637" s="1" t="s">
        <v>145</v>
      </c>
      <c r="R2637" s="1" t="s">
        <v>145</v>
      </c>
      <c r="S2637" s="1"/>
      <c r="T2637" s="1" t="s">
        <v>50</v>
      </c>
      <c r="U2637" s="8">
        <v>10</v>
      </c>
      <c r="V2637" s="8">
        <v>10</v>
      </c>
      <c r="W2637" s="7">
        <v>8000000</v>
      </c>
      <c r="X2637" s="5">
        <v>80</v>
      </c>
      <c r="Y2637" s="7">
        <v>6400000</v>
      </c>
      <c r="Z2637" s="1"/>
      <c r="AA2637" s="1"/>
      <c r="AB2637" s="1"/>
      <c r="AC2637" s="1"/>
      <c r="AD2637" s="1"/>
      <c r="AE2637" s="1" t="s">
        <v>51</v>
      </c>
      <c r="AF2637" s="1" t="s">
        <v>51</v>
      </c>
      <c r="AG2637" s="1" t="s">
        <v>51</v>
      </c>
      <c r="AH2637" s="1"/>
      <c r="AI2637" s="1"/>
      <c r="AJ2637" s="3">
        <v>1</v>
      </c>
      <c r="AK2637" s="1" t="s">
        <v>52</v>
      </c>
      <c r="AL2637" s="3">
        <v>3</v>
      </c>
      <c r="AM2637" s="1"/>
      <c r="AN2637" s="1"/>
      <c r="AO2637" s="1" t="s">
        <v>18922</v>
      </c>
      <c r="AP2637" s="1" t="s">
        <v>17526</v>
      </c>
      <c r="AQ2637" s="1" t="s">
        <v>18923</v>
      </c>
      <c r="AR2637" s="1" t="s">
        <v>18921</v>
      </c>
    </row>
    <row r="2638">
      <c r="A2638" s="2">
        <f ca="1">DATE(2010,10,29)</f>
        <v>0</v>
      </c>
      <c r="B2638" s="2">
        <f ca="1">DATE(2010,11,16)</f>
        <v>0</v>
      </c>
      <c r="C2638" s="1" t="s">
        <v>18924</v>
      </c>
      <c r="D2638" s="3">
        <v>7374</v>
      </c>
      <c r="E2638" s="1" t="s">
        <v>744</v>
      </c>
      <c r="F2638" s="1" t="s">
        <v>18925</v>
      </c>
      <c r="G2638" s="1" t="s">
        <v>16154</v>
      </c>
      <c r="H2638" s="4">
        <v>0.83999999999999997</v>
      </c>
      <c r="I2638" s="8">
        <v>7</v>
      </c>
      <c r="J2638" s="5">
        <v>127.2</v>
      </c>
      <c r="K2638" s="4">
        <v>12</v>
      </c>
      <c r="L2638" s="1" t="s">
        <v>651</v>
      </c>
      <c r="M2638" s="1" t="s">
        <v>47</v>
      </c>
      <c r="N2638" s="1" t="s">
        <v>18926</v>
      </c>
      <c r="O2638" s="1" t="s">
        <v>108</v>
      </c>
      <c r="P2638" s="1" t="s">
        <v>18927</v>
      </c>
      <c r="Q2638" s="1" t="s">
        <v>145</v>
      </c>
      <c r="R2638" s="1" t="s">
        <v>145</v>
      </c>
      <c r="S2638" s="1"/>
      <c r="T2638" s="1" t="s">
        <v>50</v>
      </c>
      <c r="U2638" s="1"/>
      <c r="V2638" s="1"/>
      <c r="W2638" s="1"/>
      <c r="X2638" s="5">
        <v>80</v>
      </c>
      <c r="Y2638" s="7">
        <v>9000000</v>
      </c>
      <c r="Z2638" s="7">
        <v>1600000</v>
      </c>
      <c r="AA2638" s="1" t="s">
        <v>18928</v>
      </c>
      <c r="AB2638" s="1" t="s">
        <v>5265</v>
      </c>
      <c r="AC2638" s="1" t="s">
        <v>7759</v>
      </c>
      <c r="AD2638" s="1" t="s">
        <v>5265</v>
      </c>
      <c r="AE2638" s="1" t="s">
        <v>47</v>
      </c>
      <c r="AF2638" s="1" t="s">
        <v>51</v>
      </c>
      <c r="AG2638" s="1" t="s">
        <v>47</v>
      </c>
      <c r="AH2638" s="1"/>
      <c r="AI2638" s="1"/>
      <c r="AJ2638" s="3">
        <v>2</v>
      </c>
      <c r="AK2638" s="1" t="s">
        <v>89</v>
      </c>
      <c r="AL2638" s="3">
        <v>4</v>
      </c>
      <c r="AM2638" s="1"/>
      <c r="AN2638" s="1"/>
      <c r="AO2638" s="1" t="s">
        <v>18929</v>
      </c>
      <c r="AP2638" s="1" t="s">
        <v>16157</v>
      </c>
      <c r="AQ2638" s="1" t="s">
        <v>18930</v>
      </c>
      <c r="AR2638" s="1" t="s">
        <v>18927</v>
      </c>
    </row>
    <row r="2639">
      <c r="A2639" s="2">
        <f ca="1">DATE(2010,06,21)</f>
        <v>0</v>
      </c>
      <c r="B2639" s="2">
        <f ca="1">DATE(2010,11,16)</f>
        <v>0</v>
      </c>
      <c r="C2639" s="1" t="s">
        <v>18931</v>
      </c>
      <c r="D2639" s="3">
        <v>8742</v>
      </c>
      <c r="E2639" s="1" t="s">
        <v>43</v>
      </c>
      <c r="F2639" s="1" t="s">
        <v>18932</v>
      </c>
      <c r="G2639" s="1" t="s">
        <v>18933</v>
      </c>
      <c r="H2639" s="4">
        <v>1.0629999999999999</v>
      </c>
      <c r="I2639" s="4">
        <v>6.25</v>
      </c>
      <c r="J2639" s="5">
        <v>238</v>
      </c>
      <c r="K2639" s="4">
        <v>17</v>
      </c>
      <c r="L2639" s="1" t="s">
        <v>152</v>
      </c>
      <c r="M2639" s="1" t="s">
        <v>47</v>
      </c>
      <c r="N2639" s="1" t="s">
        <v>18934</v>
      </c>
      <c r="O2639" s="1" t="s">
        <v>108</v>
      </c>
      <c r="P2639" s="1" t="s">
        <v>18935</v>
      </c>
      <c r="Q2639" s="4">
        <v>1.2470000000000001</v>
      </c>
      <c r="R2639" s="4">
        <v>1.2470000000000001</v>
      </c>
      <c r="S2639" s="8">
        <v>3.75</v>
      </c>
      <c r="T2639" s="1" t="s">
        <v>50</v>
      </c>
      <c r="U2639" s="1"/>
      <c r="V2639" s="1"/>
      <c r="W2639" s="1"/>
      <c r="X2639" s="5">
        <v>300</v>
      </c>
      <c r="Y2639" s="7">
        <v>14000000</v>
      </c>
      <c r="Z2639" s="1"/>
      <c r="AA2639" s="1" t="s">
        <v>18936</v>
      </c>
      <c r="AB2639" s="1" t="s">
        <v>2067</v>
      </c>
      <c r="AC2639" s="1" t="s">
        <v>2068</v>
      </c>
      <c r="AD2639" s="1" t="s">
        <v>2067</v>
      </c>
      <c r="AE2639" s="1" t="s">
        <v>51</v>
      </c>
      <c r="AF2639" s="1" t="s">
        <v>51</v>
      </c>
      <c r="AG2639" s="1" t="s">
        <v>51</v>
      </c>
      <c r="AH2639" s="1"/>
      <c r="AI2639" s="1"/>
      <c r="AJ2639" s="3">
        <v>4</v>
      </c>
      <c r="AK2639" s="1" t="s">
        <v>1209</v>
      </c>
      <c r="AL2639" s="3">
        <v>8</v>
      </c>
      <c r="AM2639" s="1"/>
      <c r="AN2639" s="1"/>
      <c r="AO2639" s="1" t="s">
        <v>18937</v>
      </c>
      <c r="AP2639" s="1" t="s">
        <v>18938</v>
      </c>
      <c r="AQ2639" s="1" t="s">
        <v>18939</v>
      </c>
      <c r="AR2639" s="1" t="s">
        <v>18940</v>
      </c>
    </row>
    <row r="2640">
      <c r="A2640" s="2">
        <f ca="1">DATE(2010,08,18)</f>
        <v>0</v>
      </c>
      <c r="B2640" s="2">
        <f ca="1">DATE(2010,11,17)</f>
        <v>0</v>
      </c>
      <c r="C2640" s="1" t="s">
        <v>18941</v>
      </c>
      <c r="D2640" s="3">
        <v>3711</v>
      </c>
      <c r="E2640" s="1" t="s">
        <v>43</v>
      </c>
      <c r="F2640" s="1" t="s">
        <v>18942</v>
      </c>
      <c r="G2640" s="1" t="s">
        <v>18943</v>
      </c>
      <c r="H2640" s="4">
        <v>0.248</v>
      </c>
      <c r="I2640" s="4">
        <v>0.75</v>
      </c>
      <c r="J2640" s="5">
        <v>15774</v>
      </c>
      <c r="K2640" s="4">
        <v>33</v>
      </c>
      <c r="L2640" s="1" t="s">
        <v>46</v>
      </c>
      <c r="M2640" s="1" t="s">
        <v>47</v>
      </c>
      <c r="N2640" s="1" t="s">
        <v>18944</v>
      </c>
      <c r="O2640" s="1" t="s">
        <v>108</v>
      </c>
      <c r="P2640" s="1" t="s">
        <v>18945</v>
      </c>
      <c r="Q2640" s="4">
        <v>0.14999999999999999</v>
      </c>
      <c r="R2640" s="4">
        <v>0.14999999999999999</v>
      </c>
      <c r="S2640" s="8">
        <v>0.45000000000000001</v>
      </c>
      <c r="T2640" s="1" t="s">
        <v>50</v>
      </c>
      <c r="U2640" s="1"/>
      <c r="V2640" s="1"/>
      <c r="W2640" s="1"/>
      <c r="X2640" s="5">
        <v>100</v>
      </c>
      <c r="Y2640" s="1"/>
      <c r="Z2640" s="7">
        <v>478000000</v>
      </c>
      <c r="AA2640" s="1" t="s">
        <v>18946</v>
      </c>
      <c r="AB2640" s="1" t="s">
        <v>5265</v>
      </c>
      <c r="AC2640" s="1" t="s">
        <v>18947</v>
      </c>
      <c r="AD2640" s="1" t="s">
        <v>5265</v>
      </c>
      <c r="AE2640" s="1" t="s">
        <v>51</v>
      </c>
      <c r="AF2640" s="1" t="s">
        <v>51</v>
      </c>
      <c r="AG2640" s="1" t="s">
        <v>51</v>
      </c>
      <c r="AH2640" s="1"/>
      <c r="AI2640" s="1"/>
      <c r="AJ2640" s="3">
        <v>9</v>
      </c>
      <c r="AK2640" s="1" t="s">
        <v>16527</v>
      </c>
      <c r="AL2640" s="3">
        <v>20</v>
      </c>
      <c r="AM2640" s="1"/>
      <c r="AN2640" s="1"/>
      <c r="AO2640" s="1" t="s">
        <v>18948</v>
      </c>
      <c r="AP2640" s="1" t="s">
        <v>18949</v>
      </c>
      <c r="AQ2640" s="1" t="s">
        <v>18950</v>
      </c>
      <c r="AR2640" s="1" t="s">
        <v>18951</v>
      </c>
    </row>
    <row r="2641">
      <c r="A2641" s="2">
        <f ca="1">DATE(2010,08,12)</f>
        <v>0</v>
      </c>
      <c r="B2641" s="2">
        <f ca="1">DATE(2010,11,17)</f>
        <v>0</v>
      </c>
      <c r="C2641" s="1" t="s">
        <v>18952</v>
      </c>
      <c r="D2641" s="3">
        <v>6726</v>
      </c>
      <c r="E2641" s="1" t="s">
        <v>43</v>
      </c>
      <c r="F2641" s="1" t="s">
        <v>18953</v>
      </c>
      <c r="G2641" s="1" t="s">
        <v>15222</v>
      </c>
      <c r="H2641" s="4">
        <v>0.55000000000000004</v>
      </c>
      <c r="I2641" s="4">
        <v>5.5</v>
      </c>
      <c r="J2641" s="5">
        <v>125</v>
      </c>
      <c r="K2641" s="4">
        <v>10</v>
      </c>
      <c r="L2641" s="1" t="s">
        <v>31</v>
      </c>
      <c r="M2641" s="1" t="s">
        <v>47</v>
      </c>
      <c r="N2641" s="1" t="s">
        <v>18954</v>
      </c>
      <c r="O2641" s="1" t="s">
        <v>77</v>
      </c>
      <c r="P2641" s="1" t="s">
        <v>18955</v>
      </c>
      <c r="Q2641" s="1" t="s">
        <v>145</v>
      </c>
      <c r="R2641" s="1" t="s">
        <v>145</v>
      </c>
      <c r="S2641" s="1"/>
      <c r="T2641" s="1" t="s">
        <v>50</v>
      </c>
      <c r="U2641" s="8">
        <v>10</v>
      </c>
      <c r="V2641" s="8">
        <v>10</v>
      </c>
      <c r="W2641" s="7">
        <v>15000000</v>
      </c>
      <c r="X2641" s="5">
        <v>150</v>
      </c>
      <c r="Y2641" s="7">
        <v>12500000</v>
      </c>
      <c r="Z2641" s="1"/>
      <c r="AA2641" s="1" t="s">
        <v>18956</v>
      </c>
      <c r="AB2641" s="1" t="s">
        <v>2067</v>
      </c>
      <c r="AC2641" s="1" t="s">
        <v>2068</v>
      </c>
      <c r="AD2641" s="1" t="s">
        <v>2067</v>
      </c>
      <c r="AE2641" s="1" t="s">
        <v>51</v>
      </c>
      <c r="AF2641" s="1" t="s">
        <v>51</v>
      </c>
      <c r="AG2641" s="1" t="s">
        <v>51</v>
      </c>
      <c r="AH2641" s="1"/>
      <c r="AI2641" s="1"/>
      <c r="AJ2641" s="3">
        <v>1</v>
      </c>
      <c r="AK2641" s="1" t="s">
        <v>52</v>
      </c>
      <c r="AL2641" s="3">
        <v>4</v>
      </c>
      <c r="AM2641" s="1"/>
      <c r="AN2641" s="1"/>
      <c r="AO2641" s="1" t="s">
        <v>18957</v>
      </c>
      <c r="AP2641" s="1" t="s">
        <v>15222</v>
      </c>
      <c r="AQ2641" s="1" t="s">
        <v>18958</v>
      </c>
      <c r="AR2641" s="1" t="s">
        <v>18955</v>
      </c>
    </row>
    <row r="2642">
      <c r="A2642" s="2">
        <f ca="1">DATE(2010,06,04)</f>
        <v>0</v>
      </c>
      <c r="B2642" s="2">
        <f ca="1">DATE(2010,11,17)</f>
        <v>0</v>
      </c>
      <c r="C2642" s="1" t="s">
        <v>18959</v>
      </c>
      <c r="D2642" s="3">
        <v>6289</v>
      </c>
      <c r="E2642" s="1" t="s">
        <v>43</v>
      </c>
      <c r="F2642" s="1" t="s">
        <v>18960</v>
      </c>
      <c r="G2642" s="1" t="s">
        <v>18961</v>
      </c>
      <c r="H2642" s="4">
        <v>1.575</v>
      </c>
      <c r="I2642" s="4">
        <v>5.25</v>
      </c>
      <c r="J2642" s="5">
        <v>469.69999999999999</v>
      </c>
      <c r="K2642" s="4">
        <v>30</v>
      </c>
      <c r="L2642" s="1" t="s">
        <v>46</v>
      </c>
      <c r="M2642" s="1" t="s">
        <v>47</v>
      </c>
      <c r="N2642" s="1" t="s">
        <v>18962</v>
      </c>
      <c r="O2642" s="1" t="s">
        <v>48</v>
      </c>
      <c r="P2642" s="1" t="s">
        <v>18963</v>
      </c>
      <c r="Q2642" s="4">
        <v>1.2</v>
      </c>
      <c r="R2642" s="4">
        <v>1.2</v>
      </c>
      <c r="S2642" s="8">
        <v>3.6000000000000001</v>
      </c>
      <c r="T2642" s="1" t="s">
        <v>50</v>
      </c>
      <c r="U2642" s="1"/>
      <c r="V2642" s="1"/>
      <c r="W2642" s="1"/>
      <c r="X2642" s="5">
        <v>600</v>
      </c>
      <c r="Y2642" s="1"/>
      <c r="Z2642" s="7">
        <v>15657482</v>
      </c>
      <c r="AA2642" s="1" t="s">
        <v>18964</v>
      </c>
      <c r="AB2642" s="1" t="s">
        <v>5265</v>
      </c>
      <c r="AC2642" s="1" t="s">
        <v>7759</v>
      </c>
      <c r="AD2642" s="1" t="s">
        <v>5265</v>
      </c>
      <c r="AE2642" s="1" t="s">
        <v>51</v>
      </c>
      <c r="AF2642" s="1" t="s">
        <v>51</v>
      </c>
      <c r="AG2642" s="1" t="s">
        <v>51</v>
      </c>
      <c r="AH2642" s="1"/>
      <c r="AI2642" s="1"/>
      <c r="AJ2642" s="3">
        <v>4</v>
      </c>
      <c r="AK2642" s="1" t="s">
        <v>1209</v>
      </c>
      <c r="AL2642" s="3">
        <v>12</v>
      </c>
      <c r="AM2642" s="1"/>
      <c r="AN2642" s="1"/>
      <c r="AO2642" s="1" t="s">
        <v>18965</v>
      </c>
      <c r="AP2642" s="1" t="s">
        <v>18966</v>
      </c>
      <c r="AQ2642" s="1" t="s">
        <v>18967</v>
      </c>
      <c r="AR2642" s="1" t="s">
        <v>18968</v>
      </c>
    </row>
    <row r="2643">
      <c r="A2643" s="2">
        <f ca="1">DATE(2010,04,06)</f>
        <v>0</v>
      </c>
      <c r="B2643" s="2">
        <f ca="1">DATE(2010,11,18)</f>
        <v>0</v>
      </c>
      <c r="C2643" s="1" t="s">
        <v>18969</v>
      </c>
      <c r="D2643" s="3">
        <v>3674</v>
      </c>
      <c r="E2643" s="1" t="s">
        <v>43</v>
      </c>
      <c r="F2643" s="1" t="s">
        <v>18970</v>
      </c>
      <c r="G2643" s="1" t="s">
        <v>18971</v>
      </c>
      <c r="H2643" s="4">
        <v>0.84399999999999997</v>
      </c>
      <c r="I2643" s="8">
        <v>6.25</v>
      </c>
      <c r="J2643" s="5">
        <v>232.90000000000001</v>
      </c>
      <c r="K2643" s="4">
        <v>13.5</v>
      </c>
      <c r="L2643" s="1" t="s">
        <v>46</v>
      </c>
      <c r="M2643" s="1" t="s">
        <v>47</v>
      </c>
      <c r="N2643" s="1" t="s">
        <v>18972</v>
      </c>
      <c r="O2643" s="1" t="s">
        <v>108</v>
      </c>
      <c r="P2643" s="1" t="s">
        <v>18973</v>
      </c>
      <c r="Q2643" s="8">
        <v>1.25</v>
      </c>
      <c r="R2643" s="8">
        <v>1.25</v>
      </c>
      <c r="S2643" s="6">
        <v>3.7503700000000002</v>
      </c>
      <c r="T2643" s="1" t="s">
        <v>50</v>
      </c>
      <c r="U2643" s="1"/>
      <c r="V2643" s="1"/>
      <c r="W2643" s="1"/>
      <c r="X2643" s="5">
        <v>500</v>
      </c>
      <c r="Y2643" s="7">
        <v>17250000</v>
      </c>
      <c r="Z2643" s="1"/>
      <c r="AA2643" s="1" t="s">
        <v>18974</v>
      </c>
      <c r="AB2643" s="1" t="s">
        <v>5265</v>
      </c>
      <c r="AC2643" s="1" t="s">
        <v>7759</v>
      </c>
      <c r="AD2643" s="1" t="s">
        <v>5265</v>
      </c>
      <c r="AE2643" s="1" t="s">
        <v>51</v>
      </c>
      <c r="AF2643" s="1" t="s">
        <v>51</v>
      </c>
      <c r="AG2643" s="1" t="s">
        <v>51</v>
      </c>
      <c r="AH2643" s="1"/>
      <c r="AI2643" s="1"/>
      <c r="AJ2643" s="3">
        <v>4</v>
      </c>
      <c r="AK2643" s="1" t="s">
        <v>1209</v>
      </c>
      <c r="AL2643" s="3">
        <v>10</v>
      </c>
      <c r="AM2643" s="1"/>
      <c r="AN2643" s="1"/>
      <c r="AO2643" s="1" t="s">
        <v>18975</v>
      </c>
      <c r="AP2643" s="1" t="s">
        <v>18976</v>
      </c>
      <c r="AQ2643" s="1" t="s">
        <v>18977</v>
      </c>
      <c r="AR2643" s="1" t="s">
        <v>18978</v>
      </c>
    </row>
    <row r="2644">
      <c r="A2644" s="2">
        <f ca="1">DATE(2010,11,04)</f>
        <v>0</v>
      </c>
      <c r="B2644" s="2">
        <f ca="1">DATE(2010,11,18)</f>
        <v>0</v>
      </c>
      <c r="C2644" s="1" t="s">
        <v>18979</v>
      </c>
      <c r="D2644" s="3">
        <v>5699</v>
      </c>
      <c r="E2644" s="1" t="s">
        <v>744</v>
      </c>
      <c r="F2644" s="1" t="s">
        <v>18980</v>
      </c>
      <c r="G2644" s="1" t="s">
        <v>13807</v>
      </c>
      <c r="H2644" s="4">
        <v>0.77000000000000002</v>
      </c>
      <c r="I2644" s="4">
        <v>7</v>
      </c>
      <c r="J2644" s="5">
        <v>88</v>
      </c>
      <c r="K2644" s="4">
        <v>11</v>
      </c>
      <c r="L2644" s="1" t="s">
        <v>651</v>
      </c>
      <c r="M2644" s="1" t="s">
        <v>47</v>
      </c>
      <c r="N2644" s="1"/>
      <c r="O2644" s="1" t="s">
        <v>108</v>
      </c>
      <c r="P2644" s="1" t="s">
        <v>18981</v>
      </c>
      <c r="Q2644" s="1" t="s">
        <v>145</v>
      </c>
      <c r="R2644" s="1" t="s">
        <v>145</v>
      </c>
      <c r="S2644" s="1"/>
      <c r="T2644" s="1" t="s">
        <v>50</v>
      </c>
      <c r="U2644" s="1"/>
      <c r="V2644" s="1"/>
      <c r="W2644" s="1"/>
      <c r="X2644" s="5">
        <v>125</v>
      </c>
      <c r="Y2644" s="7">
        <v>8000000</v>
      </c>
      <c r="Z2644" s="1"/>
      <c r="AA2644" s="1" t="s">
        <v>18982</v>
      </c>
      <c r="AB2644" s="1" t="s">
        <v>2067</v>
      </c>
      <c r="AC2644" s="1" t="s">
        <v>2068</v>
      </c>
      <c r="AD2644" s="1" t="s">
        <v>2067</v>
      </c>
      <c r="AE2644" s="1" t="s">
        <v>47</v>
      </c>
      <c r="AF2644" s="1" t="s">
        <v>51</v>
      </c>
      <c r="AG2644" s="1" t="s">
        <v>51</v>
      </c>
      <c r="AH2644" s="1"/>
      <c r="AI2644" s="1"/>
      <c r="AJ2644" s="3">
        <v>1</v>
      </c>
      <c r="AK2644" s="1" t="s">
        <v>52</v>
      </c>
      <c r="AL2644" s="3">
        <v>4</v>
      </c>
      <c r="AM2644" s="1"/>
      <c r="AN2644" s="1"/>
      <c r="AO2644" s="1" t="s">
        <v>18983</v>
      </c>
      <c r="AP2644" s="1" t="s">
        <v>13807</v>
      </c>
      <c r="AQ2644" s="1" t="s">
        <v>18984</v>
      </c>
      <c r="AR2644" s="1" t="s">
        <v>18985</v>
      </c>
    </row>
    <row r="2645">
      <c r="A2645" s="2">
        <f ca="1">DATE(2010,08,19)</f>
        <v>0</v>
      </c>
      <c r="B2645" s="2">
        <f ca="1">DATE(2010,11,19)</f>
        <v>0</v>
      </c>
      <c r="C2645" s="1" t="s">
        <v>18986</v>
      </c>
      <c r="D2645" s="3">
        <v>3199</v>
      </c>
      <c r="E2645" s="1" t="s">
        <v>744</v>
      </c>
      <c r="F2645" s="1" t="s">
        <v>18987</v>
      </c>
      <c r="G2645" s="1" t="s">
        <v>10277</v>
      </c>
      <c r="H2645" s="4">
        <v>0.28000000000000003</v>
      </c>
      <c r="I2645" s="4">
        <v>7</v>
      </c>
      <c r="J2645" s="5">
        <v>10</v>
      </c>
      <c r="K2645" s="4">
        <v>4</v>
      </c>
      <c r="L2645" s="1" t="s">
        <v>1057</v>
      </c>
      <c r="M2645" s="1" t="s">
        <v>47</v>
      </c>
      <c r="N2645" s="1"/>
      <c r="O2645" s="1" t="s">
        <v>48</v>
      </c>
      <c r="P2645" s="1" t="s">
        <v>18988</v>
      </c>
      <c r="Q2645" s="1" t="s">
        <v>145</v>
      </c>
      <c r="R2645" s="1" t="s">
        <v>145</v>
      </c>
      <c r="S2645" s="1"/>
      <c r="T2645" s="1" t="s">
        <v>50</v>
      </c>
      <c r="U2645" s="1"/>
      <c r="V2645" s="1"/>
      <c r="W2645" s="1"/>
      <c r="X2645" s="5">
        <v>17.300000000000001</v>
      </c>
      <c r="Y2645" s="7">
        <v>2500000</v>
      </c>
      <c r="Z2645" s="1"/>
      <c r="AA2645" s="1" t="s">
        <v>18989</v>
      </c>
      <c r="AB2645" s="1" t="s">
        <v>2067</v>
      </c>
      <c r="AC2645" s="1" t="s">
        <v>17709</v>
      </c>
      <c r="AD2645" s="1" t="s">
        <v>2067</v>
      </c>
      <c r="AE2645" s="1" t="s">
        <v>51</v>
      </c>
      <c r="AF2645" s="1" t="s">
        <v>51</v>
      </c>
      <c r="AG2645" s="1" t="s">
        <v>51</v>
      </c>
      <c r="AH2645" s="1"/>
      <c r="AI2645" s="1"/>
      <c r="AJ2645" s="3">
        <v>1</v>
      </c>
      <c r="AK2645" s="1" t="s">
        <v>52</v>
      </c>
      <c r="AL2645" s="3">
        <v>2</v>
      </c>
      <c r="AM2645" s="1"/>
      <c r="AN2645" s="1"/>
      <c r="AO2645" s="1" t="s">
        <v>18990</v>
      </c>
      <c r="AP2645" s="1" t="s">
        <v>10277</v>
      </c>
      <c r="AQ2645" s="1" t="s">
        <v>18991</v>
      </c>
      <c r="AR2645" s="1" t="s">
        <v>18992</v>
      </c>
    </row>
    <row r="2646">
      <c r="A2646" s="2">
        <f ca="1">DATE(2010,09,03)</f>
        <v>0</v>
      </c>
      <c r="B2646" s="2">
        <f ca="1">DATE(2010,11,22)</f>
        <v>0</v>
      </c>
      <c r="C2646" s="1" t="s">
        <v>18993</v>
      </c>
      <c r="D2646" s="3">
        <v>2834</v>
      </c>
      <c r="E2646" s="1" t="s">
        <v>43</v>
      </c>
      <c r="F2646" s="1" t="s">
        <v>18994</v>
      </c>
      <c r="G2646" s="1" t="s">
        <v>18995</v>
      </c>
      <c r="H2646" s="4">
        <v>0.098000000000000004</v>
      </c>
      <c r="I2646" s="4">
        <v>2.4529999999999998</v>
      </c>
      <c r="J2646" s="5">
        <v>56</v>
      </c>
      <c r="K2646" s="4">
        <v>4</v>
      </c>
      <c r="L2646" s="1" t="s">
        <v>46</v>
      </c>
      <c r="M2646" s="1" t="s">
        <v>47</v>
      </c>
      <c r="N2646" s="1" t="s">
        <v>18996</v>
      </c>
      <c r="O2646" s="1" t="s">
        <v>48</v>
      </c>
      <c r="P2646" s="1" t="s">
        <v>18997</v>
      </c>
      <c r="Q2646" s="1" t="s">
        <v>145</v>
      </c>
      <c r="R2646" s="1" t="s">
        <v>145</v>
      </c>
      <c r="S2646" s="8">
        <v>4.2000000000000002</v>
      </c>
      <c r="T2646" s="1" t="s">
        <v>50</v>
      </c>
      <c r="U2646" s="1"/>
      <c r="V2646" s="1"/>
      <c r="W2646" s="1"/>
      <c r="X2646" s="5">
        <v>90</v>
      </c>
      <c r="Y2646" s="7">
        <v>14000000</v>
      </c>
      <c r="Z2646" s="1"/>
      <c r="AA2646" s="1" t="s">
        <v>18998</v>
      </c>
      <c r="AB2646" s="1" t="s">
        <v>5265</v>
      </c>
      <c r="AC2646" s="1" t="s">
        <v>7759</v>
      </c>
      <c r="AD2646" s="1" t="s">
        <v>5265</v>
      </c>
      <c r="AE2646" s="1" t="s">
        <v>51</v>
      </c>
      <c r="AF2646" s="1" t="s">
        <v>51</v>
      </c>
      <c r="AG2646" s="1" t="s">
        <v>47</v>
      </c>
      <c r="AH2646" s="1"/>
      <c r="AI2646" s="1"/>
      <c r="AJ2646" s="3">
        <v>2</v>
      </c>
      <c r="AK2646" s="1" t="s">
        <v>89</v>
      </c>
      <c r="AL2646" s="3">
        <v>4</v>
      </c>
      <c r="AM2646" s="1"/>
      <c r="AN2646" s="1"/>
      <c r="AO2646" s="1" t="s">
        <v>18999</v>
      </c>
      <c r="AP2646" s="1" t="s">
        <v>19000</v>
      </c>
      <c r="AQ2646" s="1" t="s">
        <v>19001</v>
      </c>
      <c r="AR2646" s="1" t="s">
        <v>18997</v>
      </c>
    </row>
    <row r="2647">
      <c r="A2647" s="2">
        <f ca="1">DATE(2010,09,10)</f>
        <v>0</v>
      </c>
      <c r="B2647" s="2">
        <f ca="1">DATE(2010,11,23)</f>
        <v>0</v>
      </c>
      <c r="C2647" s="1" t="s">
        <v>19002</v>
      </c>
      <c r="D2647" s="3">
        <v>8731</v>
      </c>
      <c r="E2647" s="1" t="s">
        <v>43</v>
      </c>
      <c r="F2647" s="1" t="s">
        <v>19003</v>
      </c>
      <c r="G2647" s="1" t="s">
        <v>19004</v>
      </c>
      <c r="H2647" s="4">
        <v>0.34999999999999998</v>
      </c>
      <c r="I2647" s="8">
        <v>7</v>
      </c>
      <c r="J2647" s="5">
        <v>60</v>
      </c>
      <c r="K2647" s="4">
        <v>5</v>
      </c>
      <c r="L2647" s="1" t="s">
        <v>46</v>
      </c>
      <c r="M2647" s="1" t="s">
        <v>47</v>
      </c>
      <c r="N2647" s="1" t="s">
        <v>19005</v>
      </c>
      <c r="O2647" s="1" t="s">
        <v>48</v>
      </c>
      <c r="P2647" s="1" t="s">
        <v>19006</v>
      </c>
      <c r="Q2647" s="1" t="s">
        <v>145</v>
      </c>
      <c r="R2647" s="1" t="s">
        <v>145</v>
      </c>
      <c r="S2647" s="1"/>
      <c r="T2647" s="1" t="s">
        <v>50</v>
      </c>
      <c r="U2647" s="1"/>
      <c r="V2647" s="1"/>
      <c r="W2647" s="1"/>
      <c r="X2647" s="5">
        <v>86.299999999999997</v>
      </c>
      <c r="Y2647" s="7">
        <v>12000000</v>
      </c>
      <c r="Z2647" s="1"/>
      <c r="AA2647" s="1" t="s">
        <v>19007</v>
      </c>
      <c r="AB2647" s="1" t="s">
        <v>5265</v>
      </c>
      <c r="AC2647" s="1" t="s">
        <v>7759</v>
      </c>
      <c r="AD2647" s="1" t="s">
        <v>5265</v>
      </c>
      <c r="AE2647" s="1" t="s">
        <v>51</v>
      </c>
      <c r="AF2647" s="1" t="s">
        <v>51</v>
      </c>
      <c r="AG2647" s="1" t="s">
        <v>47</v>
      </c>
      <c r="AH2647" s="1"/>
      <c r="AI2647" s="1"/>
      <c r="AJ2647" s="3">
        <v>2</v>
      </c>
      <c r="AK2647" s="1" t="s">
        <v>89</v>
      </c>
      <c r="AL2647" s="3">
        <v>4</v>
      </c>
      <c r="AM2647" s="1"/>
      <c r="AN2647" s="1"/>
      <c r="AO2647" s="1" t="s">
        <v>19008</v>
      </c>
      <c r="AP2647" s="1" t="s">
        <v>19009</v>
      </c>
      <c r="AQ2647" s="1" t="s">
        <v>19010</v>
      </c>
      <c r="AR2647" s="1" t="s">
        <v>19011</v>
      </c>
    </row>
    <row r="2648">
      <c r="A2648" s="2">
        <f ca="1">DATE(2010,08,17)</f>
        <v>0</v>
      </c>
      <c r="B2648" s="2">
        <f ca="1">DATE(2010,11,23)</f>
        <v>0</v>
      </c>
      <c r="C2648" s="1" t="s">
        <v>19012</v>
      </c>
      <c r="D2648" s="3">
        <v>6726</v>
      </c>
      <c r="E2648" s="1" t="s">
        <v>43</v>
      </c>
      <c r="F2648" s="1" t="s">
        <v>19013</v>
      </c>
      <c r="G2648" s="1" t="s">
        <v>19014</v>
      </c>
      <c r="H2648" s="4">
        <v>1.125</v>
      </c>
      <c r="I2648" s="4">
        <v>4.5</v>
      </c>
      <c r="J2648" s="5">
        <v>280</v>
      </c>
      <c r="K2648" s="4">
        <v>25</v>
      </c>
      <c r="L2648" s="1" t="s">
        <v>46</v>
      </c>
      <c r="M2648" s="1" t="s">
        <v>47</v>
      </c>
      <c r="N2648" s="1" t="s">
        <v>19015</v>
      </c>
      <c r="O2648" s="1" t="s">
        <v>108</v>
      </c>
      <c r="P2648" s="1" t="s">
        <v>19016</v>
      </c>
      <c r="Q2648" s="1" t="s">
        <v>145</v>
      </c>
      <c r="R2648" s="1" t="s">
        <v>145</v>
      </c>
      <c r="S2648" s="8">
        <v>3</v>
      </c>
      <c r="T2648" s="1" t="s">
        <v>50</v>
      </c>
      <c r="U2648" s="8">
        <v>20</v>
      </c>
      <c r="V2648" s="8">
        <v>20</v>
      </c>
      <c r="W2648" s="7">
        <v>50000</v>
      </c>
      <c r="X2648" s="5">
        <v>1</v>
      </c>
      <c r="Y2648" s="7">
        <v>11200000</v>
      </c>
      <c r="Z2648" s="1"/>
      <c r="AA2648" s="1"/>
      <c r="AB2648" s="1"/>
      <c r="AC2648" s="1"/>
      <c r="AD2648" s="1"/>
      <c r="AE2648" s="1" t="s">
        <v>51</v>
      </c>
      <c r="AF2648" s="1" t="s">
        <v>51</v>
      </c>
      <c r="AG2648" s="1" t="s">
        <v>51</v>
      </c>
      <c r="AH2648" s="1"/>
      <c r="AI2648" s="1"/>
      <c r="AJ2648" s="3">
        <v>2</v>
      </c>
      <c r="AK2648" s="1" t="s">
        <v>89</v>
      </c>
      <c r="AL2648" s="3">
        <v>13</v>
      </c>
      <c r="AM2648" s="1"/>
      <c r="AN2648" s="1"/>
      <c r="AO2648" s="1" t="s">
        <v>19017</v>
      </c>
      <c r="AP2648" s="1" t="s">
        <v>19018</v>
      </c>
      <c r="AQ2648" s="1" t="s">
        <v>19019</v>
      </c>
      <c r="AR2648" s="1" t="s">
        <v>19020</v>
      </c>
    </row>
    <row r="2649">
      <c r="A2649" s="2">
        <f ca="1">DATE(2010,09,02)</f>
        <v>0</v>
      </c>
      <c r="B2649" s="2">
        <f ca="1">DATE(2010,11,23)</f>
        <v>0</v>
      </c>
      <c r="C2649" s="1" t="s">
        <v>19021</v>
      </c>
      <c r="D2649" s="3">
        <v>6726</v>
      </c>
      <c r="E2649" s="1" t="s">
        <v>43</v>
      </c>
      <c r="F2649" s="1" t="s">
        <v>19022</v>
      </c>
      <c r="G2649" s="1" t="s">
        <v>19023</v>
      </c>
      <c r="H2649" s="4">
        <v>1.125</v>
      </c>
      <c r="I2649" s="4">
        <v>4.5</v>
      </c>
      <c r="J2649" s="5">
        <v>475</v>
      </c>
      <c r="K2649" s="4">
        <v>25</v>
      </c>
      <c r="L2649" s="1" t="s">
        <v>46</v>
      </c>
      <c r="M2649" s="1" t="s">
        <v>47</v>
      </c>
      <c r="N2649" s="1" t="s">
        <v>19024</v>
      </c>
      <c r="O2649" s="1" t="s">
        <v>108</v>
      </c>
      <c r="P2649" s="1" t="s">
        <v>19025</v>
      </c>
      <c r="Q2649" s="1" t="s">
        <v>145</v>
      </c>
      <c r="R2649" s="1" t="s">
        <v>145</v>
      </c>
      <c r="S2649" s="8">
        <v>3</v>
      </c>
      <c r="T2649" s="1" t="s">
        <v>50</v>
      </c>
      <c r="U2649" s="1"/>
      <c r="V2649" s="1"/>
      <c r="W2649" s="1"/>
      <c r="X2649" s="5">
        <v>5</v>
      </c>
      <c r="Y2649" s="7">
        <v>19000000</v>
      </c>
      <c r="Z2649" s="1"/>
      <c r="AA2649" s="1"/>
      <c r="AB2649" s="1"/>
      <c r="AC2649" s="1"/>
      <c r="AD2649" s="1"/>
      <c r="AE2649" s="1" t="s">
        <v>51</v>
      </c>
      <c r="AF2649" s="1" t="s">
        <v>51</v>
      </c>
      <c r="AG2649" s="1" t="s">
        <v>51</v>
      </c>
      <c r="AH2649" s="1"/>
      <c r="AI2649" s="1"/>
      <c r="AJ2649" s="3">
        <v>5</v>
      </c>
      <c r="AK2649" s="1" t="s">
        <v>3985</v>
      </c>
      <c r="AL2649" s="3">
        <v>16</v>
      </c>
      <c r="AM2649" s="1"/>
      <c r="AN2649" s="1"/>
      <c r="AO2649" s="1" t="s">
        <v>19026</v>
      </c>
      <c r="AP2649" s="1" t="s">
        <v>19027</v>
      </c>
      <c r="AQ2649" s="1" t="s">
        <v>19028</v>
      </c>
      <c r="AR2649" s="1" t="s">
        <v>19029</v>
      </c>
    </row>
    <row r="2650">
      <c r="A2650" s="2">
        <f ca="1">DATE(2010,08,20)</f>
        <v>0</v>
      </c>
      <c r="B2650" s="2">
        <f ca="1">DATE(2010,11,23)</f>
        <v>0</v>
      </c>
      <c r="C2650" s="1" t="s">
        <v>19030</v>
      </c>
      <c r="D2650" s="3">
        <v>6726</v>
      </c>
      <c r="E2650" s="1" t="s">
        <v>43</v>
      </c>
      <c r="F2650" s="1" t="s">
        <v>19031</v>
      </c>
      <c r="G2650" s="1" t="s">
        <v>9810</v>
      </c>
      <c r="H2650" s="4">
        <v>0.69999999999999996</v>
      </c>
      <c r="I2650" s="8">
        <v>7</v>
      </c>
      <c r="J2650" s="5">
        <v>40</v>
      </c>
      <c r="K2650" s="4">
        <v>10</v>
      </c>
      <c r="L2650" s="1" t="s">
        <v>31</v>
      </c>
      <c r="M2650" s="1" t="s">
        <v>47</v>
      </c>
      <c r="N2650" s="1" t="s">
        <v>19032</v>
      </c>
      <c r="O2650" s="1" t="s">
        <v>77</v>
      </c>
      <c r="P2650" s="1" t="s">
        <v>9811</v>
      </c>
      <c r="Q2650" s="1" t="s">
        <v>145</v>
      </c>
      <c r="R2650" s="1" t="s">
        <v>145</v>
      </c>
      <c r="S2650" s="1"/>
      <c r="T2650" s="1" t="s">
        <v>50</v>
      </c>
      <c r="U2650" s="8">
        <v>10</v>
      </c>
      <c r="V2650" s="8">
        <v>10</v>
      </c>
      <c r="W2650" s="7">
        <v>5000000</v>
      </c>
      <c r="X2650" s="5">
        <v>50</v>
      </c>
      <c r="Y2650" s="7">
        <v>4000000</v>
      </c>
      <c r="Z2650" s="1"/>
      <c r="AA2650" s="2">
        <f ca="1">DATE(2011,05,22)</f>
        <v>0</v>
      </c>
      <c r="AB2650" s="4">
        <v>64</v>
      </c>
      <c r="AC2650" s="3">
        <v>180</v>
      </c>
      <c r="AD2650" s="8">
        <v>4000000</v>
      </c>
      <c r="AE2650" s="1" t="s">
        <v>51</v>
      </c>
      <c r="AF2650" s="1" t="s">
        <v>51</v>
      </c>
      <c r="AG2650" s="1" t="s">
        <v>51</v>
      </c>
      <c r="AH2650" s="1"/>
      <c r="AI2650" s="1"/>
      <c r="AJ2650" s="3">
        <v>1</v>
      </c>
      <c r="AK2650" s="1" t="s">
        <v>52</v>
      </c>
      <c r="AL2650" s="3">
        <v>2</v>
      </c>
      <c r="AM2650" s="1"/>
      <c r="AN2650" s="1"/>
      <c r="AO2650" s="1" t="s">
        <v>9812</v>
      </c>
      <c r="AP2650" s="1" t="s">
        <v>9810</v>
      </c>
      <c r="AQ2650" s="1" t="s">
        <v>9813</v>
      </c>
      <c r="AR2650" s="1" t="s">
        <v>9811</v>
      </c>
    </row>
    <row r="2651">
      <c r="A2651" s="2">
        <f ca="1">DATE(2010,06,09)</f>
        <v>0</v>
      </c>
      <c r="B2651" s="2">
        <f ca="1">DATE(2010,11,23)</f>
        <v>0</v>
      </c>
      <c r="C2651" s="1" t="s">
        <v>19033</v>
      </c>
      <c r="D2651" s="3">
        <v>6726</v>
      </c>
      <c r="E2651" s="1" t="s">
        <v>43</v>
      </c>
      <c r="F2651" s="1" t="s">
        <v>19034</v>
      </c>
      <c r="G2651" s="1" t="s">
        <v>19035</v>
      </c>
      <c r="H2651" s="4">
        <v>0.90000000000000002</v>
      </c>
      <c r="I2651" s="4">
        <v>4.5</v>
      </c>
      <c r="J2651" s="5">
        <v>140</v>
      </c>
      <c r="K2651" s="4">
        <v>20</v>
      </c>
      <c r="L2651" s="1" t="s">
        <v>46</v>
      </c>
      <c r="M2651" s="1" t="s">
        <v>47</v>
      </c>
      <c r="N2651" s="1" t="s">
        <v>19036</v>
      </c>
      <c r="O2651" s="1" t="s">
        <v>108</v>
      </c>
      <c r="P2651" s="1" t="s">
        <v>19037</v>
      </c>
      <c r="Q2651" s="1" t="s">
        <v>145</v>
      </c>
      <c r="R2651" s="1" t="s">
        <v>145</v>
      </c>
      <c r="S2651" s="8">
        <v>3</v>
      </c>
      <c r="T2651" s="1" t="s">
        <v>50</v>
      </c>
      <c r="U2651" s="8">
        <v>20</v>
      </c>
      <c r="V2651" s="8">
        <v>20</v>
      </c>
      <c r="W2651" s="1"/>
      <c r="X2651" s="5">
        <v>0</v>
      </c>
      <c r="Y2651" s="7">
        <v>7000000</v>
      </c>
      <c r="Z2651" s="1"/>
      <c r="AA2651" s="1"/>
      <c r="AB2651" s="1"/>
      <c r="AC2651" s="1"/>
      <c r="AD2651" s="1"/>
      <c r="AE2651" s="1" t="s">
        <v>51</v>
      </c>
      <c r="AF2651" s="1" t="s">
        <v>51</v>
      </c>
      <c r="AG2651" s="1" t="s">
        <v>51</v>
      </c>
      <c r="AH2651" s="1"/>
      <c r="AI2651" s="1"/>
      <c r="AJ2651" s="3">
        <v>3</v>
      </c>
      <c r="AK2651" s="1" t="s">
        <v>110</v>
      </c>
      <c r="AL2651" s="3">
        <v>10</v>
      </c>
      <c r="AM2651" s="8">
        <v>20</v>
      </c>
      <c r="AN2651" s="1"/>
      <c r="AO2651" s="1" t="s">
        <v>19038</v>
      </c>
      <c r="AP2651" s="1" t="s">
        <v>19039</v>
      </c>
      <c r="AQ2651" s="1" t="s">
        <v>19040</v>
      </c>
      <c r="AR2651" s="1" t="s">
        <v>19041</v>
      </c>
    </row>
    <row r="2652">
      <c r="A2652" s="2">
        <f ca="1">DATE(2010,11,04)</f>
        <v>0</v>
      </c>
      <c r="B2652" s="2">
        <f ca="1">DATE(2010,11,23)</f>
        <v>0</v>
      </c>
      <c r="C2652" s="1" t="s">
        <v>19042</v>
      </c>
      <c r="D2652" s="3">
        <v>6531</v>
      </c>
      <c r="E2652" s="1" t="s">
        <v>744</v>
      </c>
      <c r="F2652" s="1" t="s">
        <v>19043</v>
      </c>
      <c r="G2652" s="1" t="s">
        <v>796</v>
      </c>
      <c r="H2652" s="4">
        <v>0.48999999999999999</v>
      </c>
      <c r="I2652" s="8">
        <v>7</v>
      </c>
      <c r="J2652" s="5">
        <v>67.200000000000003</v>
      </c>
      <c r="K2652" s="4">
        <v>7</v>
      </c>
      <c r="L2652" s="1" t="s">
        <v>651</v>
      </c>
      <c r="M2652" s="1" t="s">
        <v>47</v>
      </c>
      <c r="N2652" s="3">
        <v>872058102</v>
      </c>
      <c r="O2652" s="1" t="s">
        <v>108</v>
      </c>
      <c r="P2652" s="1" t="s">
        <v>19044</v>
      </c>
      <c r="Q2652" s="1" t="s">
        <v>145</v>
      </c>
      <c r="R2652" s="1" t="s">
        <v>145</v>
      </c>
      <c r="S2652" s="8">
        <v>7</v>
      </c>
      <c r="T2652" s="1" t="s">
        <v>50</v>
      </c>
      <c r="U2652" s="1"/>
      <c r="V2652" s="1"/>
      <c r="W2652" s="1"/>
      <c r="X2652" s="5">
        <v>100</v>
      </c>
      <c r="Y2652" s="7">
        <v>9600000</v>
      </c>
      <c r="Z2652" s="1"/>
      <c r="AA2652" s="1" t="s">
        <v>19007</v>
      </c>
      <c r="AB2652" s="1" t="s">
        <v>5265</v>
      </c>
      <c r="AC2652" s="1" t="s">
        <v>7759</v>
      </c>
      <c r="AD2652" s="1" t="s">
        <v>5265</v>
      </c>
      <c r="AE2652" s="1" t="s">
        <v>47</v>
      </c>
      <c r="AF2652" s="1" t="s">
        <v>51</v>
      </c>
      <c r="AG2652" s="1" t="s">
        <v>47</v>
      </c>
      <c r="AH2652" s="1"/>
      <c r="AI2652" s="1"/>
      <c r="AJ2652" s="3">
        <v>1</v>
      </c>
      <c r="AK2652" s="1" t="s">
        <v>52</v>
      </c>
      <c r="AL2652" s="3">
        <v>4</v>
      </c>
      <c r="AM2652" s="1"/>
      <c r="AN2652" s="1"/>
      <c r="AO2652" s="1" t="s">
        <v>19045</v>
      </c>
      <c r="AP2652" s="1" t="s">
        <v>796</v>
      </c>
      <c r="AQ2652" s="1" t="s">
        <v>19046</v>
      </c>
      <c r="AR2652" s="1" t="s">
        <v>19044</v>
      </c>
    </row>
    <row r="2653">
      <c r="A2653" s="2">
        <f ca="1">DATE(2010,09,03)</f>
        <v>0</v>
      </c>
      <c r="B2653" s="2">
        <f ca="1">DATE(2010,12,01)</f>
        <v>0</v>
      </c>
      <c r="C2653" s="1" t="s">
        <v>19047</v>
      </c>
      <c r="D2653" s="3">
        <v>6211</v>
      </c>
      <c r="E2653" s="1" t="s">
        <v>43</v>
      </c>
      <c r="F2653" s="1" t="s">
        <v>19048</v>
      </c>
      <c r="G2653" s="1" t="s">
        <v>19049</v>
      </c>
      <c r="H2653" s="4">
        <v>0.91000000000000003</v>
      </c>
      <c r="I2653" s="4">
        <v>6.5</v>
      </c>
      <c r="J2653" s="5">
        <v>210.80000000000001</v>
      </c>
      <c r="K2653" s="4">
        <v>14</v>
      </c>
      <c r="L2653" s="1" t="s">
        <v>152</v>
      </c>
      <c r="M2653" s="1" t="s">
        <v>47</v>
      </c>
      <c r="N2653" s="3">
        <v>302693106</v>
      </c>
      <c r="O2653" s="1" t="s">
        <v>108</v>
      </c>
      <c r="P2653" s="1" t="s">
        <v>19050</v>
      </c>
      <c r="Q2653" s="1" t="s">
        <v>145</v>
      </c>
      <c r="R2653" s="1" t="s">
        <v>145</v>
      </c>
      <c r="S2653" s="1"/>
      <c r="T2653" s="1" t="s">
        <v>50</v>
      </c>
      <c r="U2653" s="1"/>
      <c r="V2653" s="1"/>
      <c r="W2653" s="1"/>
      <c r="X2653" s="5">
        <v>200</v>
      </c>
      <c r="Y2653" s="7">
        <v>15060000</v>
      </c>
      <c r="Z2653" s="1"/>
      <c r="AA2653" s="1" t="s">
        <v>19051</v>
      </c>
      <c r="AB2653" s="1" t="s">
        <v>5265</v>
      </c>
      <c r="AC2653" s="1" t="s">
        <v>7759</v>
      </c>
      <c r="AD2653" s="1" t="s">
        <v>5265</v>
      </c>
      <c r="AE2653" s="1" t="s">
        <v>51</v>
      </c>
      <c r="AF2653" s="1" t="s">
        <v>51</v>
      </c>
      <c r="AG2653" s="1" t="s">
        <v>51</v>
      </c>
      <c r="AH2653" s="1"/>
      <c r="AI2653" s="1"/>
      <c r="AJ2653" s="3">
        <v>3</v>
      </c>
      <c r="AK2653" s="1" t="s">
        <v>110</v>
      </c>
      <c r="AL2653" s="3">
        <v>7</v>
      </c>
      <c r="AM2653" s="1"/>
      <c r="AN2653" s="1"/>
      <c r="AO2653" s="1" t="s">
        <v>19052</v>
      </c>
      <c r="AP2653" s="1" t="s">
        <v>19053</v>
      </c>
      <c r="AQ2653" s="1" t="s">
        <v>19054</v>
      </c>
      <c r="AR2653" s="1" t="s">
        <v>19055</v>
      </c>
    </row>
    <row r="2654">
      <c r="A2654" s="2">
        <f ca="1">DATE(2010,09,09)</f>
        <v>0</v>
      </c>
      <c r="B2654" s="2">
        <f ca="1">DATE(2010,12,06)</f>
        <v>0</v>
      </c>
      <c r="C2654" s="1" t="s">
        <v>19056</v>
      </c>
      <c r="D2654" s="3">
        <v>4922</v>
      </c>
      <c r="E2654" s="1" t="s">
        <v>43</v>
      </c>
      <c r="F2654" s="1" t="s">
        <v>19057</v>
      </c>
      <c r="G2654" s="1" t="s">
        <v>19058</v>
      </c>
      <c r="H2654" s="4">
        <v>1.21</v>
      </c>
      <c r="I2654" s="4">
        <v>5.5</v>
      </c>
      <c r="J2654" s="5">
        <v>360.30000000000001</v>
      </c>
      <c r="K2654" s="4">
        <v>22</v>
      </c>
      <c r="L2654" s="1" t="s">
        <v>46</v>
      </c>
      <c r="M2654" s="1" t="s">
        <v>47</v>
      </c>
      <c r="N2654" s="1" t="s">
        <v>19059</v>
      </c>
      <c r="O2654" s="1" t="s">
        <v>108</v>
      </c>
      <c r="P2654" s="1" t="s">
        <v>19060</v>
      </c>
      <c r="Q2654" s="4">
        <v>1.1000000000000001</v>
      </c>
      <c r="R2654" s="4">
        <v>1.1000000000000001</v>
      </c>
      <c r="S2654" s="8">
        <v>3.2999999999999998</v>
      </c>
      <c r="T2654" s="1" t="s">
        <v>50</v>
      </c>
      <c r="U2654" s="1"/>
      <c r="V2654" s="1"/>
      <c r="W2654" s="1"/>
      <c r="X2654" s="5">
        <v>300</v>
      </c>
      <c r="Y2654" s="1"/>
      <c r="Z2654" s="7">
        <v>16375000</v>
      </c>
      <c r="AA2654" s="1" t="s">
        <v>19061</v>
      </c>
      <c r="AB2654" s="1" t="s">
        <v>5265</v>
      </c>
      <c r="AC2654" s="1" t="s">
        <v>7759</v>
      </c>
      <c r="AD2654" s="1" t="s">
        <v>5265</v>
      </c>
      <c r="AE2654" s="1" t="s">
        <v>51</v>
      </c>
      <c r="AF2654" s="1" t="s">
        <v>51</v>
      </c>
      <c r="AG2654" s="1" t="s">
        <v>51</v>
      </c>
      <c r="AH2654" s="1"/>
      <c r="AI2654" s="1"/>
      <c r="AJ2654" s="3">
        <v>5</v>
      </c>
      <c r="AK2654" s="1" t="s">
        <v>3985</v>
      </c>
      <c r="AL2654" s="3">
        <v>13</v>
      </c>
      <c r="AM2654" s="1"/>
      <c r="AN2654" s="1"/>
      <c r="AO2654" s="1" t="s">
        <v>19062</v>
      </c>
      <c r="AP2654" s="1" t="s">
        <v>19063</v>
      </c>
      <c r="AQ2654" s="1" t="s">
        <v>19064</v>
      </c>
      <c r="AR2654" s="1" t="s">
        <v>19065</v>
      </c>
    </row>
    <row r="2655">
      <c r="A2655" s="2">
        <f ca="1">DATE(2010,09,03)</f>
        <v>0</v>
      </c>
      <c r="B2655" s="2">
        <f ca="1">DATE(2010,12,07)</f>
        <v>0</v>
      </c>
      <c r="C2655" s="1" t="s">
        <v>19066</v>
      </c>
      <c r="D2655" s="3">
        <v>7361</v>
      </c>
      <c r="E2655" s="1" t="s">
        <v>43</v>
      </c>
      <c r="F2655" s="1" t="s">
        <v>19067</v>
      </c>
      <c r="G2655" s="1" t="s">
        <v>19068</v>
      </c>
      <c r="H2655" s="4">
        <v>0.91000000000000003</v>
      </c>
      <c r="I2655" s="4">
        <v>7</v>
      </c>
      <c r="J2655" s="5">
        <v>30</v>
      </c>
      <c r="K2655" s="4">
        <v>13</v>
      </c>
      <c r="L2655" s="1" t="s">
        <v>46</v>
      </c>
      <c r="M2655" s="1" t="s">
        <v>47</v>
      </c>
      <c r="N2655" s="1" t="s">
        <v>19069</v>
      </c>
      <c r="O2655" s="1" t="s">
        <v>16605</v>
      </c>
      <c r="P2655" s="1" t="s">
        <v>19070</v>
      </c>
      <c r="Q2655" s="1" t="s">
        <v>145</v>
      </c>
      <c r="R2655" s="1" t="s">
        <v>145</v>
      </c>
      <c r="S2655" s="6">
        <v>3.5076900000000002</v>
      </c>
      <c r="T2655" s="1" t="s">
        <v>50</v>
      </c>
      <c r="U2655" s="1"/>
      <c r="V2655" s="1"/>
      <c r="W2655" s="1"/>
      <c r="X2655" s="5">
        <v>34.5</v>
      </c>
      <c r="Y2655" s="7">
        <v>1869220</v>
      </c>
      <c r="Z2655" s="7">
        <v>438472</v>
      </c>
      <c r="AA2655" s="1" t="s">
        <v>19071</v>
      </c>
      <c r="AB2655" s="1" t="s">
        <v>13651</v>
      </c>
      <c r="AC2655" s="1" t="s">
        <v>16884</v>
      </c>
      <c r="AD2655" s="1" t="s">
        <v>13651</v>
      </c>
      <c r="AE2655" s="1" t="s">
        <v>51</v>
      </c>
      <c r="AF2655" s="1" t="s">
        <v>51</v>
      </c>
      <c r="AG2655" s="1" t="s">
        <v>51</v>
      </c>
      <c r="AH2655" s="1"/>
      <c r="AI2655" s="1"/>
      <c r="AJ2655" s="3">
        <v>2</v>
      </c>
      <c r="AK2655" s="1" t="s">
        <v>89</v>
      </c>
      <c r="AL2655" s="3">
        <v>2</v>
      </c>
      <c r="AM2655" s="8">
        <v>13</v>
      </c>
      <c r="AN2655" s="1"/>
      <c r="AO2655" s="1" t="s">
        <v>19072</v>
      </c>
      <c r="AP2655" s="1" t="s">
        <v>19073</v>
      </c>
      <c r="AQ2655" s="1" t="s">
        <v>19074</v>
      </c>
      <c r="AR2655" s="1" t="s">
        <v>19075</v>
      </c>
    </row>
    <row r="2656">
      <c r="A2656" s="2">
        <f ca="1">DATE(2010,11,17)</f>
        <v>0</v>
      </c>
      <c r="B2656" s="2">
        <f ca="1">DATE(2010,12,07)</f>
        <v>0</v>
      </c>
      <c r="C2656" s="1" t="s">
        <v>19076</v>
      </c>
      <c r="D2656" s="3">
        <v>5961</v>
      </c>
      <c r="E2656" s="1" t="s">
        <v>744</v>
      </c>
      <c r="F2656" s="1" t="s">
        <v>19077</v>
      </c>
      <c r="G2656" s="1" t="s">
        <v>13593</v>
      </c>
      <c r="H2656" s="4">
        <v>1.0660000000000001</v>
      </c>
      <c r="I2656" s="4">
        <v>6.6600000000000001</v>
      </c>
      <c r="J2656" s="5">
        <v>272</v>
      </c>
      <c r="K2656" s="4">
        <v>16</v>
      </c>
      <c r="L2656" s="1" t="s">
        <v>651</v>
      </c>
      <c r="M2656" s="1" t="s">
        <v>47</v>
      </c>
      <c r="N2656" s="1" t="s">
        <v>19078</v>
      </c>
      <c r="O2656" s="1" t="s">
        <v>108</v>
      </c>
      <c r="P2656" s="1" t="s">
        <v>19079</v>
      </c>
      <c r="Q2656" s="4">
        <v>1.3320000000000001</v>
      </c>
      <c r="R2656" s="4">
        <v>1.3320000000000001</v>
      </c>
      <c r="S2656" s="4">
        <v>3.996</v>
      </c>
      <c r="T2656" s="1" t="s">
        <v>50</v>
      </c>
      <c r="U2656" s="1"/>
      <c r="V2656" s="1"/>
      <c r="W2656" s="1"/>
      <c r="X2656" s="5">
        <v>200</v>
      </c>
      <c r="Y2656" s="7">
        <v>13200000</v>
      </c>
      <c r="Z2656" s="7">
        <v>3800000</v>
      </c>
      <c r="AA2656" s="1" t="s">
        <v>19080</v>
      </c>
      <c r="AB2656" s="1" t="s">
        <v>5265</v>
      </c>
      <c r="AC2656" s="1" t="s">
        <v>7759</v>
      </c>
      <c r="AD2656" s="1" t="s">
        <v>5265</v>
      </c>
      <c r="AE2656" s="1" t="s">
        <v>47</v>
      </c>
      <c r="AF2656" s="1" t="s">
        <v>51</v>
      </c>
      <c r="AG2656" s="1" t="s">
        <v>47</v>
      </c>
      <c r="AH2656" s="1"/>
      <c r="AI2656" s="1"/>
      <c r="AJ2656" s="3">
        <v>2</v>
      </c>
      <c r="AK2656" s="1" t="s">
        <v>89</v>
      </c>
      <c r="AL2656" s="3">
        <v>5</v>
      </c>
      <c r="AM2656" s="1"/>
      <c r="AN2656" s="1"/>
      <c r="AO2656" s="1" t="s">
        <v>19081</v>
      </c>
      <c r="AP2656" s="1" t="s">
        <v>13599</v>
      </c>
      <c r="AQ2656" s="1" t="s">
        <v>19082</v>
      </c>
      <c r="AR2656" s="1" t="s">
        <v>19079</v>
      </c>
    </row>
    <row r="2657">
      <c r="A2657" s="2">
        <f ca="1">DATE(2010,11,24)</f>
        <v>0</v>
      </c>
      <c r="B2657" s="2">
        <f ca="1">DATE(2010,12,08)</f>
        <v>0</v>
      </c>
      <c r="C2657" s="1" t="s">
        <v>19083</v>
      </c>
      <c r="D2657" s="3">
        <v>6021</v>
      </c>
      <c r="E2657" s="1" t="s">
        <v>43</v>
      </c>
      <c r="F2657" s="1" t="s">
        <v>19084</v>
      </c>
      <c r="G2657" s="1" t="s">
        <v>14388</v>
      </c>
      <c r="H2657" s="4">
        <v>1.5940000000000001</v>
      </c>
      <c r="I2657" s="8">
        <v>6.25</v>
      </c>
      <c r="J2657" s="5">
        <v>280.5</v>
      </c>
      <c r="K2657" s="4">
        <v>25.5</v>
      </c>
      <c r="L2657" s="1" t="s">
        <v>46</v>
      </c>
      <c r="M2657" s="1" t="s">
        <v>47</v>
      </c>
      <c r="N2657" s="1" t="s">
        <v>19085</v>
      </c>
      <c r="O2657" s="1" t="s">
        <v>108</v>
      </c>
      <c r="P2657" s="1" t="s">
        <v>19086</v>
      </c>
      <c r="Q2657" s="4">
        <v>0.85899999999999999</v>
      </c>
      <c r="R2657" s="4">
        <v>1.262</v>
      </c>
      <c r="S2657" s="6">
        <v>3.7254900000000002</v>
      </c>
      <c r="T2657" s="1" t="s">
        <v>50</v>
      </c>
      <c r="U2657" s="1"/>
      <c r="V2657" s="1"/>
      <c r="W2657" s="1"/>
      <c r="X2657" s="1"/>
      <c r="Y2657" s="7">
        <v>4115000</v>
      </c>
      <c r="Z2657" s="7">
        <v>6885000</v>
      </c>
      <c r="AA2657" s="1" t="s">
        <v>19087</v>
      </c>
      <c r="AB2657" s="1" t="s">
        <v>5265</v>
      </c>
      <c r="AC2657" s="1" t="s">
        <v>7759</v>
      </c>
      <c r="AD2657" s="1" t="s">
        <v>5265</v>
      </c>
      <c r="AE2657" s="1" t="s">
        <v>51</v>
      </c>
      <c r="AF2657" s="1" t="s">
        <v>51</v>
      </c>
      <c r="AG2657" s="1" t="s">
        <v>51</v>
      </c>
      <c r="AH2657" s="1"/>
      <c r="AI2657" s="1"/>
      <c r="AJ2657" s="3">
        <v>3</v>
      </c>
      <c r="AK2657" s="1" t="s">
        <v>110</v>
      </c>
      <c r="AL2657" s="3">
        <v>8</v>
      </c>
      <c r="AM2657" s="8">
        <v>27.920000000000002</v>
      </c>
      <c r="AN2657" s="8">
        <v>27.25</v>
      </c>
      <c r="AO2657" s="1" t="s">
        <v>19088</v>
      </c>
      <c r="AP2657" s="1" t="s">
        <v>19089</v>
      </c>
      <c r="AQ2657" s="1" t="s">
        <v>19090</v>
      </c>
      <c r="AR2657" s="1" t="s">
        <v>19091</v>
      </c>
    </row>
    <row r="2658">
      <c r="A2658" s="2">
        <f ca="1">DATE(2010,08,06)</f>
        <v>0</v>
      </c>
      <c r="B2658" s="2">
        <f ca="1">DATE(2010,12,08)</f>
        <v>0</v>
      </c>
      <c r="C2658" s="1" t="s">
        <v>19092</v>
      </c>
      <c r="D2658" s="3">
        <v>3674</v>
      </c>
      <c r="E2658" s="1" t="s">
        <v>2958</v>
      </c>
      <c r="F2658" s="1" t="s">
        <v>19093</v>
      </c>
      <c r="G2658" s="1" t="s">
        <v>19094</v>
      </c>
      <c r="H2658" s="4">
        <v>1.19</v>
      </c>
      <c r="I2658" s="8">
        <v>7</v>
      </c>
      <c r="J2658" s="5">
        <v>89.299999999999997</v>
      </c>
      <c r="K2658" s="4">
        <v>17</v>
      </c>
      <c r="L2658" s="1" t="s">
        <v>46</v>
      </c>
      <c r="M2658" s="1" t="s">
        <v>47</v>
      </c>
      <c r="N2658" s="3">
        <v>816645105</v>
      </c>
      <c r="O2658" s="1" t="s">
        <v>48</v>
      </c>
      <c r="P2658" s="1" t="s">
        <v>19095</v>
      </c>
      <c r="Q2658" s="4">
        <v>1.4119999999999999</v>
      </c>
      <c r="R2658" s="4">
        <v>1.4119999999999999</v>
      </c>
      <c r="S2658" s="6">
        <v>4.1764700000000001</v>
      </c>
      <c r="T2658" s="1" t="s">
        <v>50</v>
      </c>
      <c r="U2658" s="1"/>
      <c r="V2658" s="1"/>
      <c r="W2658" s="1"/>
      <c r="X2658" s="1"/>
      <c r="Y2658" s="7">
        <v>5250000</v>
      </c>
      <c r="Z2658" s="1"/>
      <c r="AA2658" s="1" t="s">
        <v>19096</v>
      </c>
      <c r="AB2658" s="1" t="s">
        <v>2067</v>
      </c>
      <c r="AC2658" s="1" t="s">
        <v>2068</v>
      </c>
      <c r="AD2658" s="1" t="s">
        <v>2067</v>
      </c>
      <c r="AE2658" s="1" t="s">
        <v>51</v>
      </c>
      <c r="AF2658" s="1" t="s">
        <v>51</v>
      </c>
      <c r="AG2658" s="1" t="s">
        <v>47</v>
      </c>
      <c r="AH2658" s="1"/>
      <c r="AI2658" s="1"/>
      <c r="AJ2658" s="3">
        <v>3</v>
      </c>
      <c r="AK2658" s="1" t="s">
        <v>110</v>
      </c>
      <c r="AL2658" s="3">
        <v>5</v>
      </c>
      <c r="AM2658" s="8">
        <v>25.760000000000002</v>
      </c>
      <c r="AN2658" s="1"/>
      <c r="AO2658" s="1" t="s">
        <v>19097</v>
      </c>
      <c r="AP2658" s="1" t="s">
        <v>19098</v>
      </c>
      <c r="AQ2658" s="1" t="s">
        <v>19099</v>
      </c>
      <c r="AR2658" s="1" t="s">
        <v>19100</v>
      </c>
    </row>
    <row r="2659">
      <c r="A2659" s="2">
        <f ca="1">DATE(2010,11,15)</f>
        <v>0</v>
      </c>
      <c r="B2659" s="2">
        <f ca="1">DATE(2010,12,08)</f>
        <v>0</v>
      </c>
      <c r="C2659" s="1" t="s">
        <v>19101</v>
      </c>
      <c r="D2659" s="3">
        <v>7375</v>
      </c>
      <c r="E2659" s="1" t="s">
        <v>744</v>
      </c>
      <c r="F2659" s="1" t="s">
        <v>19102</v>
      </c>
      <c r="G2659" s="1" t="s">
        <v>160</v>
      </c>
      <c r="H2659" s="4">
        <v>0.89600000000000002</v>
      </c>
      <c r="I2659" s="8">
        <v>7</v>
      </c>
      <c r="J2659" s="5">
        <v>202.90000000000001</v>
      </c>
      <c r="K2659" s="4">
        <v>12.800000000000001</v>
      </c>
      <c r="L2659" s="1" t="s">
        <v>651</v>
      </c>
      <c r="M2659" s="1" t="s">
        <v>47</v>
      </c>
      <c r="N2659" s="1" t="s">
        <v>19103</v>
      </c>
      <c r="O2659" s="1" t="s">
        <v>108</v>
      </c>
      <c r="P2659" s="1" t="s">
        <v>19104</v>
      </c>
      <c r="Q2659" s="1" t="s">
        <v>145</v>
      </c>
      <c r="R2659" s="1" t="s">
        <v>145</v>
      </c>
      <c r="S2659" s="1"/>
      <c r="T2659" s="1" t="s">
        <v>50</v>
      </c>
      <c r="U2659" s="1"/>
      <c r="V2659" s="1"/>
      <c r="W2659" s="1"/>
      <c r="X2659" s="5">
        <v>150</v>
      </c>
      <c r="Y2659" s="7">
        <v>15847700</v>
      </c>
      <c r="Z2659" s="1"/>
      <c r="AA2659" s="1" t="s">
        <v>19087</v>
      </c>
      <c r="AB2659" s="1" t="s">
        <v>5265</v>
      </c>
      <c r="AC2659" s="1" t="s">
        <v>7759</v>
      </c>
      <c r="AD2659" s="1" t="s">
        <v>5265</v>
      </c>
      <c r="AE2659" s="1" t="s">
        <v>47</v>
      </c>
      <c r="AF2659" s="1" t="s">
        <v>51</v>
      </c>
      <c r="AG2659" s="1" t="s">
        <v>47</v>
      </c>
      <c r="AH2659" s="1"/>
      <c r="AI2659" s="1"/>
      <c r="AJ2659" s="3">
        <v>1</v>
      </c>
      <c r="AK2659" s="1" t="s">
        <v>52</v>
      </c>
      <c r="AL2659" s="3">
        <v>4</v>
      </c>
      <c r="AM2659" s="1"/>
      <c r="AN2659" s="1"/>
      <c r="AO2659" s="1" t="s">
        <v>19105</v>
      </c>
      <c r="AP2659" s="1" t="s">
        <v>160</v>
      </c>
      <c r="AQ2659" s="1" t="s">
        <v>19106</v>
      </c>
      <c r="AR2659" s="1" t="s">
        <v>19104</v>
      </c>
    </row>
    <row r="2660">
      <c r="A2660" s="2">
        <f ca="1">DATE(2010,11,17)</f>
        <v>0</v>
      </c>
      <c r="B2660" s="2">
        <f ca="1">DATE(2010,12,09)</f>
        <v>0</v>
      </c>
      <c r="C2660" s="1" t="s">
        <v>19107</v>
      </c>
      <c r="D2660" s="3">
        <v>7822</v>
      </c>
      <c r="E2660" s="1" t="s">
        <v>744</v>
      </c>
      <c r="F2660" s="1" t="s">
        <v>19108</v>
      </c>
      <c r="G2660" s="1" t="s">
        <v>5645</v>
      </c>
      <c r="H2660" s="4">
        <v>0.59499999999999997</v>
      </c>
      <c r="I2660" s="8">
        <v>7</v>
      </c>
      <c r="J2660" s="5">
        <v>99.799999999999997</v>
      </c>
      <c r="K2660" s="4">
        <v>8.5</v>
      </c>
      <c r="L2660" s="1" t="s">
        <v>651</v>
      </c>
      <c r="M2660" s="1" t="s">
        <v>47</v>
      </c>
      <c r="N2660" s="1" t="s">
        <v>19109</v>
      </c>
      <c r="O2660" s="1" t="s">
        <v>48</v>
      </c>
      <c r="P2660" s="1" t="s">
        <v>19110</v>
      </c>
      <c r="Q2660" s="4">
        <v>1.4410000000000001</v>
      </c>
      <c r="R2660" s="4">
        <v>1.4410000000000001</v>
      </c>
      <c r="S2660" s="6">
        <v>4.1176500000000003</v>
      </c>
      <c r="T2660" s="1" t="s">
        <v>50</v>
      </c>
      <c r="U2660" s="1"/>
      <c r="V2660" s="1"/>
      <c r="W2660" s="1"/>
      <c r="X2660" s="5">
        <v>80</v>
      </c>
      <c r="Y2660" s="7">
        <v>11740000</v>
      </c>
      <c r="Z2660" s="1"/>
      <c r="AA2660" s="1" t="s">
        <v>19111</v>
      </c>
      <c r="AB2660" s="1" t="s">
        <v>5265</v>
      </c>
      <c r="AC2660" s="1" t="s">
        <v>7759</v>
      </c>
      <c r="AD2660" s="1" t="s">
        <v>5265</v>
      </c>
      <c r="AE2660" s="1" t="s">
        <v>47</v>
      </c>
      <c r="AF2660" s="1" t="s">
        <v>51</v>
      </c>
      <c r="AG2660" s="1" t="s">
        <v>47</v>
      </c>
      <c r="AH2660" s="1"/>
      <c r="AI2660" s="1"/>
      <c r="AJ2660" s="3">
        <v>2</v>
      </c>
      <c r="AK2660" s="1" t="s">
        <v>110</v>
      </c>
      <c r="AL2660" s="3">
        <v>5</v>
      </c>
      <c r="AM2660" s="8">
        <v>6.5999999999999996</v>
      </c>
      <c r="AN2660" s="1"/>
      <c r="AO2660" s="1" t="s">
        <v>19112</v>
      </c>
      <c r="AP2660" s="1" t="s">
        <v>19113</v>
      </c>
      <c r="AQ2660" s="1" t="s">
        <v>19114</v>
      </c>
      <c r="AR2660" s="1" t="s">
        <v>19115</v>
      </c>
    </row>
    <row r="2661">
      <c r="A2661" s="2">
        <f ca="1">DATE(2010,10,12)</f>
        <v>0</v>
      </c>
      <c r="B2661" s="2">
        <f ca="1">DATE(2010,12,09)</f>
        <v>0</v>
      </c>
      <c r="C2661" s="1" t="s">
        <v>19116</v>
      </c>
      <c r="D2661" s="3">
        <v>6726</v>
      </c>
      <c r="E2661" s="1" t="s">
        <v>43</v>
      </c>
      <c r="F2661" s="1" t="s">
        <v>19117</v>
      </c>
      <c r="G2661" s="1" t="s">
        <v>11777</v>
      </c>
      <c r="H2661" s="4">
        <v>0.58699999999999997</v>
      </c>
      <c r="I2661" s="4">
        <v>5.867</v>
      </c>
      <c r="J2661" s="5">
        <v>22</v>
      </c>
      <c r="K2661" s="4">
        <v>10</v>
      </c>
      <c r="L2661" s="1" t="s">
        <v>31</v>
      </c>
      <c r="M2661" s="1" t="s">
        <v>47</v>
      </c>
      <c r="N2661" s="1" t="s">
        <v>19118</v>
      </c>
      <c r="O2661" s="1" t="s">
        <v>77</v>
      </c>
      <c r="P2661" s="1" t="s">
        <v>19119</v>
      </c>
      <c r="Q2661" s="1" t="s">
        <v>145</v>
      </c>
      <c r="R2661" s="1" t="s">
        <v>145</v>
      </c>
      <c r="S2661" s="1"/>
      <c r="T2661" s="1" t="s">
        <v>50</v>
      </c>
      <c r="U2661" s="8">
        <v>10</v>
      </c>
      <c r="V2661" s="8">
        <v>10</v>
      </c>
      <c r="W2661" s="7">
        <v>3500000</v>
      </c>
      <c r="X2661" s="5">
        <v>35</v>
      </c>
      <c r="Y2661" s="7">
        <v>2200000</v>
      </c>
      <c r="Z2661" s="1"/>
      <c r="AA2661" s="2">
        <f ca="1">DATE(2011,06,07)</f>
        <v>0</v>
      </c>
      <c r="AB2661" s="1"/>
      <c r="AC2661" s="3">
        <v>180</v>
      </c>
      <c r="AD2661" s="1"/>
      <c r="AE2661" s="1" t="s">
        <v>51</v>
      </c>
      <c r="AF2661" s="1" t="s">
        <v>51</v>
      </c>
      <c r="AG2661" s="1" t="s">
        <v>51</v>
      </c>
      <c r="AH2661" s="1"/>
      <c r="AI2661" s="1"/>
      <c r="AJ2661" s="3">
        <v>1</v>
      </c>
      <c r="AK2661" s="1" t="s">
        <v>52</v>
      </c>
      <c r="AL2661" s="3">
        <v>3</v>
      </c>
      <c r="AM2661" s="1"/>
      <c r="AN2661" s="1"/>
      <c r="AO2661" s="1" t="s">
        <v>19120</v>
      </c>
      <c r="AP2661" s="1" t="s">
        <v>11777</v>
      </c>
      <c r="AQ2661" s="1" t="s">
        <v>19121</v>
      </c>
      <c r="AR2661" s="1" t="s">
        <v>19119</v>
      </c>
    </row>
    <row r="2662">
      <c r="A2662" s="2">
        <f ca="1">DATE(2010,11,19)</f>
        <v>0</v>
      </c>
      <c r="B2662" s="2">
        <f ca="1">DATE(2010,12,09)</f>
        <v>0</v>
      </c>
      <c r="C2662" s="1" t="s">
        <v>19122</v>
      </c>
      <c r="D2662" s="3">
        <v>7372</v>
      </c>
      <c r="E2662" s="1" t="s">
        <v>744</v>
      </c>
      <c r="F2662" s="1" t="s">
        <v>19123</v>
      </c>
      <c r="G2662" s="1" t="s">
        <v>15222</v>
      </c>
      <c r="H2662" s="4">
        <v>0.56000000000000005</v>
      </c>
      <c r="I2662" s="4">
        <v>7</v>
      </c>
      <c r="J2662" s="5">
        <v>58</v>
      </c>
      <c r="K2662" s="4">
        <v>8</v>
      </c>
      <c r="L2662" s="1" t="s">
        <v>651</v>
      </c>
      <c r="M2662" s="1" t="s">
        <v>47</v>
      </c>
      <c r="N2662" s="1" t="s">
        <v>19124</v>
      </c>
      <c r="O2662" s="1" t="s">
        <v>48</v>
      </c>
      <c r="P2662" s="1" t="s">
        <v>19125</v>
      </c>
      <c r="Q2662" s="1" t="s">
        <v>145</v>
      </c>
      <c r="R2662" s="1" t="s">
        <v>145</v>
      </c>
      <c r="S2662" s="8">
        <v>4.2000000000000002</v>
      </c>
      <c r="T2662" s="1" t="s">
        <v>50</v>
      </c>
      <c r="U2662" s="1"/>
      <c r="V2662" s="1"/>
      <c r="W2662" s="1"/>
      <c r="X2662" s="5">
        <v>150</v>
      </c>
      <c r="Y2662" s="7">
        <v>6125000</v>
      </c>
      <c r="Z2662" s="7">
        <v>1125000</v>
      </c>
      <c r="AA2662" s="1" t="s">
        <v>19111</v>
      </c>
      <c r="AB2662" s="1" t="s">
        <v>5265</v>
      </c>
      <c r="AC2662" s="1" t="s">
        <v>7759</v>
      </c>
      <c r="AD2662" s="1" t="s">
        <v>5265</v>
      </c>
      <c r="AE2662" s="1" t="s">
        <v>47</v>
      </c>
      <c r="AF2662" s="1" t="s">
        <v>51</v>
      </c>
      <c r="AG2662" s="1" t="s">
        <v>51</v>
      </c>
      <c r="AH2662" s="1"/>
      <c r="AI2662" s="1"/>
      <c r="AJ2662" s="3">
        <v>1</v>
      </c>
      <c r="AK2662" s="1" t="s">
        <v>52</v>
      </c>
      <c r="AL2662" s="3">
        <v>4</v>
      </c>
      <c r="AM2662" s="1"/>
      <c r="AN2662" s="1"/>
      <c r="AO2662" s="1" t="s">
        <v>19126</v>
      </c>
      <c r="AP2662" s="1" t="s">
        <v>15222</v>
      </c>
      <c r="AQ2662" s="1" t="s">
        <v>19127</v>
      </c>
      <c r="AR2662" s="1" t="s">
        <v>19125</v>
      </c>
    </row>
    <row r="2663">
      <c r="A2663" s="2">
        <f ca="1">DATE(2010,11,18)</f>
        <v>0</v>
      </c>
      <c r="B2663" s="2">
        <f ca="1">DATE(2010,12,10)</f>
        <v>0</v>
      </c>
      <c r="C2663" s="1" t="s">
        <v>19128</v>
      </c>
      <c r="D2663" s="3">
        <v>5511</v>
      </c>
      <c r="E2663" s="1" t="s">
        <v>744</v>
      </c>
      <c r="F2663" s="1" t="s">
        <v>19129</v>
      </c>
      <c r="G2663" s="1" t="s">
        <v>19130</v>
      </c>
      <c r="H2663" s="4">
        <v>0.56000000000000005</v>
      </c>
      <c r="I2663" s="4">
        <v>7</v>
      </c>
      <c r="J2663" s="5">
        <v>52</v>
      </c>
      <c r="K2663" s="4">
        <v>8</v>
      </c>
      <c r="L2663" s="1" t="s">
        <v>651</v>
      </c>
      <c r="M2663" s="1" t="s">
        <v>47</v>
      </c>
      <c r="N2663" s="3">
        <v>526353107</v>
      </c>
      <c r="O2663" s="1" t="s">
        <v>108</v>
      </c>
      <c r="P2663" s="1" t="s">
        <v>19131</v>
      </c>
      <c r="Q2663" s="1" t="s">
        <v>145</v>
      </c>
      <c r="R2663" s="1" t="s">
        <v>145</v>
      </c>
      <c r="S2663" s="1"/>
      <c r="T2663" s="1" t="s">
        <v>50</v>
      </c>
      <c r="U2663" s="1"/>
      <c r="V2663" s="1"/>
      <c r="W2663" s="1"/>
      <c r="X2663" s="5">
        <v>115</v>
      </c>
      <c r="Y2663" s="7">
        <v>6500000</v>
      </c>
      <c r="Z2663" s="1"/>
      <c r="AA2663" s="1" t="s">
        <v>19132</v>
      </c>
      <c r="AB2663" s="1" t="s">
        <v>5265</v>
      </c>
      <c r="AC2663" s="1" t="s">
        <v>7759</v>
      </c>
      <c r="AD2663" s="1" t="s">
        <v>5265</v>
      </c>
      <c r="AE2663" s="1" t="s">
        <v>47</v>
      </c>
      <c r="AF2663" s="1" t="s">
        <v>51</v>
      </c>
      <c r="AG2663" s="1" t="s">
        <v>51</v>
      </c>
      <c r="AH2663" s="1"/>
      <c r="AI2663" s="1"/>
      <c r="AJ2663" s="3">
        <v>2</v>
      </c>
      <c r="AK2663" s="1" t="s">
        <v>89</v>
      </c>
      <c r="AL2663" s="3">
        <v>3</v>
      </c>
      <c r="AM2663" s="1"/>
      <c r="AN2663" s="1"/>
      <c r="AO2663" s="1" t="s">
        <v>19133</v>
      </c>
      <c r="AP2663" s="1" t="s">
        <v>19134</v>
      </c>
      <c r="AQ2663" s="1" t="s">
        <v>19135</v>
      </c>
      <c r="AR2663" s="1" t="s">
        <v>19136</v>
      </c>
    </row>
    <row r="2664">
      <c r="A2664" s="2">
        <f ca="1">DATE(2010,07,29)</f>
        <v>0</v>
      </c>
      <c r="B2664" s="2">
        <f ca="1">DATE(2010,12,10)</f>
        <v>0</v>
      </c>
      <c r="C2664" s="1" t="s">
        <v>19137</v>
      </c>
      <c r="D2664" s="3">
        <v>2631</v>
      </c>
      <c r="E2664" s="1" t="s">
        <v>744</v>
      </c>
      <c r="F2664" s="1" t="s">
        <v>19138</v>
      </c>
      <c r="G2664" s="1" t="s">
        <v>10908</v>
      </c>
      <c r="H2664" s="4">
        <v>0.22</v>
      </c>
      <c r="I2664" s="4">
        <v>5.5</v>
      </c>
      <c r="J2664" s="5">
        <v>32.600000000000001</v>
      </c>
      <c r="K2664" s="4">
        <v>4</v>
      </c>
      <c r="L2664" s="1" t="s">
        <v>46</v>
      </c>
      <c r="M2664" s="1" t="s">
        <v>47</v>
      </c>
      <c r="N2664" s="1" t="s">
        <v>19139</v>
      </c>
      <c r="O2664" s="1" t="s">
        <v>48</v>
      </c>
      <c r="P2664" s="1" t="s">
        <v>19140</v>
      </c>
      <c r="Q2664" s="1" t="s">
        <v>145</v>
      </c>
      <c r="R2664" s="1" t="s">
        <v>145</v>
      </c>
      <c r="S2664" s="8">
        <v>3.2999999999999998</v>
      </c>
      <c r="T2664" s="1" t="s">
        <v>50</v>
      </c>
      <c r="U2664" s="1"/>
      <c r="V2664" s="1"/>
      <c r="W2664" s="1"/>
      <c r="X2664" s="1"/>
      <c r="Y2664" s="7">
        <v>8000000</v>
      </c>
      <c r="Z2664" s="7">
        <v>145631</v>
      </c>
      <c r="AA2664" s="1" t="s">
        <v>19141</v>
      </c>
      <c r="AB2664" s="1" t="s">
        <v>13651</v>
      </c>
      <c r="AC2664" s="1" t="s">
        <v>16884</v>
      </c>
      <c r="AD2664" s="1" t="s">
        <v>13651</v>
      </c>
      <c r="AE2664" s="1" t="s">
        <v>51</v>
      </c>
      <c r="AF2664" s="1" t="s">
        <v>51</v>
      </c>
      <c r="AG2664" s="1" t="s">
        <v>51</v>
      </c>
      <c r="AH2664" s="1"/>
      <c r="AI2664" s="1"/>
      <c r="AJ2664" s="3">
        <v>1</v>
      </c>
      <c r="AK2664" s="1" t="s">
        <v>52</v>
      </c>
      <c r="AL2664" s="3">
        <v>3</v>
      </c>
      <c r="AM2664" s="5">
        <v>7.4000000000000004</v>
      </c>
      <c r="AN2664" s="1"/>
      <c r="AO2664" s="1" t="s">
        <v>19142</v>
      </c>
      <c r="AP2664" s="1" t="s">
        <v>10908</v>
      </c>
      <c r="AQ2664" s="1" t="s">
        <v>19143</v>
      </c>
      <c r="AR2664" s="1" t="s">
        <v>19140</v>
      </c>
    </row>
    <row r="2665">
      <c r="A2665" s="2">
        <f ca="1">DATE(2010,11,23)</f>
        <v>0</v>
      </c>
      <c r="B2665" s="2">
        <f ca="1">DATE(2010,12,13)</f>
        <v>0</v>
      </c>
      <c r="C2665" s="1" t="s">
        <v>19144</v>
      </c>
      <c r="D2665" s="3">
        <v>7371</v>
      </c>
      <c r="E2665" s="1" t="s">
        <v>744</v>
      </c>
      <c r="F2665" s="1" t="s">
        <v>992</v>
      </c>
      <c r="G2665" s="1" t="s">
        <v>19145</v>
      </c>
      <c r="H2665" s="4">
        <v>0.94899999999999995</v>
      </c>
      <c r="I2665" s="4">
        <v>7.2999999999999998</v>
      </c>
      <c r="J2665" s="5">
        <v>140.80000000000001</v>
      </c>
      <c r="K2665" s="4">
        <v>13</v>
      </c>
      <c r="L2665" s="1" t="s">
        <v>651</v>
      </c>
      <c r="M2665" s="1" t="s">
        <v>47</v>
      </c>
      <c r="N2665" s="1" t="s">
        <v>19146</v>
      </c>
      <c r="O2665" s="1" t="s">
        <v>108</v>
      </c>
      <c r="P2665" s="1" t="s">
        <v>19147</v>
      </c>
      <c r="Q2665" s="4">
        <v>1.46</v>
      </c>
      <c r="R2665" s="4">
        <v>1.46</v>
      </c>
      <c r="S2665" s="8">
        <v>4.3799999999999999</v>
      </c>
      <c r="T2665" s="1" t="s">
        <v>50</v>
      </c>
      <c r="U2665" s="1"/>
      <c r="V2665" s="1"/>
      <c r="W2665" s="1"/>
      <c r="X2665" s="5">
        <v>50</v>
      </c>
      <c r="Y2665" s="7">
        <v>7322223</v>
      </c>
      <c r="Z2665" s="7">
        <v>3511111</v>
      </c>
      <c r="AA2665" s="1" t="s">
        <v>19148</v>
      </c>
      <c r="AB2665" s="1" t="s">
        <v>5265</v>
      </c>
      <c r="AC2665" s="1" t="s">
        <v>7759</v>
      </c>
      <c r="AD2665" s="1" t="s">
        <v>5265</v>
      </c>
      <c r="AE2665" s="1" t="s">
        <v>47</v>
      </c>
      <c r="AF2665" s="1" t="s">
        <v>51</v>
      </c>
      <c r="AG2665" s="1" t="s">
        <v>47</v>
      </c>
      <c r="AH2665" s="1"/>
      <c r="AI2665" s="1"/>
      <c r="AJ2665" s="3">
        <v>3</v>
      </c>
      <c r="AK2665" s="1" t="s">
        <v>110</v>
      </c>
      <c r="AL2665" s="3">
        <v>4</v>
      </c>
      <c r="AM2665" s="1"/>
      <c r="AN2665" s="1"/>
      <c r="AO2665" s="1" t="s">
        <v>19149</v>
      </c>
      <c r="AP2665" s="1" t="s">
        <v>19150</v>
      </c>
      <c r="AQ2665" s="1" t="s">
        <v>19151</v>
      </c>
      <c r="AR2665" s="1" t="s">
        <v>19152</v>
      </c>
    </row>
    <row r="2666">
      <c r="A2666" s="2">
        <f ca="1">DATE(2010,04,15)</f>
        <v>0</v>
      </c>
      <c r="B2666" s="2">
        <f ca="1">DATE(2010,12,14)</f>
        <v>0</v>
      </c>
      <c r="C2666" s="1" t="s">
        <v>19153</v>
      </c>
      <c r="D2666" s="3">
        <v>7389</v>
      </c>
      <c r="E2666" s="1" t="s">
        <v>43</v>
      </c>
      <c r="F2666" s="1" t="s">
        <v>19154</v>
      </c>
      <c r="G2666" s="1" t="s">
        <v>19155</v>
      </c>
      <c r="H2666" s="4">
        <v>1.4379999999999999</v>
      </c>
      <c r="I2666" s="4">
        <v>6.25</v>
      </c>
      <c r="J2666" s="5">
        <v>291.5</v>
      </c>
      <c r="K2666" s="4">
        <v>23</v>
      </c>
      <c r="L2666" s="1" t="s">
        <v>46</v>
      </c>
      <c r="M2666" s="1" t="s">
        <v>47</v>
      </c>
      <c r="N2666" s="3">
        <v>339041105</v>
      </c>
      <c r="O2666" s="1" t="s">
        <v>108</v>
      </c>
      <c r="P2666" s="1" t="s">
        <v>19156</v>
      </c>
      <c r="Q2666" s="4">
        <v>1.25</v>
      </c>
      <c r="R2666" s="4">
        <v>1.25</v>
      </c>
      <c r="S2666" s="8">
        <v>3.75</v>
      </c>
      <c r="T2666" s="1" t="s">
        <v>50</v>
      </c>
      <c r="U2666" s="1"/>
      <c r="V2666" s="1"/>
      <c r="W2666" s="1"/>
      <c r="X2666" s="5">
        <v>500</v>
      </c>
      <c r="Y2666" s="7">
        <v>430961</v>
      </c>
      <c r="Z2666" s="7">
        <v>12244039</v>
      </c>
      <c r="AA2666" s="1" t="s">
        <v>19157</v>
      </c>
      <c r="AB2666" s="1" t="s">
        <v>5265</v>
      </c>
      <c r="AC2666" s="1" t="s">
        <v>7759</v>
      </c>
      <c r="AD2666" s="1" t="s">
        <v>5265</v>
      </c>
      <c r="AE2666" s="1" t="s">
        <v>51</v>
      </c>
      <c r="AF2666" s="1" t="s">
        <v>51</v>
      </c>
      <c r="AG2666" s="1" t="s">
        <v>47</v>
      </c>
      <c r="AH2666" s="1"/>
      <c r="AI2666" s="1"/>
      <c r="AJ2666" s="3">
        <v>4</v>
      </c>
      <c r="AK2666" s="1" t="s">
        <v>1209</v>
      </c>
      <c r="AL2666" s="3">
        <v>7</v>
      </c>
      <c r="AM2666" s="1"/>
      <c r="AN2666" s="1"/>
      <c r="AO2666" s="1" t="s">
        <v>19158</v>
      </c>
      <c r="AP2666" s="1" t="s">
        <v>19159</v>
      </c>
      <c r="AQ2666" s="1" t="s">
        <v>19160</v>
      </c>
      <c r="AR2666" s="1" t="s">
        <v>19161</v>
      </c>
    </row>
    <row r="2667">
      <c r="A2667" s="2">
        <f ca="1">DATE(2009,08,31)</f>
        <v>0</v>
      </c>
      <c r="B2667" s="2">
        <f ca="1">DATE(2010,12,14)</f>
        <v>0</v>
      </c>
      <c r="C2667" s="1" t="s">
        <v>19162</v>
      </c>
      <c r="D2667" s="3">
        <v>6221</v>
      </c>
      <c r="E2667" s="1" t="s">
        <v>43</v>
      </c>
      <c r="F2667" s="1" t="s">
        <v>19163</v>
      </c>
      <c r="G2667" s="1" t="s">
        <v>12582</v>
      </c>
      <c r="H2667" s="4">
        <v>0.63</v>
      </c>
      <c r="I2667" s="4">
        <v>7</v>
      </c>
      <c r="J2667" s="5">
        <v>81</v>
      </c>
      <c r="K2667" s="4">
        <v>9</v>
      </c>
      <c r="L2667" s="1" t="s">
        <v>46</v>
      </c>
      <c r="M2667" s="1" t="s">
        <v>47</v>
      </c>
      <c r="N2667" s="1" t="s">
        <v>19164</v>
      </c>
      <c r="O2667" s="1" t="s">
        <v>108</v>
      </c>
      <c r="P2667" s="1" t="s">
        <v>19165</v>
      </c>
      <c r="Q2667" s="1" t="s">
        <v>145</v>
      </c>
      <c r="R2667" s="1" t="s">
        <v>145</v>
      </c>
      <c r="S2667" s="8">
        <v>4.2000000000000002</v>
      </c>
      <c r="T2667" s="1" t="s">
        <v>50</v>
      </c>
      <c r="U2667" s="1"/>
      <c r="V2667" s="1"/>
      <c r="W2667" s="1"/>
      <c r="X2667" s="5">
        <v>125</v>
      </c>
      <c r="Y2667" s="7">
        <v>407692</v>
      </c>
      <c r="Z2667" s="7">
        <v>8592308</v>
      </c>
      <c r="AA2667" s="2">
        <f ca="1">DATE(2011,06,12)</f>
        <v>0</v>
      </c>
      <c r="AB2667" s="1"/>
      <c r="AC2667" s="3">
        <v>180</v>
      </c>
      <c r="AD2667" s="1"/>
      <c r="AE2667" s="1" t="s">
        <v>51</v>
      </c>
      <c r="AF2667" s="1" t="s">
        <v>51</v>
      </c>
      <c r="AG2667" s="1" t="s">
        <v>51</v>
      </c>
      <c r="AH2667" s="1"/>
      <c r="AI2667" s="1"/>
      <c r="AJ2667" s="3">
        <v>2</v>
      </c>
      <c r="AK2667" s="1" t="s">
        <v>89</v>
      </c>
      <c r="AL2667" s="3">
        <v>5</v>
      </c>
      <c r="AM2667" s="1"/>
      <c r="AN2667" s="1"/>
      <c r="AO2667" s="1" t="s">
        <v>19166</v>
      </c>
      <c r="AP2667" s="1" t="s">
        <v>10216</v>
      </c>
      <c r="AQ2667" s="1" t="s">
        <v>19167</v>
      </c>
      <c r="AR2667" s="1" t="s">
        <v>19168</v>
      </c>
    </row>
    <row r="2668">
      <c r="A2668" s="2">
        <f ca="1">DATE(2010,10,01)</f>
        <v>0</v>
      </c>
      <c r="B2668" s="2">
        <f ca="1">DATE(2010,12,14)</f>
        <v>0</v>
      </c>
      <c r="C2668" s="1" t="s">
        <v>19169</v>
      </c>
      <c r="D2668" s="3">
        <v>4813</v>
      </c>
      <c r="E2668" s="1" t="s">
        <v>43</v>
      </c>
      <c r="F2668" s="1" t="s">
        <v>19170</v>
      </c>
      <c r="G2668" s="1" t="s">
        <v>14236</v>
      </c>
      <c r="H2668" s="4">
        <v>0.83999999999999997</v>
      </c>
      <c r="I2668" s="8">
        <v>7</v>
      </c>
      <c r="J2668" s="5">
        <v>60</v>
      </c>
      <c r="K2668" s="4">
        <v>12</v>
      </c>
      <c r="L2668" s="1" t="s">
        <v>46</v>
      </c>
      <c r="M2668" s="1" t="s">
        <v>47</v>
      </c>
      <c r="N2668" s="3">
        <v>766582100</v>
      </c>
      <c r="O2668" s="1" t="s">
        <v>48</v>
      </c>
      <c r="P2668" s="1" t="s">
        <v>19171</v>
      </c>
      <c r="Q2668" s="1" t="s">
        <v>145</v>
      </c>
      <c r="R2668" s="1" t="s">
        <v>145</v>
      </c>
      <c r="S2668" s="1"/>
      <c r="T2668" s="1" t="s">
        <v>50</v>
      </c>
      <c r="U2668" s="1"/>
      <c r="V2668" s="1"/>
      <c r="W2668" s="1"/>
      <c r="X2668" s="5">
        <v>86.299999999999997</v>
      </c>
      <c r="Y2668" s="7">
        <v>3333334</v>
      </c>
      <c r="Z2668" s="7">
        <v>1666666</v>
      </c>
      <c r="AA2668" s="1" t="s">
        <v>19157</v>
      </c>
      <c r="AB2668" s="1" t="s">
        <v>5265</v>
      </c>
      <c r="AC2668" s="1" t="s">
        <v>7759</v>
      </c>
      <c r="AD2668" s="1" t="s">
        <v>5265</v>
      </c>
      <c r="AE2668" s="1" t="s">
        <v>51</v>
      </c>
      <c r="AF2668" s="1" t="s">
        <v>51</v>
      </c>
      <c r="AG2668" s="1" t="s">
        <v>47</v>
      </c>
      <c r="AH2668" s="1"/>
      <c r="AI2668" s="1"/>
      <c r="AJ2668" s="3">
        <v>2</v>
      </c>
      <c r="AK2668" s="1" t="s">
        <v>89</v>
      </c>
      <c r="AL2668" s="3">
        <v>4</v>
      </c>
      <c r="AM2668" s="8">
        <v>12.550000000000001</v>
      </c>
      <c r="AN2668" s="1"/>
      <c r="AO2668" s="1" t="s">
        <v>19172</v>
      </c>
      <c r="AP2668" s="1" t="s">
        <v>14239</v>
      </c>
      <c r="AQ2668" s="1" t="s">
        <v>19173</v>
      </c>
      <c r="AR2668" s="1" t="s">
        <v>19174</v>
      </c>
    </row>
    <row r="2669">
      <c r="A2669" s="2">
        <f ca="1">DATE(2010,08,04)</f>
        <v>0</v>
      </c>
      <c r="B2669" s="2">
        <f ca="1">DATE(2010,12,14)</f>
        <v>0</v>
      </c>
      <c r="C2669" s="1" t="s">
        <v>19175</v>
      </c>
      <c r="D2669" s="3">
        <v>6159</v>
      </c>
      <c r="E2669" s="1" t="s">
        <v>43</v>
      </c>
      <c r="F2669" s="1" t="s">
        <v>19176</v>
      </c>
      <c r="G2669" s="1" t="s">
        <v>19177</v>
      </c>
      <c r="H2669" s="4">
        <v>0.69999999999999996</v>
      </c>
      <c r="I2669" s="8">
        <v>7</v>
      </c>
      <c r="J2669" s="5">
        <v>100</v>
      </c>
      <c r="K2669" s="4">
        <v>10</v>
      </c>
      <c r="L2669" s="1" t="s">
        <v>46</v>
      </c>
      <c r="M2669" s="1" t="s">
        <v>47</v>
      </c>
      <c r="N2669" s="1" t="s">
        <v>19178</v>
      </c>
      <c r="O2669" s="1" t="s">
        <v>108</v>
      </c>
      <c r="P2669" s="1" t="s">
        <v>19179</v>
      </c>
      <c r="Q2669" s="1" t="s">
        <v>145</v>
      </c>
      <c r="R2669" s="1" t="s">
        <v>145</v>
      </c>
      <c r="S2669" s="1"/>
      <c r="T2669" s="1" t="s">
        <v>50</v>
      </c>
      <c r="U2669" s="1"/>
      <c r="V2669" s="1"/>
      <c r="W2669" s="1"/>
      <c r="X2669" s="5">
        <v>150</v>
      </c>
      <c r="Y2669" s="7">
        <v>6666667</v>
      </c>
      <c r="Z2669" s="7">
        <v>3333333</v>
      </c>
      <c r="AA2669" s="1" t="s">
        <v>19157</v>
      </c>
      <c r="AB2669" s="1" t="s">
        <v>5265</v>
      </c>
      <c r="AC2669" s="1" t="s">
        <v>7759</v>
      </c>
      <c r="AD2669" s="1" t="s">
        <v>5265</v>
      </c>
      <c r="AE2669" s="1" t="s">
        <v>51</v>
      </c>
      <c r="AF2669" s="1" t="s">
        <v>51</v>
      </c>
      <c r="AG2669" s="1" t="s">
        <v>51</v>
      </c>
      <c r="AH2669" s="1"/>
      <c r="AI2669" s="1"/>
      <c r="AJ2669" s="3">
        <v>3</v>
      </c>
      <c r="AK2669" s="1" t="s">
        <v>110</v>
      </c>
      <c r="AL2669" s="3">
        <v>6</v>
      </c>
      <c r="AM2669" s="1"/>
      <c r="AN2669" s="1"/>
      <c r="AO2669" s="1" t="s">
        <v>19180</v>
      </c>
      <c r="AP2669" s="1" t="s">
        <v>19181</v>
      </c>
      <c r="AQ2669" s="1" t="s">
        <v>19182</v>
      </c>
      <c r="AR2669" s="1" t="s">
        <v>19179</v>
      </c>
    </row>
    <row r="2670">
      <c r="A2670" s="2">
        <f ca="1">DATE(2010,07,21)</f>
        <v>0</v>
      </c>
      <c r="B2670" s="2">
        <f ca="1">DATE(2010,12,15)</f>
        <v>0</v>
      </c>
      <c r="C2670" s="1" t="s">
        <v>19183</v>
      </c>
      <c r="D2670" s="3">
        <v>4213</v>
      </c>
      <c r="E2670" s="1" t="s">
        <v>43</v>
      </c>
      <c r="F2670" s="1" t="s">
        <v>19184</v>
      </c>
      <c r="G2670" s="1" t="s">
        <v>19185</v>
      </c>
      <c r="H2670" s="4">
        <v>0.55000000000000004</v>
      </c>
      <c r="I2670" s="4">
        <v>5</v>
      </c>
      <c r="J2670" s="5">
        <v>806.29999999999995</v>
      </c>
      <c r="K2670" s="4">
        <v>11</v>
      </c>
      <c r="L2670" s="1" t="s">
        <v>152</v>
      </c>
      <c r="M2670" s="1" t="s">
        <v>47</v>
      </c>
      <c r="N2670" s="1" t="s">
        <v>19186</v>
      </c>
      <c r="O2670" s="1" t="s">
        <v>108</v>
      </c>
      <c r="P2670" s="1" t="s">
        <v>19187</v>
      </c>
      <c r="Q2670" s="4">
        <v>1</v>
      </c>
      <c r="R2670" s="4">
        <v>1</v>
      </c>
      <c r="S2670" s="8">
        <v>3</v>
      </c>
      <c r="T2670" s="1" t="s">
        <v>50</v>
      </c>
      <c r="U2670" s="1"/>
      <c r="V2670" s="1"/>
      <c r="W2670" s="1"/>
      <c r="X2670" s="5">
        <v>700</v>
      </c>
      <c r="Y2670" s="7">
        <v>73300000</v>
      </c>
      <c r="Z2670" s="1"/>
      <c r="AA2670" s="1" t="s">
        <v>19188</v>
      </c>
      <c r="AB2670" s="1" t="s">
        <v>2067</v>
      </c>
      <c r="AC2670" s="1" t="s">
        <v>2068</v>
      </c>
      <c r="AD2670" s="1" t="s">
        <v>2067</v>
      </c>
      <c r="AE2670" s="1" t="s">
        <v>51</v>
      </c>
      <c r="AF2670" s="1" t="s">
        <v>51</v>
      </c>
      <c r="AG2670" s="1" t="s">
        <v>51</v>
      </c>
      <c r="AH2670" s="1"/>
      <c r="AI2670" s="1"/>
      <c r="AJ2670" s="3">
        <v>6</v>
      </c>
      <c r="AK2670" s="1" t="s">
        <v>16527</v>
      </c>
      <c r="AL2670" s="3">
        <v>13</v>
      </c>
      <c r="AM2670" s="1"/>
      <c r="AN2670" s="1"/>
      <c r="AO2670" s="1" t="s">
        <v>19189</v>
      </c>
      <c r="AP2670" s="1" t="s">
        <v>19190</v>
      </c>
      <c r="AQ2670" s="1" t="s">
        <v>19191</v>
      </c>
      <c r="AR2670" s="1" t="s">
        <v>19192</v>
      </c>
    </row>
    <row r="2671">
      <c r="A2671" s="2">
        <f ca="1">DATE(2010,09,23)</f>
        <v>0</v>
      </c>
      <c r="B2671" s="2">
        <f ca="1">DATE(2010,12,16)</f>
        <v>0</v>
      </c>
      <c r="C2671" s="1" t="s">
        <v>19193</v>
      </c>
      <c r="D2671" s="3">
        <v>6282</v>
      </c>
      <c r="E2671" s="1" t="s">
        <v>43</v>
      </c>
      <c r="F2671" s="1" t="s">
        <v>19194</v>
      </c>
      <c r="G2671" s="1" t="s">
        <v>19195</v>
      </c>
      <c r="H2671" s="4">
        <v>0.77000000000000002</v>
      </c>
      <c r="I2671" s="4">
        <v>7</v>
      </c>
      <c r="J2671" s="5">
        <v>66</v>
      </c>
      <c r="K2671" s="4">
        <v>11</v>
      </c>
      <c r="L2671" s="1" t="s">
        <v>46</v>
      </c>
      <c r="M2671" s="1" t="s">
        <v>47</v>
      </c>
      <c r="N2671" s="1" t="s">
        <v>19196</v>
      </c>
      <c r="O2671" s="1" t="s">
        <v>108</v>
      </c>
      <c r="P2671" s="1" t="s">
        <v>19197</v>
      </c>
      <c r="Q2671" s="1" t="s">
        <v>145</v>
      </c>
      <c r="R2671" s="1" t="s">
        <v>145</v>
      </c>
      <c r="S2671" s="8">
        <v>4.2000000000000002</v>
      </c>
      <c r="T2671" s="1" t="s">
        <v>50</v>
      </c>
      <c r="U2671" s="1"/>
      <c r="V2671" s="1"/>
      <c r="W2671" s="1"/>
      <c r="X2671" s="5">
        <v>125</v>
      </c>
      <c r="Y2671" s="7">
        <v>4265637</v>
      </c>
      <c r="Z2671" s="7">
        <v>1734363</v>
      </c>
      <c r="AA2671" s="1" t="s">
        <v>19198</v>
      </c>
      <c r="AB2671" s="1" t="s">
        <v>5265</v>
      </c>
      <c r="AC2671" s="1" t="s">
        <v>7759</v>
      </c>
      <c r="AD2671" s="1" t="s">
        <v>5265</v>
      </c>
      <c r="AE2671" s="1" t="s">
        <v>51</v>
      </c>
      <c r="AF2671" s="1" t="s">
        <v>51</v>
      </c>
      <c r="AG2671" s="1" t="s">
        <v>51</v>
      </c>
      <c r="AH2671" s="1"/>
      <c r="AI2671" s="1"/>
      <c r="AJ2671" s="3">
        <v>2</v>
      </c>
      <c r="AK2671" s="1" t="s">
        <v>89</v>
      </c>
      <c r="AL2671" s="3">
        <v>7</v>
      </c>
      <c r="AM2671" s="1"/>
      <c r="AN2671" s="1"/>
      <c r="AO2671" s="1" t="s">
        <v>19199</v>
      </c>
      <c r="AP2671" s="1" t="s">
        <v>19200</v>
      </c>
      <c r="AQ2671" s="1" t="s">
        <v>19201</v>
      </c>
      <c r="AR2671" s="1" t="s">
        <v>19197</v>
      </c>
    </row>
    <row r="2672">
      <c r="A2672" s="2">
        <f ca="1">DATE(2010,09,30)</f>
        <v>0</v>
      </c>
      <c r="B2672" s="2">
        <f ca="1">DATE(2010,12,16)</f>
        <v>0</v>
      </c>
      <c r="C2672" s="1" t="s">
        <v>19202</v>
      </c>
      <c r="D2672" s="3">
        <v>1311</v>
      </c>
      <c r="E2672" s="1" t="s">
        <v>43</v>
      </c>
      <c r="F2672" s="1" t="s">
        <v>19203</v>
      </c>
      <c r="G2672" s="1" t="s">
        <v>19204</v>
      </c>
      <c r="H2672" s="4">
        <v>1.3</v>
      </c>
      <c r="I2672" s="4">
        <v>6.5</v>
      </c>
      <c r="J2672" s="5">
        <v>300</v>
      </c>
      <c r="K2672" s="4">
        <v>20</v>
      </c>
      <c r="L2672" s="1" t="s">
        <v>31</v>
      </c>
      <c r="M2672" s="1" t="s">
        <v>47</v>
      </c>
      <c r="N2672" s="1" t="s">
        <v>19205</v>
      </c>
      <c r="O2672" s="1" t="s">
        <v>108</v>
      </c>
      <c r="P2672" s="1" t="s">
        <v>19206</v>
      </c>
      <c r="Q2672" s="1" t="s">
        <v>145</v>
      </c>
      <c r="R2672" s="1" t="s">
        <v>145</v>
      </c>
      <c r="S2672" s="1"/>
      <c r="T2672" s="1" t="s">
        <v>50</v>
      </c>
      <c r="U2672" s="1"/>
      <c r="V2672" s="1"/>
      <c r="W2672" s="1"/>
      <c r="X2672" s="5">
        <v>300</v>
      </c>
      <c r="Y2672" s="7">
        <v>15000000</v>
      </c>
      <c r="Z2672" s="1"/>
      <c r="AA2672" s="1" t="s">
        <v>19198</v>
      </c>
      <c r="AB2672" s="1" t="s">
        <v>5265</v>
      </c>
      <c r="AC2672" s="1" t="s">
        <v>7759</v>
      </c>
      <c r="AD2672" s="1" t="s">
        <v>5265</v>
      </c>
      <c r="AE2672" s="1" t="s">
        <v>51</v>
      </c>
      <c r="AF2672" s="1" t="s">
        <v>51</v>
      </c>
      <c r="AG2672" s="1" t="s">
        <v>51</v>
      </c>
      <c r="AH2672" s="1"/>
      <c r="AI2672" s="1"/>
      <c r="AJ2672" s="3">
        <v>4</v>
      </c>
      <c r="AK2672" s="1" t="s">
        <v>1209</v>
      </c>
      <c r="AL2672" s="3">
        <v>9</v>
      </c>
      <c r="AM2672" s="1"/>
      <c r="AN2672" s="1"/>
      <c r="AO2672" s="1" t="s">
        <v>19207</v>
      </c>
      <c r="AP2672" s="1" t="s">
        <v>19208</v>
      </c>
      <c r="AQ2672" s="1" t="s">
        <v>19209</v>
      </c>
      <c r="AR2672" s="1" t="s">
        <v>19210</v>
      </c>
    </row>
    <row r="2673">
      <c r="A2673" s="2">
        <f ca="1">DATE(2010,07,20)</f>
        <v>0</v>
      </c>
      <c r="B2673" s="2">
        <f ca="1">DATE(2010,12,16)</f>
        <v>0</v>
      </c>
      <c r="C2673" s="1" t="s">
        <v>19211</v>
      </c>
      <c r="D2673" s="3">
        <v>2834</v>
      </c>
      <c r="E2673" s="1" t="s">
        <v>43</v>
      </c>
      <c r="F2673" s="1" t="s">
        <v>19212</v>
      </c>
      <c r="G2673" s="1" t="s">
        <v>19213</v>
      </c>
      <c r="H2673" s="4">
        <v>0.435</v>
      </c>
      <c r="I2673" s="8">
        <v>7.25</v>
      </c>
      <c r="J2673" s="5">
        <v>17.399999999999999</v>
      </c>
      <c r="K2673" s="4">
        <v>6</v>
      </c>
      <c r="L2673" s="1" t="s">
        <v>46</v>
      </c>
      <c r="M2673" s="1" t="s">
        <v>47</v>
      </c>
      <c r="N2673" s="3">
        <v>922822101</v>
      </c>
      <c r="O2673" s="1" t="s">
        <v>48</v>
      </c>
      <c r="P2673" s="1" t="s">
        <v>19214</v>
      </c>
      <c r="Q2673" s="1" t="s">
        <v>145</v>
      </c>
      <c r="R2673" s="1" t="s">
        <v>145</v>
      </c>
      <c r="S2673" s="8">
        <v>4</v>
      </c>
      <c r="T2673" s="1" t="s">
        <v>50</v>
      </c>
      <c r="U2673" s="1"/>
      <c r="V2673" s="1"/>
      <c r="W2673" s="1"/>
      <c r="X2673" s="1"/>
      <c r="Y2673" s="7">
        <v>2900000</v>
      </c>
      <c r="Z2673" s="1"/>
      <c r="AA2673" s="1" t="s">
        <v>19198</v>
      </c>
      <c r="AB2673" s="1" t="s">
        <v>5265</v>
      </c>
      <c r="AC2673" s="1" t="s">
        <v>7759</v>
      </c>
      <c r="AD2673" s="1" t="s">
        <v>5265</v>
      </c>
      <c r="AE2673" s="1" t="s">
        <v>51</v>
      </c>
      <c r="AF2673" s="1" t="s">
        <v>51</v>
      </c>
      <c r="AG2673" s="1" t="s">
        <v>51</v>
      </c>
      <c r="AH2673" s="1"/>
      <c r="AI2673" s="1"/>
      <c r="AJ2673" s="3">
        <v>2</v>
      </c>
      <c r="AK2673" s="1" t="s">
        <v>89</v>
      </c>
      <c r="AL2673" s="3">
        <v>2</v>
      </c>
      <c r="AM2673" s="1"/>
      <c r="AN2673" s="1"/>
      <c r="AO2673" s="1" t="s">
        <v>19215</v>
      </c>
      <c r="AP2673" s="1" t="s">
        <v>19216</v>
      </c>
      <c r="AQ2673" s="1" t="s">
        <v>19217</v>
      </c>
      <c r="AR2673" s="1" t="s">
        <v>19214</v>
      </c>
    </row>
    <row r="2674">
      <c r="A2674" s="2">
        <f ca="1">DATE(2010,11,18)</f>
        <v>0</v>
      </c>
      <c r="B2674" s="2">
        <f ca="1">DATE(2010,12,20)</f>
        <v>0</v>
      </c>
      <c r="C2674" s="1" t="s">
        <v>19218</v>
      </c>
      <c r="D2674" s="3">
        <v>5065</v>
      </c>
      <c r="E2674" s="1" t="s">
        <v>744</v>
      </c>
      <c r="F2674" s="1" t="s">
        <v>19219</v>
      </c>
      <c r="G2674" s="1" t="s">
        <v>11935</v>
      </c>
      <c r="H2674" s="4">
        <v>0.34999999999999998</v>
      </c>
      <c r="I2674" s="8">
        <v>7</v>
      </c>
      <c r="J2674" s="5">
        <v>6.7000000000000002</v>
      </c>
      <c r="K2674" s="4">
        <v>5</v>
      </c>
      <c r="L2674" s="1" t="s">
        <v>1057</v>
      </c>
      <c r="M2674" s="1" t="s">
        <v>47</v>
      </c>
      <c r="N2674" s="1"/>
      <c r="O2674" s="1" t="s">
        <v>48</v>
      </c>
      <c r="P2674" s="1" t="s">
        <v>19220</v>
      </c>
      <c r="Q2674" s="1" t="s">
        <v>145</v>
      </c>
      <c r="R2674" s="1" t="s">
        <v>145</v>
      </c>
      <c r="S2674" s="1"/>
      <c r="T2674" s="1" t="s">
        <v>50</v>
      </c>
      <c r="U2674" s="8">
        <v>8</v>
      </c>
      <c r="V2674" s="8">
        <v>8</v>
      </c>
      <c r="W2674" s="7">
        <v>1333333</v>
      </c>
      <c r="X2674" s="5">
        <v>10.699999999999999</v>
      </c>
      <c r="Y2674" s="7">
        <v>1333333</v>
      </c>
      <c r="Z2674" s="1"/>
      <c r="AA2674" s="1" t="s">
        <v>19221</v>
      </c>
      <c r="AB2674" s="1" t="s">
        <v>5265</v>
      </c>
      <c r="AC2674" s="1" t="s">
        <v>7759</v>
      </c>
      <c r="AD2674" s="1" t="s">
        <v>5265</v>
      </c>
      <c r="AE2674" s="1" t="s">
        <v>51</v>
      </c>
      <c r="AF2674" s="1" t="s">
        <v>51</v>
      </c>
      <c r="AG2674" s="1" t="s">
        <v>51</v>
      </c>
      <c r="AH2674" s="1"/>
      <c r="AI2674" s="1"/>
      <c r="AJ2674" s="3">
        <v>1</v>
      </c>
      <c r="AK2674" s="1" t="s">
        <v>52</v>
      </c>
      <c r="AL2674" s="3">
        <v>4</v>
      </c>
      <c r="AM2674" s="3">
        <v>8</v>
      </c>
      <c r="AN2674" s="1"/>
      <c r="AO2674" s="1" t="s">
        <v>19222</v>
      </c>
      <c r="AP2674" s="1" t="s">
        <v>11935</v>
      </c>
      <c r="AQ2674" s="1" t="s">
        <v>19223</v>
      </c>
      <c r="AR2674" s="1" t="s">
        <v>19224</v>
      </c>
    </row>
    <row r="2675">
      <c r="A2675" s="2">
        <f ca="1">DATE(2010,08,03)</f>
        <v>0</v>
      </c>
      <c r="B2675" s="2">
        <f ca="1">DATE(2010,12,21)</f>
        <v>0</v>
      </c>
      <c r="C2675" s="1" t="s">
        <v>19225</v>
      </c>
      <c r="D2675" s="3">
        <v>3312</v>
      </c>
      <c r="E2675" s="1" t="s">
        <v>744</v>
      </c>
      <c r="F2675" s="1" t="s">
        <v>19226</v>
      </c>
      <c r="G2675" s="1" t="s">
        <v>19227</v>
      </c>
      <c r="H2675" s="4">
        <v>0.315</v>
      </c>
      <c r="I2675" s="4">
        <v>7</v>
      </c>
      <c r="J2675" s="5">
        <v>22.5</v>
      </c>
      <c r="K2675" s="4">
        <v>4.5</v>
      </c>
      <c r="L2675" s="1" t="s">
        <v>651</v>
      </c>
      <c r="M2675" s="1" t="s">
        <v>47</v>
      </c>
      <c r="N2675" s="3">
        <v>688410109</v>
      </c>
      <c r="O2675" s="1" t="s">
        <v>48</v>
      </c>
      <c r="P2675" s="1" t="s">
        <v>19228</v>
      </c>
      <c r="Q2675" s="1" t="s">
        <v>145</v>
      </c>
      <c r="R2675" s="1" t="s">
        <v>145</v>
      </c>
      <c r="S2675" s="6">
        <v>4.4444400000000002</v>
      </c>
      <c r="T2675" s="1" t="s">
        <v>50</v>
      </c>
      <c r="U2675" s="1"/>
      <c r="V2675" s="1"/>
      <c r="W2675" s="1"/>
      <c r="X2675" s="1"/>
      <c r="Y2675" s="7">
        <v>5000000</v>
      </c>
      <c r="Z2675" s="1"/>
      <c r="AA2675" s="1" t="s">
        <v>19229</v>
      </c>
      <c r="AB2675" s="1" t="s">
        <v>5265</v>
      </c>
      <c r="AC2675" s="1" t="s">
        <v>7759</v>
      </c>
      <c r="AD2675" s="1" t="s">
        <v>5265</v>
      </c>
      <c r="AE2675" s="1" t="s">
        <v>47</v>
      </c>
      <c r="AF2675" s="1" t="s">
        <v>51</v>
      </c>
      <c r="AG2675" s="1" t="s">
        <v>51</v>
      </c>
      <c r="AH2675" s="1"/>
      <c r="AI2675" s="1"/>
      <c r="AJ2675" s="3">
        <v>2</v>
      </c>
      <c r="AK2675" s="1" t="s">
        <v>89</v>
      </c>
      <c r="AL2675" s="3">
        <v>3</v>
      </c>
      <c r="AM2675" s="1"/>
      <c r="AN2675" s="1"/>
      <c r="AO2675" s="1" t="s">
        <v>19230</v>
      </c>
      <c r="AP2675" s="1" t="s">
        <v>19231</v>
      </c>
      <c r="AQ2675" s="1" t="s">
        <v>19232</v>
      </c>
      <c r="AR2675" s="1" t="s">
        <v>19228</v>
      </c>
    </row>
    <row r="2676">
      <c r="A2676" s="2">
        <f ca="1">DATE(2010,09,14)</f>
        <v>0</v>
      </c>
      <c r="B2676" s="2">
        <f ca="1">DATE(2010,12,22)</f>
        <v>0</v>
      </c>
      <c r="C2676" s="1" t="s">
        <v>19233</v>
      </c>
      <c r="D2676" s="3">
        <v>6726</v>
      </c>
      <c r="E2676" s="1" t="s">
        <v>43</v>
      </c>
      <c r="F2676" s="1" t="s">
        <v>19234</v>
      </c>
      <c r="G2676" s="1" t="s">
        <v>19235</v>
      </c>
      <c r="H2676" s="4">
        <v>1.125</v>
      </c>
      <c r="I2676" s="4">
        <v>4.5</v>
      </c>
      <c r="J2676" s="5">
        <v>377.5</v>
      </c>
      <c r="K2676" s="4">
        <v>25</v>
      </c>
      <c r="L2676" s="1" t="s">
        <v>46</v>
      </c>
      <c r="M2676" s="1" t="s">
        <v>47</v>
      </c>
      <c r="N2676" s="1" t="s">
        <v>19236</v>
      </c>
      <c r="O2676" s="1" t="s">
        <v>108</v>
      </c>
      <c r="P2676" s="1" t="s">
        <v>19237</v>
      </c>
      <c r="Q2676" s="1" t="s">
        <v>145</v>
      </c>
      <c r="R2676" s="1" t="s">
        <v>145</v>
      </c>
      <c r="S2676" s="8">
        <v>3</v>
      </c>
      <c r="T2676" s="1" t="s">
        <v>50</v>
      </c>
      <c r="U2676" s="8">
        <v>25</v>
      </c>
      <c r="V2676" s="8">
        <v>25</v>
      </c>
      <c r="W2676" s="1"/>
      <c r="X2676" s="5">
        <v>1</v>
      </c>
      <c r="Y2676" s="7">
        <v>15100000</v>
      </c>
      <c r="Z2676" s="1"/>
      <c r="AA2676" s="2">
        <f ca="1">DATE(2011,06,20)</f>
        <v>0</v>
      </c>
      <c r="AB2676" s="1"/>
      <c r="AC2676" s="3">
        <v>180</v>
      </c>
      <c r="AD2676" s="1"/>
      <c r="AE2676" s="1" t="s">
        <v>51</v>
      </c>
      <c r="AF2676" s="1" t="s">
        <v>51</v>
      </c>
      <c r="AG2676" s="1" t="s">
        <v>51</v>
      </c>
      <c r="AH2676" s="1"/>
      <c r="AI2676" s="1"/>
      <c r="AJ2676" s="3">
        <v>5</v>
      </c>
      <c r="AK2676" s="1" t="s">
        <v>3985</v>
      </c>
      <c r="AL2676" s="3">
        <v>31</v>
      </c>
      <c r="AM2676" s="1"/>
      <c r="AN2676" s="1"/>
      <c r="AO2676" s="1" t="s">
        <v>19238</v>
      </c>
      <c r="AP2676" s="1" t="s">
        <v>19239</v>
      </c>
      <c r="AQ2676" s="1" t="s">
        <v>19240</v>
      </c>
      <c r="AR2676" s="1" t="s">
        <v>19241</v>
      </c>
    </row>
    <row r="2677">
      <c r="A2677" s="2">
        <f ca="1">DATE(2010,04,07)</f>
        <v>0</v>
      </c>
      <c r="B2677" s="2">
        <f ca="1">DATE(2010,12,27)</f>
        <v>0</v>
      </c>
      <c r="C2677" s="1" t="s">
        <v>19242</v>
      </c>
      <c r="D2677" s="3">
        <v>3999</v>
      </c>
      <c r="E2677" s="1" t="s">
        <v>43</v>
      </c>
      <c r="F2677" s="1" t="s">
        <v>17784</v>
      </c>
      <c r="G2677" s="1" t="s">
        <v>1542</v>
      </c>
      <c r="H2677" s="1" t="s">
        <v>57</v>
      </c>
      <c r="I2677" s="1" t="s">
        <v>57</v>
      </c>
      <c r="J2677" s="5">
        <v>0.10000000000000001</v>
      </c>
      <c r="K2677" s="4">
        <v>0.02</v>
      </c>
      <c r="L2677" s="1" t="s">
        <v>46</v>
      </c>
      <c r="M2677" s="1" t="s">
        <v>47</v>
      </c>
      <c r="N2677" s="1" t="s">
        <v>19243</v>
      </c>
      <c r="O2677" s="1" t="s">
        <v>77</v>
      </c>
      <c r="P2677" s="1" t="s">
        <v>1543</v>
      </c>
      <c r="Q2677" s="1"/>
      <c r="R2677" s="1"/>
      <c r="S2677" s="1"/>
      <c r="T2677" s="1" t="s">
        <v>50</v>
      </c>
      <c r="U2677" s="1"/>
      <c r="V2677" s="1"/>
      <c r="W2677" s="7">
        <v>3000000</v>
      </c>
      <c r="X2677" s="5">
        <v>0.10000000000000001</v>
      </c>
      <c r="Y2677" s="7">
        <v>3000000</v>
      </c>
      <c r="Z2677" s="1"/>
      <c r="AA2677" s="1"/>
      <c r="AB2677" s="1"/>
      <c r="AC2677" s="1"/>
      <c r="AD2677" s="1"/>
      <c r="AE2677" s="1" t="s">
        <v>51</v>
      </c>
      <c r="AF2677" s="1" t="s">
        <v>51</v>
      </c>
      <c r="AG2677" s="1" t="s">
        <v>51</v>
      </c>
      <c r="AH2677" s="1"/>
      <c r="AI2677" s="1"/>
      <c r="AJ2677" s="3">
        <v>1</v>
      </c>
      <c r="AK2677" s="1" t="s">
        <v>52</v>
      </c>
      <c r="AL2677" s="3">
        <v>1</v>
      </c>
      <c r="AM2677" s="1"/>
      <c r="AN2677" s="1"/>
      <c r="AO2677" s="1" t="s">
        <v>1542</v>
      </c>
      <c r="AP2677" s="1" t="s">
        <v>1542</v>
      </c>
      <c r="AQ2677" s="1" t="s">
        <v>1542</v>
      </c>
      <c r="AR2677" s="1" t="s">
        <v>1543</v>
      </c>
    </row>
    <row r="2678">
      <c r="A2678" s="2">
        <f ca="1">DATE(2010,06,03)</f>
        <v>0</v>
      </c>
      <c r="B2678" s="2">
        <f ca="1">DATE(2010,12,28)</f>
        <v>0</v>
      </c>
      <c r="C2678" s="1" t="s">
        <v>19244</v>
      </c>
      <c r="D2678" s="3">
        <v>4899</v>
      </c>
      <c r="E2678" s="1" t="s">
        <v>43</v>
      </c>
      <c r="F2678" s="1" t="s">
        <v>17784</v>
      </c>
      <c r="G2678" s="1" t="s">
        <v>1542</v>
      </c>
      <c r="H2678" s="1" t="s">
        <v>57</v>
      </c>
      <c r="I2678" s="1" t="s">
        <v>57</v>
      </c>
      <c r="J2678" s="5">
        <v>0.10000000000000001</v>
      </c>
      <c r="K2678" s="4">
        <v>0.050000000000000003</v>
      </c>
      <c r="L2678" s="1" t="s">
        <v>46</v>
      </c>
      <c r="M2678" s="1" t="s">
        <v>47</v>
      </c>
      <c r="N2678" s="3">
        <v>656122108</v>
      </c>
      <c r="O2678" s="1" t="s">
        <v>77</v>
      </c>
      <c r="P2678" s="1" t="s">
        <v>1543</v>
      </c>
      <c r="Q2678" s="1"/>
      <c r="R2678" s="1"/>
      <c r="S2678" s="1"/>
      <c r="T2678" s="1" t="s">
        <v>50</v>
      </c>
      <c r="U2678" s="8">
        <v>0.050000000000000003</v>
      </c>
      <c r="V2678" s="8">
        <v>0.050000000000000003</v>
      </c>
      <c r="W2678" s="7">
        <v>1500000</v>
      </c>
      <c r="X2678" s="5">
        <v>0.10000000000000001</v>
      </c>
      <c r="Y2678" s="7">
        <v>1500000</v>
      </c>
      <c r="Z2678" s="1"/>
      <c r="AA2678" s="1"/>
      <c r="AB2678" s="1"/>
      <c r="AC2678" s="1"/>
      <c r="AD2678" s="1"/>
      <c r="AE2678" s="1" t="s">
        <v>51</v>
      </c>
      <c r="AF2678" s="1" t="s">
        <v>51</v>
      </c>
      <c r="AG2678" s="1" t="s">
        <v>51</v>
      </c>
      <c r="AH2678" s="1"/>
      <c r="AI2678" s="1"/>
      <c r="AJ2678" s="3">
        <v>1</v>
      </c>
      <c r="AK2678" s="1" t="s">
        <v>52</v>
      </c>
      <c r="AL2678" s="3">
        <v>1</v>
      </c>
      <c r="AM2678" s="1"/>
      <c r="AN2678" s="1"/>
      <c r="AO2678" s="1" t="s">
        <v>1542</v>
      </c>
      <c r="AP2678" s="1" t="s">
        <v>1542</v>
      </c>
      <c r="AQ2678" s="1" t="s">
        <v>1542</v>
      </c>
      <c r="AR2678" s="1" t="s">
        <v>1543</v>
      </c>
    </row>
    <row r="2679">
      <c r="A2679" s="2">
        <f ca="1">DATE(2009,10,16)</f>
        <v>0</v>
      </c>
      <c r="B2679" s="2">
        <f ca="1">DATE(2010,12,29)</f>
        <v>0</v>
      </c>
      <c r="C2679" s="1" t="s">
        <v>19245</v>
      </c>
      <c r="D2679" s="3">
        <v>4731</v>
      </c>
      <c r="E2679" s="1" t="s">
        <v>43</v>
      </c>
      <c r="F2679" s="1" t="s">
        <v>19246</v>
      </c>
      <c r="G2679" s="1" t="s">
        <v>1542</v>
      </c>
      <c r="H2679" s="1" t="s">
        <v>57</v>
      </c>
      <c r="I2679" s="1" t="s">
        <v>57</v>
      </c>
      <c r="J2679" s="5">
        <v>0.40000000000000002</v>
      </c>
      <c r="K2679" s="4">
        <v>0.25</v>
      </c>
      <c r="L2679" s="1" t="s">
        <v>46</v>
      </c>
      <c r="M2679" s="1" t="s">
        <v>47</v>
      </c>
      <c r="N2679" s="1" t="s">
        <v>19247</v>
      </c>
      <c r="O2679" s="1" t="s">
        <v>77</v>
      </c>
      <c r="P2679" s="1" t="s">
        <v>1543</v>
      </c>
      <c r="Q2679" s="1"/>
      <c r="R2679" s="1"/>
      <c r="S2679" s="1"/>
      <c r="T2679" s="1" t="s">
        <v>50</v>
      </c>
      <c r="U2679" s="8">
        <v>0.10000000000000001</v>
      </c>
      <c r="V2679" s="8">
        <v>0.10000000000000001</v>
      </c>
      <c r="W2679" s="7">
        <v>1692000</v>
      </c>
      <c r="X2679" s="5">
        <v>0.20000000000000001</v>
      </c>
      <c r="Y2679" s="1"/>
      <c r="Z2679" s="7">
        <v>1692000</v>
      </c>
      <c r="AA2679" s="1"/>
      <c r="AB2679" s="1"/>
      <c r="AC2679" s="1"/>
      <c r="AD2679" s="1"/>
      <c r="AE2679" s="1" t="s">
        <v>51</v>
      </c>
      <c r="AF2679" s="1" t="s">
        <v>51</v>
      </c>
      <c r="AG2679" s="1" t="s">
        <v>51</v>
      </c>
      <c r="AH2679" s="1"/>
      <c r="AI2679" s="1"/>
      <c r="AJ2679" s="3">
        <v>1</v>
      </c>
      <c r="AK2679" s="1" t="s">
        <v>52</v>
      </c>
      <c r="AL2679" s="3">
        <v>1</v>
      </c>
      <c r="AM2679" s="1"/>
      <c r="AN2679" s="1"/>
      <c r="AO2679" s="1" t="s">
        <v>1542</v>
      </c>
      <c r="AP2679" s="1" t="s">
        <v>1542</v>
      </c>
      <c r="AQ2679" s="1" t="s">
        <v>1542</v>
      </c>
      <c r="AR2679" s="1" t="s">
        <v>1543</v>
      </c>
    </row>
    <row r="2680">
      <c r="A2680" s="2">
        <f ca="1">DATE(2009,08,11)</f>
        <v>0</v>
      </c>
      <c r="B2680" s="2">
        <f ca="1">DATE(2010,12,30)</f>
        <v>0</v>
      </c>
      <c r="C2680" s="1" t="s">
        <v>19248</v>
      </c>
      <c r="D2680" s="3">
        <v>8299</v>
      </c>
      <c r="E2680" s="1" t="s">
        <v>43</v>
      </c>
      <c r="F2680" s="1" t="s">
        <v>19249</v>
      </c>
      <c r="G2680" s="1" t="s">
        <v>1542</v>
      </c>
      <c r="H2680" s="1" t="s">
        <v>57</v>
      </c>
      <c r="I2680" s="1" t="s">
        <v>57</v>
      </c>
      <c r="J2680" s="5">
        <v>0.10000000000000001</v>
      </c>
      <c r="K2680" s="4">
        <v>0.025000000000000001</v>
      </c>
      <c r="L2680" s="1" t="s">
        <v>46</v>
      </c>
      <c r="M2680" s="1" t="s">
        <v>47</v>
      </c>
      <c r="N2680" s="3">
        <v>829333103</v>
      </c>
      <c r="O2680" s="1" t="s">
        <v>77</v>
      </c>
      <c r="P2680" s="1" t="s">
        <v>1543</v>
      </c>
      <c r="Q2680" s="1"/>
      <c r="R2680" s="1"/>
      <c r="S2680" s="1"/>
      <c r="T2680" s="1" t="s">
        <v>50</v>
      </c>
      <c r="U2680" s="4">
        <v>0.025000000000000001</v>
      </c>
      <c r="V2680" s="4">
        <v>0.025000000000000001</v>
      </c>
      <c r="W2680" s="7">
        <v>3200000</v>
      </c>
      <c r="X2680" s="5">
        <v>0.10000000000000001</v>
      </c>
      <c r="Y2680" s="7">
        <v>3200000</v>
      </c>
      <c r="Z2680" s="1"/>
      <c r="AA2680" s="1"/>
      <c r="AB2680" s="1"/>
      <c r="AC2680" s="1"/>
      <c r="AD2680" s="1"/>
      <c r="AE2680" s="1" t="s">
        <v>51</v>
      </c>
      <c r="AF2680" s="1" t="s">
        <v>51</v>
      </c>
      <c r="AG2680" s="1" t="s">
        <v>51</v>
      </c>
      <c r="AH2680" s="1"/>
      <c r="AI2680" s="1"/>
      <c r="AJ2680" s="3">
        <v>1</v>
      </c>
      <c r="AK2680" s="1" t="s">
        <v>52</v>
      </c>
      <c r="AL2680" s="3">
        <v>1</v>
      </c>
      <c r="AM2680" s="1"/>
      <c r="AN2680" s="1"/>
      <c r="AO2680" s="1" t="s">
        <v>1542</v>
      </c>
      <c r="AP2680" s="1" t="s">
        <v>1542</v>
      </c>
      <c r="AQ2680" s="1" t="s">
        <v>1542</v>
      </c>
      <c r="AR2680" s="1" t="s">
        <v>1543</v>
      </c>
    </row>
    <row r="2681">
      <c r="A2681" s="2">
        <f ca="1">DATE(2010,10,22)</f>
        <v>0</v>
      </c>
      <c r="B2681" s="2">
        <f ca="1">DATE(2010,12,30)</f>
        <v>0</v>
      </c>
      <c r="C2681" s="1" t="s">
        <v>19250</v>
      </c>
      <c r="D2681" s="3">
        <v>1099</v>
      </c>
      <c r="E2681" s="1" t="s">
        <v>13795</v>
      </c>
      <c r="F2681" s="1" t="s">
        <v>19251</v>
      </c>
      <c r="G2681" s="1" t="s">
        <v>1542</v>
      </c>
      <c r="H2681" s="1" t="s">
        <v>57</v>
      </c>
      <c r="I2681" s="1" t="s">
        <v>57</v>
      </c>
      <c r="J2681" s="5">
        <v>0.10000000000000001</v>
      </c>
      <c r="K2681" s="4">
        <v>0.059999999999999998</v>
      </c>
      <c r="L2681" s="1" t="s">
        <v>46</v>
      </c>
      <c r="M2681" s="1" t="s">
        <v>47</v>
      </c>
      <c r="N2681" s="1" t="s">
        <v>19252</v>
      </c>
      <c r="O2681" s="1" t="s">
        <v>77</v>
      </c>
      <c r="P2681" s="1" t="s">
        <v>1543</v>
      </c>
      <c r="Q2681" s="1"/>
      <c r="R2681" s="1"/>
      <c r="S2681" s="1"/>
      <c r="T2681" s="1" t="s">
        <v>50</v>
      </c>
      <c r="U2681" s="8">
        <v>0.059999999999999998</v>
      </c>
      <c r="V2681" s="8">
        <v>0.059999999999999998</v>
      </c>
      <c r="W2681" s="7">
        <v>880000</v>
      </c>
      <c r="X2681" s="5">
        <v>0.10000000000000001</v>
      </c>
      <c r="Y2681" s="1"/>
      <c r="Z2681" s="7">
        <v>880000</v>
      </c>
      <c r="AA2681" s="1"/>
      <c r="AB2681" s="1"/>
      <c r="AC2681" s="1"/>
      <c r="AD2681" s="1"/>
      <c r="AE2681" s="1" t="s">
        <v>51</v>
      </c>
      <c r="AF2681" s="1" t="s">
        <v>51</v>
      </c>
      <c r="AG2681" s="1" t="s">
        <v>51</v>
      </c>
      <c r="AH2681" s="1"/>
      <c r="AI2681" s="1"/>
      <c r="AJ2681" s="3">
        <v>1</v>
      </c>
      <c r="AK2681" s="1" t="s">
        <v>52</v>
      </c>
      <c r="AL2681" s="3">
        <v>1</v>
      </c>
      <c r="AM2681" s="1"/>
      <c r="AN2681" s="1"/>
      <c r="AO2681" s="1" t="s">
        <v>1542</v>
      </c>
      <c r="AP2681" s="1" t="s">
        <v>1542</v>
      </c>
      <c r="AQ2681" s="1" t="s">
        <v>1542</v>
      </c>
      <c r="AR2681" s="1" t="s">
        <v>1543</v>
      </c>
    </row>
    <row r="2682">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row>
  </sheetData>
  <printOptions gridLines="1"/>
  <pageMargins left="1.7999999523162842" right="1.7999999523162842" top="1.8999999761581421" bottom="1.8999999761581421" header="0.5" footer="0.5"/>
  <pageSetup orientation="portrait" scale="100" paperSize="0" firstPageNumber="1" fitToWidth="0" fitToHeight="0" horizontalDpi="0" verticalDpi="0" copies="1"/>
  <headerFooter alignWithMargins="0" scaleWithDoc="0">
    <oddFooter>Source: Thomson Reuters .888.989.8373     Date: 5/15/2014</oddFooter>
  </headerFooter>
</worksheet>
</file>

<file path=xl/worksheets/sheet2.xml><?xml version="1.0" encoding="utf-8"?>
<worksheet xmlns="http://schemas.openxmlformats.org/spreadsheetml/2006/main" xmlns:r="http://schemas.openxmlformats.org/officeDocument/2006/relationships">
  <sheetViews>
    <sheetView workbookViewId="0" topLeftCell="A1" zoomScaleNormal="100" zoomScaleSheetLayoutView="60" zoomScale="100" view="normal"/>
  </sheetViews>
  <sheetFormatPr defaultRowHeight="15" defaultColWidth="9.140625"/>
  <cols>
    <col min="1" max="1" width="12.30469" customWidth="1"/>
    <col min="2" max="2" width="11.13281" customWidth="1"/>
    <col min="3" max="3" width="82.03125" customWidth="1"/>
    <col min="4" max="4" width="12.5" customWidth="1"/>
  </cols>
  <sheetData>
    <row r="1">
      <c r="A1" s="11" t="s">
        <v>19253</v>
      </c>
      <c r="B1" s="11" t="s">
        <v>19254</v>
      </c>
      <c r="C1" s="11" t="s">
        <v>19255</v>
      </c>
    </row>
    <row r="2">
      <c r="A2" s="12" t="s">
        <v>19256</v>
      </c>
      <c r="B2" s="11" t="s">
        <v>19257</v>
      </c>
      <c r="C2" s="11" t="s">
        <v>19258</v>
      </c>
    </row>
    <row r="3">
      <c r="A3" s="13" t="s">
        <v>19259</v>
      </c>
      <c r="B3" s="13" t="s">
        <v>19260</v>
      </c>
      <c r="C3" s="11" t="s">
        <v>19261</v>
      </c>
    </row>
    <row r="4">
      <c r="A4" s="13" t="s">
        <v>19262</v>
      </c>
      <c r="B4" s="13" t="s">
        <v>19263</v>
      </c>
      <c r="C4" s="11" t="s">
        <v>19264</v>
      </c>
    </row>
    <row r="5">
      <c r="A5" s="13" t="s">
        <v>19265</v>
      </c>
      <c r="B5" s="13" t="s">
        <v>19266</v>
      </c>
      <c r="C5" s="11" t="s">
        <v>19267</v>
      </c>
    </row>
    <row r="6">
      <c r="A6" s="13" t="s">
        <v>19268</v>
      </c>
      <c r="B6" s="11" t="s">
        <v>19269</v>
      </c>
      <c r="C6" s="11" t="s">
        <v>19270</v>
      </c>
    </row>
    <row r="7">
      <c r="A7" s="11" t="s">
        <v>19269</v>
      </c>
      <c r="B7" s="11" t="s">
        <v>19269</v>
      </c>
      <c r="C7" s="11" t="s">
        <v>19271</v>
      </c>
    </row>
    <row r="8">
      <c r="A8" s="11" t="s">
        <v>19269</v>
      </c>
      <c r="B8" s="11" t="s">
        <v>19269</v>
      </c>
      <c r="C8" s="11" t="s">
        <v>19272</v>
      </c>
    </row>
    <row r="9">
      <c r="A9" s="11" t="s">
        <v>19269</v>
      </c>
      <c r="B9" s="11" t="s">
        <v>19269</v>
      </c>
      <c r="C9" s="11" t="s">
        <v>19273</v>
      </c>
    </row>
    <row r="10">
      <c r="A10" s="11" t="s">
        <v>19269</v>
      </c>
      <c r="B10" s="11" t="s">
        <v>19269</v>
      </c>
      <c r="C10" s="11" t="s">
        <v>19269</v>
      </c>
    </row>
  </sheetData>
  <printOptions gridLines="1"/>
  <pageMargins left="1.8" right="1.8" top="1.8999999999999999" bottom="1.8999999999999999" header="0.5" footer="0.5"/>
  <pageSetup orientation="portrait" scale="100" paperSize="0" firstPageNumber="1" fitToWidth="0" fitToHeight="0" horizontalDpi="0" verticalDpi="0" copies="1"/>
  <headerFooter alignWithMargins="0" scaleWithDoc="0">
    <oddFooter>Source: Thomson Reuters .888.989.8373     Date: 5/15/2014</oddFooter>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